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NG ANH\"/>
    </mc:Choice>
  </mc:AlternateContent>
  <bookViews>
    <workbookView xWindow="0" yWindow="0" windowWidth="20490" windowHeight="8295" tabRatio="690" activeTab="4"/>
  </bookViews>
  <sheets>
    <sheet name="THANG B.LUONG" sheetId="1" r:id="rId1"/>
    <sheet name="Luong VP" sheetId="2" r:id="rId2"/>
    <sheet name="Sheet1" sheetId="14" state="hidden" r:id="rId3"/>
    <sheet name="The luongvp" sheetId="3" r:id="rId4"/>
    <sheet name="Cham cong" sheetId="4" r:id="rId5"/>
    <sheet name="KPI T07-19" sheetId="5" r:id="rId6"/>
    <sheet name="DS" sheetId="6" r:id="rId7"/>
    <sheet name="T08-19" sheetId="7" r:id="rId8"/>
    <sheet name="DT-DS" sheetId="8" state="hidden" r:id="rId9"/>
    <sheet name="TH ngay phep" sheetId="9" state="hidden" r:id="rId10"/>
    <sheet name="phep" sheetId="10" state="hidden" r:id="rId11"/>
    <sheet name="Phép năm" sheetId="11" state="hidden" r:id="rId12"/>
    <sheet name="PHEP 2019" sheetId="12" r:id="rId13"/>
    <sheet name="Sheet2" sheetId="13" state="hidden" r:id="rId14"/>
  </sheets>
  <externalReferences>
    <externalReference r:id="rId15"/>
    <externalReference r:id="rId16"/>
    <externalReference r:id="rId17"/>
    <externalReference r:id="rId18"/>
    <externalReference r:id="rId19"/>
  </externalReferences>
  <definedNames>
    <definedName name="_xlnm._FilterDatabase" localSheetId="6" hidden="1">DS!$B$1:$F$37</definedName>
    <definedName name="_xlnm._FilterDatabase" localSheetId="1" hidden="1">'Luong VP'!$A$5:$AQ$218</definedName>
    <definedName name="_xlnm.Print_Area" localSheetId="7">'T08-19'!$A$1:$AZ$48</definedName>
    <definedName name="_xlnm.Print_Titles" localSheetId="1">'Luong VP'!$5:$7</definedName>
  </definedNames>
  <calcPr calcId="162913"/>
</workbook>
</file>

<file path=xl/calcChain.xml><?xml version="1.0" encoding="utf-8"?>
<calcChain xmlns="http://schemas.openxmlformats.org/spreadsheetml/2006/main">
  <c r="BL127" i="4" l="1"/>
  <c r="BN80" i="4"/>
  <c r="BL80" i="4"/>
  <c r="BJ80" i="4"/>
  <c r="AX80" i="4"/>
  <c r="AO80" i="4"/>
  <c r="C158" i="4" l="1"/>
  <c r="D158" i="4"/>
  <c r="AL158" i="4"/>
  <c r="BX158" i="4"/>
  <c r="AE165" i="2"/>
  <c r="G165" i="2"/>
  <c r="M165" i="2"/>
  <c r="H165" i="2"/>
  <c r="I165" i="2"/>
  <c r="J165" i="2"/>
  <c r="X165" i="2"/>
  <c r="AL165" i="2"/>
  <c r="AN165" i="2"/>
  <c r="AT165" i="2" s="1"/>
  <c r="AS165" i="2"/>
  <c r="V165" i="2"/>
  <c r="AM79" i="2"/>
  <c r="AO79" i="2"/>
  <c r="AM60" i="2"/>
  <c r="AO60" i="2"/>
  <c r="G75" i="2"/>
  <c r="M75" i="2"/>
  <c r="H75" i="2"/>
  <c r="I75" i="2"/>
  <c r="J75" i="2"/>
  <c r="V75" i="2" s="1"/>
  <c r="AL75" i="2"/>
  <c r="AS75" i="2"/>
  <c r="D81" i="2"/>
  <c r="J81" i="2"/>
  <c r="V81" i="2"/>
  <c r="G81" i="2"/>
  <c r="H81" i="2"/>
  <c r="I81" i="2"/>
  <c r="AL81" i="2"/>
  <c r="AN81" i="2"/>
  <c r="AT81" i="2" s="1"/>
  <c r="AS81" i="2"/>
  <c r="J3426" i="3"/>
  <c r="C3426" i="3"/>
  <c r="J3425" i="3"/>
  <c r="C3425" i="3"/>
  <c r="J3424" i="3"/>
  <c r="J3423" i="3"/>
  <c r="I3423" i="3"/>
  <c r="J3421" i="3"/>
  <c r="J3420" i="3"/>
  <c r="C3416" i="3"/>
  <c r="C3415" i="3"/>
  <c r="C3413" i="3"/>
  <c r="G3410" i="3"/>
  <c r="G3409" i="3"/>
  <c r="L3418" i="3" s="1"/>
  <c r="E3408" i="3"/>
  <c r="J2006" i="3"/>
  <c r="C2006" i="3"/>
  <c r="J2005" i="3"/>
  <c r="C2005" i="3"/>
  <c r="J2004" i="3"/>
  <c r="C2004" i="3"/>
  <c r="J2003" i="3"/>
  <c r="I2003" i="3"/>
  <c r="C2003" i="3"/>
  <c r="C2002" i="3"/>
  <c r="C2001" i="3"/>
  <c r="J2000" i="3"/>
  <c r="C2000" i="3"/>
  <c r="C1998" i="3"/>
  <c r="C1996" i="3"/>
  <c r="C1995" i="3"/>
  <c r="G1990" i="3"/>
  <c r="C1990" i="3"/>
  <c r="G1989" i="3"/>
  <c r="L1998" i="3" s="1"/>
  <c r="E1988" i="3"/>
  <c r="J1703" i="3"/>
  <c r="C1703" i="3"/>
  <c r="J1702" i="3"/>
  <c r="C1702" i="3"/>
  <c r="J1701" i="3"/>
  <c r="C1701" i="3"/>
  <c r="J1700" i="3"/>
  <c r="I1700" i="3"/>
  <c r="C1700" i="3"/>
  <c r="C1699" i="3"/>
  <c r="J1698" i="3"/>
  <c r="C1698" i="3"/>
  <c r="J1697" i="3"/>
  <c r="C1697" i="3"/>
  <c r="C1695" i="3"/>
  <c r="C1693" i="3"/>
  <c r="C1692" i="3"/>
  <c r="C1690" i="3"/>
  <c r="G1687" i="3"/>
  <c r="C1687" i="3"/>
  <c r="G1686" i="3"/>
  <c r="L1695" i="3" s="1"/>
  <c r="E1685" i="3"/>
  <c r="J1396" i="3"/>
  <c r="C1396" i="3"/>
  <c r="J1395" i="3"/>
  <c r="C1395" i="3"/>
  <c r="J1394" i="3"/>
  <c r="C1394" i="3"/>
  <c r="J1393" i="3"/>
  <c r="I1393" i="3"/>
  <c r="C1393" i="3"/>
  <c r="C1392" i="3"/>
  <c r="J1391" i="3"/>
  <c r="C1391" i="3"/>
  <c r="J1390" i="3"/>
  <c r="C1390" i="3"/>
  <c r="C1388" i="3"/>
  <c r="C1386" i="3"/>
  <c r="C1385" i="3"/>
  <c r="C1383" i="3"/>
  <c r="G1380" i="3"/>
  <c r="C1380" i="3"/>
  <c r="G1379" i="3"/>
  <c r="L1388" i="3" s="1"/>
  <c r="E1378" i="3"/>
  <c r="J661" i="3"/>
  <c r="C661" i="3"/>
  <c r="J660" i="3"/>
  <c r="C660" i="3"/>
  <c r="J659" i="3"/>
  <c r="C659" i="3"/>
  <c r="J658" i="3"/>
  <c r="I658" i="3"/>
  <c r="C658" i="3"/>
  <c r="C657" i="3"/>
  <c r="J656" i="3"/>
  <c r="C656" i="3"/>
  <c r="J655" i="3"/>
  <c r="C655" i="3"/>
  <c r="C653" i="3"/>
  <c r="C651" i="3"/>
  <c r="C650" i="3"/>
  <c r="C648" i="3"/>
  <c r="G645" i="3"/>
  <c r="C645" i="3"/>
  <c r="G644" i="3"/>
  <c r="L653" i="3" s="1"/>
  <c r="E643" i="3"/>
  <c r="BL213" i="2"/>
  <c r="AM203" i="2"/>
  <c r="AO203" i="2"/>
  <c r="AM185" i="2"/>
  <c r="AO185" i="2"/>
  <c r="AM172" i="2"/>
  <c r="AO172" i="2"/>
  <c r="AM151" i="2"/>
  <c r="AO151" i="2"/>
  <c r="AM149" i="2"/>
  <c r="AO149" i="2"/>
  <c r="AM147" i="2"/>
  <c r="AO147" i="2"/>
  <c r="AM141" i="2"/>
  <c r="AO141" i="2"/>
  <c r="AM138" i="2"/>
  <c r="AO138" i="2"/>
  <c r="AM131" i="2"/>
  <c r="AO131" i="2"/>
  <c r="AM128" i="2"/>
  <c r="AM212" i="2" s="1"/>
  <c r="AO128" i="2"/>
  <c r="AO212" i="2" s="1"/>
  <c r="AM125" i="2"/>
  <c r="AO125" i="2"/>
  <c r="AM123" i="2"/>
  <c r="AO123" i="2"/>
  <c r="AM109" i="2"/>
  <c r="AO109" i="2"/>
  <c r="AM107" i="2"/>
  <c r="AO107" i="2"/>
  <c r="AM96" i="2"/>
  <c r="AO96" i="2"/>
  <c r="AM92" i="2"/>
  <c r="AO92" i="2"/>
  <c r="AM77" i="2"/>
  <c r="AO77" i="2"/>
  <c r="AM55" i="2"/>
  <c r="AO55" i="2"/>
  <c r="AM49" i="2"/>
  <c r="AO49" i="2"/>
  <c r="AM42" i="2"/>
  <c r="AO42" i="2"/>
  <c r="AM29" i="2"/>
  <c r="AO29" i="2"/>
  <c r="AM27" i="2"/>
  <c r="AO27" i="2"/>
  <c r="AM25" i="2"/>
  <c r="AO25" i="2"/>
  <c r="AM12" i="2"/>
  <c r="AO12" i="2"/>
  <c r="AM9" i="2"/>
  <c r="AO9" i="2"/>
  <c r="AE159" i="2"/>
  <c r="BX32" i="4"/>
  <c r="AN35" i="2"/>
  <c r="AT35" i="2" s="1"/>
  <c r="AJ69" i="2"/>
  <c r="AJ53" i="2"/>
  <c r="V22" i="5"/>
  <c r="X22" i="5"/>
  <c r="Y22" i="5"/>
  <c r="Z22" i="5"/>
  <c r="AA22" i="5"/>
  <c r="AB22" i="5"/>
  <c r="AY22" i="7"/>
  <c r="BX172" i="4"/>
  <c r="C69" i="4"/>
  <c r="D69" i="4"/>
  <c r="AL69" i="4"/>
  <c r="X70" i="2"/>
  <c r="I1695" i="3" s="1"/>
  <c r="BX69" i="4"/>
  <c r="AN70" i="2"/>
  <c r="J1707" i="3" s="1"/>
  <c r="C64" i="4"/>
  <c r="D64" i="4"/>
  <c r="AL64" i="4"/>
  <c r="BX64" i="4"/>
  <c r="C32" i="4"/>
  <c r="D32" i="4"/>
  <c r="AL32" i="4"/>
  <c r="X35" i="2" s="1"/>
  <c r="I653" i="3" s="1"/>
  <c r="G35" i="2"/>
  <c r="M35" i="2"/>
  <c r="C652" i="3"/>
  <c r="H35" i="2"/>
  <c r="I35" i="2"/>
  <c r="AL35" i="2"/>
  <c r="J664" i="3"/>
  <c r="AS35" i="2"/>
  <c r="G70" i="2"/>
  <c r="M70" i="2"/>
  <c r="V70" i="2" s="1"/>
  <c r="J1690" i="3" s="1"/>
  <c r="H70" i="2"/>
  <c r="I70" i="2"/>
  <c r="AL70" i="2"/>
  <c r="J1706" i="3"/>
  <c r="AS70" i="2"/>
  <c r="G65" i="2"/>
  <c r="M65" i="2"/>
  <c r="C1387" i="3" s="1"/>
  <c r="H65" i="2"/>
  <c r="I65" i="2"/>
  <c r="X65" i="2"/>
  <c r="I1388" i="3" s="1"/>
  <c r="AL65" i="2"/>
  <c r="J1399" i="3"/>
  <c r="AN65" i="2"/>
  <c r="AT65" i="2" s="1"/>
  <c r="AS65" i="2"/>
  <c r="V65" i="2"/>
  <c r="J1383" i="3"/>
  <c r="V35" i="2"/>
  <c r="Q145" i="2"/>
  <c r="C3422" i="3" s="1"/>
  <c r="R145" i="2"/>
  <c r="C3423" i="3"/>
  <c r="D145" i="2"/>
  <c r="C3410" i="3"/>
  <c r="G145" i="2"/>
  <c r="M145" i="2"/>
  <c r="C3417" i="3" s="1"/>
  <c r="H145" i="2"/>
  <c r="N145" i="2" s="1"/>
  <c r="C3418" i="3" s="1"/>
  <c r="I145" i="2"/>
  <c r="O145" i="2"/>
  <c r="C3420" i="3"/>
  <c r="AL145" i="2"/>
  <c r="J3429" i="3" s="1"/>
  <c r="AS145" i="2"/>
  <c r="C138" i="4"/>
  <c r="AL138" i="4"/>
  <c r="X145" i="2"/>
  <c r="I3418" i="3" s="1"/>
  <c r="BX138" i="4"/>
  <c r="AN145" i="2"/>
  <c r="AT145" i="2" s="1"/>
  <c r="J648" i="3"/>
  <c r="G88" i="2"/>
  <c r="M88" i="2"/>
  <c r="C1997" i="3"/>
  <c r="H88" i="2"/>
  <c r="I88" i="2"/>
  <c r="AL88" i="2"/>
  <c r="J2009" i="3"/>
  <c r="AN88" i="2"/>
  <c r="AS88" i="2"/>
  <c r="C83" i="4"/>
  <c r="D83" i="4"/>
  <c r="AL83" i="4"/>
  <c r="X88" i="2"/>
  <c r="I1998" i="3" s="1"/>
  <c r="BX83" i="4"/>
  <c r="AL198" i="4"/>
  <c r="X205" i="2" s="1"/>
  <c r="I5013" i="3" s="1"/>
  <c r="AL199" i="4"/>
  <c r="X206" i="2" s="1"/>
  <c r="I5044" i="3" s="1"/>
  <c r="AL200" i="4"/>
  <c r="X207" i="2" s="1"/>
  <c r="I5074" i="3" s="1"/>
  <c r="AL201" i="4"/>
  <c r="AL202" i="4"/>
  <c r="AL203" i="4"/>
  <c r="AL204" i="4"/>
  <c r="AL197" i="4"/>
  <c r="X204" i="2" s="1"/>
  <c r="I4983" i="3" s="1"/>
  <c r="AL180" i="4"/>
  <c r="X187" i="2" s="1"/>
  <c r="I4483" i="3" s="1"/>
  <c r="AL181" i="4"/>
  <c r="X188" i="2" s="1"/>
  <c r="I4515" i="3" s="1"/>
  <c r="AL182" i="4"/>
  <c r="X189" i="2" s="1"/>
  <c r="I4547" i="3" s="1"/>
  <c r="AL183" i="4"/>
  <c r="AL184" i="4"/>
  <c r="AL185" i="4"/>
  <c r="AL186" i="4"/>
  <c r="X193" i="2" s="1"/>
  <c r="I4669" i="3" s="1"/>
  <c r="AL187" i="4"/>
  <c r="X194" i="2" s="1"/>
  <c r="I4700" i="3" s="1"/>
  <c r="AL188" i="4"/>
  <c r="X195" i="2" s="1"/>
  <c r="I4732" i="3" s="1"/>
  <c r="AL189" i="4"/>
  <c r="X196" i="2" s="1"/>
  <c r="I4763" i="3" s="1"/>
  <c r="AL190" i="4"/>
  <c r="X197" i="2" s="1"/>
  <c r="I4857" i="3" s="1"/>
  <c r="AL191" i="4"/>
  <c r="AL192" i="4"/>
  <c r="X199" i="2" s="1"/>
  <c r="I4826" i="3" s="1"/>
  <c r="AL193" i="4"/>
  <c r="AL194" i="4"/>
  <c r="X201" i="2" s="1"/>
  <c r="I4920" i="3" s="1"/>
  <c r="AL195" i="4"/>
  <c r="X202" i="2" s="1"/>
  <c r="I4952" i="3" s="1"/>
  <c r="AL167" i="4"/>
  <c r="X174" i="2" s="1"/>
  <c r="I4112" i="3" s="1"/>
  <c r="AL168" i="4"/>
  <c r="X175" i="2" s="1"/>
  <c r="I4142" i="3" s="1"/>
  <c r="AL169" i="4"/>
  <c r="X176" i="2" s="1"/>
  <c r="I4172" i="3" s="1"/>
  <c r="AL170" i="4"/>
  <c r="AL171" i="4"/>
  <c r="X178" i="2" s="1"/>
  <c r="I4234" i="3" s="1"/>
  <c r="AL172" i="4"/>
  <c r="AL173" i="4"/>
  <c r="X180" i="2" s="1"/>
  <c r="I4296" i="3" s="1"/>
  <c r="AL174" i="4"/>
  <c r="X181" i="2" s="1"/>
  <c r="I4390" i="3" s="1"/>
  <c r="AL175" i="4"/>
  <c r="X182" i="2" s="1"/>
  <c r="I4327" i="3" s="1"/>
  <c r="AL176" i="4"/>
  <c r="X183" i="2" s="1"/>
  <c r="I4359" i="3" s="1"/>
  <c r="AL177" i="4"/>
  <c r="X184" i="2" s="1"/>
  <c r="I4422" i="3" s="1"/>
  <c r="AL147" i="4"/>
  <c r="AL148" i="4"/>
  <c r="X155" i="2" s="1"/>
  <c r="I3599" i="3" s="1"/>
  <c r="AL149" i="4"/>
  <c r="AL150" i="4"/>
  <c r="X157" i="2" s="1"/>
  <c r="I3659" i="3" s="1"/>
  <c r="AL151" i="4"/>
  <c r="X158" i="2" s="1"/>
  <c r="I3689" i="3" s="1"/>
  <c r="AL152" i="4"/>
  <c r="X159" i="2" s="1"/>
  <c r="I3751" i="3" s="1"/>
  <c r="AL153" i="4"/>
  <c r="X160" i="2" s="1"/>
  <c r="I3721" i="3" s="1"/>
  <c r="AL154" i="4"/>
  <c r="X161" i="2" s="1"/>
  <c r="I3782" i="3" s="1"/>
  <c r="AL155" i="4"/>
  <c r="AL156" i="4"/>
  <c r="X163" i="2" s="1"/>
  <c r="I3843" i="3" s="1"/>
  <c r="AL157" i="4"/>
  <c r="AL159" i="4"/>
  <c r="X166" i="2" s="1"/>
  <c r="I3903" i="3" s="1"/>
  <c r="AL160" i="4"/>
  <c r="X167" i="2" s="1"/>
  <c r="I3932" i="3" s="1"/>
  <c r="AL161" i="4"/>
  <c r="X168" i="2" s="1"/>
  <c r="I3962" i="3" s="1"/>
  <c r="AL162" i="4"/>
  <c r="X169" i="2" s="1"/>
  <c r="I3991" i="3" s="1"/>
  <c r="AL163" i="4"/>
  <c r="X170" i="2" s="1"/>
  <c r="I4020" i="3" s="1"/>
  <c r="AL164" i="4"/>
  <c r="AL145" i="4"/>
  <c r="X152" i="2" s="1"/>
  <c r="I3508" i="3" s="1"/>
  <c r="AL136" i="4"/>
  <c r="AL137" i="4"/>
  <c r="AL133" i="4"/>
  <c r="X140" i="2" s="1"/>
  <c r="I3295" i="3" s="1"/>
  <c r="AL125" i="4"/>
  <c r="X108" i="2" s="1"/>
  <c r="I3084" i="3" s="1"/>
  <c r="AL126" i="4"/>
  <c r="X133" i="2" s="1"/>
  <c r="I3145" i="3" s="1"/>
  <c r="AL127" i="4"/>
  <c r="X134" i="2" s="1"/>
  <c r="I3114" i="3" s="1"/>
  <c r="AL128" i="4"/>
  <c r="AL129" i="4"/>
  <c r="X136" i="2" s="1"/>
  <c r="I3175" i="3" s="1"/>
  <c r="AL130" i="4"/>
  <c r="AL119" i="4"/>
  <c r="X129" i="2" s="1"/>
  <c r="I1479" i="3" s="1"/>
  <c r="AL120" i="4"/>
  <c r="X130" i="2" s="1"/>
  <c r="I1510" i="3" s="1"/>
  <c r="AL121" i="4"/>
  <c r="X126" i="2" s="1"/>
  <c r="I2993" i="3" s="1"/>
  <c r="AL122" i="4"/>
  <c r="X127" i="2" s="1"/>
  <c r="I3023" i="3" s="1"/>
  <c r="AL95" i="4"/>
  <c r="X99" i="2" s="1"/>
  <c r="I2298" i="3" s="1"/>
  <c r="AL96" i="4"/>
  <c r="AL97" i="4"/>
  <c r="AL98" i="4"/>
  <c r="AL99" i="4"/>
  <c r="AL100" i="4"/>
  <c r="X103" i="2" s="1"/>
  <c r="I2478" i="3" s="1"/>
  <c r="AL101" i="4"/>
  <c r="X104" i="2" s="1"/>
  <c r="I2448" i="3" s="1"/>
  <c r="AL102" i="4"/>
  <c r="X105" i="2" s="1"/>
  <c r="I2509" i="3" s="1"/>
  <c r="AL103" i="4"/>
  <c r="X106" i="2" s="1"/>
  <c r="I2540" i="3" s="1"/>
  <c r="AL104" i="4"/>
  <c r="AL105" i="4"/>
  <c r="X112" i="2" s="1"/>
  <c r="I2631" i="3" s="1"/>
  <c r="AL106" i="4"/>
  <c r="AL107" i="4"/>
  <c r="AL108" i="4"/>
  <c r="X115" i="2" s="1"/>
  <c r="I2809" i="3" s="1"/>
  <c r="AL109" i="4"/>
  <c r="X116" i="2" s="1"/>
  <c r="I2571" i="3" s="1"/>
  <c r="AL110" i="4"/>
  <c r="X117" i="2" s="1"/>
  <c r="I2601" i="3" s="1"/>
  <c r="AL111" i="4"/>
  <c r="X118" i="2" s="1"/>
  <c r="I2660" i="3" s="1"/>
  <c r="AL112" i="4"/>
  <c r="AL113" i="4"/>
  <c r="AL114" i="4"/>
  <c r="AL115" i="4"/>
  <c r="X122" i="2" s="1"/>
  <c r="I2901" i="3" s="1"/>
  <c r="AL116" i="4"/>
  <c r="X111" i="2" s="1"/>
  <c r="I2720" i="3" s="1"/>
  <c r="AL90" i="4"/>
  <c r="X93" i="2" s="1"/>
  <c r="I2178" i="3" s="1"/>
  <c r="J2178" i="3" s="1"/>
  <c r="AL91" i="4"/>
  <c r="X94" i="2" s="1"/>
  <c r="I2208" i="3" s="1"/>
  <c r="AL92" i="4"/>
  <c r="X95" i="2" s="1"/>
  <c r="I2238" i="3" s="1"/>
  <c r="AL79" i="4"/>
  <c r="AL80" i="4"/>
  <c r="AL81" i="4"/>
  <c r="X83" i="2" s="1"/>
  <c r="I2028" i="3" s="1"/>
  <c r="AL82" i="4"/>
  <c r="AL84" i="4"/>
  <c r="AL85" i="4"/>
  <c r="X84" i="2" s="1"/>
  <c r="I2058" i="3" s="1"/>
  <c r="AL86" i="4"/>
  <c r="X89" i="2" s="1"/>
  <c r="I2088" i="3" s="1"/>
  <c r="AL87" i="4"/>
  <c r="X81" i="2" s="1"/>
  <c r="AL61" i="4"/>
  <c r="AL62" i="4"/>
  <c r="AL63" i="4"/>
  <c r="X64" i="2" s="1"/>
  <c r="I1357" i="3" s="1"/>
  <c r="AL65" i="4"/>
  <c r="X66" i="2" s="1"/>
  <c r="I1419" i="3" s="1"/>
  <c r="AL66" i="4"/>
  <c r="X67" i="2" s="1"/>
  <c r="I1449" i="3" s="1"/>
  <c r="AL67" i="4"/>
  <c r="X68" i="2" s="1"/>
  <c r="I1635" i="3" s="1"/>
  <c r="AL68" i="4"/>
  <c r="X69" i="2" s="1"/>
  <c r="I1665" i="3" s="1"/>
  <c r="AL70" i="4"/>
  <c r="X71" i="2" s="1"/>
  <c r="I1725" i="3" s="1"/>
  <c r="AL71" i="4"/>
  <c r="AL72" i="4"/>
  <c r="AL73" i="4"/>
  <c r="X75" i="2" s="1"/>
  <c r="AL54" i="4"/>
  <c r="AL55" i="4"/>
  <c r="X58" i="2" s="1"/>
  <c r="I1206" i="3" s="1"/>
  <c r="AL56" i="4"/>
  <c r="X59" i="2" s="1"/>
  <c r="I1235" i="3" s="1"/>
  <c r="AL48" i="4"/>
  <c r="X51" i="2" s="1"/>
  <c r="I1020" i="3" s="1"/>
  <c r="AL49" i="4"/>
  <c r="X52" i="2" s="1"/>
  <c r="I1051" i="3" s="1"/>
  <c r="AL50" i="4"/>
  <c r="AL51" i="4"/>
  <c r="AL41" i="4"/>
  <c r="X44" i="2" s="1"/>
  <c r="I837" i="3" s="1"/>
  <c r="AL42" i="4"/>
  <c r="X45" i="2" s="1"/>
  <c r="I897" i="3" s="1"/>
  <c r="AL43" i="4"/>
  <c r="AL44" i="4"/>
  <c r="X47" i="2" s="1"/>
  <c r="I959" i="3" s="1"/>
  <c r="AL45" i="4"/>
  <c r="X48" i="2" s="1"/>
  <c r="I867" i="3" s="1"/>
  <c r="AL28" i="4"/>
  <c r="X31" i="2" s="1"/>
  <c r="I533" i="3" s="1"/>
  <c r="AL29" i="4"/>
  <c r="X32" i="2" s="1"/>
  <c r="I563" i="3" s="1"/>
  <c r="AL30" i="4"/>
  <c r="X33" i="2" s="1"/>
  <c r="I593" i="3" s="1"/>
  <c r="AL31" i="4"/>
  <c r="AL33" i="4"/>
  <c r="X36" i="2" s="1"/>
  <c r="I683" i="3" s="1"/>
  <c r="AL34" i="4"/>
  <c r="X37" i="2" s="1"/>
  <c r="I714" i="3" s="1"/>
  <c r="AL35" i="4"/>
  <c r="X38" i="2" s="1"/>
  <c r="I745" i="3" s="1"/>
  <c r="AL36" i="4"/>
  <c r="X39" i="2" s="1"/>
  <c r="I777" i="3" s="1"/>
  <c r="AL37" i="4"/>
  <c r="X40" i="2" s="1"/>
  <c r="I1786" i="3" s="1"/>
  <c r="AL38" i="4"/>
  <c r="X41" i="2" s="1"/>
  <c r="I1816" i="3" s="1"/>
  <c r="AL25" i="4"/>
  <c r="AL13" i="4"/>
  <c r="AL14" i="4"/>
  <c r="X15" i="2" s="1"/>
  <c r="I134" i="3" s="1"/>
  <c r="AL15" i="4"/>
  <c r="X16" i="2" s="1"/>
  <c r="I165" i="3" s="1"/>
  <c r="AL16" i="4"/>
  <c r="X17" i="2" s="1"/>
  <c r="I194" i="3" s="1"/>
  <c r="AL17" i="4"/>
  <c r="X18" i="2" s="1"/>
  <c r="I224" i="3" s="1"/>
  <c r="AL18" i="4"/>
  <c r="X19" i="2" s="1"/>
  <c r="I255" i="3" s="1"/>
  <c r="AL19" i="4"/>
  <c r="AL20" i="4"/>
  <c r="AL21" i="4"/>
  <c r="AL22" i="4"/>
  <c r="X23" i="2" s="1"/>
  <c r="I315" i="3" s="1"/>
  <c r="AL10" i="4"/>
  <c r="X11" i="2" s="1"/>
  <c r="I43" i="3" s="1"/>
  <c r="BM214" i="2"/>
  <c r="J3607" i="3"/>
  <c r="C3607" i="3"/>
  <c r="J3606" i="3"/>
  <c r="C3606" i="3"/>
  <c r="J3605" i="3"/>
  <c r="C3605" i="3"/>
  <c r="C3604" i="3"/>
  <c r="C3603" i="3"/>
  <c r="C3602" i="3"/>
  <c r="J3601" i="3"/>
  <c r="C3601" i="3"/>
  <c r="C3599" i="3"/>
  <c r="C3597" i="3"/>
  <c r="C3596" i="3"/>
  <c r="G3591" i="3"/>
  <c r="G3590" i="3"/>
  <c r="L3599" i="3" s="1"/>
  <c r="E3589" i="3"/>
  <c r="J2543" i="3"/>
  <c r="J2126" i="3"/>
  <c r="C2126" i="3"/>
  <c r="J2125" i="3"/>
  <c r="C2125" i="3"/>
  <c r="J2124" i="3"/>
  <c r="C2124" i="3"/>
  <c r="J2123" i="3"/>
  <c r="I2123" i="3"/>
  <c r="C2123" i="3"/>
  <c r="C2122" i="3"/>
  <c r="J2121" i="3"/>
  <c r="C2121" i="3"/>
  <c r="J2120" i="3"/>
  <c r="C2120" i="3"/>
  <c r="C2118" i="3"/>
  <c r="C2116" i="3"/>
  <c r="C2115" i="3"/>
  <c r="C2113" i="3"/>
  <c r="G2110" i="3"/>
  <c r="C2110" i="3"/>
  <c r="G2109" i="3"/>
  <c r="L2118" i="3" s="1"/>
  <c r="E2108" i="3"/>
  <c r="J1457" i="3"/>
  <c r="C1457" i="3"/>
  <c r="J1456" i="3"/>
  <c r="C1456" i="3"/>
  <c r="J1455" i="3"/>
  <c r="C1455" i="3"/>
  <c r="J1454" i="3"/>
  <c r="I1454" i="3"/>
  <c r="C1454" i="3"/>
  <c r="C1453" i="3"/>
  <c r="J1452" i="3"/>
  <c r="C1452" i="3"/>
  <c r="J1451" i="3"/>
  <c r="C1451" i="3"/>
  <c r="C1449" i="3"/>
  <c r="C1447" i="3"/>
  <c r="C1446" i="3"/>
  <c r="C1444" i="3"/>
  <c r="G1441" i="3"/>
  <c r="C1441" i="3"/>
  <c r="G1440" i="3"/>
  <c r="L1449" i="3" s="1"/>
  <c r="E1439" i="3"/>
  <c r="J875" i="3"/>
  <c r="C875" i="3"/>
  <c r="J874" i="3"/>
  <c r="C874" i="3"/>
  <c r="J873" i="3"/>
  <c r="C873" i="3"/>
  <c r="J872" i="3"/>
  <c r="I872" i="3"/>
  <c r="C872" i="3"/>
  <c r="C871" i="3"/>
  <c r="J870" i="3"/>
  <c r="C870" i="3"/>
  <c r="J869" i="3"/>
  <c r="C869" i="3"/>
  <c r="C867" i="3"/>
  <c r="C866" i="3"/>
  <c r="C865" i="3"/>
  <c r="C864" i="3"/>
  <c r="G859" i="3"/>
  <c r="C859" i="3"/>
  <c r="G858" i="3"/>
  <c r="L867" i="3" s="1"/>
  <c r="E857" i="3"/>
  <c r="J2246" i="3"/>
  <c r="C2246" i="3"/>
  <c r="J2245" i="3"/>
  <c r="C2245" i="3"/>
  <c r="J2244" i="3"/>
  <c r="C2244" i="3"/>
  <c r="J2243" i="3"/>
  <c r="C2243" i="3"/>
  <c r="C2242" i="3"/>
  <c r="J2241" i="3"/>
  <c r="C2241" i="3"/>
  <c r="J2240" i="3"/>
  <c r="C2240" i="3"/>
  <c r="C2238" i="3"/>
  <c r="C2236" i="3"/>
  <c r="C2235" i="3"/>
  <c r="G2230" i="3"/>
  <c r="C2230" i="3"/>
  <c r="G2229" i="3"/>
  <c r="L2238" i="3" s="1"/>
  <c r="E2228" i="3"/>
  <c r="J1360" i="3"/>
  <c r="J1329" i="3"/>
  <c r="J1298" i="3"/>
  <c r="C148" i="4"/>
  <c r="BX148" i="4"/>
  <c r="D155" i="2"/>
  <c r="D148" i="4"/>
  <c r="G155" i="2"/>
  <c r="M155" i="2"/>
  <c r="C3598" i="3"/>
  <c r="H155" i="2"/>
  <c r="I155" i="2"/>
  <c r="AD155" i="2"/>
  <c r="I3604" i="3"/>
  <c r="J3604" i="3"/>
  <c r="AL155" i="2"/>
  <c r="J3610" i="3"/>
  <c r="AN155" i="2"/>
  <c r="AS155" i="2"/>
  <c r="C3591" i="3"/>
  <c r="AC42" i="5"/>
  <c r="P40" i="5"/>
  <c r="P39" i="5"/>
  <c r="T39" i="5"/>
  <c r="T40" i="5"/>
  <c r="R40" i="5"/>
  <c r="R39" i="5"/>
  <c r="U36" i="5"/>
  <c r="AA36" i="5"/>
  <c r="U37" i="5"/>
  <c r="Z35" i="5"/>
  <c r="T36" i="5"/>
  <c r="Z36" i="5"/>
  <c r="T37" i="5"/>
  <c r="S36" i="5"/>
  <c r="Y36" i="5"/>
  <c r="S37" i="5"/>
  <c r="R37" i="5"/>
  <c r="X37" i="5"/>
  <c r="R36" i="5"/>
  <c r="X36" i="5"/>
  <c r="P36" i="5"/>
  <c r="V36" i="5"/>
  <c r="P37" i="5"/>
  <c r="V37" i="5"/>
  <c r="U30" i="5"/>
  <c r="N30" i="5"/>
  <c r="T30" i="5"/>
  <c r="M30" i="5"/>
  <c r="S30" i="5"/>
  <c r="J30" i="5"/>
  <c r="F30" i="5"/>
  <c r="H30" i="5"/>
  <c r="G30" i="5"/>
  <c r="D30" i="5"/>
  <c r="Y35" i="5"/>
  <c r="AA35" i="5"/>
  <c r="Q35" i="5"/>
  <c r="P35" i="5"/>
  <c r="W35" i="5"/>
  <c r="P20" i="5"/>
  <c r="R20" i="5"/>
  <c r="P21" i="5"/>
  <c r="R21" i="5"/>
  <c r="P22" i="5"/>
  <c r="R22" i="5"/>
  <c r="D23" i="5"/>
  <c r="F23" i="5"/>
  <c r="G23" i="5"/>
  <c r="H23" i="5"/>
  <c r="J23" i="5"/>
  <c r="L23" i="5"/>
  <c r="M23" i="5"/>
  <c r="N23" i="5"/>
  <c r="D24" i="5"/>
  <c r="F24" i="5"/>
  <c r="G24" i="5"/>
  <c r="H24" i="5"/>
  <c r="J24" i="5"/>
  <c r="L24" i="5"/>
  <c r="M24" i="5"/>
  <c r="N24" i="5"/>
  <c r="V35" i="5"/>
  <c r="AB35" i="5"/>
  <c r="P30" i="5"/>
  <c r="R23" i="5"/>
  <c r="AB36" i="5"/>
  <c r="P24" i="5"/>
  <c r="P23" i="5"/>
  <c r="AQ92" i="2"/>
  <c r="AU92" i="2"/>
  <c r="AV92" i="2"/>
  <c r="AW92" i="2"/>
  <c r="AX92" i="2"/>
  <c r="AY92" i="2"/>
  <c r="AZ92" i="2"/>
  <c r="BA92" i="2"/>
  <c r="BB92" i="2"/>
  <c r="BC92" i="2"/>
  <c r="BD92" i="2"/>
  <c r="BE92" i="2"/>
  <c r="BF92" i="2"/>
  <c r="BG92" i="2"/>
  <c r="BH92" i="2"/>
  <c r="BI92" i="2"/>
  <c r="G159" i="2"/>
  <c r="M159" i="2"/>
  <c r="H159" i="2"/>
  <c r="I159" i="2"/>
  <c r="AL159" i="2"/>
  <c r="AS159" i="2"/>
  <c r="AV10" i="7"/>
  <c r="BX187" i="4"/>
  <c r="BX170" i="4"/>
  <c r="BW205" i="4"/>
  <c r="BX105" i="4"/>
  <c r="BX89" i="4"/>
  <c r="G90" i="2"/>
  <c r="M90" i="2"/>
  <c r="H90" i="2"/>
  <c r="I90" i="2"/>
  <c r="AL90" i="2"/>
  <c r="J2129" i="3"/>
  <c r="AS90" i="2"/>
  <c r="C84" i="4"/>
  <c r="D84" i="4"/>
  <c r="X90" i="2"/>
  <c r="I2118" i="3" s="1"/>
  <c r="BX84" i="4"/>
  <c r="AN90" i="2"/>
  <c r="J2130" i="3" s="1"/>
  <c r="V90" i="2"/>
  <c r="J2113" i="3"/>
  <c r="C2117" i="3"/>
  <c r="G95" i="2"/>
  <c r="M95" i="2"/>
  <c r="C2237" i="3"/>
  <c r="H95" i="2"/>
  <c r="I95" i="2"/>
  <c r="AL95" i="2"/>
  <c r="J2249" i="3"/>
  <c r="AN95" i="2"/>
  <c r="J2250" i="3" s="1"/>
  <c r="AS95" i="2"/>
  <c r="C92" i="4"/>
  <c r="D92" i="4"/>
  <c r="BX92" i="4"/>
  <c r="G67" i="2"/>
  <c r="M67" i="2"/>
  <c r="V67" i="2" s="1"/>
  <c r="J1444" i="3" s="1"/>
  <c r="H67" i="2"/>
  <c r="I67" i="2"/>
  <c r="AL67" i="2"/>
  <c r="J1460" i="3"/>
  <c r="AS67" i="2"/>
  <c r="C66" i="4"/>
  <c r="D66" i="4"/>
  <c r="BX66" i="4"/>
  <c r="AN67" i="2"/>
  <c r="G48" i="2"/>
  <c r="H48" i="2"/>
  <c r="I48" i="2"/>
  <c r="AL48" i="2"/>
  <c r="J878" i="3"/>
  <c r="C45" i="4"/>
  <c r="D45" i="4"/>
  <c r="BX45" i="4"/>
  <c r="AN48" i="2"/>
  <c r="C1448" i="3"/>
  <c r="BI221" i="2"/>
  <c r="BI220" i="2"/>
  <c r="BG221" i="2"/>
  <c r="J1855" i="3"/>
  <c r="C1855" i="3"/>
  <c r="J1854" i="3"/>
  <c r="C1854" i="3"/>
  <c r="J1853" i="3"/>
  <c r="C1853" i="3"/>
  <c r="J1852" i="3"/>
  <c r="I1852" i="3"/>
  <c r="C1852" i="3"/>
  <c r="C1851" i="3"/>
  <c r="C1850" i="3"/>
  <c r="J1849" i="3"/>
  <c r="C1849" i="3"/>
  <c r="C1847" i="3"/>
  <c r="C1845" i="3"/>
  <c r="C1844" i="3"/>
  <c r="G1839" i="3"/>
  <c r="G1838" i="3"/>
  <c r="L1847" i="3" s="1"/>
  <c r="E1837" i="3"/>
  <c r="J1121" i="3"/>
  <c r="C1121" i="3"/>
  <c r="J1120" i="3"/>
  <c r="C1120" i="3"/>
  <c r="J1119" i="3"/>
  <c r="C1119" i="3"/>
  <c r="J1118" i="3"/>
  <c r="I1118" i="3"/>
  <c r="C1118" i="3"/>
  <c r="C1117" i="3"/>
  <c r="J1116" i="3"/>
  <c r="C1116" i="3"/>
  <c r="J1115" i="3"/>
  <c r="C1115" i="3"/>
  <c r="C1113" i="3"/>
  <c r="C1111" i="3"/>
  <c r="C1110" i="3"/>
  <c r="C1108" i="3"/>
  <c r="G1105" i="3"/>
  <c r="G1104" i="3"/>
  <c r="L1113" i="3" s="1"/>
  <c r="E1103" i="3"/>
  <c r="J4058" i="3"/>
  <c r="J4057" i="3"/>
  <c r="I4056" i="3"/>
  <c r="J4053" i="3"/>
  <c r="I4052" i="3"/>
  <c r="I4051" i="3"/>
  <c r="J2516" i="3"/>
  <c r="J2515" i="3"/>
  <c r="J2514" i="3"/>
  <c r="I2514" i="3"/>
  <c r="J2512" i="3"/>
  <c r="J2511" i="3"/>
  <c r="I2510" i="3"/>
  <c r="J2331" i="3"/>
  <c r="J2301" i="3"/>
  <c r="J2271" i="3"/>
  <c r="J1941" i="3"/>
  <c r="J1911" i="3"/>
  <c r="E1533" i="3"/>
  <c r="G1534" i="3"/>
  <c r="L1543" i="3" s="1"/>
  <c r="C1535" i="3"/>
  <c r="G1535" i="3"/>
  <c r="C1540" i="3"/>
  <c r="C1541" i="3"/>
  <c r="C1543" i="3"/>
  <c r="C1545" i="3"/>
  <c r="J1545" i="3"/>
  <c r="C1546" i="3"/>
  <c r="C1547" i="3"/>
  <c r="C1548" i="3"/>
  <c r="I1548" i="3"/>
  <c r="J1548" i="3"/>
  <c r="C1549" i="3"/>
  <c r="J1549" i="3"/>
  <c r="C1550" i="3"/>
  <c r="J1550" i="3"/>
  <c r="C1551" i="3"/>
  <c r="J1551" i="3"/>
  <c r="J1517" i="3"/>
  <c r="J1516" i="3"/>
  <c r="J1515" i="3"/>
  <c r="I1515" i="3"/>
  <c r="J1513" i="3"/>
  <c r="J1512" i="3"/>
  <c r="I1511" i="3"/>
  <c r="J381" i="3"/>
  <c r="I379" i="3"/>
  <c r="G64" i="2"/>
  <c r="M64" i="2"/>
  <c r="H64" i="2"/>
  <c r="I64" i="2"/>
  <c r="AL64" i="2"/>
  <c r="AS64" i="2"/>
  <c r="G63" i="2"/>
  <c r="M63" i="2"/>
  <c r="V63" i="2" s="1"/>
  <c r="J1321" i="3" s="1"/>
  <c r="H63" i="2"/>
  <c r="I63" i="2"/>
  <c r="AL63" i="2"/>
  <c r="AS63" i="2"/>
  <c r="G62" i="2"/>
  <c r="M62" i="2" s="1"/>
  <c r="H62" i="2"/>
  <c r="I62" i="2"/>
  <c r="AL62" i="2"/>
  <c r="AS62" i="2"/>
  <c r="D91" i="2"/>
  <c r="AQ55" i="2"/>
  <c r="AU55" i="2"/>
  <c r="AV55" i="2"/>
  <c r="AW55" i="2"/>
  <c r="AX55" i="2"/>
  <c r="AY55" i="2"/>
  <c r="AZ55" i="2"/>
  <c r="D110" i="2"/>
  <c r="V21" i="5"/>
  <c r="G164" i="2"/>
  <c r="M164" i="2"/>
  <c r="H164" i="2"/>
  <c r="I164" i="2"/>
  <c r="AL164" i="2"/>
  <c r="AS164" i="2"/>
  <c r="AL132" i="2"/>
  <c r="AL106" i="2"/>
  <c r="G106" i="2"/>
  <c r="M106" i="2"/>
  <c r="V106" i="2"/>
  <c r="H106" i="2"/>
  <c r="I106" i="2"/>
  <c r="AS106" i="2"/>
  <c r="E26" i="7"/>
  <c r="E27" i="7"/>
  <c r="E28" i="7"/>
  <c r="E29" i="7"/>
  <c r="E30" i="7"/>
  <c r="E31" i="7"/>
  <c r="BX119" i="4"/>
  <c r="AV5" i="4"/>
  <c r="AW5" i="4"/>
  <c r="AX5" i="4"/>
  <c r="AY5" i="4"/>
  <c r="AZ5" i="4"/>
  <c r="BA5" i="4"/>
  <c r="BB5" i="4"/>
  <c r="BC5" i="4"/>
  <c r="BD5" i="4"/>
  <c r="BE5" i="4"/>
  <c r="BF5" i="4"/>
  <c r="BG5" i="4"/>
  <c r="BH5" i="4"/>
  <c r="BI5" i="4"/>
  <c r="BJ5" i="4"/>
  <c r="BK5" i="4"/>
  <c r="BL5" i="4"/>
  <c r="BM5" i="4"/>
  <c r="BN5" i="4"/>
  <c r="BO5" i="4"/>
  <c r="BP5" i="4"/>
  <c r="BQ5" i="4"/>
  <c r="BR5" i="4"/>
  <c r="BS5" i="4"/>
  <c r="AU5" i="4"/>
  <c r="AS5" i="4"/>
  <c r="AT5" i="4"/>
  <c r="D80" i="2"/>
  <c r="AS80" i="2"/>
  <c r="AL80" i="2"/>
  <c r="I80" i="2"/>
  <c r="H80" i="2"/>
  <c r="G80" i="2"/>
  <c r="M80" i="2"/>
  <c r="C1846" i="3"/>
  <c r="C87" i="4"/>
  <c r="BX87" i="4"/>
  <c r="AN80" i="2"/>
  <c r="AT80" i="2" s="1"/>
  <c r="D54" i="2"/>
  <c r="C1105" i="3"/>
  <c r="G54" i="2"/>
  <c r="M54" i="2"/>
  <c r="C1112" i="3"/>
  <c r="H54" i="2"/>
  <c r="I54" i="2"/>
  <c r="AL54" i="2"/>
  <c r="J1124" i="3"/>
  <c r="AS54" i="2"/>
  <c r="C51" i="4"/>
  <c r="X54" i="2"/>
  <c r="I1113" i="3" s="1"/>
  <c r="BX51" i="4"/>
  <c r="J1858" i="3"/>
  <c r="C1839" i="3"/>
  <c r="AN54" i="2"/>
  <c r="J1125" i="3" s="1"/>
  <c r="D51" i="4"/>
  <c r="V54" i="2"/>
  <c r="J1108" i="3"/>
  <c r="C73" i="4"/>
  <c r="M5" i="4"/>
  <c r="N5" i="4"/>
  <c r="O5" i="4"/>
  <c r="P5" i="4"/>
  <c r="Q5" i="4"/>
  <c r="AK98" i="4" s="1"/>
  <c r="R5" i="4"/>
  <c r="S5" i="4"/>
  <c r="T5" i="4"/>
  <c r="U5" i="4"/>
  <c r="V5" i="4"/>
  <c r="W5" i="4"/>
  <c r="X5" i="4"/>
  <c r="Y5" i="4"/>
  <c r="Z5" i="4"/>
  <c r="AA5" i="4"/>
  <c r="AB5" i="4"/>
  <c r="AC5" i="4"/>
  <c r="AD5" i="4"/>
  <c r="AE5" i="4"/>
  <c r="AF5" i="4"/>
  <c r="AG5" i="4"/>
  <c r="AH5" i="4"/>
  <c r="AI5" i="4"/>
  <c r="K5" i="4"/>
  <c r="J5" i="4"/>
  <c r="I5" i="4"/>
  <c r="BG222" i="2"/>
  <c r="BH212" i="2"/>
  <c r="BH211" i="2"/>
  <c r="BG224" i="2"/>
  <c r="BH224" i="2"/>
  <c r="BH222" i="2"/>
  <c r="BG213" i="2"/>
  <c r="BG214" i="2"/>
  <c r="J1427" i="3"/>
  <c r="C1427" i="3"/>
  <c r="J1426" i="3"/>
  <c r="C1426" i="3"/>
  <c r="J1425" i="3"/>
  <c r="C1425" i="3"/>
  <c r="J1424" i="3"/>
  <c r="I1424" i="3"/>
  <c r="C1424" i="3"/>
  <c r="C1423" i="3"/>
  <c r="J1422" i="3"/>
  <c r="C1422" i="3"/>
  <c r="J1421" i="3"/>
  <c r="C1421" i="3"/>
  <c r="C1419" i="3"/>
  <c r="C1417" i="3"/>
  <c r="C1416" i="3"/>
  <c r="C1414" i="3"/>
  <c r="G1411" i="3"/>
  <c r="C1411" i="3"/>
  <c r="G1410" i="3"/>
  <c r="L1419" i="3" s="1"/>
  <c r="E1409" i="3"/>
  <c r="E1469" i="3"/>
  <c r="G1470" i="3"/>
  <c r="L1479" i="3" s="1"/>
  <c r="G1471" i="3"/>
  <c r="C1476" i="3"/>
  <c r="C1477" i="3"/>
  <c r="C1479" i="3"/>
  <c r="C1481" i="3"/>
  <c r="J1481" i="3"/>
  <c r="C1482" i="3"/>
  <c r="J1482" i="3"/>
  <c r="C1483" i="3"/>
  <c r="C1484" i="3"/>
  <c r="I1484" i="3"/>
  <c r="J1484" i="3"/>
  <c r="AQ9" i="2"/>
  <c r="AU9" i="2"/>
  <c r="AV9" i="2"/>
  <c r="AW9" i="2"/>
  <c r="AX9" i="2"/>
  <c r="AY9" i="2"/>
  <c r="AZ9" i="2"/>
  <c r="AN112" i="2"/>
  <c r="J2643" i="3" s="1"/>
  <c r="BX133" i="4"/>
  <c r="D84" i="2"/>
  <c r="L30" i="5"/>
  <c r="V30" i="5"/>
  <c r="P29" i="5"/>
  <c r="V29" i="5"/>
  <c r="S29" i="5"/>
  <c r="Y29" i="5"/>
  <c r="T29" i="5"/>
  <c r="Z29" i="5"/>
  <c r="U29" i="5"/>
  <c r="AA29" i="5"/>
  <c r="X29" i="5"/>
  <c r="P28" i="5"/>
  <c r="V28" i="5"/>
  <c r="S28" i="5"/>
  <c r="Y28" i="5"/>
  <c r="T28" i="5"/>
  <c r="Z28" i="5"/>
  <c r="U28" i="5"/>
  <c r="AA28" i="5"/>
  <c r="X28" i="5"/>
  <c r="AB28" i="5"/>
  <c r="AE161" i="2"/>
  <c r="AB29" i="5"/>
  <c r="AE164" i="2"/>
  <c r="C152" i="4"/>
  <c r="D152" i="4"/>
  <c r="BX152" i="4"/>
  <c r="AN159" i="2"/>
  <c r="G66" i="2"/>
  <c r="M66" i="2" s="1"/>
  <c r="H66" i="2"/>
  <c r="I66" i="2"/>
  <c r="AL66" i="2"/>
  <c r="J1430" i="3"/>
  <c r="AS66" i="2"/>
  <c r="C65" i="4"/>
  <c r="D65" i="4"/>
  <c r="BX65" i="4"/>
  <c r="AN66" i="2"/>
  <c r="C154" i="4"/>
  <c r="BX154" i="4"/>
  <c r="G161" i="2"/>
  <c r="M161" i="2"/>
  <c r="H161" i="2"/>
  <c r="I161" i="2"/>
  <c r="AL161" i="2"/>
  <c r="AS161" i="2"/>
  <c r="AN161" i="2"/>
  <c r="J3794" i="3" s="1"/>
  <c r="AS203" i="2"/>
  <c r="AS151" i="2"/>
  <c r="AS149" i="2"/>
  <c r="AS147" i="2"/>
  <c r="S34" i="13"/>
  <c r="Q34" i="13"/>
  <c r="S33" i="13"/>
  <c r="Q33" i="13"/>
  <c r="P32" i="13"/>
  <c r="O32" i="13"/>
  <c r="M32" i="13"/>
  <c r="L32" i="13"/>
  <c r="K32" i="13"/>
  <c r="J32" i="13"/>
  <c r="I32" i="13"/>
  <c r="H32" i="13"/>
  <c r="G32" i="13"/>
  <c r="F32" i="13"/>
  <c r="E32" i="13"/>
  <c r="D32" i="13"/>
  <c r="R31" i="13"/>
  <c r="W31" i="13"/>
  <c r="O31" i="13"/>
  <c r="T31" i="13"/>
  <c r="N31" i="13"/>
  <c r="S31" i="13"/>
  <c r="T30" i="13"/>
  <c r="R30" i="13"/>
  <c r="W30" i="13"/>
  <c r="Q30" i="13"/>
  <c r="V30" i="13"/>
  <c r="P30" i="13"/>
  <c r="U30" i="13"/>
  <c r="N30" i="13"/>
  <c r="S30" i="13"/>
  <c r="T29" i="13"/>
  <c r="R29" i="13"/>
  <c r="W29" i="13"/>
  <c r="Q29" i="13"/>
  <c r="V29" i="13"/>
  <c r="P29" i="13"/>
  <c r="U29" i="13"/>
  <c r="N29" i="13"/>
  <c r="S29" i="13"/>
  <c r="T28" i="13"/>
  <c r="R28" i="13"/>
  <c r="Q28" i="13"/>
  <c r="P28" i="13"/>
  <c r="N28" i="13"/>
  <c r="S28" i="13"/>
  <c r="T27" i="13"/>
  <c r="R27" i="13"/>
  <c r="Q27" i="13"/>
  <c r="P27" i="13"/>
  <c r="N27" i="13"/>
  <c r="S27" i="13"/>
  <c r="T26" i="13"/>
  <c r="R26" i="13"/>
  <c r="W26" i="13"/>
  <c r="L26" i="13"/>
  <c r="Q26" i="13"/>
  <c r="V26" i="13"/>
  <c r="K26" i="13"/>
  <c r="J26" i="13"/>
  <c r="I26" i="13"/>
  <c r="G26" i="13"/>
  <c r="F26" i="13"/>
  <c r="E26" i="13"/>
  <c r="D26" i="13"/>
  <c r="T25" i="13"/>
  <c r="R25" i="13"/>
  <c r="Q25" i="13"/>
  <c r="P25" i="13"/>
  <c r="N25" i="13"/>
  <c r="S25" i="13"/>
  <c r="T24" i="13"/>
  <c r="R24" i="13"/>
  <c r="W24" i="13"/>
  <c r="Q24" i="13"/>
  <c r="V24" i="13"/>
  <c r="P24" i="13"/>
  <c r="U24" i="13"/>
  <c r="N24" i="13"/>
  <c r="S24" i="13"/>
  <c r="T23" i="13"/>
  <c r="R23" i="13"/>
  <c r="W23" i="13"/>
  <c r="Q23" i="13"/>
  <c r="V23" i="13"/>
  <c r="P23" i="13"/>
  <c r="N23" i="13"/>
  <c r="S23" i="13"/>
  <c r="T22" i="13"/>
  <c r="R22" i="13"/>
  <c r="W22" i="13"/>
  <c r="Q22" i="13"/>
  <c r="V22" i="13"/>
  <c r="P22" i="13"/>
  <c r="U22" i="13"/>
  <c r="N22" i="13"/>
  <c r="S22" i="13"/>
  <c r="T21" i="13"/>
  <c r="R21" i="13"/>
  <c r="W21" i="13"/>
  <c r="Q21" i="13"/>
  <c r="V21" i="13"/>
  <c r="P21" i="13"/>
  <c r="U21" i="13"/>
  <c r="N21" i="13"/>
  <c r="S21" i="13"/>
  <c r="T20" i="13"/>
  <c r="R20" i="13"/>
  <c r="Q20" i="13"/>
  <c r="P20" i="13"/>
  <c r="N20" i="13"/>
  <c r="S20" i="13"/>
  <c r="O19" i="13"/>
  <c r="T19" i="13"/>
  <c r="L19" i="13"/>
  <c r="K19" i="13"/>
  <c r="J19" i="13"/>
  <c r="I19" i="13"/>
  <c r="G19" i="13"/>
  <c r="F19" i="13"/>
  <c r="E19" i="13"/>
  <c r="D19" i="13"/>
  <c r="R18" i="13"/>
  <c r="W18" i="13"/>
  <c r="L18" i="13"/>
  <c r="K18" i="13"/>
  <c r="J18" i="13"/>
  <c r="I18" i="13"/>
  <c r="G18" i="13"/>
  <c r="F18" i="13"/>
  <c r="E18" i="13"/>
  <c r="O18" i="13"/>
  <c r="T18" i="13"/>
  <c r="D18" i="13"/>
  <c r="N18" i="13"/>
  <c r="S18" i="13"/>
  <c r="R17" i="13"/>
  <c r="W17" i="13"/>
  <c r="Q17" i="13"/>
  <c r="V17" i="13"/>
  <c r="P17" i="13"/>
  <c r="U17" i="13"/>
  <c r="O17" i="13"/>
  <c r="T17" i="13"/>
  <c r="N17" i="13"/>
  <c r="S17" i="13"/>
  <c r="R16" i="13"/>
  <c r="W16" i="13"/>
  <c r="Q16" i="13"/>
  <c r="V16" i="13"/>
  <c r="P16" i="13"/>
  <c r="U16" i="13"/>
  <c r="O16" i="13"/>
  <c r="T16" i="13"/>
  <c r="N16" i="13"/>
  <c r="S16" i="13"/>
  <c r="R15" i="13"/>
  <c r="W15" i="13"/>
  <c r="Q15" i="13"/>
  <c r="V15" i="13"/>
  <c r="P15" i="13"/>
  <c r="U15" i="13"/>
  <c r="O15" i="13"/>
  <c r="T15" i="13"/>
  <c r="N15" i="13"/>
  <c r="S15" i="13"/>
  <c r="R140" i="12"/>
  <c r="D140" i="12"/>
  <c r="R139" i="12"/>
  <c r="D139" i="12"/>
  <c r="R138" i="12"/>
  <c r="D138" i="12"/>
  <c r="R137" i="12"/>
  <c r="D137" i="12"/>
  <c r="R136" i="12"/>
  <c r="D136" i="12"/>
  <c r="R135" i="12"/>
  <c r="D135" i="12"/>
  <c r="R134" i="12"/>
  <c r="D134" i="12"/>
  <c r="R133" i="12"/>
  <c r="D133" i="12"/>
  <c r="R132" i="12"/>
  <c r="D132" i="12"/>
  <c r="R131" i="12"/>
  <c r="D131" i="12"/>
  <c r="R130" i="12"/>
  <c r="R129" i="12"/>
  <c r="R128" i="12"/>
  <c r="D128" i="12"/>
  <c r="R127" i="12"/>
  <c r="D127" i="12"/>
  <c r="R126" i="12"/>
  <c r="D126" i="12"/>
  <c r="R125" i="12"/>
  <c r="D125" i="12"/>
  <c r="R124" i="12"/>
  <c r="D124" i="12"/>
  <c r="R123" i="12"/>
  <c r="D123" i="12"/>
  <c r="R122" i="12"/>
  <c r="D122" i="12"/>
  <c r="R121" i="12"/>
  <c r="D121" i="12"/>
  <c r="R120" i="12"/>
  <c r="D120" i="12"/>
  <c r="R119" i="12"/>
  <c r="D119" i="12"/>
  <c r="R118" i="12"/>
  <c r="D118" i="12"/>
  <c r="R117" i="12"/>
  <c r="D117" i="12"/>
  <c r="R116" i="12"/>
  <c r="D116" i="12"/>
  <c r="R115" i="12"/>
  <c r="R114" i="12"/>
  <c r="D114" i="12"/>
  <c r="R113" i="12"/>
  <c r="D113" i="12"/>
  <c r="R112" i="12"/>
  <c r="D112" i="12"/>
  <c r="R111" i="12"/>
  <c r="D111" i="12"/>
  <c r="R110" i="12"/>
  <c r="D110" i="12"/>
  <c r="R109" i="12"/>
  <c r="D109" i="12"/>
  <c r="R108" i="12"/>
  <c r="D108" i="12"/>
  <c r="R107" i="12"/>
  <c r="D107" i="12"/>
  <c r="R106" i="12"/>
  <c r="D106" i="12"/>
  <c r="R105" i="12"/>
  <c r="R104" i="12"/>
  <c r="D104" i="12"/>
  <c r="R103" i="12"/>
  <c r="D103" i="12"/>
  <c r="R102" i="12"/>
  <c r="R101" i="12"/>
  <c r="R100" i="12"/>
  <c r="R99" i="12"/>
  <c r="R98" i="12"/>
  <c r="D98" i="12"/>
  <c r="R97" i="12"/>
  <c r="R96" i="12"/>
  <c r="D96" i="12"/>
  <c r="R95" i="12"/>
  <c r="R94" i="12"/>
  <c r="D94" i="12"/>
  <c r="R93" i="12"/>
  <c r="R92" i="12"/>
  <c r="D92" i="12"/>
  <c r="R91" i="12"/>
  <c r="R90" i="12"/>
  <c r="R89" i="12"/>
  <c r="D89" i="12"/>
  <c r="R88" i="12"/>
  <c r="R87" i="12"/>
  <c r="R86" i="12"/>
  <c r="R85" i="12"/>
  <c r="R84" i="12"/>
  <c r="R83" i="12"/>
  <c r="D83" i="12"/>
  <c r="R82" i="12"/>
  <c r="R81" i="12"/>
  <c r="R80" i="12"/>
  <c r="R79" i="12"/>
  <c r="R78" i="12"/>
  <c r="R77" i="12"/>
  <c r="D77" i="12"/>
  <c r="R76" i="12"/>
  <c r="D76" i="12"/>
  <c r="R75" i="12"/>
  <c r="D75" i="12"/>
  <c r="R74" i="12"/>
  <c r="D74" i="12"/>
  <c r="R73" i="12"/>
  <c r="R72" i="12"/>
  <c r="R71" i="12"/>
  <c r="R70" i="12"/>
  <c r="R69" i="12"/>
  <c r="R68" i="12"/>
  <c r="R67" i="12"/>
  <c r="R66" i="12"/>
  <c r="R65" i="12"/>
  <c r="R64" i="12"/>
  <c r="R63" i="12"/>
  <c r="R62" i="12"/>
  <c r="R61" i="12"/>
  <c r="R60" i="12"/>
  <c r="R59" i="12"/>
  <c r="R58" i="12"/>
  <c r="R57" i="12"/>
  <c r="R56" i="12"/>
  <c r="R55" i="12"/>
  <c r="R54" i="12"/>
  <c r="R53" i="12"/>
  <c r="R52" i="12"/>
  <c r="R51" i="12"/>
  <c r="R50" i="12"/>
  <c r="R49" i="12"/>
  <c r="R48" i="12"/>
  <c r="R47" i="12"/>
  <c r="R46" i="12"/>
  <c r="R45" i="12"/>
  <c r="R44" i="12"/>
  <c r="R43" i="12"/>
  <c r="R42" i="12"/>
  <c r="R41" i="12"/>
  <c r="R40" i="12"/>
  <c r="R39" i="12"/>
  <c r="R38" i="12"/>
  <c r="R37" i="12"/>
  <c r="R36" i="12"/>
  <c r="R35" i="12"/>
  <c r="R34" i="12"/>
  <c r="R33" i="12"/>
  <c r="R32" i="12"/>
  <c r="R31" i="12"/>
  <c r="R30" i="12"/>
  <c r="R29" i="12"/>
  <c r="R28" i="12"/>
  <c r="R27" i="12"/>
  <c r="R26" i="12"/>
  <c r="R25" i="12"/>
  <c r="R24" i="12"/>
  <c r="R23" i="12"/>
  <c r="R22" i="12"/>
  <c r="R21" i="12"/>
  <c r="R20" i="12"/>
  <c r="R19" i="12"/>
  <c r="R18" i="12"/>
  <c r="R17" i="12"/>
  <c r="R16" i="12"/>
  <c r="R15" i="12"/>
  <c r="R14" i="12"/>
  <c r="R13" i="12"/>
  <c r="D13" i="12"/>
  <c r="R12" i="12"/>
  <c r="R11" i="12"/>
  <c r="R10" i="12"/>
  <c r="R9" i="12"/>
  <c r="R8" i="12"/>
  <c r="R7" i="12"/>
  <c r="R6" i="12"/>
  <c r="R5" i="12"/>
  <c r="R4" i="12"/>
  <c r="R3" i="12"/>
  <c r="AY121" i="11"/>
  <c r="AZ121" i="11"/>
  <c r="AH121" i="11"/>
  <c r="AY120" i="11"/>
  <c r="AJ120" i="11"/>
  <c r="AH120" i="11"/>
  <c r="H120" i="11"/>
  <c r="G120" i="11"/>
  <c r="F120" i="11"/>
  <c r="AK120" i="11" s="1"/>
  <c r="AZ120" i="11" s="1"/>
  <c r="AY119" i="11"/>
  <c r="AJ119" i="11"/>
  <c r="AH119" i="11"/>
  <c r="H119" i="11"/>
  <c r="G119" i="11"/>
  <c r="F119" i="11"/>
  <c r="AK119" i="11" s="1"/>
  <c r="AZ119" i="11" s="1"/>
  <c r="AY118" i="11"/>
  <c r="AZ118" i="11"/>
  <c r="AH118" i="11"/>
  <c r="AY117" i="11"/>
  <c r="AZ117" i="11"/>
  <c r="AY116" i="11"/>
  <c r="AZ116" i="11"/>
  <c r="AY115" i="11"/>
  <c r="AZ115" i="11"/>
  <c r="AY114" i="11"/>
  <c r="AZ114" i="11"/>
  <c r="AY113" i="11"/>
  <c r="AZ113" i="11"/>
  <c r="AY112" i="11"/>
  <c r="AZ112" i="11"/>
  <c r="AY111" i="11"/>
  <c r="AZ111" i="11"/>
  <c r="AY110" i="11"/>
  <c r="AZ110" i="11"/>
  <c r="AY109" i="11"/>
  <c r="AJ109" i="11"/>
  <c r="AH109" i="11"/>
  <c r="H109" i="11"/>
  <c r="G109" i="11"/>
  <c r="F109" i="11"/>
  <c r="AK109" i="11" s="1"/>
  <c r="AZ109" i="11" s="1"/>
  <c r="AY108" i="11"/>
  <c r="AJ108" i="11"/>
  <c r="AH108" i="11"/>
  <c r="H108" i="11"/>
  <c r="G108" i="11"/>
  <c r="F108" i="11"/>
  <c r="AK108" i="11" s="1"/>
  <c r="AZ108" i="11" s="1"/>
  <c r="AY107" i="11"/>
  <c r="AJ107" i="11"/>
  <c r="AH107" i="11"/>
  <c r="H107" i="11"/>
  <c r="G107" i="11"/>
  <c r="F107" i="11"/>
  <c r="AK107" i="11" s="1"/>
  <c r="AZ107" i="11" s="1"/>
  <c r="AY106" i="11"/>
  <c r="AJ106" i="11"/>
  <c r="AH106" i="11"/>
  <c r="H106" i="11"/>
  <c r="G106" i="11"/>
  <c r="F106" i="11"/>
  <c r="AK106" i="11" s="1"/>
  <c r="AZ106" i="11" s="1"/>
  <c r="AY105" i="11"/>
  <c r="AJ105" i="11"/>
  <c r="AH105" i="11"/>
  <c r="H105" i="11"/>
  <c r="G105" i="11"/>
  <c r="F105" i="11"/>
  <c r="AK105" i="11" s="1"/>
  <c r="AZ105" i="11" s="1"/>
  <c r="AY104" i="11"/>
  <c r="AJ104" i="11"/>
  <c r="AH104" i="11"/>
  <c r="H104" i="11"/>
  <c r="G104" i="11"/>
  <c r="F104" i="11"/>
  <c r="AK104" i="11" s="1"/>
  <c r="AZ104" i="11" s="1"/>
  <c r="AY103" i="11"/>
  <c r="AJ103" i="11"/>
  <c r="AH103" i="11"/>
  <c r="H103" i="11"/>
  <c r="G103" i="11"/>
  <c r="F103" i="11"/>
  <c r="AK103" i="11" s="1"/>
  <c r="AZ103" i="11" s="1"/>
  <c r="AY102" i="11"/>
  <c r="AJ102" i="11"/>
  <c r="AH102" i="11"/>
  <c r="H102" i="11"/>
  <c r="G102" i="11"/>
  <c r="F102" i="11"/>
  <c r="AK102" i="11" s="1"/>
  <c r="AZ102" i="11" s="1"/>
  <c r="AY101" i="11"/>
  <c r="AZ101" i="11"/>
  <c r="AY100" i="11"/>
  <c r="AZ100" i="11"/>
  <c r="AY99" i="11"/>
  <c r="AZ99" i="11"/>
  <c r="AY98" i="11"/>
  <c r="AZ98" i="11"/>
  <c r="AY97" i="11"/>
  <c r="AZ97" i="11"/>
  <c r="AY96" i="11"/>
  <c r="AZ96" i="11"/>
  <c r="AY95" i="11"/>
  <c r="AJ95" i="11"/>
  <c r="AH95" i="11"/>
  <c r="H95" i="11"/>
  <c r="G95" i="11"/>
  <c r="F95" i="11"/>
  <c r="AK95" i="11" s="1"/>
  <c r="AZ95" i="11" s="1"/>
  <c r="AY94" i="11"/>
  <c r="AJ94" i="11"/>
  <c r="AH94" i="11"/>
  <c r="H94" i="11"/>
  <c r="G94" i="11"/>
  <c r="F94" i="11"/>
  <c r="AK94" i="11" s="1"/>
  <c r="AZ94" i="11" s="1"/>
  <c r="AY93" i="11"/>
  <c r="AJ93" i="11"/>
  <c r="AH93" i="11"/>
  <c r="H93" i="11"/>
  <c r="G93" i="11"/>
  <c r="F93" i="11"/>
  <c r="AK93" i="11" s="1"/>
  <c r="AZ93" i="11" s="1"/>
  <c r="AY92" i="11"/>
  <c r="AJ92" i="11"/>
  <c r="AH92" i="11"/>
  <c r="H92" i="11"/>
  <c r="G92" i="11"/>
  <c r="F92" i="11"/>
  <c r="AK92" i="11" s="1"/>
  <c r="AZ92" i="11" s="1"/>
  <c r="AY91" i="11"/>
  <c r="AJ91" i="11"/>
  <c r="AH91" i="11"/>
  <c r="H91" i="11"/>
  <c r="G91" i="11"/>
  <c r="F91" i="11"/>
  <c r="AK91" i="11" s="1"/>
  <c r="AZ91" i="11" s="1"/>
  <c r="AY90" i="11"/>
  <c r="AJ90" i="11"/>
  <c r="AH90" i="11"/>
  <c r="H90" i="11"/>
  <c r="G90" i="11"/>
  <c r="F90" i="11"/>
  <c r="AK90" i="11" s="1"/>
  <c r="AZ90" i="11" s="1"/>
  <c r="AY89" i="11"/>
  <c r="AJ89" i="11"/>
  <c r="AH89" i="11"/>
  <c r="H89" i="11"/>
  <c r="G89" i="11"/>
  <c r="F89" i="11"/>
  <c r="AK89" i="11" s="1"/>
  <c r="AZ89" i="11" s="1"/>
  <c r="AY88" i="11"/>
  <c r="AJ88" i="11"/>
  <c r="AH88" i="11"/>
  <c r="H88" i="11"/>
  <c r="G88" i="11"/>
  <c r="F88" i="11"/>
  <c r="AK88" i="11" s="1"/>
  <c r="AZ88" i="11" s="1"/>
  <c r="AY87" i="11"/>
  <c r="AJ87" i="11"/>
  <c r="AH87" i="11"/>
  <c r="H87" i="11"/>
  <c r="G87" i="11"/>
  <c r="F87" i="11"/>
  <c r="AK87" i="11" s="1"/>
  <c r="AZ87" i="11" s="1"/>
  <c r="AY86" i="11"/>
  <c r="AJ86" i="11"/>
  <c r="AH86" i="11"/>
  <c r="H86" i="11"/>
  <c r="G86" i="11"/>
  <c r="F86" i="11"/>
  <c r="AK86" i="11" s="1"/>
  <c r="AZ86" i="11" s="1"/>
  <c r="AY85" i="11"/>
  <c r="AZ85" i="11"/>
  <c r="AY84" i="11"/>
  <c r="AZ84" i="11"/>
  <c r="AY83" i="11"/>
  <c r="AZ83" i="11"/>
  <c r="AY82" i="11"/>
  <c r="AJ82" i="11"/>
  <c r="AH82" i="11"/>
  <c r="H82" i="11"/>
  <c r="G82" i="11"/>
  <c r="F82" i="11"/>
  <c r="AK82" i="11" s="1"/>
  <c r="AZ82" i="11" s="1"/>
  <c r="AY81" i="11"/>
  <c r="AJ81" i="11"/>
  <c r="AH81" i="11"/>
  <c r="H81" i="11"/>
  <c r="G81" i="11"/>
  <c r="F81" i="11"/>
  <c r="AK81" i="11" s="1"/>
  <c r="AZ81" i="11" s="1"/>
  <c r="AY80" i="11"/>
  <c r="AJ80" i="11"/>
  <c r="AH80" i="11"/>
  <c r="H80" i="11"/>
  <c r="G80" i="11"/>
  <c r="F80" i="11"/>
  <c r="AK80" i="11" s="1"/>
  <c r="AZ80" i="11" s="1"/>
  <c r="AY79" i="11"/>
  <c r="AJ79" i="11"/>
  <c r="AH79" i="11"/>
  <c r="H79" i="11"/>
  <c r="G79" i="11"/>
  <c r="F79" i="11"/>
  <c r="AK79" i="11" s="1"/>
  <c r="AZ79" i="11" s="1"/>
  <c r="AY78" i="11"/>
  <c r="AJ78" i="11"/>
  <c r="AH78" i="11"/>
  <c r="H78" i="11"/>
  <c r="G78" i="11"/>
  <c r="F78" i="11"/>
  <c r="AK78" i="11" s="1"/>
  <c r="AZ78" i="11" s="1"/>
  <c r="AY77" i="11"/>
  <c r="AJ77" i="11"/>
  <c r="AH77" i="11"/>
  <c r="H77" i="11"/>
  <c r="G77" i="11"/>
  <c r="F77" i="11"/>
  <c r="AK77" i="11" s="1"/>
  <c r="AZ77" i="11" s="1"/>
  <c r="AY76" i="11"/>
  <c r="AJ76" i="11"/>
  <c r="AH76" i="11"/>
  <c r="H76" i="11"/>
  <c r="G76" i="11"/>
  <c r="F76" i="11"/>
  <c r="AK76" i="11" s="1"/>
  <c r="AZ76" i="11" s="1"/>
  <c r="AY75" i="11"/>
  <c r="AJ75" i="11"/>
  <c r="AH75" i="11"/>
  <c r="H75" i="11"/>
  <c r="G75" i="11"/>
  <c r="F75" i="11"/>
  <c r="AK75" i="11" s="1"/>
  <c r="AZ75" i="11" s="1"/>
  <c r="AY74" i="11"/>
  <c r="AJ74" i="11"/>
  <c r="AH74" i="11"/>
  <c r="H74" i="11"/>
  <c r="G74" i="11"/>
  <c r="F74" i="11"/>
  <c r="AK74" i="11" s="1"/>
  <c r="AZ74" i="11" s="1"/>
  <c r="AY73" i="11"/>
  <c r="AZ73" i="11"/>
  <c r="AY72" i="11"/>
  <c r="AZ72" i="11"/>
  <c r="AY71" i="11"/>
  <c r="AZ71" i="11"/>
  <c r="AY70" i="11"/>
  <c r="AZ70" i="11"/>
  <c r="AY69" i="11"/>
  <c r="AZ69" i="11"/>
  <c r="AY68" i="11"/>
  <c r="AZ68" i="11"/>
  <c r="AY67" i="11"/>
  <c r="AZ67" i="11"/>
  <c r="AY66" i="11"/>
  <c r="AJ66" i="11"/>
  <c r="AH66" i="11"/>
  <c r="H66" i="11"/>
  <c r="G66" i="11"/>
  <c r="F66" i="11"/>
  <c r="AK66" i="11" s="1"/>
  <c r="AZ66" i="11" s="1"/>
  <c r="AY65" i="11"/>
  <c r="AJ65" i="11"/>
  <c r="AH65" i="11"/>
  <c r="H65" i="11"/>
  <c r="G65" i="11"/>
  <c r="F65" i="11"/>
  <c r="AK65" i="11" s="1"/>
  <c r="AZ65" i="11" s="1"/>
  <c r="AY64" i="11"/>
  <c r="AJ64" i="11"/>
  <c r="AH64" i="11"/>
  <c r="H64" i="11"/>
  <c r="G64" i="11"/>
  <c r="F64" i="11"/>
  <c r="AK64" i="11" s="1"/>
  <c r="AZ64" i="11" s="1"/>
  <c r="AY63" i="11"/>
  <c r="AJ63" i="11"/>
  <c r="AH63" i="11"/>
  <c r="H63" i="11"/>
  <c r="G63" i="11"/>
  <c r="F63" i="11"/>
  <c r="AK63" i="11" s="1"/>
  <c r="AZ63" i="11" s="1"/>
  <c r="AY62" i="11"/>
  <c r="AJ62" i="11"/>
  <c r="AH62" i="11"/>
  <c r="H62" i="11"/>
  <c r="G62" i="11"/>
  <c r="F62" i="11"/>
  <c r="AK62" i="11" s="1"/>
  <c r="AZ62" i="11" s="1"/>
  <c r="AY61" i="11"/>
  <c r="AJ61" i="11"/>
  <c r="AH61" i="11"/>
  <c r="H61" i="11"/>
  <c r="G61" i="11"/>
  <c r="F61" i="11"/>
  <c r="AK61" i="11" s="1"/>
  <c r="AZ61" i="11" s="1"/>
  <c r="AY60" i="11"/>
  <c r="AJ60" i="11"/>
  <c r="AH60" i="11"/>
  <c r="H60" i="11"/>
  <c r="G60" i="11"/>
  <c r="F60" i="11"/>
  <c r="AK60" i="11" s="1"/>
  <c r="AZ60" i="11" s="1"/>
  <c r="AY59" i="11"/>
  <c r="AJ59" i="11"/>
  <c r="AH59" i="11"/>
  <c r="H59" i="11"/>
  <c r="G59" i="11"/>
  <c r="F59" i="11"/>
  <c r="AK59" i="11" s="1"/>
  <c r="AZ59" i="11" s="1"/>
  <c r="AY58" i="11"/>
  <c r="AZ58" i="11"/>
  <c r="AY57" i="11"/>
  <c r="AZ57" i="11"/>
  <c r="AY56" i="11"/>
  <c r="AZ56" i="11"/>
  <c r="AY55" i="11"/>
  <c r="AZ55" i="11"/>
  <c r="AY54" i="11"/>
  <c r="AJ54" i="11"/>
  <c r="AH54" i="11"/>
  <c r="H54" i="11"/>
  <c r="G54" i="11"/>
  <c r="F54" i="11"/>
  <c r="AK54" i="11" s="1"/>
  <c r="AZ54" i="11" s="1"/>
  <c r="AY53" i="11"/>
  <c r="AJ53" i="11"/>
  <c r="AH53" i="11"/>
  <c r="H53" i="11"/>
  <c r="G53" i="11"/>
  <c r="F53" i="11"/>
  <c r="AK53" i="11" s="1"/>
  <c r="AZ53" i="11" s="1"/>
  <c r="AY52" i="11"/>
  <c r="AJ52" i="11"/>
  <c r="AH52" i="11"/>
  <c r="H52" i="11"/>
  <c r="G52" i="11"/>
  <c r="F52" i="11"/>
  <c r="AK52" i="11" s="1"/>
  <c r="AZ52" i="11" s="1"/>
  <c r="AY51" i="11"/>
  <c r="AJ51" i="11"/>
  <c r="AH51" i="11"/>
  <c r="H51" i="11"/>
  <c r="G51" i="11"/>
  <c r="F51" i="11"/>
  <c r="AK51" i="11" s="1"/>
  <c r="AZ51" i="11" s="1"/>
  <c r="AY50" i="11"/>
  <c r="AJ50" i="11"/>
  <c r="AH50" i="11"/>
  <c r="H50" i="11"/>
  <c r="G50" i="11"/>
  <c r="F50" i="11"/>
  <c r="AK50" i="11" s="1"/>
  <c r="AZ50" i="11" s="1"/>
  <c r="AY49" i="11"/>
  <c r="AJ49" i="11"/>
  <c r="AH49" i="11"/>
  <c r="H49" i="11"/>
  <c r="G49" i="11"/>
  <c r="F49" i="11"/>
  <c r="AK49" i="11" s="1"/>
  <c r="AZ49" i="11" s="1"/>
  <c r="AY48" i="11"/>
  <c r="AJ48" i="11"/>
  <c r="AH48" i="11"/>
  <c r="H48" i="11"/>
  <c r="G48" i="11"/>
  <c r="F48" i="11"/>
  <c r="AK48" i="11" s="1"/>
  <c r="AZ48" i="11" s="1"/>
  <c r="AY47" i="11"/>
  <c r="AZ47" i="11"/>
  <c r="AY46" i="11"/>
  <c r="AJ46" i="11"/>
  <c r="AH46" i="11"/>
  <c r="H46" i="11"/>
  <c r="G46" i="11"/>
  <c r="F46" i="11"/>
  <c r="AK46" i="11" s="1"/>
  <c r="AZ46" i="11" s="1"/>
  <c r="AY45" i="11"/>
  <c r="AJ45" i="11"/>
  <c r="AH45" i="11"/>
  <c r="H45" i="11"/>
  <c r="G45" i="11"/>
  <c r="F45" i="11"/>
  <c r="AK45" i="11" s="1"/>
  <c r="AZ45" i="11" s="1"/>
  <c r="AY44" i="11"/>
  <c r="AJ44" i="11"/>
  <c r="AH44" i="11"/>
  <c r="H44" i="11"/>
  <c r="G44" i="11"/>
  <c r="F44" i="11"/>
  <c r="AK44" i="11" s="1"/>
  <c r="AZ44" i="11" s="1"/>
  <c r="AY43" i="11"/>
  <c r="AJ43" i="11"/>
  <c r="AH43" i="11"/>
  <c r="H43" i="11"/>
  <c r="G43" i="11"/>
  <c r="F43" i="11"/>
  <c r="AK43" i="11" s="1"/>
  <c r="AZ43" i="11" s="1"/>
  <c r="AY42" i="11"/>
  <c r="AJ42" i="11"/>
  <c r="AH42" i="11"/>
  <c r="H42" i="11"/>
  <c r="G42" i="11"/>
  <c r="F42" i="11"/>
  <c r="AK42" i="11" s="1"/>
  <c r="AZ42" i="11" s="1"/>
  <c r="AY41" i="11"/>
  <c r="AZ41" i="11"/>
  <c r="AY40" i="11"/>
  <c r="AJ40" i="11"/>
  <c r="AH40" i="11"/>
  <c r="H40" i="11"/>
  <c r="G40" i="11"/>
  <c r="F40" i="11"/>
  <c r="AK40" i="11" s="1"/>
  <c r="AZ40" i="11" s="1"/>
  <c r="AY39" i="11"/>
  <c r="AJ39" i="11"/>
  <c r="AH39" i="11"/>
  <c r="H39" i="11"/>
  <c r="G39" i="11"/>
  <c r="F39" i="11"/>
  <c r="AK39" i="11" s="1"/>
  <c r="AZ39" i="11" s="1"/>
  <c r="AY38" i="11"/>
  <c r="AJ38" i="11"/>
  <c r="AH38" i="11"/>
  <c r="H38" i="11"/>
  <c r="G38" i="11"/>
  <c r="F38" i="11"/>
  <c r="AK38" i="11" s="1"/>
  <c r="AZ38" i="11" s="1"/>
  <c r="AY37" i="11"/>
  <c r="AJ37" i="11"/>
  <c r="AH37" i="11"/>
  <c r="H37" i="11"/>
  <c r="G37" i="11"/>
  <c r="F37" i="11"/>
  <c r="AK37" i="11" s="1"/>
  <c r="AZ37" i="11" s="1"/>
  <c r="AY36" i="11"/>
  <c r="AJ36" i="11"/>
  <c r="AH36" i="11"/>
  <c r="H36" i="11"/>
  <c r="G36" i="11"/>
  <c r="F36" i="11"/>
  <c r="AK36" i="11" s="1"/>
  <c r="AZ36" i="11" s="1"/>
  <c r="AZ35" i="11"/>
  <c r="AY34" i="11"/>
  <c r="AJ34" i="11"/>
  <c r="AH34" i="11"/>
  <c r="H34" i="11"/>
  <c r="G34" i="11"/>
  <c r="F34" i="11"/>
  <c r="AK34" i="11" s="1"/>
  <c r="AZ34" i="11" s="1"/>
  <c r="AY33" i="11"/>
  <c r="AJ33" i="11"/>
  <c r="AH33" i="11"/>
  <c r="H33" i="11"/>
  <c r="G33" i="11"/>
  <c r="F33" i="11"/>
  <c r="AK33" i="11" s="1"/>
  <c r="AZ33" i="11" s="1"/>
  <c r="AY32" i="11"/>
  <c r="AJ32" i="11"/>
  <c r="AH32" i="11"/>
  <c r="H32" i="11"/>
  <c r="G32" i="11"/>
  <c r="F32" i="11"/>
  <c r="AK32" i="11" s="1"/>
  <c r="AZ32" i="11" s="1"/>
  <c r="AY31" i="11"/>
  <c r="AJ31" i="11"/>
  <c r="AH31" i="11"/>
  <c r="H31" i="11"/>
  <c r="G31" i="11"/>
  <c r="F31" i="11"/>
  <c r="AK31" i="11" s="1"/>
  <c r="AZ31" i="11" s="1"/>
  <c r="AY30" i="11"/>
  <c r="AJ30" i="11"/>
  <c r="AH30" i="11"/>
  <c r="H30" i="11"/>
  <c r="G30" i="11"/>
  <c r="F30" i="11"/>
  <c r="AK30" i="11" s="1"/>
  <c r="AZ30" i="11" s="1"/>
  <c r="AY29" i="11"/>
  <c r="AJ29" i="11"/>
  <c r="AH29" i="11"/>
  <c r="H29" i="11"/>
  <c r="G29" i="11"/>
  <c r="F29" i="11"/>
  <c r="AK29" i="11" s="1"/>
  <c r="AZ29" i="11" s="1"/>
  <c r="AZ28" i="11"/>
  <c r="AY27" i="11"/>
  <c r="AZ27" i="11"/>
  <c r="AY26" i="11"/>
  <c r="AZ26" i="11"/>
  <c r="AY25" i="11"/>
  <c r="AZ25" i="11"/>
  <c r="AH25" i="11"/>
  <c r="H25" i="11"/>
  <c r="G25" i="11"/>
  <c r="F25" i="11"/>
  <c r="AY24" i="11"/>
  <c r="AZ24" i="11"/>
  <c r="H24" i="11"/>
  <c r="G24" i="11"/>
  <c r="F24" i="11"/>
  <c r="AY23" i="11"/>
  <c r="AJ23" i="11"/>
  <c r="AH23" i="11"/>
  <c r="H23" i="11"/>
  <c r="G23" i="11"/>
  <c r="F23" i="11"/>
  <c r="AK23" i="11" s="1"/>
  <c r="AZ23" i="11" s="1"/>
  <c r="AY22" i="11"/>
  <c r="AJ22" i="11"/>
  <c r="AH22" i="11"/>
  <c r="H22" i="11"/>
  <c r="G22" i="11"/>
  <c r="F22" i="11"/>
  <c r="AK22" i="11" s="1"/>
  <c r="AZ22" i="11" s="1"/>
  <c r="AY21" i="11"/>
  <c r="AJ21" i="11"/>
  <c r="AH21" i="11"/>
  <c r="H21" i="11"/>
  <c r="G21" i="11"/>
  <c r="F21" i="11"/>
  <c r="AK21" i="11" s="1"/>
  <c r="AZ21" i="11" s="1"/>
  <c r="AY20" i="11"/>
  <c r="AJ20" i="11"/>
  <c r="AH20" i="11"/>
  <c r="H20" i="11"/>
  <c r="G20" i="11"/>
  <c r="F20" i="11"/>
  <c r="AK20" i="11" s="1"/>
  <c r="AZ20" i="11" s="1"/>
  <c r="AY19" i="11"/>
  <c r="AJ19" i="11"/>
  <c r="AH19" i="11"/>
  <c r="H19" i="11"/>
  <c r="G19" i="11"/>
  <c r="F19" i="11"/>
  <c r="AK19" i="11" s="1"/>
  <c r="AZ19" i="11" s="1"/>
  <c r="AY18" i="11"/>
  <c r="AJ18" i="11"/>
  <c r="AH18" i="11"/>
  <c r="H18" i="11"/>
  <c r="G18" i="11"/>
  <c r="F18" i="11"/>
  <c r="AK18" i="11" s="1"/>
  <c r="AZ18" i="11" s="1"/>
  <c r="AY17" i="11"/>
  <c r="AJ17" i="11"/>
  <c r="AH17" i="11"/>
  <c r="H17" i="11"/>
  <c r="G17" i="11"/>
  <c r="F17" i="11"/>
  <c r="AK17" i="11" s="1"/>
  <c r="AZ17" i="11" s="1"/>
  <c r="AZ16" i="11"/>
  <c r="AY15" i="11"/>
  <c r="AJ15" i="11"/>
  <c r="AH15" i="11"/>
  <c r="H15" i="11"/>
  <c r="G15" i="11"/>
  <c r="F15" i="11"/>
  <c r="AK15" i="11" s="1"/>
  <c r="AZ15" i="11" s="1"/>
  <c r="AY14" i="11"/>
  <c r="AJ14" i="11"/>
  <c r="AH14" i="11"/>
  <c r="H14" i="11"/>
  <c r="G14" i="11"/>
  <c r="F14" i="11"/>
  <c r="AK14" i="11" s="1"/>
  <c r="AJ12" i="11"/>
  <c r="AH12" i="11"/>
  <c r="H12" i="11"/>
  <c r="G12" i="11"/>
  <c r="F12" i="11"/>
  <c r="AK12" i="11" s="1"/>
  <c r="AY11" i="11"/>
  <c r="AY10" i="11"/>
  <c r="AJ10" i="11"/>
  <c r="AH10" i="11"/>
  <c r="H10" i="11"/>
  <c r="G10" i="11"/>
  <c r="F10" i="11"/>
  <c r="AK10" i="11" s="1"/>
  <c r="AY9" i="11"/>
  <c r="AJ9" i="11"/>
  <c r="AH9" i="11"/>
  <c r="H9" i="11"/>
  <c r="G9" i="11"/>
  <c r="F9" i="11"/>
  <c r="AK9" i="11" s="1"/>
  <c r="AY8" i="11"/>
  <c r="AJ8" i="11"/>
  <c r="AH8" i="11"/>
  <c r="H8" i="11"/>
  <c r="G8" i="11"/>
  <c r="F8" i="11"/>
  <c r="AK8" i="11" s="1"/>
  <c r="AY6" i="11"/>
  <c r="AH6" i="11"/>
  <c r="H6" i="11"/>
  <c r="G6" i="11"/>
  <c r="F6" i="11"/>
  <c r="AY5" i="11"/>
  <c r="AH5" i="11"/>
  <c r="H5" i="11"/>
  <c r="G5" i="11"/>
  <c r="F5" i="11"/>
  <c r="B55" i="10"/>
  <c r="B54" i="10"/>
  <c r="B53" i="10"/>
  <c r="B52" i="10"/>
  <c r="B51" i="10"/>
  <c r="B50" i="10"/>
  <c r="B49" i="10"/>
  <c r="B48" i="10"/>
  <c r="B47" i="10"/>
  <c r="B46" i="10"/>
  <c r="B45" i="10"/>
  <c r="B44" i="10"/>
  <c r="B43" i="10"/>
  <c r="B42" i="10"/>
  <c r="B41" i="10"/>
  <c r="B40" i="10"/>
  <c r="AP39" i="10"/>
  <c r="BA39" i="10"/>
  <c r="AM39" i="10"/>
  <c r="B39" i="10"/>
  <c r="BA38" i="10"/>
  <c r="B38" i="10"/>
  <c r="BA37" i="10"/>
  <c r="B37" i="10"/>
  <c r="BA36" i="10"/>
  <c r="B36" i="10"/>
  <c r="BA35" i="10"/>
  <c r="B35" i="10"/>
  <c r="BA34" i="10"/>
  <c r="B34" i="10"/>
  <c r="BA33" i="10"/>
  <c r="B33" i="10"/>
  <c r="BA32" i="10"/>
  <c r="B32" i="10"/>
  <c r="BA31" i="10"/>
  <c r="B31" i="10"/>
  <c r="BA30" i="10"/>
  <c r="B30" i="10"/>
  <c r="BA29" i="10"/>
  <c r="B29" i="10"/>
  <c r="BA28" i="10"/>
  <c r="B28" i="10"/>
  <c r="BA27" i="10"/>
  <c r="B27" i="10"/>
  <c r="BA26" i="10"/>
  <c r="B26" i="10"/>
  <c r="BA25" i="10"/>
  <c r="B25" i="10"/>
  <c r="BA24" i="10"/>
  <c r="B24" i="10"/>
  <c r="BA23" i="10"/>
  <c r="B23" i="10"/>
  <c r="BA22" i="10"/>
  <c r="B22" i="10"/>
  <c r="B21" i="10"/>
  <c r="BA20" i="10"/>
  <c r="B20" i="10"/>
  <c r="BA19" i="10"/>
  <c r="B19" i="10"/>
  <c r="BA18" i="10"/>
  <c r="B18" i="10"/>
  <c r="B17" i="10"/>
  <c r="BA16" i="10"/>
  <c r="B16" i="10"/>
  <c r="B15" i="10"/>
  <c r="B14" i="10"/>
  <c r="BA13" i="10"/>
  <c r="B13" i="10"/>
  <c r="BA12" i="10"/>
  <c r="B12" i="10"/>
  <c r="BA11" i="10"/>
  <c r="B11" i="10"/>
  <c r="BA10" i="10"/>
  <c r="B10" i="10"/>
  <c r="BA9" i="10"/>
  <c r="B9" i="10"/>
  <c r="BA8" i="10"/>
  <c r="B8" i="10"/>
  <c r="BA7" i="10"/>
  <c r="B7" i="10"/>
  <c r="BA6" i="10"/>
  <c r="B6" i="10"/>
  <c r="BA5" i="10"/>
  <c r="B5" i="10"/>
  <c r="BA4" i="10"/>
  <c r="AW4" i="10"/>
  <c r="B4" i="10"/>
  <c r="E49" i="9"/>
  <c r="P49" i="9"/>
  <c r="C49" i="9"/>
  <c r="A49" i="9"/>
  <c r="P21" i="9"/>
  <c r="P20" i="9"/>
  <c r="P19" i="9"/>
  <c r="P17" i="9"/>
  <c r="P14" i="9"/>
  <c r="P13" i="9"/>
  <c r="P12" i="9"/>
  <c r="A12" i="9"/>
  <c r="P11" i="9"/>
  <c r="A11" i="9"/>
  <c r="P10" i="9"/>
  <c r="A10" i="9"/>
  <c r="P9" i="9"/>
  <c r="A9" i="9"/>
  <c r="P8" i="9"/>
  <c r="A8" i="9"/>
  <c r="P7" i="9"/>
  <c r="A7" i="9"/>
  <c r="P6" i="9"/>
  <c r="A6" i="9"/>
  <c r="P5" i="9"/>
  <c r="A5" i="9"/>
  <c r="P4" i="9"/>
  <c r="A4" i="9"/>
  <c r="J104" i="8"/>
  <c r="J102" i="8"/>
  <c r="G102" i="8"/>
  <c r="H102" i="8"/>
  <c r="F102" i="8"/>
  <c r="B102" i="8"/>
  <c r="A102" i="8"/>
  <c r="J101" i="8"/>
  <c r="G101" i="8"/>
  <c r="F101" i="8"/>
  <c r="B101" i="8"/>
  <c r="A101" i="8"/>
  <c r="J100" i="8"/>
  <c r="G100" i="8"/>
  <c r="F100" i="8"/>
  <c r="B100" i="8"/>
  <c r="A100" i="8"/>
  <c r="J99" i="8"/>
  <c r="G99" i="8"/>
  <c r="F99" i="8"/>
  <c r="B99" i="8"/>
  <c r="A99" i="8"/>
  <c r="J98" i="8"/>
  <c r="G98" i="8"/>
  <c r="F98" i="8"/>
  <c r="B98" i="8"/>
  <c r="A98" i="8"/>
  <c r="J97" i="8"/>
  <c r="G97" i="8"/>
  <c r="F97" i="8"/>
  <c r="B97" i="8"/>
  <c r="A97" i="8"/>
  <c r="J96" i="8"/>
  <c r="G96" i="8"/>
  <c r="F96" i="8"/>
  <c r="B96" i="8"/>
  <c r="A96" i="8"/>
  <c r="J95" i="8"/>
  <c r="G95" i="8"/>
  <c r="F95" i="8"/>
  <c r="B95" i="8"/>
  <c r="A95" i="8"/>
  <c r="J94" i="8"/>
  <c r="G94" i="8"/>
  <c r="F94" i="8"/>
  <c r="B94" i="8"/>
  <c r="A94" i="8"/>
  <c r="J93" i="8"/>
  <c r="G93" i="8"/>
  <c r="F93" i="8"/>
  <c r="B93" i="8"/>
  <c r="A93" i="8"/>
  <c r="J92" i="8"/>
  <c r="G92" i="8"/>
  <c r="F92" i="8"/>
  <c r="B92" i="8"/>
  <c r="A92" i="8"/>
  <c r="J91" i="8"/>
  <c r="G91" i="8"/>
  <c r="F91" i="8"/>
  <c r="B91" i="8"/>
  <c r="A91" i="8"/>
  <c r="J90" i="8"/>
  <c r="G90" i="8"/>
  <c r="F90" i="8"/>
  <c r="B90" i="8"/>
  <c r="A90" i="8"/>
  <c r="J89" i="8"/>
  <c r="G89" i="8"/>
  <c r="F89" i="8"/>
  <c r="B89" i="8"/>
  <c r="A89" i="8"/>
  <c r="J88" i="8"/>
  <c r="G88" i="8"/>
  <c r="F88" i="8"/>
  <c r="B88" i="8"/>
  <c r="A88" i="8"/>
  <c r="J87" i="8"/>
  <c r="G87" i="8"/>
  <c r="F87" i="8"/>
  <c r="B87" i="8"/>
  <c r="A87" i="8"/>
  <c r="J86" i="8"/>
  <c r="G86" i="8"/>
  <c r="H86" i="8"/>
  <c r="F86" i="8"/>
  <c r="B86" i="8"/>
  <c r="A86" i="8"/>
  <c r="J85" i="8"/>
  <c r="G85" i="8"/>
  <c r="F85" i="8"/>
  <c r="B85" i="8"/>
  <c r="A85" i="8"/>
  <c r="J84" i="8"/>
  <c r="G84" i="8"/>
  <c r="F84" i="8"/>
  <c r="B84" i="8"/>
  <c r="A84" i="8"/>
  <c r="J83" i="8"/>
  <c r="G83" i="8"/>
  <c r="F83" i="8"/>
  <c r="B83" i="8"/>
  <c r="A83" i="8"/>
  <c r="J82" i="8"/>
  <c r="G82" i="8"/>
  <c r="F82" i="8"/>
  <c r="B82" i="8"/>
  <c r="A82" i="8"/>
  <c r="J81" i="8"/>
  <c r="G81" i="8"/>
  <c r="F81" i="8"/>
  <c r="B81" i="8"/>
  <c r="A81" i="8"/>
  <c r="J80" i="8"/>
  <c r="G80" i="8"/>
  <c r="F80" i="8"/>
  <c r="B80" i="8"/>
  <c r="A80" i="8"/>
  <c r="J79" i="8"/>
  <c r="G79" i="8"/>
  <c r="F79" i="8"/>
  <c r="B79" i="8"/>
  <c r="A79" i="8"/>
  <c r="J78" i="8"/>
  <c r="G78" i="8"/>
  <c r="F78" i="8"/>
  <c r="B78" i="8"/>
  <c r="A78" i="8"/>
  <c r="J77" i="8"/>
  <c r="G77" i="8"/>
  <c r="F77" i="8"/>
  <c r="B77" i="8"/>
  <c r="A77" i="8"/>
  <c r="J76" i="8"/>
  <c r="G76" i="8"/>
  <c r="F76" i="8"/>
  <c r="B76" i="8"/>
  <c r="A76" i="8"/>
  <c r="J75" i="8"/>
  <c r="G75" i="8"/>
  <c r="F75" i="8"/>
  <c r="B75" i="8"/>
  <c r="A75" i="8"/>
  <c r="J74" i="8"/>
  <c r="G74" i="8"/>
  <c r="F74" i="8"/>
  <c r="B74" i="8"/>
  <c r="A74" i="8"/>
  <c r="J73" i="8"/>
  <c r="G73" i="8"/>
  <c r="F73" i="8"/>
  <c r="B73" i="8"/>
  <c r="A73" i="8"/>
  <c r="J72" i="8"/>
  <c r="G72" i="8"/>
  <c r="F72" i="8"/>
  <c r="B72" i="8"/>
  <c r="A72" i="8"/>
  <c r="J71" i="8"/>
  <c r="G71" i="8"/>
  <c r="F71" i="8"/>
  <c r="H71" i="8"/>
  <c r="B71" i="8"/>
  <c r="A71" i="8"/>
  <c r="J70" i="8"/>
  <c r="G70" i="8"/>
  <c r="F70" i="8"/>
  <c r="B70" i="8"/>
  <c r="A70" i="8"/>
  <c r="J69" i="8"/>
  <c r="G69" i="8"/>
  <c r="F69" i="8"/>
  <c r="B69" i="8"/>
  <c r="A69" i="8"/>
  <c r="J68" i="8"/>
  <c r="G68" i="8"/>
  <c r="F68" i="8"/>
  <c r="B68" i="8"/>
  <c r="A68" i="8"/>
  <c r="J67" i="8"/>
  <c r="G67" i="8"/>
  <c r="F67" i="8"/>
  <c r="B67" i="8"/>
  <c r="A67" i="8"/>
  <c r="J66" i="8"/>
  <c r="G66" i="8"/>
  <c r="F66" i="8"/>
  <c r="B66" i="8"/>
  <c r="B17" i="8"/>
  <c r="A66" i="8"/>
  <c r="A17" i="8"/>
  <c r="J65" i="8"/>
  <c r="G65" i="8"/>
  <c r="F65" i="8"/>
  <c r="B65" i="8"/>
  <c r="A65" i="8"/>
  <c r="J64" i="8"/>
  <c r="G64" i="8"/>
  <c r="F64" i="8"/>
  <c r="B64" i="8"/>
  <c r="A64" i="8"/>
  <c r="J63" i="8"/>
  <c r="G63" i="8"/>
  <c r="F63" i="8"/>
  <c r="B63" i="8"/>
  <c r="A63" i="8"/>
  <c r="J62" i="8"/>
  <c r="G62" i="8"/>
  <c r="F62" i="8"/>
  <c r="B62" i="8"/>
  <c r="A62" i="8"/>
  <c r="J61" i="8"/>
  <c r="G61" i="8"/>
  <c r="F61" i="8"/>
  <c r="B61" i="8"/>
  <c r="A61" i="8"/>
  <c r="J60" i="8"/>
  <c r="G60" i="8"/>
  <c r="F60" i="8"/>
  <c r="B60" i="8"/>
  <c r="A60" i="8"/>
  <c r="J59" i="8"/>
  <c r="G59" i="8"/>
  <c r="F59" i="8"/>
  <c r="B59" i="8"/>
  <c r="A59" i="8"/>
  <c r="J58" i="8"/>
  <c r="G58" i="8"/>
  <c r="F58" i="8"/>
  <c r="B58" i="8"/>
  <c r="A58" i="8"/>
  <c r="J57" i="8"/>
  <c r="G57" i="8"/>
  <c r="F57" i="8"/>
  <c r="B57" i="8"/>
  <c r="A57" i="8"/>
  <c r="J56" i="8"/>
  <c r="G56" i="8"/>
  <c r="F56" i="8"/>
  <c r="B56" i="8"/>
  <c r="A56" i="8"/>
  <c r="J55" i="8"/>
  <c r="G55" i="8"/>
  <c r="F55" i="8"/>
  <c r="B55" i="8"/>
  <c r="A55" i="8"/>
  <c r="J54" i="8"/>
  <c r="G54" i="8"/>
  <c r="F54" i="8"/>
  <c r="B54" i="8"/>
  <c r="A54" i="8"/>
  <c r="J53" i="8"/>
  <c r="G53" i="8"/>
  <c r="F53" i="8"/>
  <c r="B53" i="8"/>
  <c r="A53" i="8"/>
  <c r="J52" i="8"/>
  <c r="G52" i="8"/>
  <c r="F52" i="8"/>
  <c r="B52" i="8"/>
  <c r="A52" i="8"/>
  <c r="C48" i="8"/>
  <c r="B48" i="8"/>
  <c r="A48" i="8"/>
  <c r="C44" i="8"/>
  <c r="D44" i="8"/>
  <c r="H44" i="8"/>
  <c r="E40" i="8"/>
  <c r="I40" i="8"/>
  <c r="D40" i="8"/>
  <c r="H40" i="8"/>
  <c r="E36" i="8"/>
  <c r="I36" i="8"/>
  <c r="D36" i="8"/>
  <c r="H36" i="8"/>
  <c r="L33" i="8"/>
  <c r="E32" i="8"/>
  <c r="D32" i="8"/>
  <c r="B32" i="8"/>
  <c r="A32" i="8"/>
  <c r="L31" i="8"/>
  <c r="E31" i="8"/>
  <c r="F31" i="8"/>
  <c r="D31" i="8"/>
  <c r="L30" i="8"/>
  <c r="E30" i="8"/>
  <c r="F30" i="8"/>
  <c r="D30" i="8"/>
  <c r="L29" i="8"/>
  <c r="E29" i="8"/>
  <c r="F29" i="8"/>
  <c r="D29" i="8"/>
  <c r="F28" i="8"/>
  <c r="J28" i="8"/>
  <c r="E28" i="8"/>
  <c r="I28" i="8"/>
  <c r="D28" i="8"/>
  <c r="H28" i="8"/>
  <c r="F27" i="8"/>
  <c r="J27" i="8"/>
  <c r="E27" i="8"/>
  <c r="I27" i="8"/>
  <c r="D27" i="8"/>
  <c r="H27" i="8"/>
  <c r="F26" i="8"/>
  <c r="J26" i="8"/>
  <c r="E26" i="8"/>
  <c r="I26" i="8"/>
  <c r="D26" i="8"/>
  <c r="H26" i="8"/>
  <c r="F25" i="8"/>
  <c r="J25" i="8"/>
  <c r="E25" i="8"/>
  <c r="I25" i="8"/>
  <c r="D25" i="8"/>
  <c r="H25" i="8"/>
  <c r="F24" i="8"/>
  <c r="J24" i="8"/>
  <c r="E24" i="8"/>
  <c r="I24" i="8"/>
  <c r="D24" i="8"/>
  <c r="H24" i="8"/>
  <c r="F23" i="8"/>
  <c r="J23" i="8"/>
  <c r="E23" i="8"/>
  <c r="I23" i="8"/>
  <c r="D23" i="8"/>
  <c r="H23" i="8"/>
  <c r="I17" i="8"/>
  <c r="H17" i="8"/>
  <c r="F17" i="8"/>
  <c r="D17" i="8"/>
  <c r="I16" i="8"/>
  <c r="H16" i="8"/>
  <c r="F16" i="8"/>
  <c r="D16" i="8"/>
  <c r="B16" i="8"/>
  <c r="A16" i="8"/>
  <c r="I15" i="8"/>
  <c r="H15" i="8"/>
  <c r="F15" i="8"/>
  <c r="D15" i="8"/>
  <c r="B15" i="8"/>
  <c r="A15" i="8"/>
  <c r="I14" i="8"/>
  <c r="H14" i="8"/>
  <c r="F14" i="8"/>
  <c r="D14" i="8"/>
  <c r="B14" i="8"/>
  <c r="A14" i="8"/>
  <c r="I13" i="8"/>
  <c r="H13" i="8"/>
  <c r="F13" i="8"/>
  <c r="D13" i="8"/>
  <c r="B13" i="8"/>
  <c r="A13" i="8"/>
  <c r="I12" i="8"/>
  <c r="H12" i="8"/>
  <c r="F12" i="8"/>
  <c r="D12" i="8"/>
  <c r="B12" i="8"/>
  <c r="A12" i="8"/>
  <c r="I11" i="8"/>
  <c r="H11" i="8"/>
  <c r="F11" i="8"/>
  <c r="D11" i="8"/>
  <c r="B11" i="8"/>
  <c r="A11" i="8"/>
  <c r="I10" i="8"/>
  <c r="H10" i="8"/>
  <c r="F10" i="8"/>
  <c r="D10" i="8"/>
  <c r="B10" i="8"/>
  <c r="A10" i="8"/>
  <c r="I9" i="8"/>
  <c r="H9" i="8"/>
  <c r="F9" i="8"/>
  <c r="D9" i="8"/>
  <c r="B9" i="8"/>
  <c r="A9" i="8"/>
  <c r="I8" i="8"/>
  <c r="H8" i="8"/>
  <c r="F8" i="8"/>
  <c r="D8" i="8"/>
  <c r="B8" i="8"/>
  <c r="A8" i="8"/>
  <c r="I7" i="8"/>
  <c r="H7" i="8"/>
  <c r="F7" i="8"/>
  <c r="D7" i="8"/>
  <c r="B7" i="8"/>
  <c r="A7" i="8"/>
  <c r="I6" i="8"/>
  <c r="H6" i="8"/>
  <c r="F6" i="8"/>
  <c r="D6" i="8"/>
  <c r="B6" i="8"/>
  <c r="A6" i="8"/>
  <c r="AV44" i="7"/>
  <c r="C44" i="7"/>
  <c r="AW44" i="7" s="1"/>
  <c r="AV43" i="7"/>
  <c r="C43" i="7"/>
  <c r="AW43" i="7" s="1"/>
  <c r="AV42" i="7"/>
  <c r="E42" i="7"/>
  <c r="AV41" i="7"/>
  <c r="AD178" i="2"/>
  <c r="I4238" i="3" s="1"/>
  <c r="E41" i="7"/>
  <c r="AH178" i="2"/>
  <c r="J4240" i="3" s="1"/>
  <c r="AV40" i="7"/>
  <c r="AD175" i="2"/>
  <c r="I4146" i="3" s="1"/>
  <c r="E40" i="7"/>
  <c r="AV39" i="7"/>
  <c r="AD180" i="2"/>
  <c r="I4300" i="3" s="1"/>
  <c r="E39" i="7"/>
  <c r="AH180" i="2"/>
  <c r="J4302" i="3" s="1"/>
  <c r="AV38" i="7"/>
  <c r="AD181" i="2"/>
  <c r="I4394" i="3" s="1"/>
  <c r="E38" i="7"/>
  <c r="AV37" i="7"/>
  <c r="AD179" i="2"/>
  <c r="I4269" i="3" s="1"/>
  <c r="E37" i="7"/>
  <c r="AH179" i="2"/>
  <c r="J4271" i="3" s="1"/>
  <c r="AV36" i="7"/>
  <c r="AD177" i="2"/>
  <c r="I4207" i="3" s="1"/>
  <c r="E36" i="7"/>
  <c r="AV35" i="7"/>
  <c r="AD174" i="2"/>
  <c r="I4116" i="3" s="1"/>
  <c r="E35" i="7"/>
  <c r="AH174" i="2"/>
  <c r="J4118" i="3" s="1"/>
  <c r="AV34" i="7"/>
  <c r="E34" i="7"/>
  <c r="AV33" i="7"/>
  <c r="AD183" i="2"/>
  <c r="I4363" i="3" s="1"/>
  <c r="AV32" i="7"/>
  <c r="AD184" i="2"/>
  <c r="I4426" i="3" s="1"/>
  <c r="AV31" i="7"/>
  <c r="AE199" i="2"/>
  <c r="J4830" i="3" s="1"/>
  <c r="AV30" i="7"/>
  <c r="AE198" i="2"/>
  <c r="J4799" i="3" s="1"/>
  <c r="AV29" i="7"/>
  <c r="AV28" i="7"/>
  <c r="C28" i="7"/>
  <c r="AW28" i="7" s="1"/>
  <c r="AV27" i="7"/>
  <c r="AE201" i="2"/>
  <c r="J4924" i="3" s="1"/>
  <c r="AV26" i="7"/>
  <c r="C26" i="7"/>
  <c r="AW26" i="7" s="1"/>
  <c r="BC25" i="7"/>
  <c r="AV25" i="7"/>
  <c r="E25" i="7"/>
  <c r="AE195" i="2"/>
  <c r="J4736" i="3" s="1"/>
  <c r="BC24" i="7"/>
  <c r="AV24" i="7"/>
  <c r="E24" i="7"/>
  <c r="AE194" i="2"/>
  <c r="J4704" i="3" s="1"/>
  <c r="AV23" i="7"/>
  <c r="E23" i="7"/>
  <c r="AE200" i="2"/>
  <c r="J4892" i="3" s="1"/>
  <c r="AV22" i="7"/>
  <c r="E22" i="7"/>
  <c r="AV21" i="7"/>
  <c r="E21" i="7"/>
  <c r="AE193" i="2"/>
  <c r="J4673" i="3" s="1"/>
  <c r="AV20" i="7"/>
  <c r="E20" i="7"/>
  <c r="AE192" i="2"/>
  <c r="J4642" i="3" s="1"/>
  <c r="AV19" i="7"/>
  <c r="E19" i="7"/>
  <c r="AE190" i="2"/>
  <c r="J4582" i="3" s="1"/>
  <c r="AV18" i="7"/>
  <c r="E18" i="7"/>
  <c r="AE189" i="2"/>
  <c r="J4551" i="3" s="1"/>
  <c r="AV17" i="7"/>
  <c r="E17" i="7"/>
  <c r="AE188" i="2"/>
  <c r="J4519" i="3" s="1"/>
  <c r="AV16" i="7"/>
  <c r="E16" i="7"/>
  <c r="AE187" i="2"/>
  <c r="J4487" i="3" s="1"/>
  <c r="AV15" i="7"/>
  <c r="E15" i="7"/>
  <c r="AE186" i="2"/>
  <c r="J4456" i="3" s="1"/>
  <c r="AV14" i="7"/>
  <c r="E14" i="7"/>
  <c r="AE209" i="2"/>
  <c r="J5140" i="3" s="1"/>
  <c r="AV13" i="7"/>
  <c r="E13" i="7"/>
  <c r="AE208" i="2"/>
  <c r="J5108" i="3" s="1"/>
  <c r="AV12" i="7"/>
  <c r="E12" i="7"/>
  <c r="AE207" i="2"/>
  <c r="J5078" i="3" s="1"/>
  <c r="AV11" i="7"/>
  <c r="E11" i="7"/>
  <c r="AE206" i="2"/>
  <c r="J5048" i="3" s="1"/>
  <c r="E10" i="7"/>
  <c r="AE211" i="2"/>
  <c r="J5170" i="3" s="1"/>
  <c r="AV9" i="7"/>
  <c r="E9" i="7"/>
  <c r="AE210" i="2"/>
  <c r="J5200" i="3" s="1"/>
  <c r="AV8" i="7"/>
  <c r="E8" i="7"/>
  <c r="AE205" i="2"/>
  <c r="J5017" i="3" s="1"/>
  <c r="AZ7" i="7"/>
  <c r="AZ41" i="7"/>
  <c r="AG178" i="2"/>
  <c r="J4239" i="3" s="1"/>
  <c r="AU7" i="7"/>
  <c r="AT7" i="7"/>
  <c r="AS7" i="7"/>
  <c r="AR7" i="7"/>
  <c r="AQ7" i="7"/>
  <c r="AP7" i="7"/>
  <c r="AO7" i="7"/>
  <c r="AN7" i="7"/>
  <c r="AM7" i="7"/>
  <c r="AL7" i="7"/>
  <c r="AK7" i="7"/>
  <c r="AJ7" i="7"/>
  <c r="AI7" i="7"/>
  <c r="AH7" i="7"/>
  <c r="AG7" i="7"/>
  <c r="AF7" i="7"/>
  <c r="AE7" i="7"/>
  <c r="AD7" i="7"/>
  <c r="AC7" i="7"/>
  <c r="AB7" i="7"/>
  <c r="AA7" i="7"/>
  <c r="Z7" i="7"/>
  <c r="Y7" i="7"/>
  <c r="X7" i="7"/>
  <c r="W7" i="7"/>
  <c r="V7" i="7"/>
  <c r="U7" i="7"/>
  <c r="T7" i="7"/>
  <c r="S7" i="7"/>
  <c r="R7" i="7"/>
  <c r="Q7" i="7"/>
  <c r="P7" i="7"/>
  <c r="AU6" i="7"/>
  <c r="AT6" i="7"/>
  <c r="AS6" i="7"/>
  <c r="AR6" i="7"/>
  <c r="AQ6" i="7"/>
  <c r="AP6" i="7"/>
  <c r="AO6" i="7"/>
  <c r="AN6" i="7"/>
  <c r="AM6" i="7"/>
  <c r="AL6" i="7"/>
  <c r="AK6" i="7"/>
  <c r="AJ6" i="7"/>
  <c r="AI6" i="7"/>
  <c r="AH6" i="7"/>
  <c r="AG6" i="7"/>
  <c r="AF6" i="7"/>
  <c r="AE6" i="7"/>
  <c r="AD6" i="7"/>
  <c r="AC6" i="7"/>
  <c r="AB6" i="7"/>
  <c r="AA6" i="7"/>
  <c r="Z6" i="7"/>
  <c r="Y6" i="7"/>
  <c r="X6" i="7"/>
  <c r="W6" i="7"/>
  <c r="V6" i="7"/>
  <c r="U6" i="7"/>
  <c r="T6" i="7"/>
  <c r="S6" i="7"/>
  <c r="R6" i="7"/>
  <c r="Q6" i="7"/>
  <c r="P6" i="7"/>
  <c r="O6" i="7"/>
  <c r="N6" i="7"/>
  <c r="M6" i="7"/>
  <c r="L6" i="7"/>
  <c r="K6" i="7"/>
  <c r="J6" i="7"/>
  <c r="I6" i="7"/>
  <c r="H6" i="7"/>
  <c r="G6" i="7"/>
  <c r="F6" i="7"/>
  <c r="Z40" i="5"/>
  <c r="X40" i="5"/>
  <c r="V40" i="5"/>
  <c r="Z39" i="5"/>
  <c r="X39" i="5"/>
  <c r="V39" i="5"/>
  <c r="O38" i="5"/>
  <c r="N38" i="5"/>
  <c r="M38" i="5"/>
  <c r="L38" i="5"/>
  <c r="J38" i="5"/>
  <c r="I38" i="5"/>
  <c r="H38" i="5"/>
  <c r="G38" i="5"/>
  <c r="F38" i="5"/>
  <c r="D38" i="5"/>
  <c r="Z37" i="5"/>
  <c r="Y37" i="5"/>
  <c r="AA37" i="5"/>
  <c r="X34" i="5"/>
  <c r="U34" i="5"/>
  <c r="AA34" i="5"/>
  <c r="T34" i="5"/>
  <c r="Z34" i="5"/>
  <c r="S34" i="5"/>
  <c r="Y34" i="5"/>
  <c r="P34" i="5"/>
  <c r="V34" i="5"/>
  <c r="X33" i="5"/>
  <c r="U33" i="5"/>
  <c r="AA33" i="5"/>
  <c r="T33" i="5"/>
  <c r="Z33" i="5"/>
  <c r="S33" i="5"/>
  <c r="Y33" i="5"/>
  <c r="P33" i="5"/>
  <c r="V33" i="5"/>
  <c r="X32" i="5"/>
  <c r="U32" i="5"/>
  <c r="AA32" i="5"/>
  <c r="T32" i="5"/>
  <c r="Z32" i="5"/>
  <c r="S32" i="5"/>
  <c r="Y32" i="5"/>
  <c r="P32" i="5"/>
  <c r="V32" i="5"/>
  <c r="X31" i="5"/>
  <c r="U31" i="5"/>
  <c r="AA31" i="5"/>
  <c r="T31" i="5"/>
  <c r="Z31" i="5"/>
  <c r="S31" i="5"/>
  <c r="Y31" i="5"/>
  <c r="P31" i="5"/>
  <c r="V31" i="5"/>
  <c r="X30" i="5"/>
  <c r="AA30" i="5"/>
  <c r="X27" i="5"/>
  <c r="U27" i="5"/>
  <c r="AA27" i="5"/>
  <c r="T27" i="5"/>
  <c r="Z27" i="5"/>
  <c r="S27" i="5"/>
  <c r="Y27" i="5"/>
  <c r="P27" i="5"/>
  <c r="V27" i="5"/>
  <c r="U26" i="5"/>
  <c r="T26" i="5"/>
  <c r="S26" i="5"/>
  <c r="P26" i="5"/>
  <c r="X25" i="5"/>
  <c r="U25" i="5"/>
  <c r="AA25" i="5"/>
  <c r="T25" i="5"/>
  <c r="Z25" i="5"/>
  <c r="S25" i="5"/>
  <c r="Y25" i="5"/>
  <c r="P25" i="5"/>
  <c r="V25" i="5"/>
  <c r="X24" i="5"/>
  <c r="U24" i="5"/>
  <c r="AA24" i="5"/>
  <c r="U23" i="5"/>
  <c r="U22" i="5"/>
  <c r="T22" i="5"/>
  <c r="S22" i="5"/>
  <c r="U21" i="5"/>
  <c r="AA21" i="5"/>
  <c r="T21" i="5"/>
  <c r="Z21" i="5"/>
  <c r="S21" i="5"/>
  <c r="Y21" i="5"/>
  <c r="X21" i="5"/>
  <c r="U20" i="5"/>
  <c r="AA20" i="5"/>
  <c r="T20" i="5"/>
  <c r="Z20" i="5"/>
  <c r="S20" i="5"/>
  <c r="Y20" i="5"/>
  <c r="X20" i="5"/>
  <c r="V20" i="5"/>
  <c r="BX204" i="4"/>
  <c r="AN211" i="2"/>
  <c r="J5179" i="3" s="1"/>
  <c r="X211" i="2"/>
  <c r="I5166" i="3" s="1"/>
  <c r="C204" i="4"/>
  <c r="BX203" i="4"/>
  <c r="AN210" i="2"/>
  <c r="X210" i="2"/>
  <c r="I5196" i="3" s="1"/>
  <c r="C203" i="4"/>
  <c r="BX202" i="4"/>
  <c r="AN209" i="2"/>
  <c r="X209" i="2"/>
  <c r="I5136" i="3" s="1"/>
  <c r="C202" i="4"/>
  <c r="BX201" i="4"/>
  <c r="AN208" i="2"/>
  <c r="AT208" i="2" s="1"/>
  <c r="X208" i="2"/>
  <c r="I5104" i="3" s="1"/>
  <c r="C201" i="4"/>
  <c r="BX200" i="4"/>
  <c r="AN207" i="2"/>
  <c r="AT207" i="2" s="1"/>
  <c r="C200" i="4"/>
  <c r="BX199" i="4"/>
  <c r="AN206" i="2"/>
  <c r="AT206" i="2" s="1"/>
  <c r="C199" i="4"/>
  <c r="BX198" i="4"/>
  <c r="AN205" i="2"/>
  <c r="J5026" i="3" s="1"/>
  <c r="C198" i="4"/>
  <c r="BX197" i="4"/>
  <c r="AN204" i="2"/>
  <c r="C197" i="4"/>
  <c r="BX195" i="4"/>
  <c r="AN202" i="2"/>
  <c r="C195" i="4"/>
  <c r="BX194" i="4"/>
  <c r="AN201" i="2"/>
  <c r="C194" i="4"/>
  <c r="BX193" i="4"/>
  <c r="AN200" i="2"/>
  <c r="J4901" i="3" s="1"/>
  <c r="X200" i="2"/>
  <c r="I4888" i="3" s="1"/>
  <c r="C193" i="4"/>
  <c r="BX192" i="4"/>
  <c r="AN199" i="2"/>
  <c r="J4839" i="3" s="1"/>
  <c r="BX191" i="4"/>
  <c r="X198" i="2"/>
  <c r="I4795" i="3" s="1"/>
  <c r="C191" i="4"/>
  <c r="BX190" i="4"/>
  <c r="AN197" i="2"/>
  <c r="AT197" i="2" s="1"/>
  <c r="D190" i="4"/>
  <c r="C190" i="4"/>
  <c r="BX189" i="4"/>
  <c r="AN196" i="2"/>
  <c r="AT196" i="2" s="1"/>
  <c r="D189" i="4"/>
  <c r="C189" i="4"/>
  <c r="BX188" i="4"/>
  <c r="AN195" i="2"/>
  <c r="J4745" i="3" s="1"/>
  <c r="C188" i="4"/>
  <c r="AN194" i="2"/>
  <c r="C187" i="4"/>
  <c r="BX186" i="4"/>
  <c r="AN193" i="2"/>
  <c r="J4682" i="3" s="1"/>
  <c r="C186" i="4"/>
  <c r="BX185" i="4"/>
  <c r="AN192" i="2"/>
  <c r="X192" i="2"/>
  <c r="I4638" i="3" s="1"/>
  <c r="C185" i="4"/>
  <c r="BX184" i="4"/>
  <c r="AN191" i="2"/>
  <c r="AT191" i="2" s="1"/>
  <c r="X191" i="2"/>
  <c r="I4608" i="3" s="1"/>
  <c r="C184" i="4"/>
  <c r="BX183" i="4"/>
  <c r="AN190" i="2"/>
  <c r="X190" i="2"/>
  <c r="I4578" i="3" s="1"/>
  <c r="C183" i="4"/>
  <c r="BX182" i="4"/>
  <c r="AN189" i="2"/>
  <c r="C182" i="4"/>
  <c r="BX181" i="4"/>
  <c r="AN188" i="2"/>
  <c r="AT188" i="2" s="1"/>
  <c r="C181" i="4"/>
  <c r="BX180" i="4"/>
  <c r="AN187" i="2"/>
  <c r="C180" i="4"/>
  <c r="BX179" i="4"/>
  <c r="AN186" i="2"/>
  <c r="AT186" i="2" s="1"/>
  <c r="AL179" i="4"/>
  <c r="X186" i="2" s="1"/>
  <c r="I4452" i="3" s="1"/>
  <c r="C179" i="4"/>
  <c r="BX177" i="4"/>
  <c r="AN184" i="2"/>
  <c r="C177" i="4"/>
  <c r="BX176" i="4"/>
  <c r="AN183" i="2"/>
  <c r="AT183" i="2" s="1"/>
  <c r="C176" i="4"/>
  <c r="BX175" i="4"/>
  <c r="AN182" i="2"/>
  <c r="J4340" i="3" s="1"/>
  <c r="C175" i="4"/>
  <c r="BX174" i="4"/>
  <c r="AN181" i="2"/>
  <c r="C174" i="4"/>
  <c r="BX173" i="4"/>
  <c r="AN180" i="2"/>
  <c r="J4309" i="3" s="1"/>
  <c r="C173" i="4"/>
  <c r="AN179" i="2"/>
  <c r="J4278" i="3" s="1"/>
  <c r="X179" i="2"/>
  <c r="I4265" i="3" s="1"/>
  <c r="C172" i="4"/>
  <c r="BX171" i="4"/>
  <c r="AN178" i="2"/>
  <c r="AT178" i="2" s="1"/>
  <c r="C171" i="4"/>
  <c r="AN177" i="2"/>
  <c r="J4216" i="3" s="1"/>
  <c r="X177" i="2"/>
  <c r="I4203" i="3" s="1"/>
  <c r="C170" i="4"/>
  <c r="BX169" i="4"/>
  <c r="AN176" i="2"/>
  <c r="J4185" i="3" s="1"/>
  <c r="C169" i="4"/>
  <c r="BX168" i="4"/>
  <c r="AN175" i="2"/>
  <c r="AT175" i="2" s="1"/>
  <c r="D168" i="4"/>
  <c r="C168" i="4"/>
  <c r="BX167" i="4"/>
  <c r="AN174" i="2"/>
  <c r="AT174" i="2" s="1"/>
  <c r="C167" i="4"/>
  <c r="BX166" i="4"/>
  <c r="AN173" i="2"/>
  <c r="AL166" i="4"/>
  <c r="X173" i="2"/>
  <c r="I4082" i="3" s="1"/>
  <c r="C166" i="4"/>
  <c r="BX164" i="4"/>
  <c r="AN171" i="2"/>
  <c r="D164" i="4"/>
  <c r="C164" i="4"/>
  <c r="BX163" i="4"/>
  <c r="AN170" i="2"/>
  <c r="J4032" i="3" s="1"/>
  <c r="D163" i="4"/>
  <c r="C163" i="4"/>
  <c r="BX162" i="4"/>
  <c r="D162" i="4"/>
  <c r="C162" i="4"/>
  <c r="BX161" i="4"/>
  <c r="AN168" i="2"/>
  <c r="AT168" i="2" s="1"/>
  <c r="D161" i="4"/>
  <c r="C161" i="4"/>
  <c r="BX160" i="4"/>
  <c r="D160" i="4"/>
  <c r="C160" i="4"/>
  <c r="BX159" i="4"/>
  <c r="AN166" i="2"/>
  <c r="J3915" i="3" s="1"/>
  <c r="C159" i="4"/>
  <c r="BX157" i="4"/>
  <c r="X164" i="2"/>
  <c r="I3873" i="3" s="1"/>
  <c r="D157" i="4"/>
  <c r="C157" i="4"/>
  <c r="BX156" i="4"/>
  <c r="AN163" i="2"/>
  <c r="D156" i="4"/>
  <c r="C156" i="4"/>
  <c r="BX155" i="4"/>
  <c r="AN162" i="2"/>
  <c r="X162" i="2"/>
  <c r="I3812" i="3" s="1"/>
  <c r="C155" i="4"/>
  <c r="BX153" i="4"/>
  <c r="AN160" i="2"/>
  <c r="J3733" i="3" s="1"/>
  <c r="C153" i="4"/>
  <c r="BX151" i="4"/>
  <c r="D151" i="4"/>
  <c r="C151" i="4"/>
  <c r="BX150" i="4"/>
  <c r="AN157" i="2"/>
  <c r="D150" i="4"/>
  <c r="C150" i="4"/>
  <c r="BX149" i="4"/>
  <c r="X156" i="2"/>
  <c r="I3629" i="3" s="1"/>
  <c r="D149" i="4"/>
  <c r="C149" i="4"/>
  <c r="BX147" i="4"/>
  <c r="AN154" i="2"/>
  <c r="X154" i="2"/>
  <c r="I3569" i="3" s="1"/>
  <c r="C147" i="4"/>
  <c r="BX146" i="4"/>
  <c r="AN153" i="2"/>
  <c r="AL146" i="4"/>
  <c r="C146" i="4"/>
  <c r="BX145" i="4"/>
  <c r="AN152" i="2"/>
  <c r="AT152" i="2" s="1"/>
  <c r="D145" i="4"/>
  <c r="C145" i="4"/>
  <c r="BX143" i="4"/>
  <c r="AN150" i="2"/>
  <c r="AN149" i="2" s="1"/>
  <c r="AT149" i="2" s="1"/>
  <c r="AL143" i="4"/>
  <c r="X150" i="2"/>
  <c r="I3478" i="3" s="1"/>
  <c r="C143" i="4"/>
  <c r="BX141" i="4"/>
  <c r="AN148" i="2"/>
  <c r="J3460" i="3" s="1"/>
  <c r="AL141" i="4"/>
  <c r="X148" i="2" s="1"/>
  <c r="I3448" i="3" s="1"/>
  <c r="C141" i="4"/>
  <c r="BX137" i="4"/>
  <c r="X144" i="2"/>
  <c r="I3388" i="3" s="1"/>
  <c r="C137" i="4"/>
  <c r="BX136" i="4"/>
  <c r="X143" i="2"/>
  <c r="I3357" i="3" s="1"/>
  <c r="C136" i="4"/>
  <c r="BX135" i="4"/>
  <c r="AN142" i="2"/>
  <c r="AT142" i="2" s="1"/>
  <c r="AL135" i="4"/>
  <c r="X142" i="2" s="1"/>
  <c r="I3326" i="3" s="1"/>
  <c r="C135" i="4"/>
  <c r="AN140" i="2"/>
  <c r="J3307" i="3" s="1"/>
  <c r="C133" i="4"/>
  <c r="BX132" i="4"/>
  <c r="AN139" i="2"/>
  <c r="J3277" i="3" s="1"/>
  <c r="AL132" i="4"/>
  <c r="X139" i="2" s="1"/>
  <c r="I3265" i="3" s="1"/>
  <c r="C132" i="4"/>
  <c r="BX130" i="4"/>
  <c r="X137" i="2"/>
  <c r="I3235" i="3" s="1"/>
  <c r="C130" i="4"/>
  <c r="BX129" i="4"/>
  <c r="AN136" i="2"/>
  <c r="C129" i="4"/>
  <c r="BX128" i="4"/>
  <c r="X135" i="2"/>
  <c r="I3205" i="3" s="1"/>
  <c r="C128" i="4"/>
  <c r="BX127" i="4"/>
  <c r="AN134" i="2"/>
  <c r="C127" i="4"/>
  <c r="BX126" i="4"/>
  <c r="C126" i="4"/>
  <c r="BX125" i="4"/>
  <c r="AN108" i="2"/>
  <c r="AN107" i="2" s="1"/>
  <c r="AT107" i="2" s="1"/>
  <c r="C125" i="4"/>
  <c r="BX124" i="4"/>
  <c r="AN132" i="2"/>
  <c r="AL124" i="4"/>
  <c r="X132" i="2" s="1"/>
  <c r="I3053" i="3" s="1"/>
  <c r="C124" i="4"/>
  <c r="BX122" i="4"/>
  <c r="AN127" i="2"/>
  <c r="AT127" i="2" s="1"/>
  <c r="C122" i="4"/>
  <c r="BX120" i="4"/>
  <c r="AN130" i="2"/>
  <c r="C120" i="4"/>
  <c r="C119" i="4"/>
  <c r="BX121" i="4"/>
  <c r="C121" i="4"/>
  <c r="BX118" i="4"/>
  <c r="AN124" i="2"/>
  <c r="J2975" i="3" s="1"/>
  <c r="AL118" i="4"/>
  <c r="X124" i="2" s="1"/>
  <c r="I2963" i="3" s="1"/>
  <c r="C118" i="4"/>
  <c r="BX104" i="4"/>
  <c r="D104" i="4"/>
  <c r="C104" i="4"/>
  <c r="BX116" i="4"/>
  <c r="D116" i="4"/>
  <c r="C116" i="4"/>
  <c r="BX115" i="4"/>
  <c r="AN122" i="2"/>
  <c r="J2913" i="3" s="1"/>
  <c r="D115" i="4"/>
  <c r="C115" i="4"/>
  <c r="BX114" i="4"/>
  <c r="AN121" i="2"/>
  <c r="J2883" i="3" s="1"/>
  <c r="X121" i="2"/>
  <c r="I2871" i="3" s="1"/>
  <c r="D114" i="4"/>
  <c r="C114" i="4"/>
  <c r="BX113" i="4"/>
  <c r="X120" i="2"/>
  <c r="I2840" i="3" s="1"/>
  <c r="D113" i="4"/>
  <c r="C113" i="4"/>
  <c r="BX112" i="4"/>
  <c r="AN119" i="2"/>
  <c r="AT119" i="2" s="1"/>
  <c r="X119" i="2"/>
  <c r="I2690" i="3" s="1"/>
  <c r="D112" i="4"/>
  <c r="C112" i="4"/>
  <c r="BX111" i="4"/>
  <c r="D111" i="4"/>
  <c r="C111" i="4"/>
  <c r="BX110" i="4"/>
  <c r="D110" i="4"/>
  <c r="C110" i="4"/>
  <c r="BX109" i="4"/>
  <c r="AN116" i="2"/>
  <c r="J2583" i="3" s="1"/>
  <c r="D109" i="4"/>
  <c r="C109" i="4"/>
  <c r="BX108" i="4"/>
  <c r="AN115" i="2"/>
  <c r="J2821" i="3" s="1"/>
  <c r="D108" i="4"/>
  <c r="C108" i="4"/>
  <c r="BX107" i="4"/>
  <c r="AN114" i="2"/>
  <c r="J2791" i="3" s="1"/>
  <c r="X114" i="2"/>
  <c r="I2779" i="3" s="1"/>
  <c r="D107" i="4"/>
  <c r="C107" i="4"/>
  <c r="BX106" i="4"/>
  <c r="AN113" i="2"/>
  <c r="AT113" i="2" s="1"/>
  <c r="X113" i="2"/>
  <c r="I2749" i="3" s="1"/>
  <c r="D106" i="4"/>
  <c r="C106" i="4"/>
  <c r="C105" i="4"/>
  <c r="BX103" i="4"/>
  <c r="D103" i="4"/>
  <c r="C103" i="4"/>
  <c r="BX102" i="4"/>
  <c r="C102" i="4"/>
  <c r="BX101" i="4"/>
  <c r="AN104" i="2"/>
  <c r="AT104" i="2" s="1"/>
  <c r="C101" i="4"/>
  <c r="BX100" i="4"/>
  <c r="C100" i="4"/>
  <c r="BX99" i="4"/>
  <c r="AN102" i="2"/>
  <c r="J2430" i="3" s="1"/>
  <c r="X102" i="2"/>
  <c r="I2418" i="3" s="1"/>
  <c r="C99" i="4"/>
  <c r="BX97" i="4"/>
  <c r="X101" i="2"/>
  <c r="I2388" i="3" s="1"/>
  <c r="D97" i="4"/>
  <c r="C97" i="4"/>
  <c r="BX96" i="4"/>
  <c r="AN100" i="2"/>
  <c r="J2370" i="3" s="1"/>
  <c r="X100" i="2"/>
  <c r="I2358" i="3" s="1"/>
  <c r="D96" i="4"/>
  <c r="C96" i="4"/>
  <c r="BX95" i="4"/>
  <c r="C95" i="4"/>
  <c r="BX98" i="4"/>
  <c r="AN98" i="2"/>
  <c r="J2340" i="3" s="1"/>
  <c r="X98" i="2"/>
  <c r="I2328" i="3" s="1"/>
  <c r="D98" i="4"/>
  <c r="C98" i="4"/>
  <c r="BX94" i="4"/>
  <c r="AN97" i="2"/>
  <c r="J2280" i="3" s="1"/>
  <c r="AL94" i="4"/>
  <c r="X97" i="2" s="1"/>
  <c r="I2268" i="3" s="1"/>
  <c r="C94" i="4"/>
  <c r="BX91" i="4"/>
  <c r="AN94" i="2"/>
  <c r="J2220" i="3" s="1"/>
  <c r="D91" i="4"/>
  <c r="C91" i="4"/>
  <c r="BX90" i="4"/>
  <c r="AN93" i="2"/>
  <c r="AT93" i="2" s="1"/>
  <c r="D90" i="4"/>
  <c r="C90" i="4"/>
  <c r="AN91" i="2"/>
  <c r="AT91" i="2" s="1"/>
  <c r="AL89" i="4"/>
  <c r="X91" i="2" s="1"/>
  <c r="I2148" i="3" s="1"/>
  <c r="D89" i="4"/>
  <c r="C89" i="4"/>
  <c r="BX86" i="4"/>
  <c r="C86" i="4"/>
  <c r="BX85" i="4"/>
  <c r="C85" i="4"/>
  <c r="BX82" i="4"/>
  <c r="AN87" i="2"/>
  <c r="J1980" i="3" s="1"/>
  <c r="X87" i="2"/>
  <c r="I1968" i="3" s="1"/>
  <c r="D82" i="4"/>
  <c r="C82" i="4"/>
  <c r="BX81" i="4"/>
  <c r="D81" i="4"/>
  <c r="C81" i="4"/>
  <c r="BX80" i="4"/>
  <c r="AN86" i="2"/>
  <c r="X86" i="2"/>
  <c r="I1938" i="3" s="1"/>
  <c r="C80" i="4"/>
  <c r="BX79" i="4"/>
  <c r="AN85" i="2"/>
  <c r="J1920" i="3" s="1"/>
  <c r="C79" i="4"/>
  <c r="BX78" i="4"/>
  <c r="AN82" i="2"/>
  <c r="AL78" i="4"/>
  <c r="X82" i="2" s="1"/>
  <c r="I1878" i="3" s="1"/>
  <c r="D78" i="4"/>
  <c r="C78" i="4"/>
  <c r="BX38" i="4"/>
  <c r="C38" i="4"/>
  <c r="AN40" i="2"/>
  <c r="AT40" i="2" s="1"/>
  <c r="C37" i="4"/>
  <c r="BX76" i="4"/>
  <c r="AN78" i="2"/>
  <c r="AL76" i="4"/>
  <c r="X78" i="2"/>
  <c r="I1756" i="3" s="1"/>
  <c r="D76" i="4"/>
  <c r="C76" i="4"/>
  <c r="BX73" i="4"/>
  <c r="AN75" i="2"/>
  <c r="AT75" i="2" s="1"/>
  <c r="D73" i="4"/>
  <c r="BX72" i="4"/>
  <c r="AN73" i="2"/>
  <c r="J1616" i="3" s="1"/>
  <c r="X73" i="2"/>
  <c r="I1604" i="3" s="1"/>
  <c r="C72" i="4"/>
  <c r="BX71" i="4"/>
  <c r="X72" i="2"/>
  <c r="I1573" i="3" s="1"/>
  <c r="BX70" i="4"/>
  <c r="AN71" i="2"/>
  <c r="J1737" i="3" s="1"/>
  <c r="D70" i="4"/>
  <c r="C70" i="4"/>
  <c r="BX68" i="4"/>
  <c r="D68" i="4"/>
  <c r="C68" i="4"/>
  <c r="BX67" i="4"/>
  <c r="AN68" i="2"/>
  <c r="AT68" i="2" s="1"/>
  <c r="D67" i="4"/>
  <c r="C67" i="4"/>
  <c r="BX62" i="4"/>
  <c r="AN63" i="2"/>
  <c r="X63" i="2"/>
  <c r="I1326" i="3" s="1"/>
  <c r="D62" i="4"/>
  <c r="C62" i="4"/>
  <c r="BX63" i="4"/>
  <c r="D63" i="4"/>
  <c r="C63" i="4"/>
  <c r="BX61" i="4"/>
  <c r="AN62" i="2"/>
  <c r="J1307" i="3" s="1"/>
  <c r="X62" i="2"/>
  <c r="I1295" i="3" s="1"/>
  <c r="D61" i="4"/>
  <c r="C61" i="4"/>
  <c r="BX60" i="4"/>
  <c r="AN61" i="2"/>
  <c r="AT61" i="2" s="1"/>
  <c r="AL60" i="4"/>
  <c r="X61" i="2"/>
  <c r="I1264" i="3" s="1"/>
  <c r="D60" i="4"/>
  <c r="C60" i="4"/>
  <c r="BX58" i="4"/>
  <c r="AN28" i="2"/>
  <c r="J453" i="3" s="1"/>
  <c r="AL58" i="4"/>
  <c r="X28" i="2" s="1"/>
  <c r="I441" i="3" s="1"/>
  <c r="D58" i="4"/>
  <c r="C58" i="4"/>
  <c r="BX56" i="4"/>
  <c r="AN59" i="2"/>
  <c r="AT59" i="2" s="1"/>
  <c r="C56" i="4"/>
  <c r="BX55" i="4"/>
  <c r="D55" i="4"/>
  <c r="C55" i="4"/>
  <c r="BX54" i="4"/>
  <c r="X57" i="2"/>
  <c r="I1174" i="3" s="1"/>
  <c r="D54" i="4"/>
  <c r="C54" i="4"/>
  <c r="BX53" i="4"/>
  <c r="AN56" i="2"/>
  <c r="AT56" i="2" s="1"/>
  <c r="AL53" i="4"/>
  <c r="X56" i="2" s="1"/>
  <c r="I1144" i="3" s="1"/>
  <c r="D53" i="4"/>
  <c r="C53" i="4"/>
  <c r="BX50" i="4"/>
  <c r="C50" i="4"/>
  <c r="BX49" i="4"/>
  <c r="AN52" i="2"/>
  <c r="J1063" i="3" s="1"/>
  <c r="C49" i="4"/>
  <c r="BX48" i="4"/>
  <c r="C48" i="4"/>
  <c r="BX47" i="4"/>
  <c r="AL47" i="4"/>
  <c r="X50" i="2"/>
  <c r="I990" i="3" s="1"/>
  <c r="D47" i="4"/>
  <c r="C47" i="4"/>
  <c r="BX44" i="4"/>
  <c r="C44" i="4"/>
  <c r="BX43" i="4"/>
  <c r="AN46" i="2"/>
  <c r="J939" i="3" s="1"/>
  <c r="X46" i="2"/>
  <c r="I927" i="3" s="1"/>
  <c r="C43" i="4"/>
  <c r="BX42" i="4"/>
  <c r="C42" i="4"/>
  <c r="BX41" i="4"/>
  <c r="D41" i="4"/>
  <c r="C41" i="4"/>
  <c r="BX40" i="4"/>
  <c r="AN43" i="2"/>
  <c r="AT43" i="2" s="1"/>
  <c r="AL40" i="4"/>
  <c r="X43" i="2" s="1"/>
  <c r="I807" i="3" s="1"/>
  <c r="C40" i="4"/>
  <c r="BX36" i="4"/>
  <c r="C36" i="4"/>
  <c r="BX35" i="4"/>
  <c r="C35" i="4"/>
  <c r="BX34" i="4"/>
  <c r="C34" i="4"/>
  <c r="BX33" i="4"/>
  <c r="D33" i="4"/>
  <c r="C33" i="4"/>
  <c r="BX31" i="4"/>
  <c r="X34" i="2"/>
  <c r="I623" i="3" s="1"/>
  <c r="D31" i="4"/>
  <c r="C31" i="4"/>
  <c r="BX30" i="4"/>
  <c r="AN33" i="2"/>
  <c r="D30" i="4"/>
  <c r="C30" i="4"/>
  <c r="BX29" i="4"/>
  <c r="AN32" i="2"/>
  <c r="AT32" i="2" s="1"/>
  <c r="D29" i="4"/>
  <c r="C29" i="4"/>
  <c r="BX28" i="4"/>
  <c r="AN31" i="2"/>
  <c r="AT31" i="2" s="1"/>
  <c r="D28" i="4"/>
  <c r="C28" i="4"/>
  <c r="BX27" i="4"/>
  <c r="AN30" i="2"/>
  <c r="AT30" i="2" s="1"/>
  <c r="AL27" i="4"/>
  <c r="X30" i="2" s="1"/>
  <c r="I503" i="3" s="1"/>
  <c r="D27" i="4"/>
  <c r="C27" i="4"/>
  <c r="BX25" i="4"/>
  <c r="AN24" i="2"/>
  <c r="AT24" i="2" s="1"/>
  <c r="X24" i="2"/>
  <c r="I472" i="3" s="1"/>
  <c r="C25" i="4"/>
  <c r="BX24" i="4"/>
  <c r="AN26" i="2"/>
  <c r="AT26" i="2" s="1"/>
  <c r="AL24" i="4"/>
  <c r="X26" i="2"/>
  <c r="I410" i="3" s="1"/>
  <c r="D24" i="4"/>
  <c r="C24" i="4"/>
  <c r="BX22" i="4"/>
  <c r="D22" i="4"/>
  <c r="C22" i="4"/>
  <c r="BX21" i="4"/>
  <c r="AN22" i="2"/>
  <c r="AT22" i="2" s="1"/>
  <c r="C21" i="4"/>
  <c r="BX20" i="4"/>
  <c r="X21" i="2"/>
  <c r="I284" i="3" s="1"/>
  <c r="C20" i="4"/>
  <c r="BX19" i="4"/>
  <c r="X20" i="2"/>
  <c r="I346" i="3" s="1"/>
  <c r="C19" i="4"/>
  <c r="BX18" i="4"/>
  <c r="AN19" i="2"/>
  <c r="C18" i="4"/>
  <c r="BX17" i="4"/>
  <c r="D17" i="4"/>
  <c r="BX16" i="4"/>
  <c r="D16" i="4"/>
  <c r="C16" i="4"/>
  <c r="BX15" i="4"/>
  <c r="AN16" i="2"/>
  <c r="J177" i="3" s="1"/>
  <c r="D15" i="4"/>
  <c r="C15" i="4"/>
  <c r="AN15" i="2"/>
  <c r="D14" i="4"/>
  <c r="C14" i="4"/>
  <c r="BX13" i="4"/>
  <c r="AN14" i="2"/>
  <c r="AT14" i="2" s="1"/>
  <c r="X14" i="2"/>
  <c r="I103" i="3" s="1"/>
  <c r="D13" i="4"/>
  <c r="C13" i="4"/>
  <c r="BX12" i="4"/>
  <c r="AN13" i="2"/>
  <c r="J86" i="3" s="1"/>
  <c r="AL12" i="4"/>
  <c r="X13" i="2" s="1"/>
  <c r="I74" i="3" s="1"/>
  <c r="D12" i="4"/>
  <c r="C12" i="4"/>
  <c r="BX10" i="4"/>
  <c r="AN11" i="2"/>
  <c r="J55" i="3" s="1"/>
  <c r="D10" i="4"/>
  <c r="C10" i="4"/>
  <c r="BX9" i="4"/>
  <c r="AL9" i="4"/>
  <c r="X10" i="2"/>
  <c r="I12" i="3" s="1"/>
  <c r="D9" i="4"/>
  <c r="C9" i="4"/>
  <c r="AR5" i="4"/>
  <c r="AQ5" i="4"/>
  <c r="AP5" i="4"/>
  <c r="AO5" i="4"/>
  <c r="H5" i="4"/>
  <c r="G5" i="4"/>
  <c r="F5" i="4"/>
  <c r="E5" i="4"/>
  <c r="AQ3" i="4"/>
  <c r="AP3" i="4"/>
  <c r="J5205" i="3"/>
  <c r="J5204" i="3"/>
  <c r="C5204" i="3"/>
  <c r="J5203" i="3"/>
  <c r="C5203" i="3"/>
  <c r="J5202" i="3"/>
  <c r="C5202" i="3"/>
  <c r="C5201" i="3"/>
  <c r="C5200" i="3"/>
  <c r="C5199" i="3"/>
  <c r="C5198" i="3"/>
  <c r="C5196" i="3"/>
  <c r="C5194" i="3"/>
  <c r="C5193" i="3"/>
  <c r="G5188" i="3"/>
  <c r="G5187" i="3"/>
  <c r="L5196" i="3" s="1"/>
  <c r="E5186" i="3"/>
  <c r="J5175" i="3"/>
  <c r="J5174" i="3"/>
  <c r="C5174" i="3"/>
  <c r="J5173" i="3"/>
  <c r="C5173" i="3"/>
  <c r="J5172" i="3"/>
  <c r="C5172" i="3"/>
  <c r="C5171" i="3"/>
  <c r="C5170" i="3"/>
  <c r="C5169" i="3"/>
  <c r="C5168" i="3"/>
  <c r="C5166" i="3"/>
  <c r="C5164" i="3"/>
  <c r="C5163" i="3"/>
  <c r="G5158" i="3"/>
  <c r="G5157" i="3"/>
  <c r="L5166" i="3" s="1"/>
  <c r="E5156" i="3"/>
  <c r="J5145" i="3"/>
  <c r="J5144" i="3"/>
  <c r="C5144" i="3"/>
  <c r="J5143" i="3"/>
  <c r="C5143" i="3"/>
  <c r="J5142" i="3"/>
  <c r="C5142" i="3"/>
  <c r="C5141" i="3"/>
  <c r="C5140" i="3"/>
  <c r="C5139" i="3"/>
  <c r="C5138" i="3"/>
  <c r="C5136" i="3"/>
  <c r="C5134" i="3"/>
  <c r="C5133" i="3"/>
  <c r="G5128" i="3"/>
  <c r="G5127" i="3"/>
  <c r="L5136" i="3" s="1"/>
  <c r="E5126" i="3"/>
  <c r="J5113" i="3"/>
  <c r="J5112" i="3"/>
  <c r="C5112" i="3"/>
  <c r="J5111" i="3"/>
  <c r="C5111" i="3"/>
  <c r="J5110" i="3"/>
  <c r="C5110" i="3"/>
  <c r="C5109" i="3"/>
  <c r="C5108" i="3"/>
  <c r="C5107" i="3"/>
  <c r="C5106" i="3"/>
  <c r="C5104" i="3"/>
  <c r="C5102" i="3"/>
  <c r="C5101" i="3"/>
  <c r="G5096" i="3"/>
  <c r="G5095" i="3"/>
  <c r="L5104" i="3" s="1"/>
  <c r="E5094" i="3"/>
  <c r="J5083" i="3"/>
  <c r="J5082" i="3"/>
  <c r="C5082" i="3"/>
  <c r="J5081" i="3"/>
  <c r="C5081" i="3"/>
  <c r="J5080" i="3"/>
  <c r="C5080" i="3"/>
  <c r="C5079" i="3"/>
  <c r="C5078" i="3"/>
  <c r="C5077" i="3"/>
  <c r="C5076" i="3"/>
  <c r="C5074" i="3"/>
  <c r="C5072" i="3"/>
  <c r="C5071" i="3"/>
  <c r="G5066" i="3"/>
  <c r="G5065" i="3"/>
  <c r="L5074" i="3" s="1"/>
  <c r="E5064" i="3"/>
  <c r="J5053" i="3"/>
  <c r="J5052" i="3"/>
  <c r="C5052" i="3"/>
  <c r="J5051" i="3"/>
  <c r="C5051" i="3"/>
  <c r="J5050" i="3"/>
  <c r="C5050" i="3"/>
  <c r="C5049" i="3"/>
  <c r="C5048" i="3"/>
  <c r="C5047" i="3"/>
  <c r="C5046" i="3"/>
  <c r="C5044" i="3"/>
  <c r="C5042" i="3"/>
  <c r="C5041" i="3"/>
  <c r="G5036" i="3"/>
  <c r="G5035" i="3"/>
  <c r="L5044" i="3" s="1"/>
  <c r="E5034" i="3"/>
  <c r="J5022" i="3"/>
  <c r="J5021" i="3"/>
  <c r="C5021" i="3"/>
  <c r="J5020" i="3"/>
  <c r="C5020" i="3"/>
  <c r="J5019" i="3"/>
  <c r="C5019" i="3"/>
  <c r="C5018" i="3"/>
  <c r="C5017" i="3"/>
  <c r="C5016" i="3"/>
  <c r="C5015" i="3"/>
  <c r="C5013" i="3"/>
  <c r="C5011" i="3"/>
  <c r="C5010" i="3"/>
  <c r="G5005" i="3"/>
  <c r="G5004" i="3"/>
  <c r="L5013" i="3" s="1"/>
  <c r="E5003" i="3"/>
  <c r="J4992" i="3"/>
  <c r="J4991" i="3"/>
  <c r="C4991" i="3"/>
  <c r="J4990" i="3"/>
  <c r="C4990" i="3"/>
  <c r="J4989" i="3"/>
  <c r="C4989" i="3"/>
  <c r="J4988" i="3"/>
  <c r="C4988" i="3"/>
  <c r="J4987" i="3"/>
  <c r="I4987" i="3"/>
  <c r="C4987" i="3"/>
  <c r="C4986" i="3"/>
  <c r="J4985" i="3"/>
  <c r="C4985" i="3"/>
  <c r="C4983" i="3"/>
  <c r="C4981" i="3"/>
  <c r="C4980" i="3"/>
  <c r="G4975" i="3"/>
  <c r="G4974" i="3"/>
  <c r="L4983" i="3" s="1"/>
  <c r="E4973" i="3"/>
  <c r="J4961" i="3"/>
  <c r="J4960" i="3"/>
  <c r="C4960" i="3"/>
  <c r="J4959" i="3"/>
  <c r="C4959" i="3"/>
  <c r="J4958" i="3"/>
  <c r="C4958" i="3"/>
  <c r="C4957" i="3"/>
  <c r="C4956" i="3"/>
  <c r="C4955" i="3"/>
  <c r="C4954" i="3"/>
  <c r="C4952" i="3"/>
  <c r="C4950" i="3"/>
  <c r="C4949" i="3"/>
  <c r="G4944" i="3"/>
  <c r="G4943" i="3"/>
  <c r="L4952" i="3" s="1"/>
  <c r="E4942" i="3"/>
  <c r="J4929" i="3"/>
  <c r="J4928" i="3"/>
  <c r="C4928" i="3"/>
  <c r="J4927" i="3"/>
  <c r="C4927" i="3"/>
  <c r="J4926" i="3"/>
  <c r="C4926" i="3"/>
  <c r="C4925" i="3"/>
  <c r="C4924" i="3"/>
  <c r="C4923" i="3"/>
  <c r="C4922" i="3"/>
  <c r="C4920" i="3"/>
  <c r="C4918" i="3"/>
  <c r="C4917" i="3"/>
  <c r="G4912" i="3"/>
  <c r="G4911" i="3"/>
  <c r="L4920" i="3" s="1"/>
  <c r="E4910" i="3"/>
  <c r="J4897" i="3"/>
  <c r="J4896" i="3"/>
  <c r="C4896" i="3"/>
  <c r="J4895" i="3"/>
  <c r="C4895" i="3"/>
  <c r="J4894" i="3"/>
  <c r="C4894" i="3"/>
  <c r="C4893" i="3"/>
  <c r="C4892" i="3"/>
  <c r="C4891" i="3"/>
  <c r="C4890" i="3"/>
  <c r="C4888" i="3"/>
  <c r="C4886" i="3"/>
  <c r="C4885" i="3"/>
  <c r="G4880" i="3"/>
  <c r="G4879" i="3"/>
  <c r="L4888" i="3" s="1"/>
  <c r="E4878" i="3"/>
  <c r="J4866" i="3"/>
  <c r="J4865" i="3"/>
  <c r="C4865" i="3"/>
  <c r="J4864" i="3"/>
  <c r="C4864" i="3"/>
  <c r="J4863" i="3"/>
  <c r="C4863" i="3"/>
  <c r="C4862" i="3"/>
  <c r="C4861" i="3"/>
  <c r="C4860" i="3"/>
  <c r="J4859" i="3"/>
  <c r="C4859" i="3"/>
  <c r="C4857" i="3"/>
  <c r="C4855" i="3"/>
  <c r="C4854" i="3"/>
  <c r="C4852" i="3"/>
  <c r="G4849" i="3"/>
  <c r="C4849" i="3"/>
  <c r="G4848" i="3"/>
  <c r="L4857" i="3" s="1"/>
  <c r="E4847" i="3"/>
  <c r="J4835" i="3"/>
  <c r="J4834" i="3"/>
  <c r="C4834" i="3"/>
  <c r="J4833" i="3"/>
  <c r="C4833" i="3"/>
  <c r="J4832" i="3"/>
  <c r="C4832" i="3"/>
  <c r="C4831" i="3"/>
  <c r="C4830" i="3"/>
  <c r="C4829" i="3"/>
  <c r="C4828" i="3"/>
  <c r="C4826" i="3"/>
  <c r="C4824" i="3"/>
  <c r="C4823" i="3"/>
  <c r="G4818" i="3"/>
  <c r="G4817" i="3"/>
  <c r="L4826" i="3" s="1"/>
  <c r="E4816" i="3"/>
  <c r="J4804" i="3"/>
  <c r="J4803" i="3"/>
  <c r="C4803" i="3"/>
  <c r="J4802" i="3"/>
  <c r="C4802" i="3"/>
  <c r="J4801" i="3"/>
  <c r="C4801" i="3"/>
  <c r="C4800" i="3"/>
  <c r="C4799" i="3"/>
  <c r="C4798" i="3"/>
  <c r="C4797" i="3"/>
  <c r="C4795" i="3"/>
  <c r="C4793" i="3"/>
  <c r="C4792" i="3"/>
  <c r="G4787" i="3"/>
  <c r="G4786" i="3"/>
  <c r="L4795" i="3" s="1"/>
  <c r="E4785" i="3"/>
  <c r="J4772" i="3"/>
  <c r="J4771" i="3"/>
  <c r="C4771" i="3"/>
  <c r="J4770" i="3"/>
  <c r="C4770" i="3"/>
  <c r="J4769" i="3"/>
  <c r="C4769" i="3"/>
  <c r="C4768" i="3"/>
  <c r="C4767" i="3"/>
  <c r="C4766" i="3"/>
  <c r="J4765" i="3"/>
  <c r="C4765" i="3"/>
  <c r="C4763" i="3"/>
  <c r="C4761" i="3"/>
  <c r="C4760" i="3"/>
  <c r="C4758" i="3"/>
  <c r="G4755" i="3"/>
  <c r="C4755" i="3"/>
  <c r="G4754" i="3"/>
  <c r="L4763" i="3" s="1"/>
  <c r="E4753" i="3"/>
  <c r="J4741" i="3"/>
  <c r="J4740" i="3"/>
  <c r="C4740" i="3"/>
  <c r="J4739" i="3"/>
  <c r="C4739" i="3"/>
  <c r="J4738" i="3"/>
  <c r="C4738" i="3"/>
  <c r="C4737" i="3"/>
  <c r="C4736" i="3"/>
  <c r="C4735" i="3"/>
  <c r="C4734" i="3"/>
  <c r="C4732" i="3"/>
  <c r="C4730" i="3"/>
  <c r="C4729" i="3"/>
  <c r="G4724" i="3"/>
  <c r="G4723" i="3"/>
  <c r="L4732" i="3" s="1"/>
  <c r="E4722" i="3"/>
  <c r="J4709" i="3"/>
  <c r="J4708" i="3"/>
  <c r="C4708" i="3"/>
  <c r="J4707" i="3"/>
  <c r="C4707" i="3"/>
  <c r="J4706" i="3"/>
  <c r="C4706" i="3"/>
  <c r="C4705" i="3"/>
  <c r="C4704" i="3"/>
  <c r="C4703" i="3"/>
  <c r="C4702" i="3"/>
  <c r="C4700" i="3"/>
  <c r="C4698" i="3"/>
  <c r="C4697" i="3"/>
  <c r="G4692" i="3"/>
  <c r="G4691" i="3"/>
  <c r="L4700" i="3" s="1"/>
  <c r="E4690" i="3"/>
  <c r="J4678" i="3"/>
  <c r="J4677" i="3"/>
  <c r="C4677" i="3"/>
  <c r="J4676" i="3"/>
  <c r="C4676" i="3"/>
  <c r="J4675" i="3"/>
  <c r="C4675" i="3"/>
  <c r="C4674" i="3"/>
  <c r="C4673" i="3"/>
  <c r="C4672" i="3"/>
  <c r="C4671" i="3"/>
  <c r="C4669" i="3"/>
  <c r="C4667" i="3"/>
  <c r="C4666" i="3"/>
  <c r="G4661" i="3"/>
  <c r="G4660" i="3"/>
  <c r="L4669" i="3" s="1"/>
  <c r="E4659" i="3"/>
  <c r="J4647" i="3"/>
  <c r="J4646" i="3"/>
  <c r="C4646" i="3"/>
  <c r="J4645" i="3"/>
  <c r="C4645" i="3"/>
  <c r="J4644" i="3"/>
  <c r="C4644" i="3"/>
  <c r="C4643" i="3"/>
  <c r="C4642" i="3"/>
  <c r="C4641" i="3"/>
  <c r="C4640" i="3"/>
  <c r="C4638" i="3"/>
  <c r="C4636" i="3"/>
  <c r="C4635" i="3"/>
  <c r="G4630" i="3"/>
  <c r="G4629" i="3"/>
  <c r="L4638" i="3" s="1"/>
  <c r="E4628" i="3"/>
  <c r="J4617" i="3"/>
  <c r="J4616" i="3"/>
  <c r="C4616" i="3"/>
  <c r="J4615" i="3"/>
  <c r="C4615" i="3"/>
  <c r="J4614" i="3"/>
  <c r="C4614" i="3"/>
  <c r="C4613" i="3"/>
  <c r="C4612" i="3"/>
  <c r="C4611" i="3"/>
  <c r="C4610" i="3"/>
  <c r="C4608" i="3"/>
  <c r="C4606" i="3"/>
  <c r="C4605" i="3"/>
  <c r="G4600" i="3"/>
  <c r="G4599" i="3"/>
  <c r="L4608" i="3" s="1"/>
  <c r="E4598" i="3"/>
  <c r="J4587" i="3"/>
  <c r="J4586" i="3"/>
  <c r="C4586" i="3"/>
  <c r="J4585" i="3"/>
  <c r="C4585" i="3"/>
  <c r="J4584" i="3"/>
  <c r="C4584" i="3"/>
  <c r="C4583" i="3"/>
  <c r="C4582" i="3"/>
  <c r="C4581" i="3"/>
  <c r="C4580" i="3"/>
  <c r="C4578" i="3"/>
  <c r="C4576" i="3"/>
  <c r="C4575" i="3"/>
  <c r="G4570" i="3"/>
  <c r="G4569" i="3"/>
  <c r="L4578" i="3" s="1"/>
  <c r="E4568" i="3"/>
  <c r="J4556" i="3"/>
  <c r="J4555" i="3"/>
  <c r="C4555" i="3"/>
  <c r="J4554" i="3"/>
  <c r="C4554" i="3"/>
  <c r="J4553" i="3"/>
  <c r="C4553" i="3"/>
  <c r="C4552" i="3"/>
  <c r="C4551" i="3"/>
  <c r="C4550" i="3"/>
  <c r="C4549" i="3"/>
  <c r="C4547" i="3"/>
  <c r="C4545" i="3"/>
  <c r="C4544" i="3"/>
  <c r="G4539" i="3"/>
  <c r="G4538" i="3"/>
  <c r="L4547" i="3" s="1"/>
  <c r="E4537" i="3"/>
  <c r="J4524" i="3"/>
  <c r="J4523" i="3"/>
  <c r="C4523" i="3"/>
  <c r="J4522" i="3"/>
  <c r="C4522" i="3"/>
  <c r="J4521" i="3"/>
  <c r="C4521" i="3"/>
  <c r="C4520" i="3"/>
  <c r="C4519" i="3"/>
  <c r="C4518" i="3"/>
  <c r="C4517" i="3"/>
  <c r="C4515" i="3"/>
  <c r="C4513" i="3"/>
  <c r="C4512" i="3"/>
  <c r="G4507" i="3"/>
  <c r="G4506" i="3"/>
  <c r="L4515" i="3" s="1"/>
  <c r="E4505" i="3"/>
  <c r="J4492" i="3"/>
  <c r="J4491" i="3"/>
  <c r="C4491" i="3"/>
  <c r="J4490" i="3"/>
  <c r="C4490" i="3"/>
  <c r="J4489" i="3"/>
  <c r="C4489" i="3"/>
  <c r="C4488" i="3"/>
  <c r="C4487" i="3"/>
  <c r="C4486" i="3"/>
  <c r="C4485" i="3"/>
  <c r="C4483" i="3"/>
  <c r="C4481" i="3"/>
  <c r="C4480" i="3"/>
  <c r="G4475" i="3"/>
  <c r="G4474" i="3"/>
  <c r="L4483" i="3" s="1"/>
  <c r="E4473" i="3"/>
  <c r="J4461" i="3"/>
  <c r="J4460" i="3"/>
  <c r="C4460" i="3"/>
  <c r="J4459" i="3"/>
  <c r="C4459" i="3"/>
  <c r="J4458" i="3"/>
  <c r="C4458" i="3"/>
  <c r="C4457" i="3"/>
  <c r="C4456" i="3"/>
  <c r="C4455" i="3"/>
  <c r="C4454" i="3"/>
  <c r="C4452" i="3"/>
  <c r="C4450" i="3"/>
  <c r="C4449" i="3"/>
  <c r="G4444" i="3"/>
  <c r="G4443" i="3"/>
  <c r="L4452" i="3" s="1"/>
  <c r="E4442" i="3"/>
  <c r="J4431" i="3"/>
  <c r="J4430" i="3"/>
  <c r="C4430" i="3"/>
  <c r="J4429" i="3"/>
  <c r="C4429" i="3"/>
  <c r="J4428" i="3"/>
  <c r="C4428" i="3"/>
  <c r="C4427" i="3"/>
  <c r="C4426" i="3"/>
  <c r="C4425" i="3"/>
  <c r="C4424" i="3"/>
  <c r="C4422" i="3"/>
  <c r="C4420" i="3"/>
  <c r="C4419" i="3"/>
  <c r="G4414" i="3"/>
  <c r="G4413" i="3"/>
  <c r="L4422" i="3" s="1"/>
  <c r="E4412" i="3"/>
  <c r="J4399" i="3"/>
  <c r="J4398" i="3"/>
  <c r="C4398" i="3"/>
  <c r="J4397" i="3"/>
  <c r="C4397" i="3"/>
  <c r="J4396" i="3"/>
  <c r="C4396" i="3"/>
  <c r="C4395" i="3"/>
  <c r="C4394" i="3"/>
  <c r="C4393" i="3"/>
  <c r="C4392" i="3"/>
  <c r="C4390" i="3"/>
  <c r="C4388" i="3"/>
  <c r="C4387" i="3"/>
  <c r="G4382" i="3"/>
  <c r="G4381" i="3"/>
  <c r="L4390" i="3" s="1"/>
  <c r="E4380" i="3"/>
  <c r="J4368" i="3"/>
  <c r="J4367" i="3"/>
  <c r="C4367" i="3"/>
  <c r="J4366" i="3"/>
  <c r="C4366" i="3"/>
  <c r="J4365" i="3"/>
  <c r="C4365" i="3"/>
  <c r="C4364" i="3"/>
  <c r="C4363" i="3"/>
  <c r="C4362" i="3"/>
  <c r="C4361" i="3"/>
  <c r="C4359" i="3"/>
  <c r="C4357" i="3"/>
  <c r="C4356" i="3"/>
  <c r="G4351" i="3"/>
  <c r="G4350" i="3"/>
  <c r="L4359" i="3" s="1"/>
  <c r="E4349" i="3"/>
  <c r="J4336" i="3"/>
  <c r="J4335" i="3"/>
  <c r="C4335" i="3"/>
  <c r="J4334" i="3"/>
  <c r="C4334" i="3"/>
  <c r="J4333" i="3"/>
  <c r="C4333" i="3"/>
  <c r="C4332" i="3"/>
  <c r="C4331" i="3"/>
  <c r="C4330" i="3"/>
  <c r="C4329" i="3"/>
  <c r="C4327" i="3"/>
  <c r="C4325" i="3"/>
  <c r="C4324" i="3"/>
  <c r="G4319" i="3"/>
  <c r="G4318" i="3"/>
  <c r="L4327" i="3" s="1"/>
  <c r="E4317" i="3"/>
  <c r="J4305" i="3"/>
  <c r="J4304" i="3"/>
  <c r="C4304" i="3"/>
  <c r="J4303" i="3"/>
  <c r="C4303" i="3"/>
  <c r="C4302" i="3"/>
  <c r="C4301" i="3"/>
  <c r="C4300" i="3"/>
  <c r="C4299" i="3"/>
  <c r="C4298" i="3"/>
  <c r="C4296" i="3"/>
  <c r="C4294" i="3"/>
  <c r="C4293" i="3"/>
  <c r="G4288" i="3"/>
  <c r="G4287" i="3"/>
  <c r="L4296" i="3" s="1"/>
  <c r="E4286" i="3"/>
  <c r="J4274" i="3"/>
  <c r="J4273" i="3"/>
  <c r="C4273" i="3"/>
  <c r="J4272" i="3"/>
  <c r="C4272" i="3"/>
  <c r="C4271" i="3"/>
  <c r="C4270" i="3"/>
  <c r="C4269" i="3"/>
  <c r="C4268" i="3"/>
  <c r="J4267" i="3"/>
  <c r="C4267" i="3"/>
  <c r="C4265" i="3"/>
  <c r="C4263" i="3"/>
  <c r="C4262" i="3"/>
  <c r="C4260" i="3"/>
  <c r="G4257" i="3"/>
  <c r="G4256" i="3"/>
  <c r="L4265" i="3" s="1"/>
  <c r="E4255" i="3"/>
  <c r="J4243" i="3"/>
  <c r="J4242" i="3"/>
  <c r="C4242" i="3"/>
  <c r="J4241" i="3"/>
  <c r="C4241" i="3"/>
  <c r="C4240" i="3"/>
  <c r="C4239" i="3"/>
  <c r="C4238" i="3"/>
  <c r="C4237" i="3"/>
  <c r="J4236" i="3"/>
  <c r="C4236" i="3"/>
  <c r="C4234" i="3"/>
  <c r="C4232" i="3"/>
  <c r="C4231" i="3"/>
  <c r="C4229" i="3"/>
  <c r="G4226" i="3"/>
  <c r="G4225" i="3"/>
  <c r="L4234" i="3" s="1"/>
  <c r="E4224" i="3"/>
  <c r="J4212" i="3"/>
  <c r="J4211" i="3"/>
  <c r="C4211" i="3"/>
  <c r="J4210" i="3"/>
  <c r="C4210" i="3"/>
  <c r="C4209" i="3"/>
  <c r="C4208" i="3"/>
  <c r="C4207" i="3"/>
  <c r="C4206" i="3"/>
  <c r="C4205" i="3"/>
  <c r="C4203" i="3"/>
  <c r="C4201" i="3"/>
  <c r="C4200" i="3"/>
  <c r="G4195" i="3"/>
  <c r="G4194" i="3"/>
  <c r="L4203" i="3" s="1"/>
  <c r="E4193" i="3"/>
  <c r="J4181" i="3"/>
  <c r="J4180" i="3"/>
  <c r="C4180" i="3"/>
  <c r="J4179" i="3"/>
  <c r="C4179" i="3"/>
  <c r="C4178" i="3"/>
  <c r="C4177" i="3"/>
  <c r="C4176" i="3"/>
  <c r="C4175" i="3"/>
  <c r="C4174" i="3"/>
  <c r="C4172" i="3"/>
  <c r="C4170" i="3"/>
  <c r="C4169" i="3"/>
  <c r="G4164" i="3"/>
  <c r="G4163" i="3"/>
  <c r="L4172" i="3" s="1"/>
  <c r="E4162" i="3"/>
  <c r="J4151" i="3"/>
  <c r="J4150" i="3"/>
  <c r="C4150" i="3"/>
  <c r="J4149" i="3"/>
  <c r="C4149" i="3"/>
  <c r="C4148" i="3"/>
  <c r="J4147" i="3"/>
  <c r="C4147" i="3"/>
  <c r="C4146" i="3"/>
  <c r="C4145" i="3"/>
  <c r="C4144" i="3"/>
  <c r="C4142" i="3"/>
  <c r="C4140" i="3"/>
  <c r="C4139" i="3"/>
  <c r="G4134" i="3"/>
  <c r="C4134" i="3"/>
  <c r="G4133" i="3"/>
  <c r="L4142" i="3" s="1"/>
  <c r="E4132" i="3"/>
  <c r="J4121" i="3"/>
  <c r="J4120" i="3"/>
  <c r="C4120" i="3"/>
  <c r="J4119" i="3"/>
  <c r="C4119" i="3"/>
  <c r="C4118" i="3"/>
  <c r="C4117" i="3"/>
  <c r="C4116" i="3"/>
  <c r="C4115" i="3"/>
  <c r="C4114" i="3"/>
  <c r="C4112" i="3"/>
  <c r="C4110" i="3"/>
  <c r="C4109" i="3"/>
  <c r="G4104" i="3"/>
  <c r="G4103" i="3"/>
  <c r="L4112" i="3" s="1"/>
  <c r="E4102" i="3"/>
  <c r="J4091" i="3"/>
  <c r="J4090" i="3"/>
  <c r="C4090" i="3"/>
  <c r="J4089" i="3"/>
  <c r="C4089" i="3"/>
  <c r="J4088" i="3"/>
  <c r="C4088" i="3"/>
  <c r="J4087" i="3"/>
  <c r="C4087" i="3"/>
  <c r="J4086" i="3"/>
  <c r="I4086" i="3"/>
  <c r="C4086" i="3"/>
  <c r="C4085" i="3"/>
  <c r="J4084" i="3"/>
  <c r="C4084" i="3"/>
  <c r="C4082" i="3"/>
  <c r="C4080" i="3"/>
  <c r="C4079" i="3"/>
  <c r="G4074" i="3"/>
  <c r="G4073" i="3"/>
  <c r="L4082" i="3" s="1"/>
  <c r="E4072" i="3"/>
  <c r="J4059" i="3"/>
  <c r="C4059" i="3"/>
  <c r="C4058" i="3"/>
  <c r="C4057" i="3"/>
  <c r="C4056" i="3"/>
  <c r="C4055" i="3"/>
  <c r="C4054" i="3"/>
  <c r="C4053" i="3"/>
  <c r="C4051" i="3"/>
  <c r="C4049" i="3"/>
  <c r="C4048" i="3"/>
  <c r="C4046" i="3"/>
  <c r="G4043" i="3"/>
  <c r="C4043" i="3"/>
  <c r="G4042" i="3"/>
  <c r="L4051" i="3" s="1"/>
  <c r="E4041" i="3"/>
  <c r="J4028" i="3"/>
  <c r="C4028" i="3"/>
  <c r="J4027" i="3"/>
  <c r="C4027" i="3"/>
  <c r="J4026" i="3"/>
  <c r="C4026" i="3"/>
  <c r="I4025" i="3"/>
  <c r="C4025" i="3"/>
  <c r="C4024" i="3"/>
  <c r="C4023" i="3"/>
  <c r="J4022" i="3"/>
  <c r="C4022" i="3"/>
  <c r="C4020" i="3"/>
  <c r="C4018" i="3"/>
  <c r="C4017" i="3"/>
  <c r="G4012" i="3"/>
  <c r="C4012" i="3"/>
  <c r="G4011" i="3"/>
  <c r="L4020" i="3" s="1"/>
  <c r="E4010" i="3"/>
  <c r="J3999" i="3"/>
  <c r="C3999" i="3"/>
  <c r="J3998" i="3"/>
  <c r="C3998" i="3"/>
  <c r="J3997" i="3"/>
  <c r="C3997" i="3"/>
  <c r="I3996" i="3"/>
  <c r="C3996" i="3"/>
  <c r="C3995" i="3"/>
  <c r="C3994" i="3"/>
  <c r="J3993" i="3"/>
  <c r="C3993" i="3"/>
  <c r="C3991" i="3"/>
  <c r="C3989" i="3"/>
  <c r="C3988" i="3"/>
  <c r="G3983" i="3"/>
  <c r="C3983" i="3"/>
  <c r="G3982" i="3"/>
  <c r="L3991" i="3" s="1"/>
  <c r="E3981" i="3"/>
  <c r="J3970" i="3"/>
  <c r="C3970" i="3"/>
  <c r="J3969" i="3"/>
  <c r="C3969" i="3"/>
  <c r="J3968" i="3"/>
  <c r="C3968" i="3"/>
  <c r="I3967" i="3"/>
  <c r="C3967" i="3"/>
  <c r="C3966" i="3"/>
  <c r="J3965" i="3"/>
  <c r="C3965" i="3"/>
  <c r="J3964" i="3"/>
  <c r="C3964" i="3"/>
  <c r="C3962" i="3"/>
  <c r="C3960" i="3"/>
  <c r="C3959" i="3"/>
  <c r="G3954" i="3"/>
  <c r="C3954" i="3"/>
  <c r="G3953" i="3"/>
  <c r="L3962" i="3" s="1"/>
  <c r="E3952" i="3"/>
  <c r="J3940" i="3"/>
  <c r="C3940" i="3"/>
  <c r="J3939" i="3"/>
  <c r="C3939" i="3"/>
  <c r="J3938" i="3"/>
  <c r="C3938" i="3"/>
  <c r="I3937" i="3"/>
  <c r="C3937" i="3"/>
  <c r="C3936" i="3"/>
  <c r="C3935" i="3"/>
  <c r="J3934" i="3"/>
  <c r="C3934" i="3"/>
  <c r="C3932" i="3"/>
  <c r="C3930" i="3"/>
  <c r="C3929" i="3"/>
  <c r="G3924" i="3"/>
  <c r="C3924" i="3"/>
  <c r="G3923" i="3"/>
  <c r="L3932" i="3" s="1"/>
  <c r="E3922" i="3"/>
  <c r="J3911" i="3"/>
  <c r="C3911" i="3"/>
  <c r="J3910" i="3"/>
  <c r="C3910" i="3"/>
  <c r="J3909" i="3"/>
  <c r="C3909" i="3"/>
  <c r="I3908" i="3"/>
  <c r="C3908" i="3"/>
  <c r="C3907" i="3"/>
  <c r="C3906" i="3"/>
  <c r="J3905" i="3"/>
  <c r="C3905" i="3"/>
  <c r="C3903" i="3"/>
  <c r="C3901" i="3"/>
  <c r="C3900" i="3"/>
  <c r="G3895" i="3"/>
  <c r="G3894" i="3"/>
  <c r="L3903" i="3" s="1"/>
  <c r="E3893" i="3"/>
  <c r="J3881" i="3"/>
  <c r="C3881" i="3"/>
  <c r="J3880" i="3"/>
  <c r="C3880" i="3"/>
  <c r="J3879" i="3"/>
  <c r="C3879" i="3"/>
  <c r="I3878" i="3"/>
  <c r="C3878" i="3"/>
  <c r="C3877" i="3"/>
  <c r="C3876" i="3"/>
  <c r="J3875" i="3"/>
  <c r="C3875" i="3"/>
  <c r="C3873" i="3"/>
  <c r="C3871" i="3"/>
  <c r="C3870" i="3"/>
  <c r="G3865" i="3"/>
  <c r="C3865" i="3"/>
  <c r="G3864" i="3"/>
  <c r="L3873" i="3" s="1"/>
  <c r="E3863" i="3"/>
  <c r="J3851" i="3"/>
  <c r="C3851" i="3"/>
  <c r="J3850" i="3"/>
  <c r="C3850" i="3"/>
  <c r="J3849" i="3"/>
  <c r="C3849" i="3"/>
  <c r="I3848" i="3"/>
  <c r="C3848" i="3"/>
  <c r="C3847" i="3"/>
  <c r="C3846" i="3"/>
  <c r="J3845" i="3"/>
  <c r="C3845" i="3"/>
  <c r="C3843" i="3"/>
  <c r="C3841" i="3"/>
  <c r="C3840" i="3"/>
  <c r="G3835" i="3"/>
  <c r="C3835" i="3"/>
  <c r="G3834" i="3"/>
  <c r="L3843" i="3" s="1"/>
  <c r="E3833" i="3"/>
  <c r="J3820" i="3"/>
  <c r="C3820" i="3"/>
  <c r="J3819" i="3"/>
  <c r="C3819" i="3"/>
  <c r="J3818" i="3"/>
  <c r="C3818" i="3"/>
  <c r="I3817" i="3"/>
  <c r="C3817" i="3"/>
  <c r="C3816" i="3"/>
  <c r="J3815" i="3"/>
  <c r="C3815" i="3"/>
  <c r="J3814" i="3"/>
  <c r="C3814" i="3"/>
  <c r="C3812" i="3"/>
  <c r="C3810" i="3"/>
  <c r="C3809" i="3"/>
  <c r="G3804" i="3"/>
  <c r="G3803" i="3"/>
  <c r="L3812" i="3" s="1"/>
  <c r="E3802" i="3"/>
  <c r="J3790" i="3"/>
  <c r="C3790" i="3"/>
  <c r="J3789" i="3"/>
  <c r="C3789" i="3"/>
  <c r="J3788" i="3"/>
  <c r="C3788" i="3"/>
  <c r="I3787" i="3"/>
  <c r="C3787" i="3"/>
  <c r="C3786" i="3"/>
  <c r="C3785" i="3"/>
  <c r="J3784" i="3"/>
  <c r="C3784" i="3"/>
  <c r="C3782" i="3"/>
  <c r="C3780" i="3"/>
  <c r="C3779" i="3"/>
  <c r="G3774" i="3"/>
  <c r="G3773" i="3"/>
  <c r="L3782" i="3" s="1"/>
  <c r="E3772" i="3"/>
  <c r="J3759" i="3"/>
  <c r="C3759" i="3"/>
  <c r="J3758" i="3"/>
  <c r="C3758" i="3"/>
  <c r="J3757" i="3"/>
  <c r="C3757" i="3"/>
  <c r="I3756" i="3"/>
  <c r="C3756" i="3"/>
  <c r="C3755" i="3"/>
  <c r="C3754" i="3"/>
  <c r="J3753" i="3"/>
  <c r="C3753" i="3"/>
  <c r="C3751" i="3"/>
  <c r="C3749" i="3"/>
  <c r="C3748" i="3"/>
  <c r="G3743" i="3"/>
  <c r="G3742" i="3"/>
  <c r="L3751" i="3" s="1"/>
  <c r="E3741" i="3"/>
  <c r="J3729" i="3"/>
  <c r="C3729" i="3"/>
  <c r="J3728" i="3"/>
  <c r="C3728" i="3"/>
  <c r="J3727" i="3"/>
  <c r="C3727" i="3"/>
  <c r="I3726" i="3"/>
  <c r="C3726" i="3"/>
  <c r="C3725" i="3"/>
  <c r="C3724" i="3"/>
  <c r="J3723" i="3"/>
  <c r="C3723" i="3"/>
  <c r="C3721" i="3"/>
  <c r="C3719" i="3"/>
  <c r="C3718" i="3"/>
  <c r="G3713" i="3"/>
  <c r="G3712" i="3"/>
  <c r="L3721" i="3" s="1"/>
  <c r="E3711" i="3"/>
  <c r="J3697" i="3"/>
  <c r="C3697" i="3"/>
  <c r="J3696" i="3"/>
  <c r="C3696" i="3"/>
  <c r="J3695" i="3"/>
  <c r="C3695" i="3"/>
  <c r="I3694" i="3"/>
  <c r="C3694" i="3"/>
  <c r="C3693" i="3"/>
  <c r="J3692" i="3"/>
  <c r="C3692" i="3"/>
  <c r="J3691" i="3"/>
  <c r="C3691" i="3"/>
  <c r="C3689" i="3"/>
  <c r="C3687" i="3"/>
  <c r="C3686" i="3"/>
  <c r="G3681" i="3"/>
  <c r="C3681" i="3"/>
  <c r="G3680" i="3"/>
  <c r="L3689" i="3" s="1"/>
  <c r="E3679" i="3"/>
  <c r="J3667" i="3"/>
  <c r="C3667" i="3"/>
  <c r="J3666" i="3"/>
  <c r="C3666" i="3"/>
  <c r="J3665" i="3"/>
  <c r="C3665" i="3"/>
  <c r="I3664" i="3"/>
  <c r="C3664" i="3"/>
  <c r="C3663" i="3"/>
  <c r="J3662" i="3"/>
  <c r="C3662" i="3"/>
  <c r="C3661" i="3"/>
  <c r="C3659" i="3"/>
  <c r="C3657" i="3"/>
  <c r="C3656" i="3"/>
  <c r="G3651" i="3"/>
  <c r="C3651" i="3"/>
  <c r="G3650" i="3"/>
  <c r="L3659" i="3" s="1"/>
  <c r="E3649" i="3"/>
  <c r="J3637" i="3"/>
  <c r="C3637" i="3"/>
  <c r="J3636" i="3"/>
  <c r="C3636" i="3"/>
  <c r="J3635" i="3"/>
  <c r="C3635" i="3"/>
  <c r="I3634" i="3"/>
  <c r="C3634" i="3"/>
  <c r="C3633" i="3"/>
  <c r="J3632" i="3"/>
  <c r="C3632" i="3"/>
  <c r="C3631" i="3"/>
  <c r="C3629" i="3"/>
  <c r="C3627" i="3"/>
  <c r="C3626" i="3"/>
  <c r="G3621" i="3"/>
  <c r="C3621" i="3"/>
  <c r="G3620" i="3"/>
  <c r="L3629" i="3" s="1"/>
  <c r="E3619" i="3"/>
  <c r="J3577" i="3"/>
  <c r="C3577" i="3"/>
  <c r="J3576" i="3"/>
  <c r="C3576" i="3"/>
  <c r="J3575" i="3"/>
  <c r="C3575" i="3"/>
  <c r="C3574" i="3"/>
  <c r="C3573" i="3"/>
  <c r="C3572" i="3"/>
  <c r="J3571" i="3"/>
  <c r="C3571" i="3"/>
  <c r="C3569" i="3"/>
  <c r="C3567" i="3"/>
  <c r="C3566" i="3"/>
  <c r="G3561" i="3"/>
  <c r="G3560" i="3"/>
  <c r="L3569" i="3" s="1"/>
  <c r="E3559" i="3"/>
  <c r="J3546" i="3"/>
  <c r="C3546" i="3"/>
  <c r="J3545" i="3"/>
  <c r="C3545" i="3"/>
  <c r="J3544" i="3"/>
  <c r="C3544" i="3"/>
  <c r="C3543" i="3"/>
  <c r="C3542" i="3"/>
  <c r="C3541" i="3"/>
  <c r="J3540" i="3"/>
  <c r="C3540" i="3"/>
  <c r="I3538" i="3"/>
  <c r="C3538" i="3"/>
  <c r="C3536" i="3"/>
  <c r="C3535" i="3"/>
  <c r="G3530" i="3"/>
  <c r="G3529" i="3"/>
  <c r="L3538" i="3" s="1"/>
  <c r="E3528" i="3"/>
  <c r="J3516" i="3"/>
  <c r="C3516" i="3"/>
  <c r="J3515" i="3"/>
  <c r="C3515" i="3"/>
  <c r="J3514" i="3"/>
  <c r="C3514" i="3"/>
  <c r="I3513" i="3"/>
  <c r="C3513" i="3"/>
  <c r="C3512" i="3"/>
  <c r="J3511" i="3"/>
  <c r="C3511" i="3"/>
  <c r="J3510" i="3"/>
  <c r="C3510" i="3"/>
  <c r="C3508" i="3"/>
  <c r="C3506" i="3"/>
  <c r="C3505" i="3"/>
  <c r="G3500" i="3"/>
  <c r="C3500" i="3"/>
  <c r="G3499" i="3"/>
  <c r="L3508" i="3" s="1"/>
  <c r="E3498" i="3"/>
  <c r="J3486" i="3"/>
  <c r="C3486" i="3"/>
  <c r="J3485" i="3"/>
  <c r="C3485" i="3"/>
  <c r="J3484" i="3"/>
  <c r="C3484" i="3"/>
  <c r="C3483" i="3"/>
  <c r="C3482" i="3"/>
  <c r="J3481" i="3"/>
  <c r="C3481" i="3"/>
  <c r="J3480" i="3"/>
  <c r="C3480" i="3"/>
  <c r="C3478" i="3"/>
  <c r="C3476" i="3"/>
  <c r="C3475" i="3"/>
  <c r="G3470" i="3"/>
  <c r="G3469" i="3"/>
  <c r="L3478" i="3" s="1"/>
  <c r="E3468" i="3"/>
  <c r="J3456" i="3"/>
  <c r="C3456" i="3"/>
  <c r="J3455" i="3"/>
  <c r="C3455" i="3"/>
  <c r="J3454" i="3"/>
  <c r="C3454" i="3"/>
  <c r="J3453" i="3"/>
  <c r="I3453" i="3"/>
  <c r="C3453" i="3"/>
  <c r="C3452" i="3"/>
  <c r="J3451" i="3"/>
  <c r="C3451" i="3"/>
  <c r="J3450" i="3"/>
  <c r="C3450" i="3"/>
  <c r="C3448" i="3"/>
  <c r="C3446" i="3"/>
  <c r="C3445" i="3"/>
  <c r="G3440" i="3"/>
  <c r="G3439" i="3"/>
  <c r="L3448" i="3" s="1"/>
  <c r="E3438" i="3"/>
  <c r="J3396" i="3"/>
  <c r="C3396" i="3"/>
  <c r="J3395" i="3"/>
  <c r="C3395" i="3"/>
  <c r="J3394" i="3"/>
  <c r="C3394" i="3"/>
  <c r="J3393" i="3"/>
  <c r="I3393" i="3"/>
  <c r="C3393" i="3"/>
  <c r="C3392" i="3"/>
  <c r="J3391" i="3"/>
  <c r="C3391" i="3"/>
  <c r="J3390" i="3"/>
  <c r="C3390" i="3"/>
  <c r="C3388" i="3"/>
  <c r="C3386" i="3"/>
  <c r="C3385" i="3"/>
  <c r="C3383" i="3"/>
  <c r="G3380" i="3"/>
  <c r="G3379" i="3"/>
  <c r="L3388" i="3" s="1"/>
  <c r="E3378" i="3"/>
  <c r="J3365" i="3"/>
  <c r="C3365" i="3"/>
  <c r="J3364" i="3"/>
  <c r="C3364" i="3"/>
  <c r="J3363" i="3"/>
  <c r="C3363" i="3"/>
  <c r="J3362" i="3"/>
  <c r="I3362" i="3"/>
  <c r="C3362" i="3"/>
  <c r="C3361" i="3"/>
  <c r="J3360" i="3"/>
  <c r="C3360" i="3"/>
  <c r="J3359" i="3"/>
  <c r="C3359" i="3"/>
  <c r="C3357" i="3"/>
  <c r="C3355" i="3"/>
  <c r="C3354" i="3"/>
  <c r="G3349" i="3"/>
  <c r="G3348" i="3"/>
  <c r="L3357" i="3" s="1"/>
  <c r="E3347" i="3"/>
  <c r="J3334" i="3"/>
  <c r="C3334" i="3"/>
  <c r="J3333" i="3"/>
  <c r="C3333" i="3"/>
  <c r="J3332" i="3"/>
  <c r="C3332" i="3"/>
  <c r="J3331" i="3"/>
  <c r="I3331" i="3"/>
  <c r="C3331" i="3"/>
  <c r="C3330" i="3"/>
  <c r="C3329" i="3"/>
  <c r="J3328" i="3"/>
  <c r="C3328" i="3"/>
  <c r="C3326" i="3"/>
  <c r="C3324" i="3"/>
  <c r="C3323" i="3"/>
  <c r="G3318" i="3"/>
  <c r="G3317" i="3"/>
  <c r="L3326" i="3" s="1"/>
  <c r="E3316" i="3"/>
  <c r="J3303" i="3"/>
  <c r="C3303" i="3"/>
  <c r="J3302" i="3"/>
  <c r="C3302" i="3"/>
  <c r="J3301" i="3"/>
  <c r="C3301" i="3"/>
  <c r="J3300" i="3"/>
  <c r="I3300" i="3"/>
  <c r="C3300" i="3"/>
  <c r="C3299" i="3"/>
  <c r="C3298" i="3"/>
  <c r="J3297" i="3"/>
  <c r="C3297" i="3"/>
  <c r="C3295" i="3"/>
  <c r="C3293" i="3"/>
  <c r="C3292" i="3"/>
  <c r="G3287" i="3"/>
  <c r="G3286" i="3"/>
  <c r="L3295" i="3" s="1"/>
  <c r="E3285" i="3"/>
  <c r="J3273" i="3"/>
  <c r="C3273" i="3"/>
  <c r="J3272" i="3"/>
  <c r="C3272" i="3"/>
  <c r="J3271" i="3"/>
  <c r="C3271" i="3"/>
  <c r="J3270" i="3"/>
  <c r="I3270" i="3"/>
  <c r="C3270" i="3"/>
  <c r="C3269" i="3"/>
  <c r="C3268" i="3"/>
  <c r="J3267" i="3"/>
  <c r="C3267" i="3"/>
  <c r="C3265" i="3"/>
  <c r="C3263" i="3"/>
  <c r="C3262" i="3"/>
  <c r="G3257" i="3"/>
  <c r="G3256" i="3"/>
  <c r="L3265" i="3" s="1"/>
  <c r="E3255" i="3"/>
  <c r="J3243" i="3"/>
  <c r="C3243" i="3"/>
  <c r="J3242" i="3"/>
  <c r="C3242" i="3"/>
  <c r="J3241" i="3"/>
  <c r="C3241" i="3"/>
  <c r="J3240" i="3"/>
  <c r="I3240" i="3"/>
  <c r="C3240" i="3"/>
  <c r="C3239" i="3"/>
  <c r="C3238" i="3"/>
  <c r="J3237" i="3"/>
  <c r="C3237" i="3"/>
  <c r="C3235" i="3"/>
  <c r="C3233" i="3"/>
  <c r="C3232" i="3"/>
  <c r="G3227" i="3"/>
  <c r="G3226" i="3"/>
  <c r="L3235" i="3" s="1"/>
  <c r="E3225" i="3"/>
  <c r="J3213" i="3"/>
  <c r="C3213" i="3"/>
  <c r="J3212" i="3"/>
  <c r="C3212" i="3"/>
  <c r="J3211" i="3"/>
  <c r="C3211" i="3"/>
  <c r="J3210" i="3"/>
  <c r="I3210" i="3"/>
  <c r="C3210" i="3"/>
  <c r="C3209" i="3"/>
  <c r="C3208" i="3"/>
  <c r="J3207" i="3"/>
  <c r="C3207" i="3"/>
  <c r="C3205" i="3"/>
  <c r="C3203" i="3"/>
  <c r="C3202" i="3"/>
  <c r="G3197" i="3"/>
  <c r="G3196" i="3"/>
  <c r="L3205" i="3" s="1"/>
  <c r="E3195" i="3"/>
  <c r="J3183" i="3"/>
  <c r="C3183" i="3"/>
  <c r="J3182" i="3"/>
  <c r="C3182" i="3"/>
  <c r="J3181" i="3"/>
  <c r="C3181" i="3"/>
  <c r="J3180" i="3"/>
  <c r="I3180" i="3"/>
  <c r="C3180" i="3"/>
  <c r="C3179" i="3"/>
  <c r="J3178" i="3"/>
  <c r="C3178" i="3"/>
  <c r="J3177" i="3"/>
  <c r="C3177" i="3"/>
  <c r="C3175" i="3"/>
  <c r="C3173" i="3"/>
  <c r="C3172" i="3"/>
  <c r="G3167" i="3"/>
  <c r="G3166" i="3"/>
  <c r="L3175" i="3" s="1"/>
  <c r="E3165" i="3"/>
  <c r="J3153" i="3"/>
  <c r="C3153" i="3"/>
  <c r="J3152" i="3"/>
  <c r="C3152" i="3"/>
  <c r="J3151" i="3"/>
  <c r="C3151" i="3"/>
  <c r="J3150" i="3"/>
  <c r="I3150" i="3"/>
  <c r="C3150" i="3"/>
  <c r="C3149" i="3"/>
  <c r="C3148" i="3"/>
  <c r="J3147" i="3"/>
  <c r="C3147" i="3"/>
  <c r="C3145" i="3"/>
  <c r="C3143" i="3"/>
  <c r="C3142" i="3"/>
  <c r="G3137" i="3"/>
  <c r="G3136" i="3"/>
  <c r="L3145" i="3" s="1"/>
  <c r="E3135" i="3"/>
  <c r="J3122" i="3"/>
  <c r="C3122" i="3"/>
  <c r="J3121" i="3"/>
  <c r="C3121" i="3"/>
  <c r="J3120" i="3"/>
  <c r="C3120" i="3"/>
  <c r="J3119" i="3"/>
  <c r="I3119" i="3"/>
  <c r="C3119" i="3"/>
  <c r="C3118" i="3"/>
  <c r="J3117" i="3"/>
  <c r="C3117" i="3"/>
  <c r="J3116" i="3"/>
  <c r="C3116" i="3"/>
  <c r="C3114" i="3"/>
  <c r="C3112" i="3"/>
  <c r="C3111" i="3"/>
  <c r="G3106" i="3"/>
  <c r="G3105" i="3"/>
  <c r="L3114" i="3" s="1"/>
  <c r="E3104" i="3"/>
  <c r="J3092" i="3"/>
  <c r="C3092" i="3"/>
  <c r="J3091" i="3"/>
  <c r="C3091" i="3"/>
  <c r="J3090" i="3"/>
  <c r="C3090" i="3"/>
  <c r="J3089" i="3"/>
  <c r="I3089" i="3"/>
  <c r="C3089" i="3"/>
  <c r="C3088" i="3"/>
  <c r="C3087" i="3"/>
  <c r="J3086" i="3"/>
  <c r="C3086" i="3"/>
  <c r="C3084" i="3"/>
  <c r="C3082" i="3"/>
  <c r="C3081" i="3"/>
  <c r="G3076" i="3"/>
  <c r="G3075" i="3"/>
  <c r="L3084" i="3" s="1"/>
  <c r="E3074" i="3"/>
  <c r="J3061" i="3"/>
  <c r="C3061" i="3"/>
  <c r="J3060" i="3"/>
  <c r="C3060" i="3"/>
  <c r="J3059" i="3"/>
  <c r="C3059" i="3"/>
  <c r="J3058" i="3"/>
  <c r="I3058" i="3"/>
  <c r="C3058" i="3"/>
  <c r="C3057" i="3"/>
  <c r="C3056" i="3"/>
  <c r="J3055" i="3"/>
  <c r="C3055" i="3"/>
  <c r="C3053" i="3"/>
  <c r="C3051" i="3"/>
  <c r="C3050" i="3"/>
  <c r="G3045" i="3"/>
  <c r="G3044" i="3"/>
  <c r="L3053" i="3" s="1"/>
  <c r="E3043" i="3"/>
  <c r="J3031" i="3"/>
  <c r="C3031" i="3"/>
  <c r="J3030" i="3"/>
  <c r="C3030" i="3"/>
  <c r="J3029" i="3"/>
  <c r="C3029" i="3"/>
  <c r="J3028" i="3"/>
  <c r="I3028" i="3"/>
  <c r="C3028" i="3"/>
  <c r="C3027" i="3"/>
  <c r="C3026" i="3"/>
  <c r="J3025" i="3"/>
  <c r="C3025" i="3"/>
  <c r="C3023" i="3"/>
  <c r="C3021" i="3"/>
  <c r="C3020" i="3"/>
  <c r="G3015" i="3"/>
  <c r="G3014" i="3"/>
  <c r="L3023" i="3" s="1"/>
  <c r="E3013" i="3"/>
  <c r="J3001" i="3"/>
  <c r="C3001" i="3"/>
  <c r="J3000" i="3"/>
  <c r="C3000" i="3"/>
  <c r="J2999" i="3"/>
  <c r="C2999" i="3"/>
  <c r="J2998" i="3"/>
  <c r="I2998" i="3"/>
  <c r="C2998" i="3"/>
  <c r="C2997" i="3"/>
  <c r="C2996" i="3"/>
  <c r="J2995" i="3"/>
  <c r="C2995" i="3"/>
  <c r="C2993" i="3"/>
  <c r="C2991" i="3"/>
  <c r="C2990" i="3"/>
  <c r="G2985" i="3"/>
  <c r="G2984" i="3"/>
  <c r="L2993" i="3" s="1"/>
  <c r="E2983" i="3"/>
  <c r="J2971" i="3"/>
  <c r="C2971" i="3"/>
  <c r="J2970" i="3"/>
  <c r="C2970" i="3"/>
  <c r="J2969" i="3"/>
  <c r="C2969" i="3"/>
  <c r="J2968" i="3"/>
  <c r="I2968" i="3"/>
  <c r="C2968" i="3"/>
  <c r="C2967" i="3"/>
  <c r="C2966" i="3"/>
  <c r="J2965" i="3"/>
  <c r="C2965" i="3"/>
  <c r="C2963" i="3"/>
  <c r="C2962" i="3"/>
  <c r="C2961" i="3"/>
  <c r="C2960" i="3"/>
  <c r="G2955" i="3"/>
  <c r="G2954" i="3"/>
  <c r="L2963" i="3" s="1"/>
  <c r="E2953" i="3"/>
  <c r="J2941" i="3"/>
  <c r="C2941" i="3"/>
  <c r="J2940" i="3"/>
  <c r="C2940" i="3"/>
  <c r="J2939" i="3"/>
  <c r="C2939" i="3"/>
  <c r="J2938" i="3"/>
  <c r="I2938" i="3"/>
  <c r="C2938" i="3"/>
  <c r="C2937" i="3"/>
  <c r="C2936" i="3"/>
  <c r="J2935" i="3"/>
  <c r="C2935" i="3"/>
  <c r="C2933" i="3"/>
  <c r="C2931" i="3"/>
  <c r="C2930" i="3"/>
  <c r="G2925" i="3"/>
  <c r="C2925" i="3"/>
  <c r="G2924" i="3"/>
  <c r="L2933" i="3" s="1"/>
  <c r="E2923" i="3"/>
  <c r="J2909" i="3"/>
  <c r="C2909" i="3"/>
  <c r="J2908" i="3"/>
  <c r="C2908" i="3"/>
  <c r="J2907" i="3"/>
  <c r="C2907" i="3"/>
  <c r="J2906" i="3"/>
  <c r="I2906" i="3"/>
  <c r="C2906" i="3"/>
  <c r="C2905" i="3"/>
  <c r="J2904" i="3"/>
  <c r="C2904" i="3"/>
  <c r="J2903" i="3"/>
  <c r="C2903" i="3"/>
  <c r="C2901" i="3"/>
  <c r="C2899" i="3"/>
  <c r="C2898" i="3"/>
  <c r="G2893" i="3"/>
  <c r="C2893" i="3"/>
  <c r="G2892" i="3"/>
  <c r="L2901" i="3" s="1"/>
  <c r="E2891" i="3"/>
  <c r="J2879" i="3"/>
  <c r="C2879" i="3"/>
  <c r="J2878" i="3"/>
  <c r="C2878" i="3"/>
  <c r="J2877" i="3"/>
  <c r="C2877" i="3"/>
  <c r="J2876" i="3"/>
  <c r="I2876" i="3"/>
  <c r="C2876" i="3"/>
  <c r="C2875" i="3"/>
  <c r="J2874" i="3"/>
  <c r="C2874" i="3"/>
  <c r="J2873" i="3"/>
  <c r="C2873" i="3"/>
  <c r="C2871" i="3"/>
  <c r="C2869" i="3"/>
  <c r="C2868" i="3"/>
  <c r="G2863" i="3"/>
  <c r="C2863" i="3"/>
  <c r="G2862" i="3"/>
  <c r="L2871" i="3" s="1"/>
  <c r="E2861" i="3"/>
  <c r="J2848" i="3"/>
  <c r="C2848" i="3"/>
  <c r="J2847" i="3"/>
  <c r="C2847" i="3"/>
  <c r="J2846" i="3"/>
  <c r="C2846" i="3"/>
  <c r="J2845" i="3"/>
  <c r="I2845" i="3"/>
  <c r="C2845" i="3"/>
  <c r="C2844" i="3"/>
  <c r="J2843" i="3"/>
  <c r="C2843" i="3"/>
  <c r="J2842" i="3"/>
  <c r="C2842" i="3"/>
  <c r="C2840" i="3"/>
  <c r="C2838" i="3"/>
  <c r="C2837" i="3"/>
  <c r="G2832" i="3"/>
  <c r="C2832" i="3"/>
  <c r="G2831" i="3"/>
  <c r="L2840" i="3" s="1"/>
  <c r="E2830" i="3"/>
  <c r="J2817" i="3"/>
  <c r="C2817" i="3"/>
  <c r="J2816" i="3"/>
  <c r="C2816" i="3"/>
  <c r="J2815" i="3"/>
  <c r="C2815" i="3"/>
  <c r="J2814" i="3"/>
  <c r="I2814" i="3"/>
  <c r="C2814" i="3"/>
  <c r="C2813" i="3"/>
  <c r="J2812" i="3"/>
  <c r="C2812" i="3"/>
  <c r="J2811" i="3"/>
  <c r="C2811" i="3"/>
  <c r="C2809" i="3"/>
  <c r="C2807" i="3"/>
  <c r="C2806" i="3"/>
  <c r="G2801" i="3"/>
  <c r="C2801" i="3"/>
  <c r="G2800" i="3"/>
  <c r="L2809" i="3" s="1"/>
  <c r="E2799" i="3"/>
  <c r="J2787" i="3"/>
  <c r="C2787" i="3"/>
  <c r="J2786" i="3"/>
  <c r="C2786" i="3"/>
  <c r="J2785" i="3"/>
  <c r="C2785" i="3"/>
  <c r="J2784" i="3"/>
  <c r="I2784" i="3"/>
  <c r="C2784" i="3"/>
  <c r="C2783" i="3"/>
  <c r="J2782" i="3"/>
  <c r="C2782" i="3"/>
  <c r="J2781" i="3"/>
  <c r="C2781" i="3"/>
  <c r="C2779" i="3"/>
  <c r="C2777" i="3"/>
  <c r="C2776" i="3"/>
  <c r="G2771" i="3"/>
  <c r="C2771" i="3"/>
  <c r="G2770" i="3"/>
  <c r="L2779" i="3" s="1"/>
  <c r="E2769" i="3"/>
  <c r="J2757" i="3"/>
  <c r="C2757" i="3"/>
  <c r="J2756" i="3"/>
  <c r="C2756" i="3"/>
  <c r="J2755" i="3"/>
  <c r="C2755" i="3"/>
  <c r="J2754" i="3"/>
  <c r="I2754" i="3"/>
  <c r="C2754" i="3"/>
  <c r="C2753" i="3"/>
  <c r="J2752" i="3"/>
  <c r="C2752" i="3"/>
  <c r="J2751" i="3"/>
  <c r="C2751" i="3"/>
  <c r="C2749" i="3"/>
  <c r="C2747" i="3"/>
  <c r="C2746" i="3"/>
  <c r="G2741" i="3"/>
  <c r="C2741" i="3"/>
  <c r="G2740" i="3"/>
  <c r="L2749" i="3" s="1"/>
  <c r="E2739" i="3"/>
  <c r="J2728" i="3"/>
  <c r="C2728" i="3"/>
  <c r="J2727" i="3"/>
  <c r="C2727" i="3"/>
  <c r="J2726" i="3"/>
  <c r="C2726" i="3"/>
  <c r="J2725" i="3"/>
  <c r="I2725" i="3"/>
  <c r="C2725" i="3"/>
  <c r="C2724" i="3"/>
  <c r="J2723" i="3"/>
  <c r="C2723" i="3"/>
  <c r="J2722" i="3"/>
  <c r="C2722" i="3"/>
  <c r="C2720" i="3"/>
  <c r="C2718" i="3"/>
  <c r="C2717" i="3"/>
  <c r="G2712" i="3"/>
  <c r="C2712" i="3"/>
  <c r="G2711" i="3"/>
  <c r="L2720" i="3" s="1"/>
  <c r="E2710" i="3"/>
  <c r="J2698" i="3"/>
  <c r="C2698" i="3"/>
  <c r="J2697" i="3"/>
  <c r="C2697" i="3"/>
  <c r="J2696" i="3"/>
  <c r="C2696" i="3"/>
  <c r="J2695" i="3"/>
  <c r="I2695" i="3"/>
  <c r="C2695" i="3"/>
  <c r="C2694" i="3"/>
  <c r="J2693" i="3"/>
  <c r="C2693" i="3"/>
  <c r="J2692" i="3"/>
  <c r="C2692" i="3"/>
  <c r="C2690" i="3"/>
  <c r="C2688" i="3"/>
  <c r="C2687" i="3"/>
  <c r="G2682" i="3"/>
  <c r="C2682" i="3"/>
  <c r="G2681" i="3"/>
  <c r="L2690" i="3" s="1"/>
  <c r="E2680" i="3"/>
  <c r="J2668" i="3"/>
  <c r="C2668" i="3"/>
  <c r="J2667" i="3"/>
  <c r="C2667" i="3"/>
  <c r="J2666" i="3"/>
  <c r="C2666" i="3"/>
  <c r="J2665" i="3"/>
  <c r="I2665" i="3"/>
  <c r="C2665" i="3"/>
  <c r="C2664" i="3"/>
  <c r="J2663" i="3"/>
  <c r="C2663" i="3"/>
  <c r="J2662" i="3"/>
  <c r="C2662" i="3"/>
  <c r="C2660" i="3"/>
  <c r="C2658" i="3"/>
  <c r="C2657" i="3"/>
  <c r="G2652" i="3"/>
  <c r="C2652" i="3"/>
  <c r="G2651" i="3"/>
  <c r="L2660" i="3" s="1"/>
  <c r="E2650" i="3"/>
  <c r="J2639" i="3"/>
  <c r="C2639" i="3"/>
  <c r="J2638" i="3"/>
  <c r="C2638" i="3"/>
  <c r="J2637" i="3"/>
  <c r="C2637" i="3"/>
  <c r="J2636" i="3"/>
  <c r="I2636" i="3"/>
  <c r="C2636" i="3"/>
  <c r="C2635" i="3"/>
  <c r="J2634" i="3"/>
  <c r="C2634" i="3"/>
  <c r="J2633" i="3"/>
  <c r="C2633" i="3"/>
  <c r="C2631" i="3"/>
  <c r="C2629" i="3"/>
  <c r="C2628" i="3"/>
  <c r="G2623" i="3"/>
  <c r="G2622" i="3"/>
  <c r="L2631" i="3" s="1"/>
  <c r="E2621" i="3"/>
  <c r="J2609" i="3"/>
  <c r="C2609" i="3"/>
  <c r="J2608" i="3"/>
  <c r="C2608" i="3"/>
  <c r="J2607" i="3"/>
  <c r="C2607" i="3"/>
  <c r="J2606" i="3"/>
  <c r="I2606" i="3"/>
  <c r="C2606" i="3"/>
  <c r="C2605" i="3"/>
  <c r="J2604" i="3"/>
  <c r="C2604" i="3"/>
  <c r="J2603" i="3"/>
  <c r="C2603" i="3"/>
  <c r="C2601" i="3"/>
  <c r="C2599" i="3"/>
  <c r="C2598" i="3"/>
  <c r="G2593" i="3"/>
  <c r="C2593" i="3"/>
  <c r="G2592" i="3"/>
  <c r="L2601" i="3" s="1"/>
  <c r="E2591" i="3"/>
  <c r="J2579" i="3"/>
  <c r="C2579" i="3"/>
  <c r="J2578" i="3"/>
  <c r="C2578" i="3"/>
  <c r="J2577" i="3"/>
  <c r="C2577" i="3"/>
  <c r="J2576" i="3"/>
  <c r="I2576" i="3"/>
  <c r="C2576" i="3"/>
  <c r="C2575" i="3"/>
  <c r="J2574" i="3"/>
  <c r="C2574" i="3"/>
  <c r="J2573" i="3"/>
  <c r="C2573" i="3"/>
  <c r="C2571" i="3"/>
  <c r="C2569" i="3"/>
  <c r="C2568" i="3"/>
  <c r="G2563" i="3"/>
  <c r="C2563" i="3"/>
  <c r="G2562" i="3"/>
  <c r="L2571" i="3" s="1"/>
  <c r="E2561" i="3"/>
  <c r="J2548" i="3"/>
  <c r="C2548" i="3"/>
  <c r="J2547" i="3"/>
  <c r="C2547" i="3"/>
  <c r="J2546" i="3"/>
  <c r="C2546" i="3"/>
  <c r="J2545" i="3"/>
  <c r="I2545" i="3"/>
  <c r="C2545" i="3"/>
  <c r="C2544" i="3"/>
  <c r="C2543" i="3"/>
  <c r="J2542" i="3"/>
  <c r="C2542" i="3"/>
  <c r="C2540" i="3"/>
  <c r="C2538" i="3"/>
  <c r="C2537" i="3"/>
  <c r="C2535" i="3"/>
  <c r="G2532" i="3"/>
  <c r="C2532" i="3"/>
  <c r="G2531" i="3"/>
  <c r="L2540" i="3" s="1"/>
  <c r="E2530" i="3"/>
  <c r="J2517" i="3"/>
  <c r="C2517" i="3"/>
  <c r="C2516" i="3"/>
  <c r="C2515" i="3"/>
  <c r="C2514" i="3"/>
  <c r="C2513" i="3"/>
  <c r="C2512" i="3"/>
  <c r="C2511" i="3"/>
  <c r="C2509" i="3"/>
  <c r="C2507" i="3"/>
  <c r="C2506" i="3"/>
  <c r="G2501" i="3"/>
  <c r="G2500" i="3"/>
  <c r="L2509" i="3" s="1"/>
  <c r="E2499" i="3"/>
  <c r="J2486" i="3"/>
  <c r="C2486" i="3"/>
  <c r="J2485" i="3"/>
  <c r="C2485" i="3"/>
  <c r="J2484" i="3"/>
  <c r="C2484" i="3"/>
  <c r="J2483" i="3"/>
  <c r="I2483" i="3"/>
  <c r="C2483" i="3"/>
  <c r="C2482" i="3"/>
  <c r="J2481" i="3"/>
  <c r="C2481" i="3"/>
  <c r="J2480" i="3"/>
  <c r="C2480" i="3"/>
  <c r="C2478" i="3"/>
  <c r="C2476" i="3"/>
  <c r="C2475" i="3"/>
  <c r="G2470" i="3"/>
  <c r="G2469" i="3"/>
  <c r="L2478" i="3" s="1"/>
  <c r="E2468" i="3"/>
  <c r="J2456" i="3"/>
  <c r="C2456" i="3"/>
  <c r="J2455" i="3"/>
  <c r="C2455" i="3"/>
  <c r="J2454" i="3"/>
  <c r="C2454" i="3"/>
  <c r="J2453" i="3"/>
  <c r="I2453" i="3"/>
  <c r="C2453" i="3"/>
  <c r="C2452" i="3"/>
  <c r="C2451" i="3"/>
  <c r="J2450" i="3"/>
  <c r="C2450" i="3"/>
  <c r="C2448" i="3"/>
  <c r="C2446" i="3"/>
  <c r="C2445" i="3"/>
  <c r="G2440" i="3"/>
  <c r="G2439" i="3"/>
  <c r="L2448" i="3" s="1"/>
  <c r="E2438" i="3"/>
  <c r="J2426" i="3"/>
  <c r="C2426" i="3"/>
  <c r="J2425" i="3"/>
  <c r="C2425" i="3"/>
  <c r="J2424" i="3"/>
  <c r="C2424" i="3"/>
  <c r="J2423" i="3"/>
  <c r="I2423" i="3"/>
  <c r="C2423" i="3"/>
  <c r="C2422" i="3"/>
  <c r="C2421" i="3"/>
  <c r="J2420" i="3"/>
  <c r="C2420" i="3"/>
  <c r="C2418" i="3"/>
  <c r="C2416" i="3"/>
  <c r="C2415" i="3"/>
  <c r="G2410" i="3"/>
  <c r="G2409" i="3"/>
  <c r="L2418" i="3" s="1"/>
  <c r="E2408" i="3"/>
  <c r="J2396" i="3"/>
  <c r="C2396" i="3"/>
  <c r="J2395" i="3"/>
  <c r="C2395" i="3"/>
  <c r="J2394" i="3"/>
  <c r="C2394" i="3"/>
  <c r="J2393" i="3"/>
  <c r="I2393" i="3"/>
  <c r="C2393" i="3"/>
  <c r="C2392" i="3"/>
  <c r="J2391" i="3"/>
  <c r="C2391" i="3"/>
  <c r="J2390" i="3"/>
  <c r="C2390" i="3"/>
  <c r="C2388" i="3"/>
  <c r="C2386" i="3"/>
  <c r="C2385" i="3"/>
  <c r="G2380" i="3"/>
  <c r="C2380" i="3"/>
  <c r="G2379" i="3"/>
  <c r="L2388" i="3" s="1"/>
  <c r="E2378" i="3"/>
  <c r="J2366" i="3"/>
  <c r="C2366" i="3"/>
  <c r="J2365" i="3"/>
  <c r="C2365" i="3"/>
  <c r="J2364" i="3"/>
  <c r="C2364" i="3"/>
  <c r="J2363" i="3"/>
  <c r="I2363" i="3"/>
  <c r="C2363" i="3"/>
  <c r="C2362" i="3"/>
  <c r="J2361" i="3"/>
  <c r="C2361" i="3"/>
  <c r="J2360" i="3"/>
  <c r="C2360" i="3"/>
  <c r="C2358" i="3"/>
  <c r="C2356" i="3"/>
  <c r="C2355" i="3"/>
  <c r="G2350" i="3"/>
  <c r="C2350" i="3"/>
  <c r="G2349" i="3"/>
  <c r="L2358" i="3" s="1"/>
  <c r="E2348" i="3"/>
  <c r="J2336" i="3"/>
  <c r="C2336" i="3"/>
  <c r="J2335" i="3"/>
  <c r="C2335" i="3"/>
  <c r="J2334" i="3"/>
  <c r="C2334" i="3"/>
  <c r="J2333" i="3"/>
  <c r="I2333" i="3"/>
  <c r="C2333" i="3"/>
  <c r="C2332" i="3"/>
  <c r="C2331" i="3"/>
  <c r="J2330" i="3"/>
  <c r="C2330" i="3"/>
  <c r="C2328" i="3"/>
  <c r="C2326" i="3"/>
  <c r="C2325" i="3"/>
  <c r="C2323" i="3"/>
  <c r="G2320" i="3"/>
  <c r="C2320" i="3"/>
  <c r="G2319" i="3"/>
  <c r="L2328" i="3" s="1"/>
  <c r="E2318" i="3"/>
  <c r="J2306" i="3"/>
  <c r="C2306" i="3"/>
  <c r="J2305" i="3"/>
  <c r="C2305" i="3"/>
  <c r="J2304" i="3"/>
  <c r="C2304" i="3"/>
  <c r="J2303" i="3"/>
  <c r="I2303" i="3"/>
  <c r="C2303" i="3"/>
  <c r="C2302" i="3"/>
  <c r="C2301" i="3"/>
  <c r="J2300" i="3"/>
  <c r="C2300" i="3"/>
  <c r="C2298" i="3"/>
  <c r="C2296" i="3"/>
  <c r="C2295" i="3"/>
  <c r="G2290" i="3"/>
  <c r="G2289" i="3"/>
  <c r="L2298" i="3" s="1"/>
  <c r="E2288" i="3"/>
  <c r="J2276" i="3"/>
  <c r="C2276" i="3"/>
  <c r="J2275" i="3"/>
  <c r="C2275" i="3"/>
  <c r="J2274" i="3"/>
  <c r="C2274" i="3"/>
  <c r="J2273" i="3"/>
  <c r="I2273" i="3"/>
  <c r="C2273" i="3"/>
  <c r="C2272" i="3"/>
  <c r="C2271" i="3"/>
  <c r="J2270" i="3"/>
  <c r="C2270" i="3"/>
  <c r="C2268" i="3"/>
  <c r="C2266" i="3"/>
  <c r="C2265" i="3"/>
  <c r="G2260" i="3"/>
  <c r="G2259" i="3"/>
  <c r="L2268" i="3" s="1"/>
  <c r="E2258" i="3"/>
  <c r="J2216" i="3"/>
  <c r="C2216" i="3"/>
  <c r="J2215" i="3"/>
  <c r="C2215" i="3"/>
  <c r="J2214" i="3"/>
  <c r="C2214" i="3"/>
  <c r="J2213" i="3"/>
  <c r="C2213" i="3"/>
  <c r="C2212" i="3"/>
  <c r="J2211" i="3"/>
  <c r="C2211" i="3"/>
  <c r="J2210" i="3"/>
  <c r="C2210" i="3"/>
  <c r="C2208" i="3"/>
  <c r="C2206" i="3"/>
  <c r="C2205" i="3"/>
  <c r="G2200" i="3"/>
  <c r="C2200" i="3"/>
  <c r="G2199" i="3"/>
  <c r="L2208" i="3" s="1"/>
  <c r="E2198" i="3"/>
  <c r="J2186" i="3"/>
  <c r="C2186" i="3"/>
  <c r="J2185" i="3"/>
  <c r="C2185" i="3"/>
  <c r="J2184" i="3"/>
  <c r="C2184" i="3"/>
  <c r="J2183" i="3"/>
  <c r="C2183" i="3"/>
  <c r="C2182" i="3"/>
  <c r="J2181" i="3"/>
  <c r="C2181" i="3"/>
  <c r="J2180" i="3"/>
  <c r="C2180" i="3"/>
  <c r="C2178" i="3"/>
  <c r="C2177" i="3"/>
  <c r="C2176" i="3"/>
  <c r="C2175" i="3"/>
  <c r="C2173" i="3"/>
  <c r="G2170" i="3"/>
  <c r="C2170" i="3"/>
  <c r="G2169" i="3"/>
  <c r="L2178" i="3" s="1"/>
  <c r="E2168" i="3"/>
  <c r="J2156" i="3"/>
  <c r="C2156" i="3"/>
  <c r="J2155" i="3"/>
  <c r="C2155" i="3"/>
  <c r="J2154" i="3"/>
  <c r="C2154" i="3"/>
  <c r="J2153" i="3"/>
  <c r="I2153" i="3"/>
  <c r="C2153" i="3"/>
  <c r="C2152" i="3"/>
  <c r="J2151" i="3"/>
  <c r="C2151" i="3"/>
  <c r="J2150" i="3"/>
  <c r="C2150" i="3"/>
  <c r="C2148" i="3"/>
  <c r="C2146" i="3"/>
  <c r="C2145" i="3"/>
  <c r="G2140" i="3"/>
  <c r="C2140" i="3"/>
  <c r="G2139" i="3"/>
  <c r="L2148" i="3" s="1"/>
  <c r="E2138" i="3"/>
  <c r="J2096" i="3"/>
  <c r="C2096" i="3"/>
  <c r="J2095" i="3"/>
  <c r="C2095" i="3"/>
  <c r="J2094" i="3"/>
  <c r="C2094" i="3"/>
  <c r="J2093" i="3"/>
  <c r="I2093" i="3"/>
  <c r="C2093" i="3"/>
  <c r="C2092" i="3"/>
  <c r="J2091" i="3"/>
  <c r="C2091" i="3"/>
  <c r="J2090" i="3"/>
  <c r="C2090" i="3"/>
  <c r="C2088" i="3"/>
  <c r="C2086" i="3"/>
  <c r="C2085" i="3"/>
  <c r="G2080" i="3"/>
  <c r="G2079" i="3"/>
  <c r="L2088" i="3" s="1"/>
  <c r="E2078" i="3"/>
  <c r="J2066" i="3"/>
  <c r="C2066" i="3"/>
  <c r="J2065" i="3"/>
  <c r="C2065" i="3"/>
  <c r="J2064" i="3"/>
  <c r="C2064" i="3"/>
  <c r="J2063" i="3"/>
  <c r="I2063" i="3"/>
  <c r="C2063" i="3"/>
  <c r="C2062" i="3"/>
  <c r="J2061" i="3"/>
  <c r="C2061" i="3"/>
  <c r="J2060" i="3"/>
  <c r="C2060" i="3"/>
  <c r="C2058" i="3"/>
  <c r="C2056" i="3"/>
  <c r="C2055" i="3"/>
  <c r="G2050" i="3"/>
  <c r="G2049" i="3"/>
  <c r="L2058" i="3" s="1"/>
  <c r="E2048" i="3"/>
  <c r="J2036" i="3"/>
  <c r="C2036" i="3"/>
  <c r="J2035" i="3"/>
  <c r="C2035" i="3"/>
  <c r="J2034" i="3"/>
  <c r="C2034" i="3"/>
  <c r="J2033" i="3"/>
  <c r="I2033" i="3"/>
  <c r="C2033" i="3"/>
  <c r="C2032" i="3"/>
  <c r="J2031" i="3"/>
  <c r="C2031" i="3"/>
  <c r="J2030" i="3"/>
  <c r="C2030" i="3"/>
  <c r="C2028" i="3"/>
  <c r="C2026" i="3"/>
  <c r="C2025" i="3"/>
  <c r="G2020" i="3"/>
  <c r="C2020" i="3"/>
  <c r="G2019" i="3"/>
  <c r="L2028" i="3" s="1"/>
  <c r="E2018" i="3"/>
  <c r="J1976" i="3"/>
  <c r="C1976" i="3"/>
  <c r="J1975" i="3"/>
  <c r="C1975" i="3"/>
  <c r="J1974" i="3"/>
  <c r="C1974" i="3"/>
  <c r="J1973" i="3"/>
  <c r="I1973" i="3"/>
  <c r="C1973" i="3"/>
  <c r="C1972" i="3"/>
  <c r="C1971" i="3"/>
  <c r="J1970" i="3"/>
  <c r="C1970" i="3"/>
  <c r="C1968" i="3"/>
  <c r="C1966" i="3"/>
  <c r="C1965" i="3"/>
  <c r="G1960" i="3"/>
  <c r="C1960" i="3"/>
  <c r="G1959" i="3"/>
  <c r="L1968" i="3" s="1"/>
  <c r="E1958" i="3"/>
  <c r="J1946" i="3"/>
  <c r="C1946" i="3"/>
  <c r="J1945" i="3"/>
  <c r="C1945" i="3"/>
  <c r="J1944" i="3"/>
  <c r="C1944" i="3"/>
  <c r="J1943" i="3"/>
  <c r="I1943" i="3"/>
  <c r="C1943" i="3"/>
  <c r="C1942" i="3"/>
  <c r="C1941" i="3"/>
  <c r="J1940" i="3"/>
  <c r="C1940" i="3"/>
  <c r="C1938" i="3"/>
  <c r="C1936" i="3"/>
  <c r="C1935" i="3"/>
  <c r="G1930" i="3"/>
  <c r="G1929" i="3"/>
  <c r="L1938" i="3" s="1"/>
  <c r="E1928" i="3"/>
  <c r="J1916" i="3"/>
  <c r="C1916" i="3"/>
  <c r="J1915" i="3"/>
  <c r="C1915" i="3"/>
  <c r="J1914" i="3"/>
  <c r="C1914" i="3"/>
  <c r="J1913" i="3"/>
  <c r="I1913" i="3"/>
  <c r="C1913" i="3"/>
  <c r="C1912" i="3"/>
  <c r="C1911" i="3"/>
  <c r="J1910" i="3"/>
  <c r="C1910" i="3"/>
  <c r="C1908" i="3"/>
  <c r="C1906" i="3"/>
  <c r="C1905" i="3"/>
  <c r="G1900" i="3"/>
  <c r="G1899" i="3"/>
  <c r="L1908" i="3" s="1"/>
  <c r="E1898" i="3"/>
  <c r="J1886" i="3"/>
  <c r="C1886" i="3"/>
  <c r="J1885" i="3"/>
  <c r="C1885" i="3"/>
  <c r="J1884" i="3"/>
  <c r="C1884" i="3"/>
  <c r="J1883" i="3"/>
  <c r="I1883" i="3"/>
  <c r="C1883" i="3"/>
  <c r="C1882" i="3"/>
  <c r="J1881" i="3"/>
  <c r="C1881" i="3"/>
  <c r="J1880" i="3"/>
  <c r="C1880" i="3"/>
  <c r="C1878" i="3"/>
  <c r="C1876" i="3"/>
  <c r="C1875" i="3"/>
  <c r="G1870" i="3"/>
  <c r="C1870" i="3"/>
  <c r="G1869" i="3"/>
  <c r="L1878" i="3" s="1"/>
  <c r="E1868" i="3"/>
  <c r="J1824" i="3"/>
  <c r="C1824" i="3"/>
  <c r="J1823" i="3"/>
  <c r="C1823" i="3"/>
  <c r="J1822" i="3"/>
  <c r="C1822" i="3"/>
  <c r="J1821" i="3"/>
  <c r="I1821" i="3"/>
  <c r="C1821" i="3"/>
  <c r="C1820" i="3"/>
  <c r="J1819" i="3"/>
  <c r="C1819" i="3"/>
  <c r="J1818" i="3"/>
  <c r="C1818" i="3"/>
  <c r="C1816" i="3"/>
  <c r="C1814" i="3"/>
  <c r="C1813" i="3"/>
  <c r="G1808" i="3"/>
  <c r="G1807" i="3"/>
  <c r="L1816" i="3" s="1"/>
  <c r="E1806" i="3"/>
  <c r="J1794" i="3"/>
  <c r="C1794" i="3"/>
  <c r="J1793" i="3"/>
  <c r="C1793" i="3"/>
  <c r="J1792" i="3"/>
  <c r="C1792" i="3"/>
  <c r="J1791" i="3"/>
  <c r="I1791" i="3"/>
  <c r="C1791" i="3"/>
  <c r="C1790" i="3"/>
  <c r="J1789" i="3"/>
  <c r="C1789" i="3"/>
  <c r="J1788" i="3"/>
  <c r="C1788" i="3"/>
  <c r="C1786" i="3"/>
  <c r="C1784" i="3"/>
  <c r="C1783" i="3"/>
  <c r="G1778" i="3"/>
  <c r="G1777" i="3"/>
  <c r="L1786" i="3" s="1"/>
  <c r="E1776" i="3"/>
  <c r="J1764" i="3"/>
  <c r="C1764" i="3"/>
  <c r="J1763" i="3"/>
  <c r="C1763" i="3"/>
  <c r="J1762" i="3"/>
  <c r="C1762" i="3"/>
  <c r="J1761" i="3"/>
  <c r="I1761" i="3"/>
  <c r="C1761" i="3"/>
  <c r="C1760" i="3"/>
  <c r="J1759" i="3"/>
  <c r="C1759" i="3"/>
  <c r="J1758" i="3"/>
  <c r="C1758" i="3"/>
  <c r="C1756" i="3"/>
  <c r="C1754" i="3"/>
  <c r="C1753" i="3"/>
  <c r="G1748" i="3"/>
  <c r="C1748" i="3"/>
  <c r="G1747" i="3"/>
  <c r="L1756" i="3" s="1"/>
  <c r="E1746" i="3"/>
  <c r="J1733" i="3"/>
  <c r="C1733" i="3"/>
  <c r="J1732" i="3"/>
  <c r="C1732" i="3"/>
  <c r="J1731" i="3"/>
  <c r="C1731" i="3"/>
  <c r="J1730" i="3"/>
  <c r="I1730" i="3"/>
  <c r="C1730" i="3"/>
  <c r="C1729" i="3"/>
  <c r="J1728" i="3"/>
  <c r="C1728" i="3"/>
  <c r="J1727" i="3"/>
  <c r="C1727" i="3"/>
  <c r="C1725" i="3"/>
  <c r="C1723" i="3"/>
  <c r="C1722" i="3"/>
  <c r="G1717" i="3"/>
  <c r="C1717" i="3"/>
  <c r="G1716" i="3"/>
  <c r="L1725" i="3" s="1"/>
  <c r="E1715" i="3"/>
  <c r="J1673" i="3"/>
  <c r="C1673" i="3"/>
  <c r="J1672" i="3"/>
  <c r="C1672" i="3"/>
  <c r="J1671" i="3"/>
  <c r="C1671" i="3"/>
  <c r="J1670" i="3"/>
  <c r="I1670" i="3"/>
  <c r="C1670" i="3"/>
  <c r="C1669" i="3"/>
  <c r="J1668" i="3"/>
  <c r="C1668" i="3"/>
  <c r="J1667" i="3"/>
  <c r="C1667" i="3"/>
  <c r="C1665" i="3"/>
  <c r="C1663" i="3"/>
  <c r="C1662" i="3"/>
  <c r="G1657" i="3"/>
  <c r="C1657" i="3"/>
  <c r="G1656" i="3"/>
  <c r="L1665" i="3" s="1"/>
  <c r="E1655" i="3"/>
  <c r="J1643" i="3"/>
  <c r="C1643" i="3"/>
  <c r="J1642" i="3"/>
  <c r="C1642" i="3"/>
  <c r="J1641" i="3"/>
  <c r="C1641" i="3"/>
  <c r="J1640" i="3"/>
  <c r="I1640" i="3"/>
  <c r="C1640" i="3"/>
  <c r="C1639" i="3"/>
  <c r="C1638" i="3"/>
  <c r="J1637" i="3"/>
  <c r="C1637" i="3"/>
  <c r="C1635" i="3"/>
  <c r="C1633" i="3"/>
  <c r="C1632" i="3"/>
  <c r="C1630" i="3"/>
  <c r="G1627" i="3"/>
  <c r="C1627" i="3"/>
  <c r="G1626" i="3"/>
  <c r="L1635" i="3" s="1"/>
  <c r="E1625" i="3"/>
  <c r="J1612" i="3"/>
  <c r="C1612" i="3"/>
  <c r="J1611" i="3"/>
  <c r="C1611" i="3"/>
  <c r="J1610" i="3"/>
  <c r="C1610" i="3"/>
  <c r="J1609" i="3"/>
  <c r="I1609" i="3"/>
  <c r="C1609" i="3"/>
  <c r="C1608" i="3"/>
  <c r="C1607" i="3"/>
  <c r="J1606" i="3"/>
  <c r="C1606" i="3"/>
  <c r="C1604" i="3"/>
  <c r="C1602" i="3"/>
  <c r="C1601" i="3"/>
  <c r="G1596" i="3"/>
  <c r="G1595" i="3"/>
  <c r="L1604" i="3" s="1"/>
  <c r="E1594" i="3"/>
  <c r="J1581" i="3"/>
  <c r="C1581" i="3"/>
  <c r="J1580" i="3"/>
  <c r="C1580" i="3"/>
  <c r="J1579" i="3"/>
  <c r="C1579" i="3"/>
  <c r="J1578" i="3"/>
  <c r="I1578" i="3"/>
  <c r="C1578" i="3"/>
  <c r="C1577" i="3"/>
  <c r="J1576" i="3"/>
  <c r="C1576" i="3"/>
  <c r="J1575" i="3"/>
  <c r="C1575" i="3"/>
  <c r="C1573" i="3"/>
  <c r="C1571" i="3"/>
  <c r="C1570" i="3"/>
  <c r="G1565" i="3"/>
  <c r="G1564" i="3"/>
  <c r="L1573" i="3" s="1"/>
  <c r="E1563" i="3"/>
  <c r="J1518" i="3"/>
  <c r="C1518" i="3"/>
  <c r="C1517" i="3"/>
  <c r="C1516" i="3"/>
  <c r="C1515" i="3"/>
  <c r="C1514" i="3"/>
  <c r="C1513" i="3"/>
  <c r="C1512" i="3"/>
  <c r="C1510" i="3"/>
  <c r="C1508" i="3"/>
  <c r="C1507" i="3"/>
  <c r="C1505" i="3"/>
  <c r="G1502" i="3"/>
  <c r="G1501" i="3"/>
  <c r="L1510" i="3" s="1"/>
  <c r="E1500" i="3"/>
  <c r="J1487" i="3"/>
  <c r="C1487" i="3"/>
  <c r="J1486" i="3"/>
  <c r="C1486" i="3"/>
  <c r="J1485" i="3"/>
  <c r="C1485" i="3"/>
  <c r="J1365" i="3"/>
  <c r="C1365" i="3"/>
  <c r="J1364" i="3"/>
  <c r="C1364" i="3"/>
  <c r="J1363" i="3"/>
  <c r="C1363" i="3"/>
  <c r="J1362" i="3"/>
  <c r="I1362" i="3"/>
  <c r="C1362" i="3"/>
  <c r="C1361" i="3"/>
  <c r="C1360" i="3"/>
  <c r="J1359" i="3"/>
  <c r="C1359" i="3"/>
  <c r="C1357" i="3"/>
  <c r="C1355" i="3"/>
  <c r="C1354" i="3"/>
  <c r="G1349" i="3"/>
  <c r="C1349" i="3"/>
  <c r="G1348" i="3"/>
  <c r="L1357" i="3" s="1"/>
  <c r="E1347" i="3"/>
  <c r="J1334" i="3"/>
  <c r="C1334" i="3"/>
  <c r="J1333" i="3"/>
  <c r="C1333" i="3"/>
  <c r="J1332" i="3"/>
  <c r="C1332" i="3"/>
  <c r="J1331" i="3"/>
  <c r="I1331" i="3"/>
  <c r="C1331" i="3"/>
  <c r="C1330" i="3"/>
  <c r="C1329" i="3"/>
  <c r="J1328" i="3"/>
  <c r="C1328" i="3"/>
  <c r="C1326" i="3"/>
  <c r="C1324" i="3"/>
  <c r="C1323" i="3"/>
  <c r="C1321" i="3"/>
  <c r="G1318" i="3"/>
  <c r="C1318" i="3"/>
  <c r="G1317" i="3"/>
  <c r="L1326" i="3" s="1"/>
  <c r="E1316" i="3"/>
  <c r="J1303" i="3"/>
  <c r="C1303" i="3"/>
  <c r="J1302" i="3"/>
  <c r="C1302" i="3"/>
  <c r="J1301" i="3"/>
  <c r="C1301" i="3"/>
  <c r="J1300" i="3"/>
  <c r="I1300" i="3"/>
  <c r="C1300" i="3"/>
  <c r="C1299" i="3"/>
  <c r="C1298" i="3"/>
  <c r="J1297" i="3"/>
  <c r="C1297" i="3"/>
  <c r="C1295" i="3"/>
  <c r="C1293" i="3"/>
  <c r="C1292" i="3"/>
  <c r="G1287" i="3"/>
  <c r="C1287" i="3"/>
  <c r="G1286" i="3"/>
  <c r="L1295" i="3" s="1"/>
  <c r="E1285" i="3"/>
  <c r="J1272" i="3"/>
  <c r="C1272" i="3"/>
  <c r="J1271" i="3"/>
  <c r="C1271" i="3"/>
  <c r="J1270" i="3"/>
  <c r="C1270" i="3"/>
  <c r="J1269" i="3"/>
  <c r="I1269" i="3"/>
  <c r="C1269" i="3"/>
  <c r="C1268" i="3"/>
  <c r="J1267" i="3"/>
  <c r="C1267" i="3"/>
  <c r="J1266" i="3"/>
  <c r="C1266" i="3"/>
  <c r="C1264" i="3"/>
  <c r="C1262" i="3"/>
  <c r="C1261" i="3"/>
  <c r="G1256" i="3"/>
  <c r="C1256" i="3"/>
  <c r="G1255" i="3"/>
  <c r="L1264" i="3" s="1"/>
  <c r="E1254" i="3"/>
  <c r="J1243" i="3"/>
  <c r="C1243" i="3"/>
  <c r="J1242" i="3"/>
  <c r="C1242" i="3"/>
  <c r="J1241" i="3"/>
  <c r="C1241" i="3"/>
  <c r="J1240" i="3"/>
  <c r="I1240" i="3"/>
  <c r="C1240" i="3"/>
  <c r="C1239" i="3"/>
  <c r="J1238" i="3"/>
  <c r="C1238" i="3"/>
  <c r="J1237" i="3"/>
  <c r="C1237" i="3"/>
  <c r="C1235" i="3"/>
  <c r="C1233" i="3"/>
  <c r="C1232" i="3"/>
  <c r="G1227" i="3"/>
  <c r="G1226" i="3"/>
  <c r="L1235" i="3" s="1"/>
  <c r="E1225" i="3"/>
  <c r="J1214" i="3"/>
  <c r="C1214" i="3"/>
  <c r="J1213" i="3"/>
  <c r="C1213" i="3"/>
  <c r="J1212" i="3"/>
  <c r="C1212" i="3"/>
  <c r="J1211" i="3"/>
  <c r="I1211" i="3"/>
  <c r="C1211" i="3"/>
  <c r="C1210" i="3"/>
  <c r="J1209" i="3"/>
  <c r="C1209" i="3"/>
  <c r="J1208" i="3"/>
  <c r="C1208" i="3"/>
  <c r="C1206" i="3"/>
  <c r="C1204" i="3"/>
  <c r="C1203" i="3"/>
  <c r="G1198" i="3"/>
  <c r="C1198" i="3"/>
  <c r="G1197" i="3"/>
  <c r="L1206" i="3" s="1"/>
  <c r="E1196" i="3"/>
  <c r="J1182" i="3"/>
  <c r="C1182" i="3"/>
  <c r="J1181" i="3"/>
  <c r="C1181" i="3"/>
  <c r="J1180" i="3"/>
  <c r="C1180" i="3"/>
  <c r="J1179" i="3"/>
  <c r="I1179" i="3"/>
  <c r="C1179" i="3"/>
  <c r="C1178" i="3"/>
  <c r="J1177" i="3"/>
  <c r="C1177" i="3"/>
  <c r="J1176" i="3"/>
  <c r="C1176" i="3"/>
  <c r="C1174" i="3"/>
  <c r="C1172" i="3"/>
  <c r="C1171" i="3"/>
  <c r="G1166" i="3"/>
  <c r="C1166" i="3"/>
  <c r="G1165" i="3"/>
  <c r="L1174" i="3" s="1"/>
  <c r="E1164" i="3"/>
  <c r="J1152" i="3"/>
  <c r="C1152" i="3"/>
  <c r="J1151" i="3"/>
  <c r="C1151" i="3"/>
  <c r="J1150" i="3"/>
  <c r="C1150" i="3"/>
  <c r="J1149" i="3"/>
  <c r="I1149" i="3"/>
  <c r="C1149" i="3"/>
  <c r="C1148" i="3"/>
  <c r="J1147" i="3"/>
  <c r="C1147" i="3"/>
  <c r="J1146" i="3"/>
  <c r="C1146" i="3"/>
  <c r="C1144" i="3"/>
  <c r="C1142" i="3"/>
  <c r="C1141" i="3"/>
  <c r="G1136" i="3"/>
  <c r="C1136" i="3"/>
  <c r="G1135" i="3"/>
  <c r="L1144" i="3" s="1"/>
  <c r="E1134" i="3"/>
  <c r="J1090" i="3"/>
  <c r="C1090" i="3"/>
  <c r="J1089" i="3"/>
  <c r="C1089" i="3"/>
  <c r="J1088" i="3"/>
  <c r="C1088" i="3"/>
  <c r="J1087" i="3"/>
  <c r="I1087" i="3"/>
  <c r="C1087" i="3"/>
  <c r="C1086" i="3"/>
  <c r="J1085" i="3"/>
  <c r="C1085" i="3"/>
  <c r="J1084" i="3"/>
  <c r="C1084" i="3"/>
  <c r="C1082" i="3"/>
  <c r="C1080" i="3"/>
  <c r="C1079" i="3"/>
  <c r="G1074" i="3"/>
  <c r="G1073" i="3"/>
  <c r="L1082" i="3" s="1"/>
  <c r="E1072" i="3"/>
  <c r="J1059" i="3"/>
  <c r="C1059" i="3"/>
  <c r="J1058" i="3"/>
  <c r="C1058" i="3"/>
  <c r="J1057" i="3"/>
  <c r="C1057" i="3"/>
  <c r="J1056" i="3"/>
  <c r="I1056" i="3"/>
  <c r="C1056" i="3"/>
  <c r="C1055" i="3"/>
  <c r="J1054" i="3"/>
  <c r="C1054" i="3"/>
  <c r="J1053" i="3"/>
  <c r="C1053" i="3"/>
  <c r="C1051" i="3"/>
  <c r="C1049" i="3"/>
  <c r="C1048" i="3"/>
  <c r="C1046" i="3"/>
  <c r="G1043" i="3"/>
  <c r="C1043" i="3"/>
  <c r="G1042" i="3"/>
  <c r="L1051" i="3" s="1"/>
  <c r="E1041" i="3"/>
  <c r="J1028" i="3"/>
  <c r="C1028" i="3"/>
  <c r="J1027" i="3"/>
  <c r="C1027" i="3"/>
  <c r="J1026" i="3"/>
  <c r="C1026" i="3"/>
  <c r="J1025" i="3"/>
  <c r="I1025" i="3"/>
  <c r="C1025" i="3"/>
  <c r="C1024" i="3"/>
  <c r="J1023" i="3"/>
  <c r="C1023" i="3"/>
  <c r="J1022" i="3"/>
  <c r="C1022" i="3"/>
  <c r="C1020" i="3"/>
  <c r="C1018" i="3"/>
  <c r="C1017" i="3"/>
  <c r="G1012" i="3"/>
  <c r="G1011" i="3"/>
  <c r="L1020" i="3" s="1"/>
  <c r="E1010" i="3"/>
  <c r="J998" i="3"/>
  <c r="C998" i="3"/>
  <c r="J997" i="3"/>
  <c r="C997" i="3"/>
  <c r="J996" i="3"/>
  <c r="C996" i="3"/>
  <c r="J995" i="3"/>
  <c r="I995" i="3"/>
  <c r="C995" i="3"/>
  <c r="C994" i="3"/>
  <c r="J993" i="3"/>
  <c r="C993" i="3"/>
  <c r="J992" i="3"/>
  <c r="C992" i="3"/>
  <c r="C990" i="3"/>
  <c r="C988" i="3"/>
  <c r="C987" i="3"/>
  <c r="G982" i="3"/>
  <c r="C982" i="3"/>
  <c r="G981" i="3"/>
  <c r="L990" i="3" s="1"/>
  <c r="E980" i="3"/>
  <c r="J967" i="3"/>
  <c r="C967" i="3"/>
  <c r="J966" i="3"/>
  <c r="C966" i="3"/>
  <c r="J965" i="3"/>
  <c r="C965" i="3"/>
  <c r="J964" i="3"/>
  <c r="I964" i="3"/>
  <c r="C964" i="3"/>
  <c r="C963" i="3"/>
  <c r="C962" i="3"/>
  <c r="J961" i="3"/>
  <c r="C961" i="3"/>
  <c r="C959" i="3"/>
  <c r="C957" i="3"/>
  <c r="C956" i="3"/>
  <c r="G951" i="3"/>
  <c r="G950" i="3"/>
  <c r="L959" i="3" s="1"/>
  <c r="E949" i="3"/>
  <c r="J935" i="3"/>
  <c r="C935" i="3"/>
  <c r="J934" i="3"/>
  <c r="C934" i="3"/>
  <c r="J933" i="3"/>
  <c r="C933" i="3"/>
  <c r="J932" i="3"/>
  <c r="I932" i="3"/>
  <c r="C932" i="3"/>
  <c r="C931" i="3"/>
  <c r="C930" i="3"/>
  <c r="J929" i="3"/>
  <c r="C929" i="3"/>
  <c r="C927" i="3"/>
  <c r="C925" i="3"/>
  <c r="C924" i="3"/>
  <c r="G919" i="3"/>
  <c r="G918" i="3"/>
  <c r="L927" i="3" s="1"/>
  <c r="E917" i="3"/>
  <c r="J905" i="3"/>
  <c r="C905" i="3"/>
  <c r="J904" i="3"/>
  <c r="C904" i="3"/>
  <c r="J903" i="3"/>
  <c r="C903" i="3"/>
  <c r="J902" i="3"/>
  <c r="I902" i="3"/>
  <c r="C902" i="3"/>
  <c r="C901" i="3"/>
  <c r="J900" i="3"/>
  <c r="C900" i="3"/>
  <c r="J899" i="3"/>
  <c r="C899" i="3"/>
  <c r="C897" i="3"/>
  <c r="C895" i="3"/>
  <c r="C894" i="3"/>
  <c r="G889" i="3"/>
  <c r="G888" i="3"/>
  <c r="L897" i="3" s="1"/>
  <c r="E887" i="3"/>
  <c r="J845" i="3"/>
  <c r="C845" i="3"/>
  <c r="J844" i="3"/>
  <c r="C844" i="3"/>
  <c r="J843" i="3"/>
  <c r="C843" i="3"/>
  <c r="J842" i="3"/>
  <c r="I842" i="3"/>
  <c r="C842" i="3"/>
  <c r="C841" i="3"/>
  <c r="J840" i="3"/>
  <c r="C840" i="3"/>
  <c r="J839" i="3"/>
  <c r="C839" i="3"/>
  <c r="C837" i="3"/>
  <c r="C835" i="3"/>
  <c r="C834" i="3"/>
  <c r="C832" i="3"/>
  <c r="G829" i="3"/>
  <c r="C829" i="3"/>
  <c r="G828" i="3"/>
  <c r="L837" i="3" s="1"/>
  <c r="E827" i="3"/>
  <c r="J815" i="3"/>
  <c r="C815" i="3"/>
  <c r="J814" i="3"/>
  <c r="C814" i="3"/>
  <c r="J813" i="3"/>
  <c r="C813" i="3"/>
  <c r="J812" i="3"/>
  <c r="I812" i="3"/>
  <c r="C812" i="3"/>
  <c r="C811" i="3"/>
  <c r="J810" i="3"/>
  <c r="C810" i="3"/>
  <c r="J809" i="3"/>
  <c r="C809" i="3"/>
  <c r="C807" i="3"/>
  <c r="C805" i="3"/>
  <c r="C804" i="3"/>
  <c r="G799" i="3"/>
  <c r="G798" i="3"/>
  <c r="L807" i="3" s="1"/>
  <c r="E797" i="3"/>
  <c r="J785" i="3"/>
  <c r="C785" i="3"/>
  <c r="J784" i="3"/>
  <c r="C784" i="3"/>
  <c r="J783" i="3"/>
  <c r="C783" i="3"/>
  <c r="J782" i="3"/>
  <c r="C782" i="3"/>
  <c r="C781" i="3"/>
  <c r="C780" i="3"/>
  <c r="J779" i="3"/>
  <c r="C779" i="3"/>
  <c r="C777" i="3"/>
  <c r="C775" i="3"/>
  <c r="C774" i="3"/>
  <c r="G769" i="3"/>
  <c r="G768" i="3"/>
  <c r="L777" i="3" s="1"/>
  <c r="E767" i="3"/>
  <c r="J753" i="3"/>
  <c r="C753" i="3"/>
  <c r="J752" i="3"/>
  <c r="C752" i="3"/>
  <c r="J751" i="3"/>
  <c r="C751" i="3"/>
  <c r="J750" i="3"/>
  <c r="C750" i="3"/>
  <c r="C749" i="3"/>
  <c r="C748" i="3"/>
  <c r="J747" i="3"/>
  <c r="C747" i="3"/>
  <c r="C745" i="3"/>
  <c r="C743" i="3"/>
  <c r="C742" i="3"/>
  <c r="G737" i="3"/>
  <c r="G736" i="3"/>
  <c r="L745" i="3" s="1"/>
  <c r="E735" i="3"/>
  <c r="J722" i="3"/>
  <c r="C722" i="3"/>
  <c r="J721" i="3"/>
  <c r="C721" i="3"/>
  <c r="J720" i="3"/>
  <c r="C720" i="3"/>
  <c r="J719" i="3"/>
  <c r="C719" i="3"/>
  <c r="C718" i="3"/>
  <c r="C717" i="3"/>
  <c r="J716" i="3"/>
  <c r="C716" i="3"/>
  <c r="C714" i="3"/>
  <c r="C712" i="3"/>
  <c r="C711" i="3"/>
  <c r="G706" i="3"/>
  <c r="G705" i="3"/>
  <c r="L714" i="3" s="1"/>
  <c r="E704" i="3"/>
  <c r="J691" i="3"/>
  <c r="C691" i="3"/>
  <c r="J690" i="3"/>
  <c r="C690" i="3"/>
  <c r="J689" i="3"/>
  <c r="C689" i="3"/>
  <c r="J688" i="3"/>
  <c r="I688" i="3"/>
  <c r="C688" i="3"/>
  <c r="C687" i="3"/>
  <c r="J686" i="3"/>
  <c r="C686" i="3"/>
  <c r="J685" i="3"/>
  <c r="C685" i="3"/>
  <c r="C683" i="3"/>
  <c r="C681" i="3"/>
  <c r="C680" i="3"/>
  <c r="G675" i="3"/>
  <c r="C675" i="3"/>
  <c r="G674" i="3"/>
  <c r="L683" i="3" s="1"/>
  <c r="E673" i="3"/>
  <c r="J631" i="3"/>
  <c r="C631" i="3"/>
  <c r="J630" i="3"/>
  <c r="C630" i="3"/>
  <c r="J629" i="3"/>
  <c r="C629" i="3"/>
  <c r="J628" i="3"/>
  <c r="I628" i="3"/>
  <c r="C628" i="3"/>
  <c r="C627" i="3"/>
  <c r="J626" i="3"/>
  <c r="C626" i="3"/>
  <c r="J625" i="3"/>
  <c r="C625" i="3"/>
  <c r="C623" i="3"/>
  <c r="C621" i="3"/>
  <c r="C620" i="3"/>
  <c r="G615" i="3"/>
  <c r="C615" i="3"/>
  <c r="G614" i="3"/>
  <c r="L623" i="3" s="1"/>
  <c r="E613" i="3"/>
  <c r="J601" i="3"/>
  <c r="C601" i="3"/>
  <c r="J600" i="3"/>
  <c r="C600" i="3"/>
  <c r="J599" i="3"/>
  <c r="C599" i="3"/>
  <c r="J598" i="3"/>
  <c r="I598" i="3"/>
  <c r="C598" i="3"/>
  <c r="C597" i="3"/>
  <c r="J596" i="3"/>
  <c r="C596" i="3"/>
  <c r="J595" i="3"/>
  <c r="C595" i="3"/>
  <c r="C593" i="3"/>
  <c r="C591" i="3"/>
  <c r="C590" i="3"/>
  <c r="G585" i="3"/>
  <c r="C585" i="3"/>
  <c r="G584" i="3"/>
  <c r="L593" i="3" s="1"/>
  <c r="E583" i="3"/>
  <c r="J571" i="3"/>
  <c r="C571" i="3"/>
  <c r="J570" i="3"/>
  <c r="C570" i="3"/>
  <c r="J569" i="3"/>
  <c r="C569" i="3"/>
  <c r="J568" i="3"/>
  <c r="I568" i="3"/>
  <c r="C567" i="3"/>
  <c r="J566" i="3"/>
  <c r="C566" i="3"/>
  <c r="J565" i="3"/>
  <c r="C565" i="3"/>
  <c r="C563" i="3"/>
  <c r="C561" i="3"/>
  <c r="C560" i="3"/>
  <c r="G555" i="3"/>
  <c r="C555" i="3"/>
  <c r="G554" i="3"/>
  <c r="L563" i="3" s="1"/>
  <c r="E553" i="3"/>
  <c r="J541" i="3"/>
  <c r="C541" i="3"/>
  <c r="J540" i="3"/>
  <c r="C540" i="3"/>
  <c r="J539" i="3"/>
  <c r="C539" i="3"/>
  <c r="J538" i="3"/>
  <c r="I538" i="3"/>
  <c r="C538" i="3"/>
  <c r="C537" i="3"/>
  <c r="J536" i="3"/>
  <c r="C536" i="3"/>
  <c r="J535" i="3"/>
  <c r="C535" i="3"/>
  <c r="C533" i="3"/>
  <c r="C531" i="3"/>
  <c r="C530" i="3"/>
  <c r="G525" i="3"/>
  <c r="C525" i="3"/>
  <c r="G524" i="3"/>
  <c r="L533" i="3" s="1"/>
  <c r="E523" i="3"/>
  <c r="J514" i="3"/>
  <c r="J511" i="3"/>
  <c r="C511" i="3"/>
  <c r="J510" i="3"/>
  <c r="C510" i="3"/>
  <c r="J509" i="3"/>
  <c r="C509" i="3"/>
  <c r="J508" i="3"/>
  <c r="I508" i="3"/>
  <c r="C508" i="3"/>
  <c r="C507" i="3"/>
  <c r="J506" i="3"/>
  <c r="C506" i="3"/>
  <c r="J505" i="3"/>
  <c r="C505" i="3"/>
  <c r="C503" i="3"/>
  <c r="C501" i="3"/>
  <c r="C500" i="3"/>
  <c r="G495" i="3"/>
  <c r="C495" i="3"/>
  <c r="G494" i="3"/>
  <c r="L503" i="3" s="1"/>
  <c r="E493" i="3"/>
  <c r="J480" i="3"/>
  <c r="C480" i="3"/>
  <c r="J479" i="3"/>
  <c r="C479" i="3"/>
  <c r="J478" i="3"/>
  <c r="C478" i="3"/>
  <c r="J477" i="3"/>
  <c r="I477" i="3"/>
  <c r="C477" i="3"/>
  <c r="C476" i="3"/>
  <c r="C475" i="3"/>
  <c r="J474" i="3"/>
  <c r="C474" i="3"/>
  <c r="C472" i="3"/>
  <c r="C471" i="3"/>
  <c r="C470" i="3"/>
  <c r="C469" i="3"/>
  <c r="G464" i="3"/>
  <c r="G463" i="3"/>
  <c r="L472" i="3" s="1"/>
  <c r="E462" i="3"/>
  <c r="J449" i="3"/>
  <c r="C449" i="3"/>
  <c r="J448" i="3"/>
  <c r="C448" i="3"/>
  <c r="J447" i="3"/>
  <c r="C447" i="3"/>
  <c r="J446" i="3"/>
  <c r="I446" i="3"/>
  <c r="C445" i="3"/>
  <c r="J444" i="3"/>
  <c r="C444" i="3"/>
  <c r="J443" i="3"/>
  <c r="C443" i="3"/>
  <c r="C441" i="3"/>
  <c r="C439" i="3"/>
  <c r="C438" i="3"/>
  <c r="C436" i="3"/>
  <c r="G433" i="3"/>
  <c r="C433" i="3"/>
  <c r="G432" i="3"/>
  <c r="L441" i="3" s="1"/>
  <c r="E431" i="3"/>
  <c r="J418" i="3"/>
  <c r="C418" i="3"/>
  <c r="J417" i="3"/>
  <c r="C417" i="3"/>
  <c r="J416" i="3"/>
  <c r="C416" i="3"/>
  <c r="J415" i="3"/>
  <c r="I415" i="3"/>
  <c r="C415" i="3"/>
  <c r="C414" i="3"/>
  <c r="J413" i="3"/>
  <c r="C413" i="3"/>
  <c r="J412" i="3"/>
  <c r="C412" i="3"/>
  <c r="C410" i="3"/>
  <c r="C408" i="3"/>
  <c r="C407" i="3"/>
  <c r="G402" i="3"/>
  <c r="C402" i="3"/>
  <c r="G401" i="3"/>
  <c r="L410" i="3" s="1"/>
  <c r="E400" i="3"/>
  <c r="J386" i="3"/>
  <c r="C386" i="3"/>
  <c r="J385" i="3"/>
  <c r="C385" i="3"/>
  <c r="J384" i="3"/>
  <c r="C384" i="3"/>
  <c r="J383" i="3"/>
  <c r="I383" i="3"/>
  <c r="C383" i="3"/>
  <c r="C382" i="3"/>
  <c r="C381" i="3"/>
  <c r="J380" i="3"/>
  <c r="C380" i="3"/>
  <c r="C378" i="3"/>
  <c r="C376" i="3"/>
  <c r="C375" i="3"/>
  <c r="G370" i="3"/>
  <c r="G369" i="3"/>
  <c r="L378" i="3" s="1"/>
  <c r="E368" i="3"/>
  <c r="J354" i="3"/>
  <c r="C354" i="3"/>
  <c r="J353" i="3"/>
  <c r="C353" i="3"/>
  <c r="J352" i="3"/>
  <c r="C352" i="3"/>
  <c r="J351" i="3"/>
  <c r="I351" i="3"/>
  <c r="C351" i="3"/>
  <c r="C350" i="3"/>
  <c r="J349" i="3"/>
  <c r="C349" i="3"/>
  <c r="J348" i="3"/>
  <c r="C348" i="3"/>
  <c r="C346" i="3"/>
  <c r="C344" i="3"/>
  <c r="C343" i="3"/>
  <c r="G338" i="3"/>
  <c r="G337" i="3"/>
  <c r="L346" i="3" s="1"/>
  <c r="E336" i="3"/>
  <c r="J323" i="3"/>
  <c r="C323" i="3"/>
  <c r="J322" i="3"/>
  <c r="C322" i="3"/>
  <c r="J321" i="3"/>
  <c r="C321" i="3"/>
  <c r="J320" i="3"/>
  <c r="I320" i="3"/>
  <c r="C320" i="3"/>
  <c r="C319" i="3"/>
  <c r="J318" i="3"/>
  <c r="C318" i="3"/>
  <c r="J317" i="3"/>
  <c r="C317" i="3"/>
  <c r="C315" i="3"/>
  <c r="C313" i="3"/>
  <c r="C312" i="3"/>
  <c r="G307" i="3"/>
  <c r="C307" i="3"/>
  <c r="G306" i="3"/>
  <c r="L315" i="3" s="1"/>
  <c r="E305" i="3"/>
  <c r="J292" i="3"/>
  <c r="C292" i="3"/>
  <c r="J291" i="3"/>
  <c r="C291" i="3"/>
  <c r="J290" i="3"/>
  <c r="C290" i="3"/>
  <c r="J289" i="3"/>
  <c r="I289" i="3"/>
  <c r="C289" i="3"/>
  <c r="C288" i="3"/>
  <c r="C287" i="3"/>
  <c r="J286" i="3"/>
  <c r="C286" i="3"/>
  <c r="C284" i="3"/>
  <c r="C282" i="3"/>
  <c r="C281" i="3"/>
  <c r="G276" i="3"/>
  <c r="G275" i="3"/>
  <c r="L284" i="3" s="1"/>
  <c r="E274" i="3"/>
  <c r="J263" i="3"/>
  <c r="C263" i="3"/>
  <c r="J262" i="3"/>
  <c r="C262" i="3"/>
  <c r="J261" i="3"/>
  <c r="C261" i="3"/>
  <c r="J260" i="3"/>
  <c r="I260" i="3"/>
  <c r="C260" i="3"/>
  <c r="C259" i="3"/>
  <c r="J258" i="3"/>
  <c r="C258" i="3"/>
  <c r="J257" i="3"/>
  <c r="C257" i="3"/>
  <c r="C255" i="3"/>
  <c r="C253" i="3"/>
  <c r="C252" i="3"/>
  <c r="G247" i="3"/>
  <c r="G246" i="3"/>
  <c r="L255" i="3" s="1"/>
  <c r="E245" i="3"/>
  <c r="J232" i="3"/>
  <c r="C232" i="3"/>
  <c r="J231" i="3"/>
  <c r="C231" i="3"/>
  <c r="J230" i="3"/>
  <c r="C230" i="3"/>
  <c r="J229" i="3"/>
  <c r="I229" i="3"/>
  <c r="C229" i="3"/>
  <c r="C228" i="3"/>
  <c r="J227" i="3"/>
  <c r="C227" i="3"/>
  <c r="J226" i="3"/>
  <c r="C226" i="3"/>
  <c r="C224" i="3"/>
  <c r="C222" i="3"/>
  <c r="C221" i="3"/>
  <c r="G216" i="3"/>
  <c r="C216" i="3"/>
  <c r="G215" i="3"/>
  <c r="L224" i="3" s="1"/>
  <c r="E214" i="3"/>
  <c r="J202" i="3"/>
  <c r="C202" i="3"/>
  <c r="J201" i="3"/>
  <c r="C201" i="3"/>
  <c r="J200" i="3"/>
  <c r="C200" i="3"/>
  <c r="J199" i="3"/>
  <c r="I199" i="3"/>
  <c r="C199" i="3"/>
  <c r="C198" i="3"/>
  <c r="J197" i="3"/>
  <c r="C197" i="3"/>
  <c r="J196" i="3"/>
  <c r="C196" i="3"/>
  <c r="C194" i="3"/>
  <c r="C192" i="3"/>
  <c r="C191" i="3"/>
  <c r="G186" i="3"/>
  <c r="C186" i="3"/>
  <c r="G185" i="3"/>
  <c r="L194" i="3" s="1"/>
  <c r="E184" i="3"/>
  <c r="J173" i="3"/>
  <c r="C173" i="3"/>
  <c r="J172" i="3"/>
  <c r="C172" i="3"/>
  <c r="J171" i="3"/>
  <c r="C171" i="3"/>
  <c r="J170" i="3"/>
  <c r="I170" i="3"/>
  <c r="C170" i="3"/>
  <c r="C169" i="3"/>
  <c r="J168" i="3"/>
  <c r="C168" i="3"/>
  <c r="J167" i="3"/>
  <c r="C167" i="3"/>
  <c r="C165" i="3"/>
  <c r="C163" i="3"/>
  <c r="C162" i="3"/>
  <c r="G157" i="3"/>
  <c r="C157" i="3"/>
  <c r="G156" i="3"/>
  <c r="L165" i="3" s="1"/>
  <c r="E155" i="3"/>
  <c r="J142" i="3"/>
  <c r="C142" i="3"/>
  <c r="J141" i="3"/>
  <c r="C141" i="3"/>
  <c r="J140" i="3"/>
  <c r="C140" i="3"/>
  <c r="J139" i="3"/>
  <c r="I139" i="3"/>
  <c r="C139" i="3"/>
  <c r="C138" i="3"/>
  <c r="J137" i="3"/>
  <c r="C137" i="3"/>
  <c r="J136" i="3"/>
  <c r="C136" i="3"/>
  <c r="C134" i="3"/>
  <c r="C132" i="3"/>
  <c r="C131" i="3"/>
  <c r="G126" i="3"/>
  <c r="C126" i="3"/>
  <c r="G125" i="3"/>
  <c r="L134" i="3" s="1"/>
  <c r="E124" i="3"/>
  <c r="J111" i="3"/>
  <c r="C111" i="3"/>
  <c r="J110" i="3"/>
  <c r="C110" i="3"/>
  <c r="J109" i="3"/>
  <c r="C109" i="3"/>
  <c r="J108" i="3"/>
  <c r="C108" i="3"/>
  <c r="C107" i="3"/>
  <c r="J106" i="3"/>
  <c r="C106" i="3"/>
  <c r="J105" i="3"/>
  <c r="C105" i="3"/>
  <c r="C103" i="3"/>
  <c r="C101" i="3"/>
  <c r="C100" i="3"/>
  <c r="G95" i="3"/>
  <c r="C95" i="3"/>
  <c r="G94" i="3"/>
  <c r="L103" i="3" s="1"/>
  <c r="E93" i="3"/>
  <c r="J82" i="3"/>
  <c r="C82" i="3"/>
  <c r="J81" i="3"/>
  <c r="C81" i="3"/>
  <c r="J80" i="3"/>
  <c r="C80" i="3"/>
  <c r="J79" i="3"/>
  <c r="I79" i="3"/>
  <c r="C79" i="3"/>
  <c r="C78" i="3"/>
  <c r="J77" i="3"/>
  <c r="C77" i="3"/>
  <c r="J76" i="3"/>
  <c r="C76" i="3"/>
  <c r="C74" i="3"/>
  <c r="C72" i="3"/>
  <c r="C71" i="3"/>
  <c r="G66" i="3"/>
  <c r="C66" i="3"/>
  <c r="G65" i="3"/>
  <c r="L74" i="3" s="1"/>
  <c r="E64" i="3"/>
  <c r="J51" i="3"/>
  <c r="C51" i="3"/>
  <c r="J50" i="3"/>
  <c r="C50" i="3"/>
  <c r="J49" i="3"/>
  <c r="C49" i="3"/>
  <c r="J48" i="3"/>
  <c r="I48" i="3"/>
  <c r="C48" i="3"/>
  <c r="C47" i="3"/>
  <c r="J46" i="3"/>
  <c r="C46" i="3"/>
  <c r="J45" i="3"/>
  <c r="C45" i="3"/>
  <c r="C43" i="3"/>
  <c r="C41" i="3"/>
  <c r="C40" i="3"/>
  <c r="G35" i="3"/>
  <c r="C35" i="3"/>
  <c r="G34" i="3"/>
  <c r="L43" i="3" s="1"/>
  <c r="E33" i="3"/>
  <c r="J20" i="3"/>
  <c r="C20" i="3"/>
  <c r="J19" i="3"/>
  <c r="C19" i="3"/>
  <c r="AC18" i="3"/>
  <c r="J18" i="3"/>
  <c r="C18" i="3"/>
  <c r="J17" i="3"/>
  <c r="I17" i="3"/>
  <c r="C17" i="3"/>
  <c r="X16" i="3"/>
  <c r="C16" i="3"/>
  <c r="J15" i="3"/>
  <c r="C15" i="3"/>
  <c r="J14" i="3"/>
  <c r="C14" i="3"/>
  <c r="C12" i="3"/>
  <c r="X11" i="3"/>
  <c r="X10" i="3"/>
  <c r="X13" i="3"/>
  <c r="X17" i="3"/>
  <c r="C10" i="3"/>
  <c r="C9" i="3"/>
  <c r="G4" i="3"/>
  <c r="C4" i="3"/>
  <c r="G3" i="3"/>
  <c r="L12" i="3" s="1"/>
  <c r="AZ214" i="2"/>
  <c r="AY214" i="2"/>
  <c r="AQ214" i="2"/>
  <c r="AS213" i="2"/>
  <c r="AS211" i="2"/>
  <c r="AL211" i="2"/>
  <c r="J5178" i="3"/>
  <c r="AF211" i="2"/>
  <c r="AD211" i="2"/>
  <c r="I211" i="2"/>
  <c r="H211" i="2"/>
  <c r="G211" i="2"/>
  <c r="M211" i="2"/>
  <c r="C5165" i="3"/>
  <c r="D211" i="2"/>
  <c r="C5158" i="3"/>
  <c r="AS210" i="2"/>
  <c r="AL210" i="2"/>
  <c r="J5208" i="3"/>
  <c r="AF210" i="2"/>
  <c r="AD210" i="2"/>
  <c r="I210" i="2"/>
  <c r="H210" i="2"/>
  <c r="G210" i="2"/>
  <c r="M210" i="2"/>
  <c r="C5195" i="3"/>
  <c r="D210" i="2"/>
  <c r="AS209" i="2"/>
  <c r="AL209" i="2"/>
  <c r="J5148" i="3"/>
  <c r="AF209" i="2"/>
  <c r="AD209" i="2"/>
  <c r="I5140" i="3" s="1"/>
  <c r="I209" i="2"/>
  <c r="H209" i="2"/>
  <c r="G209" i="2"/>
  <c r="D209" i="2"/>
  <c r="AS208" i="2"/>
  <c r="AL208" i="2"/>
  <c r="J5116" i="3"/>
  <c r="AF208" i="2"/>
  <c r="AD208" i="2"/>
  <c r="I5108" i="3" s="1"/>
  <c r="I208" i="2"/>
  <c r="H208" i="2"/>
  <c r="G208" i="2"/>
  <c r="M208" i="2"/>
  <c r="C5103" i="3"/>
  <c r="D208" i="2"/>
  <c r="AS207" i="2"/>
  <c r="AL207" i="2"/>
  <c r="J5086" i="3"/>
  <c r="AF207" i="2"/>
  <c r="AD207" i="2"/>
  <c r="I5078" i="3" s="1"/>
  <c r="I207" i="2"/>
  <c r="H207" i="2"/>
  <c r="G207" i="2"/>
  <c r="M207" i="2"/>
  <c r="C5073" i="3"/>
  <c r="D207" i="2"/>
  <c r="AS206" i="2"/>
  <c r="AL206" i="2"/>
  <c r="J5056" i="3"/>
  <c r="AF206" i="2"/>
  <c r="AD206" i="2"/>
  <c r="I5048" i="3" s="1"/>
  <c r="I206" i="2"/>
  <c r="H206" i="2"/>
  <c r="G206" i="2"/>
  <c r="D206" i="2"/>
  <c r="AS205" i="2"/>
  <c r="AL205" i="2"/>
  <c r="J5025" i="3"/>
  <c r="AF205" i="2"/>
  <c r="AD205" i="2"/>
  <c r="I5017" i="3" s="1"/>
  <c r="I205" i="2"/>
  <c r="H205" i="2"/>
  <c r="G205" i="2"/>
  <c r="D205" i="2"/>
  <c r="D198" i="4"/>
  <c r="AS204" i="2"/>
  <c r="AL204" i="2"/>
  <c r="AL203" i="2"/>
  <c r="I204" i="2"/>
  <c r="H204" i="2"/>
  <c r="G204" i="2"/>
  <c r="D204" i="2"/>
  <c r="AS202" i="2"/>
  <c r="AL202" i="2"/>
  <c r="J4964" i="3"/>
  <c r="AF202" i="2"/>
  <c r="AE202" i="2"/>
  <c r="J4956" i="3" s="1"/>
  <c r="AD202" i="2"/>
  <c r="I4956" i="3" s="1"/>
  <c r="I202" i="2"/>
  <c r="H202" i="2"/>
  <c r="G202" i="2"/>
  <c r="M202" i="2"/>
  <c r="C4951" i="3"/>
  <c r="D202" i="2"/>
  <c r="AS201" i="2"/>
  <c r="AL201" i="2"/>
  <c r="J4932" i="3"/>
  <c r="AF201" i="2"/>
  <c r="AD201" i="2"/>
  <c r="I4924" i="3" s="1"/>
  <c r="I201" i="2"/>
  <c r="H201" i="2"/>
  <c r="G201" i="2"/>
  <c r="M201" i="2"/>
  <c r="C4919" i="3"/>
  <c r="D201" i="2"/>
  <c r="AS200" i="2"/>
  <c r="AL200" i="2"/>
  <c r="J4900" i="3"/>
  <c r="AF200" i="2"/>
  <c r="AD200" i="2"/>
  <c r="I4892" i="3" s="1"/>
  <c r="I200" i="2"/>
  <c r="H200" i="2"/>
  <c r="G200" i="2"/>
  <c r="M200" i="2"/>
  <c r="C4887" i="3"/>
  <c r="D200" i="2"/>
  <c r="AS199" i="2"/>
  <c r="AL199" i="2"/>
  <c r="J4838" i="3"/>
  <c r="AF199" i="2"/>
  <c r="AD199" i="2"/>
  <c r="I4830" i="3" s="1"/>
  <c r="I199" i="2"/>
  <c r="H199" i="2"/>
  <c r="G199" i="2"/>
  <c r="M199" i="2"/>
  <c r="D199" i="2"/>
  <c r="AS198" i="2"/>
  <c r="AN198" i="2"/>
  <c r="AT198" i="2" s="1"/>
  <c r="AL198" i="2"/>
  <c r="J4807" i="3"/>
  <c r="AF198" i="2"/>
  <c r="AD198" i="2"/>
  <c r="I4799" i="3" s="1"/>
  <c r="I198" i="2"/>
  <c r="H198" i="2"/>
  <c r="G198" i="2"/>
  <c r="M198" i="2"/>
  <c r="D198" i="2"/>
  <c r="AS197" i="2"/>
  <c r="AL197" i="2"/>
  <c r="J4869" i="3"/>
  <c r="AF197" i="2"/>
  <c r="AE197" i="2"/>
  <c r="J4861" i="3" s="1"/>
  <c r="AD197" i="2"/>
  <c r="I4861" i="3" s="1"/>
  <c r="I197" i="2"/>
  <c r="H197" i="2"/>
  <c r="G197" i="2"/>
  <c r="M197" i="2"/>
  <c r="AS196" i="2"/>
  <c r="AL196" i="2"/>
  <c r="J4775" i="3"/>
  <c r="AF196" i="2"/>
  <c r="AE196" i="2"/>
  <c r="J4767" i="3" s="1"/>
  <c r="AD196" i="2"/>
  <c r="I4767" i="3" s="1"/>
  <c r="I196" i="2"/>
  <c r="H196" i="2"/>
  <c r="G196" i="2"/>
  <c r="M196" i="2"/>
  <c r="C4762" i="3"/>
  <c r="AS195" i="2"/>
  <c r="AL195" i="2"/>
  <c r="J4744" i="3"/>
  <c r="AF195" i="2"/>
  <c r="AD195" i="2"/>
  <c r="I4736" i="3" s="1"/>
  <c r="I195" i="2"/>
  <c r="H195" i="2"/>
  <c r="G195" i="2"/>
  <c r="M195" i="2"/>
  <c r="C4731" i="3"/>
  <c r="D195" i="2"/>
  <c r="AS194" i="2"/>
  <c r="AL194" i="2"/>
  <c r="J4712" i="3"/>
  <c r="AF194" i="2"/>
  <c r="AD194" i="2"/>
  <c r="I4704" i="3" s="1"/>
  <c r="I194" i="2"/>
  <c r="H194" i="2"/>
  <c r="G194" i="2"/>
  <c r="M194" i="2"/>
  <c r="C4699" i="3"/>
  <c r="D194" i="2"/>
  <c r="AS193" i="2"/>
  <c r="AL193" i="2"/>
  <c r="J4681" i="3"/>
  <c r="AF193" i="2"/>
  <c r="AD193" i="2"/>
  <c r="I4673" i="3" s="1"/>
  <c r="I193" i="2"/>
  <c r="H193" i="2"/>
  <c r="G193" i="2"/>
  <c r="M193" i="2"/>
  <c r="C4668" i="3"/>
  <c r="D193" i="2"/>
  <c r="AS192" i="2"/>
  <c r="AL192" i="2"/>
  <c r="J4650" i="3"/>
  <c r="AF192" i="2"/>
  <c r="AD192" i="2"/>
  <c r="I4642" i="3" s="1"/>
  <c r="I192" i="2"/>
  <c r="H192" i="2"/>
  <c r="G192" i="2"/>
  <c r="M192" i="2"/>
  <c r="C4637" i="3"/>
  <c r="D192" i="2"/>
  <c r="AS191" i="2"/>
  <c r="AL191" i="2"/>
  <c r="J4620" i="3"/>
  <c r="AF191" i="2"/>
  <c r="AE191" i="2"/>
  <c r="J4612" i="3" s="1"/>
  <c r="AD191" i="2"/>
  <c r="I4612" i="3" s="1"/>
  <c r="I191" i="2"/>
  <c r="H191" i="2"/>
  <c r="G191" i="2"/>
  <c r="M191" i="2"/>
  <c r="C4607" i="3"/>
  <c r="D191" i="2"/>
  <c r="AS190" i="2"/>
  <c r="AL190" i="2"/>
  <c r="J4590" i="3"/>
  <c r="AF190" i="2"/>
  <c r="AD190" i="2"/>
  <c r="I4582" i="3" s="1"/>
  <c r="I190" i="2"/>
  <c r="H190" i="2"/>
  <c r="G190" i="2"/>
  <c r="M190" i="2"/>
  <c r="C4577" i="3"/>
  <c r="D190" i="2"/>
  <c r="AS189" i="2"/>
  <c r="AL189" i="2"/>
  <c r="J4559" i="3"/>
  <c r="AF189" i="2"/>
  <c r="AD189" i="2"/>
  <c r="I4551" i="3" s="1"/>
  <c r="I189" i="2"/>
  <c r="H189" i="2"/>
  <c r="G189" i="2"/>
  <c r="M189" i="2"/>
  <c r="C4546" i="3"/>
  <c r="D189" i="2"/>
  <c r="AS188" i="2"/>
  <c r="AL188" i="2"/>
  <c r="J4527" i="3"/>
  <c r="AF188" i="2"/>
  <c r="AD188" i="2"/>
  <c r="I4519" i="3" s="1"/>
  <c r="I188" i="2"/>
  <c r="H188" i="2"/>
  <c r="G188" i="2"/>
  <c r="M188" i="2"/>
  <c r="C4514" i="3"/>
  <c r="D188" i="2"/>
  <c r="AS187" i="2"/>
  <c r="AL187" i="2"/>
  <c r="J4495" i="3"/>
  <c r="AF187" i="2"/>
  <c r="AD187" i="2"/>
  <c r="I4487" i="3" s="1"/>
  <c r="I187" i="2"/>
  <c r="H187" i="2"/>
  <c r="G187" i="2"/>
  <c r="M187" i="2"/>
  <c r="C4482" i="3"/>
  <c r="D187" i="2"/>
  <c r="AS186" i="2"/>
  <c r="AL186" i="2"/>
  <c r="AF186" i="2"/>
  <c r="AD186" i="2"/>
  <c r="I4456" i="3" s="1"/>
  <c r="I186" i="2"/>
  <c r="H186" i="2"/>
  <c r="G186" i="2"/>
  <c r="D186" i="2"/>
  <c r="AS185" i="2"/>
  <c r="AS184" i="2"/>
  <c r="AL184" i="2"/>
  <c r="J4434" i="3"/>
  <c r="AF184" i="2"/>
  <c r="I184" i="2"/>
  <c r="H184" i="2"/>
  <c r="G184" i="2"/>
  <c r="M184" i="2"/>
  <c r="C4421" i="3"/>
  <c r="D184" i="2"/>
  <c r="AS183" i="2"/>
  <c r="AL183" i="2"/>
  <c r="J4371" i="3"/>
  <c r="AF183" i="2"/>
  <c r="I183" i="2"/>
  <c r="H183" i="2"/>
  <c r="G183" i="2"/>
  <c r="M183" i="2"/>
  <c r="C4358" i="3"/>
  <c r="D183" i="2"/>
  <c r="AS182" i="2"/>
  <c r="AL182" i="2"/>
  <c r="J4339" i="3"/>
  <c r="AF182" i="2"/>
  <c r="AD182" i="2"/>
  <c r="I4331" i="3" s="1"/>
  <c r="I182" i="2"/>
  <c r="H182" i="2"/>
  <c r="G182" i="2"/>
  <c r="M182" i="2"/>
  <c r="C4326" i="3"/>
  <c r="D182" i="2"/>
  <c r="C4319" i="3"/>
  <c r="AS181" i="2"/>
  <c r="AL181" i="2"/>
  <c r="J4402" i="3"/>
  <c r="AG181" i="2"/>
  <c r="AF181" i="2"/>
  <c r="I181" i="2"/>
  <c r="H181" i="2"/>
  <c r="G181" i="2"/>
  <c r="M181" i="2"/>
  <c r="C4389" i="3"/>
  <c r="D181" i="2"/>
  <c r="AS180" i="2"/>
  <c r="AL180" i="2"/>
  <c r="J4308" i="3"/>
  <c r="AF180" i="2"/>
  <c r="I180" i="2"/>
  <c r="H180" i="2"/>
  <c r="G180" i="2"/>
  <c r="M180" i="2"/>
  <c r="C4295" i="3"/>
  <c r="D180" i="2"/>
  <c r="AS179" i="2"/>
  <c r="AL179" i="2"/>
  <c r="J4277" i="3"/>
  <c r="AF179" i="2"/>
  <c r="I179" i="2"/>
  <c r="H179" i="2"/>
  <c r="G179" i="2"/>
  <c r="M179" i="2"/>
  <c r="D179" i="2"/>
  <c r="AS178" i="2"/>
  <c r="AL178" i="2"/>
  <c r="J4246" i="3"/>
  <c r="AF178" i="2"/>
  <c r="I178" i="2"/>
  <c r="H178" i="2"/>
  <c r="G178" i="2"/>
  <c r="M178" i="2"/>
  <c r="D178" i="2"/>
  <c r="AS177" i="2"/>
  <c r="AL177" i="2"/>
  <c r="J4215" i="3"/>
  <c r="AH177" i="2"/>
  <c r="J4209" i="3" s="1"/>
  <c r="AF177" i="2"/>
  <c r="I177" i="2"/>
  <c r="H177" i="2"/>
  <c r="G177" i="2"/>
  <c r="D177" i="2"/>
  <c r="C36" i="7"/>
  <c r="AW36" i="7" s="1"/>
  <c r="AE177" i="2" s="1"/>
  <c r="J4207" i="3" s="1"/>
  <c r="AS176" i="2"/>
  <c r="AL176" i="2"/>
  <c r="J4184" i="3"/>
  <c r="AH176" i="2"/>
  <c r="J4178" i="3" s="1"/>
  <c r="AF176" i="2"/>
  <c r="AD176" i="2"/>
  <c r="I4176" i="3" s="1"/>
  <c r="I176" i="2"/>
  <c r="H176" i="2"/>
  <c r="G176" i="2"/>
  <c r="D176" i="2"/>
  <c r="AS175" i="2"/>
  <c r="AL175" i="2"/>
  <c r="J4154" i="3"/>
  <c r="AH175" i="2"/>
  <c r="J4148" i="3" s="1"/>
  <c r="AF175" i="2"/>
  <c r="I175" i="2"/>
  <c r="H175" i="2"/>
  <c r="G175" i="2"/>
  <c r="AS174" i="2"/>
  <c r="AL174" i="2"/>
  <c r="AF174" i="2"/>
  <c r="I174" i="2"/>
  <c r="H174" i="2"/>
  <c r="G174" i="2"/>
  <c r="D174" i="2"/>
  <c r="AS173" i="2"/>
  <c r="AL173" i="2"/>
  <c r="I173" i="2"/>
  <c r="H173" i="2"/>
  <c r="G173" i="2"/>
  <c r="D173" i="2"/>
  <c r="AY172" i="2"/>
  <c r="AX172" i="2"/>
  <c r="AU172" i="2"/>
  <c r="AQ172" i="2"/>
  <c r="AS171" i="2"/>
  <c r="AL171" i="2"/>
  <c r="J4062" i="3"/>
  <c r="AE171" i="2"/>
  <c r="J4056" i="3"/>
  <c r="I171" i="2"/>
  <c r="H171" i="2"/>
  <c r="G171" i="2"/>
  <c r="M171" i="2"/>
  <c r="V171" i="2"/>
  <c r="AS170" i="2"/>
  <c r="AL170" i="2"/>
  <c r="J4031" i="3"/>
  <c r="I170" i="2"/>
  <c r="H170" i="2"/>
  <c r="G170" i="2"/>
  <c r="M170" i="2"/>
  <c r="C4019" i="3"/>
  <c r="AS169" i="2"/>
  <c r="AL169" i="2"/>
  <c r="J4002" i="3"/>
  <c r="I169" i="2"/>
  <c r="H169" i="2"/>
  <c r="G169" i="2"/>
  <c r="M169" i="2"/>
  <c r="C3990" i="3"/>
  <c r="AS168" i="2"/>
  <c r="AL168" i="2"/>
  <c r="J3973" i="3"/>
  <c r="I168" i="2"/>
  <c r="H168" i="2"/>
  <c r="G168" i="2"/>
  <c r="M168" i="2"/>
  <c r="C3961" i="3"/>
  <c r="AS167" i="2"/>
  <c r="AL167" i="2"/>
  <c r="J3943" i="3"/>
  <c r="I167" i="2"/>
  <c r="H167" i="2"/>
  <c r="G167" i="2"/>
  <c r="M167" i="2"/>
  <c r="C3931" i="3"/>
  <c r="AS166" i="2"/>
  <c r="AL166" i="2"/>
  <c r="J3914" i="3"/>
  <c r="I166" i="2"/>
  <c r="H166" i="2"/>
  <c r="G166" i="2"/>
  <c r="M166" i="2"/>
  <c r="C3902" i="3"/>
  <c r="D166" i="2"/>
  <c r="J3884" i="3"/>
  <c r="J3878" i="3"/>
  <c r="C3872" i="3"/>
  <c r="AS163" i="2"/>
  <c r="AL163" i="2"/>
  <c r="J3854" i="3"/>
  <c r="I163" i="2"/>
  <c r="H163" i="2"/>
  <c r="G163" i="2"/>
  <c r="M163" i="2"/>
  <c r="C3842" i="3"/>
  <c r="AS162" i="2"/>
  <c r="AL162" i="2"/>
  <c r="J3823" i="3"/>
  <c r="I162" i="2"/>
  <c r="H162" i="2"/>
  <c r="G162" i="2"/>
  <c r="M162" i="2"/>
  <c r="C3811" i="3"/>
  <c r="J3793" i="3"/>
  <c r="C3781" i="3"/>
  <c r="J3762" i="3"/>
  <c r="C3750" i="3"/>
  <c r="AS160" i="2"/>
  <c r="AL160" i="2"/>
  <c r="J3732" i="3"/>
  <c r="I160" i="2"/>
  <c r="H160" i="2"/>
  <c r="G160" i="2"/>
  <c r="M160" i="2"/>
  <c r="C3720" i="3"/>
  <c r="D160" i="2"/>
  <c r="AS158" i="2"/>
  <c r="AL158" i="2"/>
  <c r="J3700" i="3"/>
  <c r="I158" i="2"/>
  <c r="H158" i="2"/>
  <c r="G158" i="2"/>
  <c r="M158" i="2"/>
  <c r="C3688" i="3"/>
  <c r="AS157" i="2"/>
  <c r="AL157" i="2"/>
  <c r="J3670" i="3"/>
  <c r="I157" i="2"/>
  <c r="H157" i="2"/>
  <c r="G157" i="2"/>
  <c r="M157" i="2"/>
  <c r="C3658" i="3"/>
  <c r="AS156" i="2"/>
  <c r="AL156" i="2"/>
  <c r="J3640" i="3"/>
  <c r="I156" i="2"/>
  <c r="H156" i="2"/>
  <c r="G156" i="2"/>
  <c r="AS154" i="2"/>
  <c r="AL154" i="2"/>
  <c r="J3580" i="3"/>
  <c r="AD154" i="2"/>
  <c r="I3574" i="3"/>
  <c r="I154" i="2"/>
  <c r="H154" i="2"/>
  <c r="G154" i="2"/>
  <c r="M154" i="2"/>
  <c r="C3568" i="3"/>
  <c r="D154" i="2"/>
  <c r="AS153" i="2"/>
  <c r="AL153" i="2"/>
  <c r="J3549" i="3"/>
  <c r="AD153" i="2"/>
  <c r="I3543" i="3"/>
  <c r="I153" i="2"/>
  <c r="H153" i="2"/>
  <c r="G153" i="2"/>
  <c r="M153" i="2"/>
  <c r="C3537" i="3"/>
  <c r="D153" i="2"/>
  <c r="AS152" i="2"/>
  <c r="AL152" i="2"/>
  <c r="I152" i="2"/>
  <c r="H152" i="2"/>
  <c r="G152" i="2"/>
  <c r="AS150" i="2"/>
  <c r="AL150" i="2"/>
  <c r="AL149" i="2"/>
  <c r="I150" i="2"/>
  <c r="H150" i="2"/>
  <c r="G150" i="2"/>
  <c r="D150" i="2"/>
  <c r="AS148" i="2"/>
  <c r="AL148" i="2"/>
  <c r="AL147" i="2"/>
  <c r="I148" i="2"/>
  <c r="H148" i="2"/>
  <c r="G148" i="2"/>
  <c r="M148" i="2"/>
  <c r="C3447" i="3"/>
  <c r="D148" i="2"/>
  <c r="AT146" i="2"/>
  <c r="AS146" i="2"/>
  <c r="AR146" i="2"/>
  <c r="AS144" i="2"/>
  <c r="AL144" i="2"/>
  <c r="J3399" i="3"/>
  <c r="I144" i="2"/>
  <c r="H144" i="2"/>
  <c r="G144" i="2"/>
  <c r="M144" i="2"/>
  <c r="C3387" i="3" s="1"/>
  <c r="D144" i="2"/>
  <c r="D138" i="4"/>
  <c r="AS143" i="2"/>
  <c r="AL143" i="2"/>
  <c r="J3368" i="3"/>
  <c r="I143" i="2"/>
  <c r="H143" i="2"/>
  <c r="G143" i="2"/>
  <c r="D143" i="2"/>
  <c r="J143" i="2"/>
  <c r="C3352" i="3"/>
  <c r="AS142" i="2"/>
  <c r="AL142" i="2"/>
  <c r="I142" i="2"/>
  <c r="H142" i="2"/>
  <c r="G142" i="2"/>
  <c r="D142" i="2"/>
  <c r="AZ141" i="2"/>
  <c r="AY141" i="2"/>
  <c r="AX141" i="2"/>
  <c r="AU141" i="2"/>
  <c r="AQ141" i="2"/>
  <c r="AS140" i="2"/>
  <c r="AL140" i="2"/>
  <c r="J3306" i="3"/>
  <c r="I140" i="2"/>
  <c r="H140" i="2"/>
  <c r="G140" i="2"/>
  <c r="D140" i="2"/>
  <c r="AS139" i="2"/>
  <c r="AL139" i="2"/>
  <c r="I139" i="2"/>
  <c r="H139" i="2"/>
  <c r="G139" i="2"/>
  <c r="D139" i="2"/>
  <c r="AS138" i="2"/>
  <c r="AS137" i="2"/>
  <c r="AL137" i="2"/>
  <c r="J3246" i="3"/>
  <c r="I137" i="2"/>
  <c r="H137" i="2"/>
  <c r="G137" i="2"/>
  <c r="M137" i="2"/>
  <c r="C3234" i="3"/>
  <c r="D137" i="2"/>
  <c r="AS136" i="2"/>
  <c r="AL136" i="2"/>
  <c r="J3186" i="3"/>
  <c r="I136" i="2"/>
  <c r="H136" i="2"/>
  <c r="G136" i="2"/>
  <c r="M136" i="2"/>
  <c r="C3174" i="3"/>
  <c r="D136" i="2"/>
  <c r="AS135" i="2"/>
  <c r="AL135" i="2"/>
  <c r="J3216" i="3"/>
  <c r="I135" i="2"/>
  <c r="H135" i="2"/>
  <c r="G135" i="2"/>
  <c r="M135" i="2"/>
  <c r="C3204" i="3"/>
  <c r="D135" i="2"/>
  <c r="AS134" i="2"/>
  <c r="AL134" i="2"/>
  <c r="J3125" i="3"/>
  <c r="I134" i="2"/>
  <c r="H134" i="2"/>
  <c r="G134" i="2"/>
  <c r="M134" i="2"/>
  <c r="C3113" i="3"/>
  <c r="D134" i="2"/>
  <c r="AS133" i="2"/>
  <c r="AL133" i="2"/>
  <c r="I133" i="2"/>
  <c r="H133" i="2"/>
  <c r="G133" i="2"/>
  <c r="M133" i="2"/>
  <c r="C3144" i="3"/>
  <c r="D133" i="2"/>
  <c r="AS132" i="2"/>
  <c r="J3064" i="3"/>
  <c r="I132" i="2"/>
  <c r="H132" i="2"/>
  <c r="G132" i="2"/>
  <c r="M132" i="2"/>
  <c r="C3052" i="3"/>
  <c r="D132" i="2"/>
  <c r="AS131" i="2"/>
  <c r="AS126" i="2"/>
  <c r="AL126" i="2"/>
  <c r="I126" i="2"/>
  <c r="H126" i="2"/>
  <c r="G126" i="2"/>
  <c r="M126" i="2"/>
  <c r="C2992" i="3"/>
  <c r="D126" i="2"/>
  <c r="AS130" i="2"/>
  <c r="AL130" i="2"/>
  <c r="AL128" i="2" s="1"/>
  <c r="J1521" i="3"/>
  <c r="I130" i="2"/>
  <c r="H130" i="2"/>
  <c r="G130" i="2"/>
  <c r="M130" i="2"/>
  <c r="C1509" i="3" s="1"/>
  <c r="V130" i="2"/>
  <c r="J1505" i="3" s="1"/>
  <c r="D130" i="2"/>
  <c r="AS129" i="2"/>
  <c r="AN129" i="2"/>
  <c r="AL129" i="2"/>
  <c r="I129" i="2"/>
  <c r="H129" i="2"/>
  <c r="G129" i="2"/>
  <c r="D129" i="2"/>
  <c r="C1471" i="3"/>
  <c r="AS128" i="2"/>
  <c r="AS127" i="2"/>
  <c r="AL127" i="2"/>
  <c r="I127" i="2"/>
  <c r="H127" i="2"/>
  <c r="G127" i="2"/>
  <c r="M127" i="2"/>
  <c r="C3022" i="3"/>
  <c r="D127" i="2"/>
  <c r="AS125" i="2"/>
  <c r="AS124" i="2"/>
  <c r="AL124" i="2"/>
  <c r="AL123" i="2"/>
  <c r="I124" i="2"/>
  <c r="H124" i="2"/>
  <c r="G124" i="2"/>
  <c r="D124" i="2"/>
  <c r="AY123" i="2"/>
  <c r="AS123" i="2"/>
  <c r="AS122" i="2"/>
  <c r="AL122" i="2"/>
  <c r="J2912" i="3"/>
  <c r="I122" i="2"/>
  <c r="H122" i="2"/>
  <c r="G122" i="2"/>
  <c r="M122" i="2"/>
  <c r="C2900" i="3"/>
  <c r="AS121" i="2"/>
  <c r="AL121" i="2"/>
  <c r="J2882" i="3"/>
  <c r="I121" i="2"/>
  <c r="H121" i="2"/>
  <c r="G121" i="2"/>
  <c r="AS120" i="2"/>
  <c r="AL120" i="2"/>
  <c r="J2851" i="3"/>
  <c r="I120" i="2"/>
  <c r="H120" i="2"/>
  <c r="G120" i="2"/>
  <c r="AS119" i="2"/>
  <c r="AL119" i="2"/>
  <c r="J2701" i="3"/>
  <c r="I119" i="2"/>
  <c r="H119" i="2"/>
  <c r="G119" i="2"/>
  <c r="AS118" i="2"/>
  <c r="AL118" i="2"/>
  <c r="J2671" i="3"/>
  <c r="I118" i="2"/>
  <c r="H118" i="2"/>
  <c r="G118" i="2"/>
  <c r="M118" i="2"/>
  <c r="C2659" i="3"/>
  <c r="AS117" i="2"/>
  <c r="AL117" i="2"/>
  <c r="J2612" i="3"/>
  <c r="I117" i="2"/>
  <c r="H117" i="2"/>
  <c r="G117" i="2"/>
  <c r="AS116" i="2"/>
  <c r="AL116" i="2"/>
  <c r="J2582" i="3"/>
  <c r="I116" i="2"/>
  <c r="H116" i="2"/>
  <c r="G116" i="2"/>
  <c r="AS115" i="2"/>
  <c r="AL115" i="2"/>
  <c r="J2820" i="3"/>
  <c r="I115" i="2"/>
  <c r="H115" i="2"/>
  <c r="G115" i="2"/>
  <c r="M115" i="2"/>
  <c r="C2808" i="3"/>
  <c r="AS114" i="2"/>
  <c r="AL114" i="2"/>
  <c r="J2790" i="3"/>
  <c r="I114" i="2"/>
  <c r="H114" i="2"/>
  <c r="G114" i="2"/>
  <c r="M114" i="2"/>
  <c r="C2778" i="3"/>
  <c r="AS113" i="2"/>
  <c r="AL113" i="2"/>
  <c r="J2760" i="3"/>
  <c r="I113" i="2"/>
  <c r="H113" i="2"/>
  <c r="G113" i="2"/>
  <c r="M113" i="2"/>
  <c r="C2748" i="3"/>
  <c r="AU112" i="2"/>
  <c r="AS112" i="2"/>
  <c r="AL112" i="2"/>
  <c r="J2642" i="3"/>
  <c r="I112" i="2"/>
  <c r="H112" i="2"/>
  <c r="G112" i="2"/>
  <c r="D112" i="2"/>
  <c r="J112" i="2"/>
  <c r="AS110" i="2"/>
  <c r="AL110" i="2"/>
  <c r="I110" i="2"/>
  <c r="H110" i="2"/>
  <c r="G110" i="2"/>
  <c r="M110" i="2"/>
  <c r="C2932" i="3"/>
  <c r="AS111" i="2"/>
  <c r="AN111" i="2"/>
  <c r="J2732" i="3" s="1"/>
  <c r="AL111" i="2"/>
  <c r="I111" i="2"/>
  <c r="H111" i="2"/>
  <c r="G111" i="2"/>
  <c r="AS109" i="2"/>
  <c r="AS108" i="2"/>
  <c r="AL108" i="2"/>
  <c r="AL107" i="2"/>
  <c r="I108" i="2"/>
  <c r="H108" i="2"/>
  <c r="G108" i="2"/>
  <c r="D108" i="2"/>
  <c r="AS107" i="2"/>
  <c r="J2551" i="3"/>
  <c r="AS105" i="2"/>
  <c r="AL105" i="2"/>
  <c r="J2520" i="3"/>
  <c r="I105" i="2"/>
  <c r="H105" i="2"/>
  <c r="G105" i="2"/>
  <c r="M105" i="2"/>
  <c r="C2508" i="3"/>
  <c r="D105" i="2"/>
  <c r="AS104" i="2"/>
  <c r="AL104" i="2"/>
  <c r="J2459" i="3"/>
  <c r="I104" i="2"/>
  <c r="H104" i="2"/>
  <c r="G104" i="2"/>
  <c r="M104" i="2"/>
  <c r="C2447" i="3"/>
  <c r="D104" i="2"/>
  <c r="AS103" i="2"/>
  <c r="AL103" i="2"/>
  <c r="J2489" i="3"/>
  <c r="I103" i="2"/>
  <c r="H103" i="2"/>
  <c r="G103" i="2"/>
  <c r="D103" i="2"/>
  <c r="AS102" i="2"/>
  <c r="AL102" i="2"/>
  <c r="J2429" i="3"/>
  <c r="I102" i="2"/>
  <c r="H102" i="2"/>
  <c r="G102" i="2"/>
  <c r="M102" i="2"/>
  <c r="C2417" i="3"/>
  <c r="D102" i="2"/>
  <c r="AS101" i="2"/>
  <c r="AL101" i="2"/>
  <c r="J2399" i="3"/>
  <c r="I101" i="2"/>
  <c r="H101" i="2"/>
  <c r="G101" i="2"/>
  <c r="AS100" i="2"/>
  <c r="AL100" i="2"/>
  <c r="J2369" i="3"/>
  <c r="I100" i="2"/>
  <c r="H100" i="2"/>
  <c r="G100" i="2"/>
  <c r="AS99" i="2"/>
  <c r="AL99" i="2"/>
  <c r="J2309" i="3"/>
  <c r="I99" i="2"/>
  <c r="H99" i="2"/>
  <c r="G99" i="2"/>
  <c r="D99" i="2"/>
  <c r="AS98" i="2"/>
  <c r="AL98" i="2"/>
  <c r="I98" i="2"/>
  <c r="H98" i="2"/>
  <c r="G98" i="2"/>
  <c r="M98" i="2"/>
  <c r="AS97" i="2"/>
  <c r="AL97" i="2"/>
  <c r="I97" i="2"/>
  <c r="H97" i="2"/>
  <c r="G97" i="2"/>
  <c r="D97" i="2"/>
  <c r="AS96" i="2"/>
  <c r="AS94" i="2"/>
  <c r="AL94" i="2"/>
  <c r="J2219" i="3"/>
  <c r="I94" i="2"/>
  <c r="H94" i="2"/>
  <c r="G94" i="2"/>
  <c r="M94" i="2"/>
  <c r="C2207" i="3"/>
  <c r="AS93" i="2"/>
  <c r="AL93" i="2"/>
  <c r="I93" i="2"/>
  <c r="H93" i="2"/>
  <c r="G93" i="2"/>
  <c r="AS91" i="2"/>
  <c r="AL91" i="2"/>
  <c r="I91" i="2"/>
  <c r="H91" i="2"/>
  <c r="G91" i="2"/>
  <c r="AS89" i="2"/>
  <c r="AL89" i="2"/>
  <c r="J2099" i="3"/>
  <c r="I89" i="2"/>
  <c r="H89" i="2"/>
  <c r="G89" i="2"/>
  <c r="M89" i="2"/>
  <c r="C2087" i="3"/>
  <c r="D89" i="2"/>
  <c r="AS87" i="2"/>
  <c r="AL87" i="2"/>
  <c r="J1979" i="3"/>
  <c r="I87" i="2"/>
  <c r="H87" i="2"/>
  <c r="G87" i="2"/>
  <c r="M87" i="2"/>
  <c r="C1967" i="3"/>
  <c r="AS86" i="2"/>
  <c r="AL86" i="2"/>
  <c r="J1949" i="3"/>
  <c r="I86" i="2"/>
  <c r="H86" i="2"/>
  <c r="G86" i="2"/>
  <c r="M86" i="2"/>
  <c r="C1937" i="3"/>
  <c r="D86" i="2"/>
  <c r="AS85" i="2"/>
  <c r="AL85" i="2"/>
  <c r="J1919" i="3"/>
  <c r="X85" i="2"/>
  <c r="I1908" i="3" s="1"/>
  <c r="I85" i="2"/>
  <c r="H85" i="2"/>
  <c r="G85" i="2"/>
  <c r="M85" i="2"/>
  <c r="C1907" i="3"/>
  <c r="D85" i="2"/>
  <c r="AS84" i="2"/>
  <c r="AL84" i="2"/>
  <c r="J2069" i="3"/>
  <c r="I84" i="2"/>
  <c r="H84" i="2"/>
  <c r="G84" i="2"/>
  <c r="M84" i="2"/>
  <c r="C2057" i="3"/>
  <c r="AS83" i="2"/>
  <c r="AL83" i="2"/>
  <c r="I83" i="2"/>
  <c r="H83" i="2"/>
  <c r="G83" i="2"/>
  <c r="M83" i="2"/>
  <c r="C2027" i="3"/>
  <c r="AS82" i="2"/>
  <c r="AL82" i="2"/>
  <c r="I82" i="2"/>
  <c r="H82" i="2"/>
  <c r="G82" i="2"/>
  <c r="M82" i="2"/>
  <c r="C1877" i="3"/>
  <c r="AS79" i="2"/>
  <c r="AS78" i="2"/>
  <c r="AL78" i="2"/>
  <c r="AL77" i="2"/>
  <c r="I78" i="2"/>
  <c r="H78" i="2"/>
  <c r="G78" i="2"/>
  <c r="AS77" i="2"/>
  <c r="AT76" i="2"/>
  <c r="AS76" i="2"/>
  <c r="AR76" i="2"/>
  <c r="AS74" i="2"/>
  <c r="AL74" i="2"/>
  <c r="J1554" i="3"/>
  <c r="I74" i="2"/>
  <c r="H74" i="2"/>
  <c r="G74" i="2"/>
  <c r="M74" i="2" s="1"/>
  <c r="AS73" i="2"/>
  <c r="AL73" i="2"/>
  <c r="J1615" i="3"/>
  <c r="I73" i="2"/>
  <c r="H73" i="2"/>
  <c r="G73" i="2"/>
  <c r="M73" i="2"/>
  <c r="C1603" i="3"/>
  <c r="D73" i="2"/>
  <c r="AS72" i="2"/>
  <c r="AL72" i="2"/>
  <c r="J1584" i="3" s="1"/>
  <c r="I72" i="2"/>
  <c r="H72" i="2"/>
  <c r="G72" i="2"/>
  <c r="M72" i="2" s="1"/>
  <c r="C1572" i="3" s="1"/>
  <c r="D72" i="2"/>
  <c r="AS71" i="2"/>
  <c r="AL71" i="2"/>
  <c r="J1736" i="3" s="1"/>
  <c r="I71" i="2"/>
  <c r="H71" i="2"/>
  <c r="G71" i="2"/>
  <c r="M71" i="2" s="1"/>
  <c r="C1724" i="3" s="1"/>
  <c r="AS69" i="2"/>
  <c r="AL69" i="2"/>
  <c r="J1676" i="3" s="1"/>
  <c r="I69" i="2"/>
  <c r="H69" i="2"/>
  <c r="G69" i="2"/>
  <c r="M69" i="2"/>
  <c r="C1664" i="3"/>
  <c r="AS68" i="2"/>
  <c r="AL68" i="2"/>
  <c r="J1646" i="3"/>
  <c r="I68" i="2"/>
  <c r="H68" i="2"/>
  <c r="G68" i="2"/>
  <c r="M68" i="2" s="1"/>
  <c r="J1368" i="3"/>
  <c r="C1356" i="3"/>
  <c r="J1337" i="3"/>
  <c r="J1306" i="3"/>
  <c r="AS61" i="2"/>
  <c r="AL61" i="2"/>
  <c r="J1275" i="3" s="1"/>
  <c r="I61" i="2"/>
  <c r="H61" i="2"/>
  <c r="G61" i="2"/>
  <c r="M61" i="2" s="1"/>
  <c r="AS60" i="2"/>
  <c r="AS59" i="2"/>
  <c r="AL59" i="2"/>
  <c r="J1246" i="3"/>
  <c r="I59" i="2"/>
  <c r="H59" i="2"/>
  <c r="G59" i="2"/>
  <c r="D59" i="2"/>
  <c r="AS58" i="2"/>
  <c r="AL58" i="2"/>
  <c r="J1217" i="3"/>
  <c r="I58" i="2"/>
  <c r="H58" i="2"/>
  <c r="G58" i="2"/>
  <c r="M58" i="2"/>
  <c r="C1205" i="3"/>
  <c r="AS57" i="2"/>
  <c r="AL57" i="2"/>
  <c r="J1185" i="3"/>
  <c r="I57" i="2"/>
  <c r="H57" i="2"/>
  <c r="G57" i="2"/>
  <c r="AS56" i="2"/>
  <c r="AL56" i="2"/>
  <c r="I56" i="2"/>
  <c r="H56" i="2"/>
  <c r="G56" i="2"/>
  <c r="AS53" i="2"/>
  <c r="AL53" i="2"/>
  <c r="J1093" i="3"/>
  <c r="I53" i="2"/>
  <c r="H53" i="2"/>
  <c r="G53" i="2"/>
  <c r="M53" i="2"/>
  <c r="C1081" i="3"/>
  <c r="AS52" i="2"/>
  <c r="AL52" i="2"/>
  <c r="J1062" i="3"/>
  <c r="I52" i="2"/>
  <c r="H52" i="2"/>
  <c r="G52" i="2"/>
  <c r="M52" i="2"/>
  <c r="AS51" i="2"/>
  <c r="AL51" i="2"/>
  <c r="J1031" i="3"/>
  <c r="I51" i="2"/>
  <c r="H51" i="2"/>
  <c r="G51" i="2"/>
  <c r="D51" i="2"/>
  <c r="C1012" i="3"/>
  <c r="AS50" i="2"/>
  <c r="AN50" i="2"/>
  <c r="J1002" i="3" s="1"/>
  <c r="AL50" i="2"/>
  <c r="I50" i="2"/>
  <c r="H50" i="2"/>
  <c r="G50" i="2"/>
  <c r="M50" i="2"/>
  <c r="C989" i="3"/>
  <c r="AS49" i="2"/>
  <c r="AL47" i="2"/>
  <c r="J970" i="3"/>
  <c r="I47" i="2"/>
  <c r="H47" i="2"/>
  <c r="G47" i="2"/>
  <c r="M47" i="2"/>
  <c r="C958" i="3"/>
  <c r="D47" i="2"/>
  <c r="AS46" i="2"/>
  <c r="AL46" i="2"/>
  <c r="J938" i="3"/>
  <c r="I46" i="2"/>
  <c r="H46" i="2"/>
  <c r="G46" i="2"/>
  <c r="M46" i="2"/>
  <c r="C926" i="3"/>
  <c r="D46" i="2"/>
  <c r="AS45" i="2"/>
  <c r="AL45" i="2"/>
  <c r="J908" i="3"/>
  <c r="I45" i="2"/>
  <c r="H45" i="2"/>
  <c r="G45" i="2"/>
  <c r="M45" i="2"/>
  <c r="C896" i="3"/>
  <c r="D45" i="2"/>
  <c r="AS44" i="2"/>
  <c r="AL44" i="2"/>
  <c r="J848" i="3"/>
  <c r="I44" i="2"/>
  <c r="H44" i="2"/>
  <c r="G44" i="2"/>
  <c r="M44" i="2"/>
  <c r="AS43" i="2"/>
  <c r="AL43" i="2"/>
  <c r="I43" i="2"/>
  <c r="H43" i="2"/>
  <c r="G43" i="2"/>
  <c r="D43" i="2"/>
  <c r="D40" i="4"/>
  <c r="AS42" i="2"/>
  <c r="AS41" i="2"/>
  <c r="AL41" i="2"/>
  <c r="J1827" i="3"/>
  <c r="I41" i="2"/>
  <c r="H41" i="2"/>
  <c r="G41" i="2"/>
  <c r="D41" i="2"/>
  <c r="AS40" i="2"/>
  <c r="AL40" i="2"/>
  <c r="J1797" i="3"/>
  <c r="I40" i="2"/>
  <c r="H40" i="2"/>
  <c r="G40" i="2"/>
  <c r="D40" i="2"/>
  <c r="AS39" i="2"/>
  <c r="AL39" i="2"/>
  <c r="J788" i="3"/>
  <c r="I39" i="2"/>
  <c r="H39" i="2"/>
  <c r="G39" i="2"/>
  <c r="M39" i="2"/>
  <c r="C776" i="3"/>
  <c r="D39" i="2"/>
  <c r="D36" i="4"/>
  <c r="AS38" i="2"/>
  <c r="AL38" i="2"/>
  <c r="J756" i="3"/>
  <c r="I38" i="2"/>
  <c r="H38" i="2"/>
  <c r="G38" i="2"/>
  <c r="M38" i="2"/>
  <c r="C744" i="3"/>
  <c r="D38" i="2"/>
  <c r="AS37" i="2"/>
  <c r="AL37" i="2"/>
  <c r="J725" i="3"/>
  <c r="I37" i="2"/>
  <c r="H37" i="2"/>
  <c r="G37" i="2"/>
  <c r="M37" i="2"/>
  <c r="C713" i="3"/>
  <c r="D37" i="2"/>
  <c r="AS36" i="2"/>
  <c r="AL36" i="2"/>
  <c r="J694" i="3"/>
  <c r="I36" i="2"/>
  <c r="H36" i="2"/>
  <c r="G36" i="2"/>
  <c r="M36" i="2"/>
  <c r="C682" i="3"/>
  <c r="AS34" i="2"/>
  <c r="AL34" i="2"/>
  <c r="J634" i="3"/>
  <c r="I34" i="2"/>
  <c r="H34" i="2"/>
  <c r="G34" i="2"/>
  <c r="M34" i="2"/>
  <c r="C622" i="3"/>
  <c r="AS33" i="2"/>
  <c r="AL33" i="2"/>
  <c r="J604" i="3"/>
  <c r="I33" i="2"/>
  <c r="H33" i="2"/>
  <c r="G33" i="2"/>
  <c r="AS32" i="2"/>
  <c r="AL32" i="2"/>
  <c r="J574" i="3"/>
  <c r="I32" i="2"/>
  <c r="H32" i="2"/>
  <c r="G32" i="2"/>
  <c r="AS31" i="2"/>
  <c r="AL31" i="2"/>
  <c r="I31" i="2"/>
  <c r="H31" i="2"/>
  <c r="G31" i="2"/>
  <c r="AS30" i="2"/>
  <c r="I30" i="2"/>
  <c r="H30" i="2"/>
  <c r="G30" i="2"/>
  <c r="AS29" i="2"/>
  <c r="AL28" i="2"/>
  <c r="AL27" i="2"/>
  <c r="I28" i="2"/>
  <c r="H28" i="2"/>
  <c r="G28" i="2"/>
  <c r="M28" i="2"/>
  <c r="AS27" i="2"/>
  <c r="AS26" i="2"/>
  <c r="AL26" i="2"/>
  <c r="AL25" i="2"/>
  <c r="I26" i="2"/>
  <c r="H26" i="2"/>
  <c r="G26" i="2"/>
  <c r="AS25" i="2"/>
  <c r="AS24" i="2"/>
  <c r="AL24" i="2"/>
  <c r="I24" i="2"/>
  <c r="H24" i="2"/>
  <c r="G24" i="2"/>
  <c r="D24" i="2"/>
  <c r="AS23" i="2"/>
  <c r="AL23" i="2"/>
  <c r="J326" i="3"/>
  <c r="I23" i="2"/>
  <c r="H23" i="2"/>
  <c r="G23" i="2"/>
  <c r="M23" i="2"/>
  <c r="C314" i="3"/>
  <c r="AS22" i="2"/>
  <c r="AL22" i="2"/>
  <c r="J389" i="3"/>
  <c r="I22" i="2"/>
  <c r="H22" i="2"/>
  <c r="G22" i="2"/>
  <c r="M22" i="2"/>
  <c r="C377" i="3"/>
  <c r="D22" i="2"/>
  <c r="C370" i="3"/>
  <c r="AS21" i="2"/>
  <c r="AL21" i="2"/>
  <c r="J295" i="3"/>
  <c r="I21" i="2"/>
  <c r="H21" i="2"/>
  <c r="G21" i="2"/>
  <c r="M21" i="2"/>
  <c r="C283" i="3"/>
  <c r="D21" i="2"/>
  <c r="AS20" i="2"/>
  <c r="AL20" i="2"/>
  <c r="J357" i="3"/>
  <c r="I20" i="2"/>
  <c r="H20" i="2"/>
  <c r="G20" i="2"/>
  <c r="M20" i="2"/>
  <c r="C345" i="3"/>
  <c r="D20" i="2"/>
  <c r="AS19" i="2"/>
  <c r="AL19" i="2"/>
  <c r="J266" i="3"/>
  <c r="I19" i="2"/>
  <c r="H19" i="2"/>
  <c r="G19" i="2"/>
  <c r="M19" i="2"/>
  <c r="C254" i="3"/>
  <c r="D19" i="2"/>
  <c r="AS18" i="2"/>
  <c r="AL18" i="2"/>
  <c r="J235" i="3"/>
  <c r="I18" i="2"/>
  <c r="H18" i="2"/>
  <c r="G18" i="2"/>
  <c r="M18" i="2"/>
  <c r="C223" i="3"/>
  <c r="AS17" i="2"/>
  <c r="AL17" i="2"/>
  <c r="J205" i="3"/>
  <c r="I17" i="2"/>
  <c r="H17" i="2"/>
  <c r="G17" i="2"/>
  <c r="M17" i="2"/>
  <c r="C193" i="3"/>
  <c r="AS16" i="2"/>
  <c r="AL16" i="2"/>
  <c r="J176" i="3"/>
  <c r="I16" i="2"/>
  <c r="H16" i="2"/>
  <c r="G16" i="2"/>
  <c r="M16" i="2"/>
  <c r="C164" i="3"/>
  <c r="AS15" i="2"/>
  <c r="AL15" i="2"/>
  <c r="J145" i="3"/>
  <c r="I15" i="2"/>
  <c r="H15" i="2"/>
  <c r="G15" i="2"/>
  <c r="AS14" i="2"/>
  <c r="AL14" i="2"/>
  <c r="J114" i="3"/>
  <c r="I14" i="2"/>
  <c r="H14" i="2"/>
  <c r="G14" i="2"/>
  <c r="AS13" i="2"/>
  <c r="AL13" i="2"/>
  <c r="I13" i="2"/>
  <c r="H13" i="2"/>
  <c r="G13" i="2"/>
  <c r="AS11" i="2"/>
  <c r="AL11" i="2"/>
  <c r="J54" i="3"/>
  <c r="I11" i="2"/>
  <c r="H11" i="2"/>
  <c r="G11" i="2"/>
  <c r="AS10" i="2"/>
  <c r="AL10" i="2"/>
  <c r="I10" i="2"/>
  <c r="H10" i="2"/>
  <c r="G10" i="2"/>
  <c r="C238" i="1"/>
  <c r="D238" i="1"/>
  <c r="E238" i="1"/>
  <c r="F238" i="1"/>
  <c r="G238" i="1"/>
  <c r="H238" i="1"/>
  <c r="I238" i="1"/>
  <c r="J238" i="1"/>
  <c r="K238" i="1"/>
  <c r="L238" i="1"/>
  <c r="C237" i="1"/>
  <c r="D237" i="1"/>
  <c r="E237" i="1"/>
  <c r="F237" i="1"/>
  <c r="G237" i="1"/>
  <c r="H237" i="1"/>
  <c r="I237" i="1"/>
  <c r="J237" i="1"/>
  <c r="K237" i="1"/>
  <c r="L237" i="1"/>
  <c r="C236" i="1"/>
  <c r="D236" i="1"/>
  <c r="E236" i="1"/>
  <c r="F236" i="1"/>
  <c r="G236" i="1"/>
  <c r="H236" i="1"/>
  <c r="I236" i="1"/>
  <c r="J236" i="1"/>
  <c r="K236" i="1"/>
  <c r="L236" i="1"/>
  <c r="C235" i="1"/>
  <c r="D235" i="1"/>
  <c r="E235" i="1"/>
  <c r="F235" i="1"/>
  <c r="G235" i="1"/>
  <c r="H235" i="1"/>
  <c r="I235" i="1"/>
  <c r="J235" i="1"/>
  <c r="K235" i="1"/>
  <c r="L235" i="1"/>
  <c r="C234" i="1"/>
  <c r="D234" i="1"/>
  <c r="E234" i="1"/>
  <c r="F234" i="1"/>
  <c r="G234" i="1"/>
  <c r="H234" i="1"/>
  <c r="I234" i="1"/>
  <c r="J234" i="1"/>
  <c r="K234" i="1"/>
  <c r="L234" i="1"/>
  <c r="C233" i="1"/>
  <c r="D233" i="1"/>
  <c r="E233" i="1"/>
  <c r="F233" i="1"/>
  <c r="G233" i="1"/>
  <c r="H233" i="1"/>
  <c r="I233" i="1"/>
  <c r="J233" i="1"/>
  <c r="K233" i="1"/>
  <c r="L233" i="1"/>
  <c r="C232" i="1"/>
  <c r="D232" i="1"/>
  <c r="E232" i="1"/>
  <c r="F232" i="1"/>
  <c r="G232" i="1"/>
  <c r="H232" i="1"/>
  <c r="I232" i="1"/>
  <c r="J232" i="1"/>
  <c r="K232" i="1"/>
  <c r="L232" i="1"/>
  <c r="C231" i="1"/>
  <c r="D231" i="1"/>
  <c r="E231" i="1"/>
  <c r="F231" i="1"/>
  <c r="G231" i="1"/>
  <c r="C229" i="1"/>
  <c r="D229" i="1"/>
  <c r="E229" i="1"/>
  <c r="F229" i="1"/>
  <c r="G229" i="1"/>
  <c r="H229" i="1"/>
  <c r="I229" i="1"/>
  <c r="J229" i="1"/>
  <c r="K229" i="1"/>
  <c r="L229" i="1"/>
  <c r="C228" i="1"/>
  <c r="D228" i="1"/>
  <c r="E228" i="1"/>
  <c r="F228" i="1"/>
  <c r="G228" i="1"/>
  <c r="H228" i="1"/>
  <c r="I228" i="1"/>
  <c r="J228" i="1"/>
  <c r="K228" i="1"/>
  <c r="L228" i="1"/>
  <c r="C227" i="1"/>
  <c r="D227" i="1"/>
  <c r="E227" i="1"/>
  <c r="F227" i="1"/>
  <c r="G227" i="1"/>
  <c r="H227" i="1"/>
  <c r="I227" i="1"/>
  <c r="J227" i="1"/>
  <c r="K227" i="1"/>
  <c r="L227" i="1"/>
  <c r="C226" i="1"/>
  <c r="D226" i="1"/>
  <c r="E226" i="1"/>
  <c r="F226" i="1"/>
  <c r="G226" i="1"/>
  <c r="H226" i="1"/>
  <c r="I226" i="1"/>
  <c r="J226" i="1"/>
  <c r="K226" i="1"/>
  <c r="L226" i="1"/>
  <c r="C225" i="1"/>
  <c r="D225" i="1"/>
  <c r="E225" i="1"/>
  <c r="F225" i="1"/>
  <c r="G225" i="1"/>
  <c r="H225" i="1"/>
  <c r="I225" i="1"/>
  <c r="J225" i="1"/>
  <c r="K225" i="1"/>
  <c r="L225" i="1"/>
  <c r="C224" i="1"/>
  <c r="D224" i="1"/>
  <c r="C223" i="1"/>
  <c r="D223" i="1"/>
  <c r="E223" i="1"/>
  <c r="F223" i="1"/>
  <c r="C222" i="1"/>
  <c r="D222" i="1"/>
  <c r="E222" i="1"/>
  <c r="F222" i="1"/>
  <c r="G222" i="1"/>
  <c r="H222" i="1"/>
  <c r="I222" i="1"/>
  <c r="J222" i="1"/>
  <c r="K222" i="1"/>
  <c r="L222" i="1"/>
  <c r="C221" i="1"/>
  <c r="D221" i="1"/>
  <c r="E221" i="1"/>
  <c r="F221" i="1"/>
  <c r="G221" i="1"/>
  <c r="H221" i="1"/>
  <c r="I221" i="1"/>
  <c r="J221" i="1"/>
  <c r="K221" i="1"/>
  <c r="L221" i="1"/>
  <c r="C220" i="1"/>
  <c r="D220" i="1"/>
  <c r="E220" i="1"/>
  <c r="F220" i="1"/>
  <c r="G220" i="1"/>
  <c r="H220" i="1"/>
  <c r="I220" i="1"/>
  <c r="J220" i="1"/>
  <c r="K220" i="1"/>
  <c r="L220" i="1"/>
  <c r="C219" i="1"/>
  <c r="C218" i="1"/>
  <c r="D218" i="1"/>
  <c r="E218" i="1"/>
  <c r="F218" i="1"/>
  <c r="G218" i="1"/>
  <c r="H218" i="1"/>
  <c r="I218" i="1"/>
  <c r="J218" i="1"/>
  <c r="K218" i="1"/>
  <c r="L218" i="1"/>
  <c r="C217" i="1"/>
  <c r="D217" i="1"/>
  <c r="E217" i="1"/>
  <c r="F217" i="1"/>
  <c r="G217" i="1"/>
  <c r="H217" i="1"/>
  <c r="I217" i="1"/>
  <c r="J217" i="1"/>
  <c r="K217" i="1"/>
  <c r="L217" i="1"/>
  <c r="C216" i="1"/>
  <c r="D216" i="1"/>
  <c r="E216" i="1"/>
  <c r="F216" i="1"/>
  <c r="G216" i="1"/>
  <c r="H216" i="1"/>
  <c r="I216" i="1"/>
  <c r="J216" i="1"/>
  <c r="K216" i="1"/>
  <c r="L216" i="1"/>
  <c r="C215" i="1"/>
  <c r="D215" i="1"/>
  <c r="E215" i="1"/>
  <c r="F215" i="1"/>
  <c r="G215" i="1"/>
  <c r="H215" i="1"/>
  <c r="I215" i="1"/>
  <c r="J215" i="1"/>
  <c r="K215" i="1"/>
  <c r="L215" i="1"/>
  <c r="C214" i="1"/>
  <c r="D214" i="1"/>
  <c r="E214" i="1"/>
  <c r="F214" i="1"/>
  <c r="G214" i="1"/>
  <c r="H214" i="1"/>
  <c r="I214" i="1"/>
  <c r="J214" i="1"/>
  <c r="K214" i="1"/>
  <c r="L214" i="1"/>
  <c r="C212" i="1"/>
  <c r="D212" i="1"/>
  <c r="E212" i="1"/>
  <c r="F212" i="1"/>
  <c r="G212" i="1"/>
  <c r="H212" i="1"/>
  <c r="I212" i="1"/>
  <c r="J212" i="1"/>
  <c r="K212" i="1"/>
  <c r="L212" i="1"/>
  <c r="C211" i="1"/>
  <c r="D211" i="1"/>
  <c r="E211" i="1"/>
  <c r="F211" i="1"/>
  <c r="G211" i="1"/>
  <c r="H211" i="1"/>
  <c r="I211" i="1"/>
  <c r="J211" i="1"/>
  <c r="K211" i="1"/>
  <c r="L211" i="1"/>
  <c r="C210" i="1"/>
  <c r="D210" i="1"/>
  <c r="E210" i="1"/>
  <c r="F210" i="1"/>
  <c r="G210" i="1"/>
  <c r="H210" i="1"/>
  <c r="I210" i="1"/>
  <c r="J210" i="1"/>
  <c r="K210" i="1"/>
  <c r="L210" i="1"/>
  <c r="C209" i="1"/>
  <c r="D209" i="1"/>
  <c r="E209" i="1"/>
  <c r="F209" i="1"/>
  <c r="G209" i="1"/>
  <c r="H209" i="1"/>
  <c r="I209" i="1"/>
  <c r="J209" i="1"/>
  <c r="K209" i="1"/>
  <c r="L209" i="1"/>
  <c r="C208" i="1"/>
  <c r="D208" i="1"/>
  <c r="E208" i="1"/>
  <c r="F208" i="1"/>
  <c r="G208" i="1"/>
  <c r="H208" i="1"/>
  <c r="I208" i="1"/>
  <c r="J208" i="1"/>
  <c r="K208" i="1"/>
  <c r="L208" i="1"/>
  <c r="C207" i="1"/>
  <c r="D207" i="1"/>
  <c r="E207" i="1"/>
  <c r="F207" i="1"/>
  <c r="C206" i="1"/>
  <c r="D206" i="1"/>
  <c r="E206" i="1"/>
  <c r="F206" i="1"/>
  <c r="G206" i="1"/>
  <c r="H206" i="1"/>
  <c r="I206" i="1"/>
  <c r="J206" i="1"/>
  <c r="K206" i="1"/>
  <c r="L206" i="1"/>
  <c r="C205" i="1"/>
  <c r="D205" i="1"/>
  <c r="E205" i="1"/>
  <c r="F205" i="1"/>
  <c r="G205" i="1"/>
  <c r="H205" i="1"/>
  <c r="I205" i="1"/>
  <c r="J205" i="1"/>
  <c r="K205" i="1"/>
  <c r="L205" i="1"/>
  <c r="C204" i="1"/>
  <c r="D204" i="1"/>
  <c r="E204" i="1"/>
  <c r="F204" i="1"/>
  <c r="G204" i="1"/>
  <c r="H204" i="1"/>
  <c r="I204" i="1"/>
  <c r="J204" i="1"/>
  <c r="K204" i="1"/>
  <c r="L204" i="1"/>
  <c r="C202" i="1"/>
  <c r="C201" i="1"/>
  <c r="D201" i="1"/>
  <c r="E201" i="1"/>
  <c r="F201" i="1"/>
  <c r="G201" i="1"/>
  <c r="H201" i="1"/>
  <c r="I201" i="1"/>
  <c r="J201" i="1"/>
  <c r="K201" i="1"/>
  <c r="L201" i="1"/>
  <c r="C200" i="1"/>
  <c r="D200" i="1"/>
  <c r="E200" i="1"/>
  <c r="F200" i="1"/>
  <c r="G200" i="1"/>
  <c r="H200" i="1"/>
  <c r="I200" i="1"/>
  <c r="J200" i="1"/>
  <c r="K200" i="1"/>
  <c r="L200" i="1"/>
  <c r="C199" i="1"/>
  <c r="D199" i="1"/>
  <c r="E199" i="1"/>
  <c r="F199" i="1"/>
  <c r="G199" i="1"/>
  <c r="H199" i="1"/>
  <c r="I199" i="1"/>
  <c r="J199" i="1"/>
  <c r="K199" i="1"/>
  <c r="L199" i="1"/>
  <c r="C198" i="1"/>
  <c r="D198" i="1"/>
  <c r="E198" i="1"/>
  <c r="F198" i="1"/>
  <c r="G198" i="1"/>
  <c r="H198" i="1"/>
  <c r="I198" i="1"/>
  <c r="J198" i="1"/>
  <c r="K198" i="1"/>
  <c r="L198" i="1"/>
  <c r="C197" i="1"/>
  <c r="D197" i="1"/>
  <c r="E197" i="1"/>
  <c r="F197" i="1"/>
  <c r="G197" i="1"/>
  <c r="H197" i="1"/>
  <c r="I197" i="1"/>
  <c r="J197" i="1"/>
  <c r="K197" i="1"/>
  <c r="L197" i="1"/>
  <c r="C196" i="1"/>
  <c r="D196" i="1"/>
  <c r="E196" i="1"/>
  <c r="F196" i="1"/>
  <c r="G196" i="1"/>
  <c r="H196" i="1"/>
  <c r="I196" i="1"/>
  <c r="J196" i="1"/>
  <c r="K196" i="1"/>
  <c r="L196" i="1"/>
  <c r="C195" i="1"/>
  <c r="D195" i="1"/>
  <c r="E195" i="1"/>
  <c r="F195" i="1"/>
  <c r="G195" i="1"/>
  <c r="H195" i="1"/>
  <c r="I195" i="1"/>
  <c r="J195" i="1"/>
  <c r="K195" i="1"/>
  <c r="L195" i="1"/>
  <c r="C194" i="1"/>
  <c r="D194" i="1"/>
  <c r="E194" i="1"/>
  <c r="F194" i="1"/>
  <c r="G194" i="1"/>
  <c r="H194" i="1"/>
  <c r="I194" i="1"/>
  <c r="J194" i="1"/>
  <c r="K194" i="1"/>
  <c r="L194" i="1"/>
  <c r="C193" i="1"/>
  <c r="D193" i="1"/>
  <c r="E193" i="1"/>
  <c r="F193" i="1"/>
  <c r="G193" i="1"/>
  <c r="H193" i="1"/>
  <c r="I193" i="1"/>
  <c r="J193" i="1"/>
  <c r="K193" i="1"/>
  <c r="L193" i="1"/>
  <c r="C192" i="1"/>
  <c r="C191" i="1"/>
  <c r="D191" i="1"/>
  <c r="E191" i="1"/>
  <c r="F191" i="1"/>
  <c r="G191" i="1"/>
  <c r="H191" i="1"/>
  <c r="I191" i="1"/>
  <c r="J191" i="1"/>
  <c r="K191" i="1"/>
  <c r="L191" i="1"/>
  <c r="C190" i="1"/>
  <c r="D190" i="1"/>
  <c r="E190" i="1"/>
  <c r="F190" i="1"/>
  <c r="G190" i="1"/>
  <c r="H190" i="1"/>
  <c r="I190" i="1"/>
  <c r="J190" i="1"/>
  <c r="K190" i="1"/>
  <c r="L190" i="1"/>
  <c r="C189" i="1"/>
  <c r="D189" i="1"/>
  <c r="E189" i="1"/>
  <c r="F189" i="1"/>
  <c r="G189" i="1"/>
  <c r="H189" i="1"/>
  <c r="I189" i="1"/>
  <c r="J189" i="1"/>
  <c r="K189" i="1"/>
  <c r="L189" i="1"/>
  <c r="C188" i="1"/>
  <c r="D188" i="1"/>
  <c r="E188" i="1"/>
  <c r="F188" i="1"/>
  <c r="G188" i="1"/>
  <c r="H188" i="1"/>
  <c r="I188" i="1"/>
  <c r="J188" i="1"/>
  <c r="K188" i="1"/>
  <c r="L188" i="1"/>
  <c r="C187" i="1"/>
  <c r="D187" i="1"/>
  <c r="C186" i="1"/>
  <c r="D186" i="1"/>
  <c r="E186" i="1"/>
  <c r="F186" i="1"/>
  <c r="G186" i="1"/>
  <c r="H186" i="1"/>
  <c r="I186" i="1"/>
  <c r="J186" i="1"/>
  <c r="K186" i="1"/>
  <c r="L186" i="1"/>
  <c r="C185" i="1"/>
  <c r="D185" i="1"/>
  <c r="E185" i="1"/>
  <c r="C184" i="1"/>
  <c r="D184" i="1"/>
  <c r="E184" i="1"/>
  <c r="F184" i="1"/>
  <c r="G184" i="1"/>
  <c r="H184" i="1"/>
  <c r="I184" i="1"/>
  <c r="J184" i="1"/>
  <c r="K184" i="1"/>
  <c r="L184" i="1"/>
  <c r="C183" i="1"/>
  <c r="D183" i="1"/>
  <c r="E183" i="1"/>
  <c r="F183" i="1"/>
  <c r="G183" i="1"/>
  <c r="H183" i="1"/>
  <c r="I183" i="1"/>
  <c r="J183" i="1"/>
  <c r="K183" i="1"/>
  <c r="L183" i="1"/>
  <c r="C182" i="1"/>
  <c r="D182" i="1"/>
  <c r="E182" i="1"/>
  <c r="F182" i="1"/>
  <c r="G182" i="1"/>
  <c r="H182" i="1"/>
  <c r="I182" i="1"/>
  <c r="J182" i="1"/>
  <c r="K182" i="1"/>
  <c r="L182" i="1"/>
  <c r="C181" i="1"/>
  <c r="D181" i="1"/>
  <c r="E181" i="1"/>
  <c r="F181" i="1"/>
  <c r="G181" i="1"/>
  <c r="H181" i="1"/>
  <c r="I181" i="1"/>
  <c r="J181" i="1"/>
  <c r="K181" i="1"/>
  <c r="L181" i="1"/>
  <c r="C180" i="1"/>
  <c r="D180" i="1"/>
  <c r="E180" i="1"/>
  <c r="F180" i="1"/>
  <c r="G180" i="1"/>
  <c r="H180" i="1"/>
  <c r="I180" i="1"/>
  <c r="J180" i="1"/>
  <c r="K180" i="1"/>
  <c r="L180" i="1"/>
  <c r="C179" i="1"/>
  <c r="D179" i="1"/>
  <c r="E179" i="1"/>
  <c r="F179" i="1"/>
  <c r="G179" i="1"/>
  <c r="H179" i="1"/>
  <c r="I179" i="1"/>
  <c r="J179" i="1"/>
  <c r="K179" i="1"/>
  <c r="L179" i="1"/>
  <c r="C178" i="1"/>
  <c r="D178" i="1"/>
  <c r="E178" i="1"/>
  <c r="F178" i="1"/>
  <c r="G178" i="1"/>
  <c r="H178" i="1"/>
  <c r="I178" i="1"/>
  <c r="J178" i="1"/>
  <c r="K178" i="1"/>
  <c r="L178" i="1"/>
  <c r="E177" i="1"/>
  <c r="D177" i="1"/>
  <c r="C177" i="1"/>
  <c r="E176" i="1"/>
  <c r="A176" i="1"/>
  <c r="C161" i="1"/>
  <c r="D161" i="1"/>
  <c r="E161" i="1"/>
  <c r="F161" i="1"/>
  <c r="G161" i="1"/>
  <c r="H161" i="1"/>
  <c r="I161" i="1"/>
  <c r="J161" i="1"/>
  <c r="K161" i="1"/>
  <c r="L161" i="1"/>
  <c r="Q154" i="1"/>
  <c r="C124" i="1"/>
  <c r="D124" i="1"/>
  <c r="E124" i="1"/>
  <c r="F124" i="1"/>
  <c r="G124" i="1"/>
  <c r="H124" i="1"/>
  <c r="I124" i="1"/>
  <c r="J124" i="1"/>
  <c r="K124" i="1"/>
  <c r="L124" i="1"/>
  <c r="A124" i="1"/>
  <c r="C123" i="1"/>
  <c r="D123" i="1"/>
  <c r="E123" i="1"/>
  <c r="F123" i="1"/>
  <c r="G123" i="1"/>
  <c r="H123" i="1"/>
  <c r="I123" i="1"/>
  <c r="J123" i="1"/>
  <c r="K123" i="1"/>
  <c r="L123" i="1"/>
  <c r="C122" i="1"/>
  <c r="D122" i="1"/>
  <c r="E122" i="1"/>
  <c r="F122" i="1"/>
  <c r="G122" i="1"/>
  <c r="H122" i="1"/>
  <c r="I122" i="1"/>
  <c r="J122" i="1"/>
  <c r="K122" i="1"/>
  <c r="L122" i="1"/>
  <c r="C121" i="1"/>
  <c r="D121" i="1"/>
  <c r="E121" i="1"/>
  <c r="F121" i="1"/>
  <c r="G121" i="1"/>
  <c r="H121" i="1"/>
  <c r="A121" i="1"/>
  <c r="F120" i="1"/>
  <c r="G120" i="1"/>
  <c r="H120" i="1"/>
  <c r="I120" i="1"/>
  <c r="J120" i="1"/>
  <c r="K120" i="1"/>
  <c r="L120" i="1"/>
  <c r="C119" i="1"/>
  <c r="D119" i="1"/>
  <c r="E119" i="1"/>
  <c r="F119" i="1"/>
  <c r="G119" i="1"/>
  <c r="H119" i="1"/>
  <c r="I119" i="1"/>
  <c r="J119" i="1"/>
  <c r="K119" i="1"/>
  <c r="L119" i="1"/>
  <c r="C118" i="1"/>
  <c r="D118" i="1"/>
  <c r="E118" i="1"/>
  <c r="F118" i="1"/>
  <c r="G118" i="1"/>
  <c r="H118" i="1"/>
  <c r="I118" i="1"/>
  <c r="J118" i="1"/>
  <c r="K118" i="1"/>
  <c r="L118" i="1"/>
  <c r="C117" i="1"/>
  <c r="D117" i="1"/>
  <c r="E117" i="1"/>
  <c r="F117" i="1"/>
  <c r="G117" i="1"/>
  <c r="H117" i="1"/>
  <c r="I117" i="1"/>
  <c r="J117" i="1"/>
  <c r="K117" i="1"/>
  <c r="L117" i="1"/>
  <c r="A117" i="1"/>
  <c r="C116" i="1"/>
  <c r="D116" i="1"/>
  <c r="E116" i="1"/>
  <c r="F116" i="1"/>
  <c r="G116" i="1"/>
  <c r="H116" i="1"/>
  <c r="I116" i="1"/>
  <c r="J116" i="1"/>
  <c r="K116" i="1"/>
  <c r="L116" i="1"/>
  <c r="A116" i="1"/>
  <c r="F115" i="1"/>
  <c r="G115" i="1"/>
  <c r="H115" i="1"/>
  <c r="I115" i="1"/>
  <c r="J115" i="1"/>
  <c r="K115" i="1"/>
  <c r="L115" i="1"/>
  <c r="C114" i="1"/>
  <c r="D114" i="1"/>
  <c r="E114" i="1"/>
  <c r="F114" i="1"/>
  <c r="G114" i="1"/>
  <c r="H114" i="1"/>
  <c r="I114" i="1"/>
  <c r="J114" i="1"/>
  <c r="K114" i="1"/>
  <c r="L114" i="1"/>
  <c r="A114" i="1"/>
  <c r="F113" i="1"/>
  <c r="G113" i="1"/>
  <c r="H113" i="1"/>
  <c r="I113" i="1"/>
  <c r="J113" i="1"/>
  <c r="K113" i="1"/>
  <c r="L113" i="1"/>
  <c r="C112" i="1"/>
  <c r="D112" i="1"/>
  <c r="E112" i="1"/>
  <c r="F112" i="1"/>
  <c r="G112" i="1"/>
  <c r="H112" i="1"/>
  <c r="I112" i="1"/>
  <c r="J112" i="1"/>
  <c r="K112" i="1"/>
  <c r="L112" i="1"/>
  <c r="A112" i="1"/>
  <c r="E111" i="1"/>
  <c r="D111" i="1"/>
  <c r="C111" i="1"/>
  <c r="A111" i="1"/>
  <c r="L110" i="1"/>
  <c r="C109" i="1"/>
  <c r="D109" i="1"/>
  <c r="A109" i="1"/>
  <c r="C108" i="1"/>
  <c r="D108" i="1"/>
  <c r="E108" i="1"/>
  <c r="F108" i="1"/>
  <c r="G108" i="1"/>
  <c r="H108" i="1"/>
  <c r="I108" i="1"/>
  <c r="J108" i="1"/>
  <c r="K108" i="1"/>
  <c r="L108" i="1"/>
  <c r="A108" i="1"/>
  <c r="D107" i="1"/>
  <c r="E107" i="1"/>
  <c r="F107" i="1"/>
  <c r="G107" i="1"/>
  <c r="H107" i="1"/>
  <c r="I107" i="1"/>
  <c r="J107" i="1"/>
  <c r="K107" i="1"/>
  <c r="L107" i="1"/>
  <c r="C106" i="1"/>
  <c r="D106" i="1"/>
  <c r="E106" i="1"/>
  <c r="F106" i="1"/>
  <c r="G106" i="1"/>
  <c r="H106" i="1"/>
  <c r="I106" i="1"/>
  <c r="J106" i="1"/>
  <c r="K106" i="1"/>
  <c r="L106" i="1"/>
  <c r="A106" i="1"/>
  <c r="D105" i="1"/>
  <c r="E105" i="1"/>
  <c r="F105" i="1"/>
  <c r="G105" i="1"/>
  <c r="H105" i="1"/>
  <c r="I105" i="1"/>
  <c r="J105" i="1"/>
  <c r="K105" i="1"/>
  <c r="L105" i="1"/>
  <c r="A105" i="1"/>
  <c r="D104" i="1"/>
  <c r="E104" i="1"/>
  <c r="F104" i="1"/>
  <c r="G104" i="1"/>
  <c r="H104" i="1"/>
  <c r="I104" i="1"/>
  <c r="J104" i="1"/>
  <c r="K104" i="1"/>
  <c r="L104" i="1"/>
  <c r="A104" i="1"/>
  <c r="C103" i="1"/>
  <c r="D103" i="1"/>
  <c r="A103" i="1"/>
  <c r="D102" i="1"/>
  <c r="E102" i="1"/>
  <c r="F102" i="1"/>
  <c r="G102" i="1"/>
  <c r="H102" i="1"/>
  <c r="I102" i="1"/>
  <c r="J102" i="1"/>
  <c r="K102" i="1"/>
  <c r="L102" i="1"/>
  <c r="A102" i="1"/>
  <c r="C101" i="1"/>
  <c r="D101" i="1"/>
  <c r="E101" i="1"/>
  <c r="F101" i="1"/>
  <c r="G101" i="1"/>
  <c r="H101" i="1"/>
  <c r="I101" i="1"/>
  <c r="J101" i="1"/>
  <c r="K101" i="1"/>
  <c r="L101" i="1"/>
  <c r="A101" i="1"/>
  <c r="C100" i="1"/>
  <c r="D100" i="1"/>
  <c r="E100" i="1"/>
  <c r="F100" i="1"/>
  <c r="G100" i="1"/>
  <c r="H100" i="1"/>
  <c r="I100" i="1"/>
  <c r="J100" i="1"/>
  <c r="K100" i="1"/>
  <c r="L100" i="1"/>
  <c r="A100" i="1"/>
  <c r="D99" i="1"/>
  <c r="E99" i="1"/>
  <c r="F99" i="1"/>
  <c r="G99" i="1"/>
  <c r="H99" i="1"/>
  <c r="I99" i="1"/>
  <c r="J99" i="1"/>
  <c r="K99" i="1"/>
  <c r="L99" i="1"/>
  <c r="A99" i="1"/>
  <c r="D98" i="1"/>
  <c r="E98" i="1"/>
  <c r="F98" i="1"/>
  <c r="G98" i="1"/>
  <c r="H98" i="1"/>
  <c r="I98" i="1"/>
  <c r="J98" i="1"/>
  <c r="K98" i="1"/>
  <c r="L98" i="1"/>
  <c r="A98" i="1"/>
  <c r="D97" i="1"/>
  <c r="E97" i="1"/>
  <c r="F97" i="1"/>
  <c r="G97" i="1"/>
  <c r="H97" i="1"/>
  <c r="I97" i="1"/>
  <c r="J97" i="1"/>
  <c r="K97" i="1"/>
  <c r="L97" i="1"/>
  <c r="A97" i="1"/>
  <c r="D96" i="1"/>
  <c r="E96" i="1"/>
  <c r="F96" i="1"/>
  <c r="G96" i="1"/>
  <c r="H96" i="1"/>
  <c r="I96" i="1"/>
  <c r="J96" i="1"/>
  <c r="K96" i="1"/>
  <c r="L96" i="1"/>
  <c r="A96" i="1"/>
  <c r="C95" i="1"/>
  <c r="D95" i="1"/>
  <c r="E95" i="1"/>
  <c r="F95" i="1"/>
  <c r="G95" i="1"/>
  <c r="H95" i="1"/>
  <c r="I95" i="1"/>
  <c r="J95" i="1"/>
  <c r="K95" i="1"/>
  <c r="L95" i="1"/>
  <c r="A95" i="1"/>
  <c r="C94" i="1"/>
  <c r="D94" i="1"/>
  <c r="E94" i="1"/>
  <c r="F94" i="1"/>
  <c r="G94" i="1"/>
  <c r="H94" i="1"/>
  <c r="I94" i="1"/>
  <c r="J94" i="1"/>
  <c r="K94" i="1"/>
  <c r="L94" i="1"/>
  <c r="A94" i="1"/>
  <c r="C93" i="1"/>
  <c r="D93" i="1"/>
  <c r="A93" i="1"/>
  <c r="C92" i="1"/>
  <c r="D92" i="1"/>
  <c r="E92" i="1"/>
  <c r="F92" i="1"/>
  <c r="G92" i="1"/>
  <c r="H92" i="1"/>
  <c r="I92" i="1"/>
  <c r="J92" i="1"/>
  <c r="K92" i="1"/>
  <c r="L92" i="1"/>
  <c r="A92" i="1"/>
  <c r="C91" i="1"/>
  <c r="D91" i="1"/>
  <c r="E91" i="1"/>
  <c r="F91" i="1"/>
  <c r="G91" i="1"/>
  <c r="H91" i="1"/>
  <c r="I91" i="1"/>
  <c r="J91" i="1"/>
  <c r="K91" i="1"/>
  <c r="L91" i="1"/>
  <c r="C90" i="1"/>
  <c r="D90" i="1"/>
  <c r="E90" i="1"/>
  <c r="F90" i="1"/>
  <c r="G90" i="1"/>
  <c r="H90" i="1"/>
  <c r="I90" i="1"/>
  <c r="J90" i="1"/>
  <c r="K90" i="1"/>
  <c r="L90" i="1"/>
  <c r="C89" i="1"/>
  <c r="D89" i="1"/>
  <c r="E89" i="1"/>
  <c r="F89" i="1"/>
  <c r="G89" i="1"/>
  <c r="H89" i="1"/>
  <c r="I89" i="1"/>
  <c r="J89" i="1"/>
  <c r="K89" i="1"/>
  <c r="L89" i="1"/>
  <c r="C88" i="1"/>
  <c r="D88" i="1"/>
  <c r="E88" i="1"/>
  <c r="F88" i="1"/>
  <c r="G88" i="1"/>
  <c r="H88" i="1"/>
  <c r="I88" i="1"/>
  <c r="J88" i="1"/>
  <c r="K88" i="1"/>
  <c r="L88" i="1"/>
  <c r="A88" i="1"/>
  <c r="C87" i="1"/>
  <c r="D87" i="1"/>
  <c r="E87" i="1"/>
  <c r="F87" i="1"/>
  <c r="G87" i="1"/>
  <c r="H87" i="1"/>
  <c r="I87" i="1"/>
  <c r="J87" i="1"/>
  <c r="K87" i="1"/>
  <c r="L87" i="1"/>
  <c r="A87" i="1"/>
  <c r="C86" i="1"/>
  <c r="D86" i="1"/>
  <c r="E86" i="1"/>
  <c r="F86" i="1"/>
  <c r="G86" i="1"/>
  <c r="H86" i="1"/>
  <c r="I86" i="1"/>
  <c r="J86" i="1"/>
  <c r="K86" i="1"/>
  <c r="L86" i="1"/>
  <c r="A86" i="1"/>
  <c r="C85" i="1"/>
  <c r="D85" i="1"/>
  <c r="E85" i="1"/>
  <c r="F85" i="1"/>
  <c r="G85" i="1"/>
  <c r="H85" i="1"/>
  <c r="I85" i="1"/>
  <c r="J85" i="1"/>
  <c r="K85" i="1"/>
  <c r="L85" i="1"/>
  <c r="A85" i="1"/>
  <c r="C84" i="1"/>
  <c r="D84" i="1"/>
  <c r="E84" i="1"/>
  <c r="F84" i="1"/>
  <c r="G84" i="1"/>
  <c r="H84" i="1"/>
  <c r="I84" i="1"/>
  <c r="J84" i="1"/>
  <c r="K84" i="1"/>
  <c r="L84" i="1"/>
  <c r="A84" i="1"/>
  <c r="C83" i="1"/>
  <c r="C82" i="1"/>
  <c r="D82" i="1"/>
  <c r="E82" i="1"/>
  <c r="F82" i="1"/>
  <c r="G82" i="1"/>
  <c r="H82" i="1"/>
  <c r="I82" i="1"/>
  <c r="J82" i="1"/>
  <c r="K82" i="1"/>
  <c r="L82" i="1"/>
  <c r="A83" i="1"/>
  <c r="A82" i="1"/>
  <c r="C81" i="1"/>
  <c r="D81" i="1"/>
  <c r="E81" i="1"/>
  <c r="F81" i="1"/>
  <c r="G81" i="1"/>
  <c r="H81" i="1"/>
  <c r="I81" i="1"/>
  <c r="J81" i="1"/>
  <c r="K81" i="1"/>
  <c r="L81" i="1"/>
  <c r="A81" i="1"/>
  <c r="D80" i="1"/>
  <c r="E80" i="1"/>
  <c r="F80" i="1"/>
  <c r="G80" i="1"/>
  <c r="H80" i="1"/>
  <c r="I80" i="1"/>
  <c r="J80" i="1"/>
  <c r="K80" i="1"/>
  <c r="L80" i="1"/>
  <c r="A80" i="1"/>
  <c r="E79" i="1"/>
  <c r="D79" i="1"/>
  <c r="A79" i="1"/>
  <c r="C78" i="1"/>
  <c r="D78" i="1"/>
  <c r="E78" i="1"/>
  <c r="F78" i="1"/>
  <c r="G78" i="1"/>
  <c r="H78" i="1"/>
  <c r="I78" i="1"/>
  <c r="J78" i="1"/>
  <c r="K78" i="1"/>
  <c r="L78" i="1"/>
  <c r="A78" i="1"/>
  <c r="F77" i="1"/>
  <c r="A77" i="1"/>
  <c r="K76" i="1"/>
  <c r="J76" i="1"/>
  <c r="I76" i="1"/>
  <c r="H76" i="1"/>
  <c r="G76" i="1"/>
  <c r="F76" i="1"/>
  <c r="A76" i="1"/>
  <c r="F75" i="1"/>
  <c r="G75" i="1"/>
  <c r="H75" i="1"/>
  <c r="I75" i="1"/>
  <c r="J75" i="1"/>
  <c r="K75" i="1"/>
  <c r="L75" i="1"/>
  <c r="F74" i="1"/>
  <c r="G74" i="1"/>
  <c r="H74" i="1"/>
  <c r="I74" i="1"/>
  <c r="E74" i="1"/>
  <c r="D74" i="1"/>
  <c r="C74" i="1"/>
  <c r="A74" i="1"/>
  <c r="H73" i="1"/>
  <c r="G73" i="1"/>
  <c r="F73" i="1"/>
  <c r="E73" i="1"/>
  <c r="D73" i="1"/>
  <c r="C73" i="1"/>
  <c r="A73" i="1"/>
  <c r="E72" i="1"/>
  <c r="F72" i="1"/>
  <c r="G72" i="1"/>
  <c r="A72" i="1"/>
  <c r="D71" i="1"/>
  <c r="E71" i="1"/>
  <c r="F71" i="1"/>
  <c r="G71" i="1"/>
  <c r="H71" i="1"/>
  <c r="I71" i="1"/>
  <c r="J71" i="1"/>
  <c r="K71" i="1"/>
  <c r="L71" i="1"/>
  <c r="C71" i="1"/>
  <c r="A71" i="1"/>
  <c r="D70" i="1"/>
  <c r="C69" i="1"/>
  <c r="D69" i="1"/>
  <c r="C68" i="1"/>
  <c r="D68" i="1"/>
  <c r="E68" i="1"/>
  <c r="F68" i="1"/>
  <c r="G68" i="1"/>
  <c r="H68" i="1"/>
  <c r="I68" i="1"/>
  <c r="J68" i="1"/>
  <c r="K68" i="1"/>
  <c r="L68" i="1"/>
  <c r="P67" i="1"/>
  <c r="C67" i="1"/>
  <c r="D67" i="1"/>
  <c r="E67" i="1"/>
  <c r="F67" i="1"/>
  <c r="G67" i="1"/>
  <c r="H67" i="1"/>
  <c r="I67" i="1"/>
  <c r="J67" i="1"/>
  <c r="K67" i="1"/>
  <c r="L67" i="1"/>
  <c r="A67" i="1"/>
  <c r="P66" i="1"/>
  <c r="D66" i="1"/>
  <c r="A66" i="1"/>
  <c r="D65" i="1"/>
  <c r="A65" i="1"/>
  <c r="C64" i="1"/>
  <c r="D64" i="1"/>
  <c r="A64" i="1"/>
  <c r="E63" i="1"/>
  <c r="F63" i="1"/>
  <c r="G63" i="1"/>
  <c r="H63" i="1"/>
  <c r="I63" i="1"/>
  <c r="J63" i="1"/>
  <c r="K63" i="1"/>
  <c r="L63" i="1"/>
  <c r="A63" i="1"/>
  <c r="C62" i="1"/>
  <c r="D62" i="1"/>
  <c r="E62" i="1"/>
  <c r="F62" i="1"/>
  <c r="G62" i="1"/>
  <c r="H62" i="1"/>
  <c r="I62" i="1"/>
  <c r="J62" i="1"/>
  <c r="K62" i="1"/>
  <c r="L62" i="1"/>
  <c r="A62" i="1"/>
  <c r="C61" i="1"/>
  <c r="A61" i="1"/>
  <c r="C60" i="1"/>
  <c r="A60" i="1"/>
  <c r="D59" i="1"/>
  <c r="E59" i="1"/>
  <c r="F59" i="1"/>
  <c r="G59" i="1"/>
  <c r="H59" i="1"/>
  <c r="I59" i="1"/>
  <c r="J59" i="1"/>
  <c r="K59" i="1"/>
  <c r="L59" i="1"/>
  <c r="A59" i="1"/>
  <c r="D58" i="1"/>
  <c r="J62" i="2"/>
  <c r="C1290" i="3" s="1"/>
  <c r="A58" i="1"/>
  <c r="D57" i="1"/>
  <c r="E57" i="1"/>
  <c r="F57" i="1"/>
  <c r="G57" i="1"/>
  <c r="H57" i="1"/>
  <c r="I57" i="1"/>
  <c r="J57" i="1"/>
  <c r="K57" i="1"/>
  <c r="L57" i="1"/>
  <c r="A57" i="1"/>
  <c r="E56" i="1"/>
  <c r="A56" i="1"/>
  <c r="C55" i="1"/>
  <c r="C54" i="1"/>
  <c r="D54" i="1"/>
  <c r="E54" i="1"/>
  <c r="F54" i="1"/>
  <c r="G54" i="1"/>
  <c r="H54" i="1"/>
  <c r="I54" i="1"/>
  <c r="J54" i="1"/>
  <c r="K54" i="1"/>
  <c r="L54" i="1"/>
  <c r="A54" i="1"/>
  <c r="F53" i="1"/>
  <c r="G53" i="1"/>
  <c r="H53" i="1"/>
  <c r="I53" i="1"/>
  <c r="J53" i="1"/>
  <c r="K53" i="1"/>
  <c r="L53" i="1"/>
  <c r="D53" i="1"/>
  <c r="C53" i="1"/>
  <c r="A53" i="1"/>
  <c r="C52" i="1"/>
  <c r="D52" i="1"/>
  <c r="E52" i="1"/>
  <c r="F52" i="1"/>
  <c r="G52" i="1"/>
  <c r="H52" i="1"/>
  <c r="I52" i="1"/>
  <c r="J52" i="1"/>
  <c r="K52" i="1"/>
  <c r="L52" i="1"/>
  <c r="A52" i="1"/>
  <c r="K51" i="1"/>
  <c r="J51" i="1"/>
  <c r="I51" i="1"/>
  <c r="H51" i="1"/>
  <c r="G51" i="1"/>
  <c r="A51" i="1"/>
  <c r="I50" i="1"/>
  <c r="J50" i="1"/>
  <c r="K50" i="1"/>
  <c r="L50" i="1"/>
  <c r="G50" i="1"/>
  <c r="F50" i="1"/>
  <c r="E50" i="1"/>
  <c r="D50" i="1"/>
  <c r="C50" i="1"/>
  <c r="A50" i="1"/>
  <c r="C49" i="1"/>
  <c r="D49" i="1"/>
  <c r="J88" i="2"/>
  <c r="A49" i="1"/>
  <c r="C48" i="1"/>
  <c r="D48" i="1"/>
  <c r="E48" i="1"/>
  <c r="F48" i="1"/>
  <c r="G48" i="1"/>
  <c r="H48" i="1"/>
  <c r="I48" i="1"/>
  <c r="J48" i="1"/>
  <c r="K48" i="1"/>
  <c r="L48" i="1"/>
  <c r="A48" i="1"/>
  <c r="C47" i="1"/>
  <c r="D47" i="1"/>
  <c r="E47" i="1"/>
  <c r="F47" i="1"/>
  <c r="G47" i="1"/>
  <c r="H47" i="1"/>
  <c r="I47" i="1"/>
  <c r="J47" i="1"/>
  <c r="K47" i="1"/>
  <c r="L47" i="1"/>
  <c r="P46" i="1"/>
  <c r="C46" i="1"/>
  <c r="D46" i="1"/>
  <c r="E46" i="1"/>
  <c r="F46" i="1"/>
  <c r="G46" i="1"/>
  <c r="H46" i="1"/>
  <c r="I46" i="1"/>
  <c r="J46" i="1"/>
  <c r="K46" i="1"/>
  <c r="L46" i="1"/>
  <c r="A46" i="1"/>
  <c r="E45" i="1"/>
  <c r="D45" i="1"/>
  <c r="C45" i="1"/>
  <c r="A45" i="1"/>
  <c r="D44" i="1"/>
  <c r="E44" i="1"/>
  <c r="F44" i="1"/>
  <c r="G44" i="1"/>
  <c r="H44" i="1"/>
  <c r="I44" i="1"/>
  <c r="J44" i="1"/>
  <c r="K44" i="1"/>
  <c r="L44" i="1"/>
  <c r="A44" i="1"/>
  <c r="C43" i="1"/>
  <c r="D43" i="1"/>
  <c r="E43" i="1"/>
  <c r="F43" i="1"/>
  <c r="G43" i="1"/>
  <c r="H43" i="1"/>
  <c r="I43" i="1"/>
  <c r="J43" i="1"/>
  <c r="K43" i="1"/>
  <c r="L43" i="1"/>
  <c r="A43" i="1"/>
  <c r="C42" i="1"/>
  <c r="D42" i="1"/>
  <c r="E42" i="1"/>
  <c r="F42" i="1"/>
  <c r="G42" i="1"/>
  <c r="H42" i="1"/>
  <c r="I42" i="1"/>
  <c r="J42" i="1"/>
  <c r="K42" i="1"/>
  <c r="L42" i="1"/>
  <c r="C40" i="1"/>
  <c r="D40" i="1"/>
  <c r="E40" i="1"/>
  <c r="F40" i="1"/>
  <c r="G40" i="1"/>
  <c r="H40" i="1"/>
  <c r="I40" i="1"/>
  <c r="J40" i="1"/>
  <c r="K40" i="1"/>
  <c r="L40" i="1"/>
  <c r="A40" i="1"/>
  <c r="E39" i="1"/>
  <c r="J50" i="2"/>
  <c r="C985" i="3"/>
  <c r="A39" i="1"/>
  <c r="C38" i="1"/>
  <c r="D38" i="1"/>
  <c r="E38" i="1"/>
  <c r="F38" i="1"/>
  <c r="G38" i="1"/>
  <c r="H38" i="1"/>
  <c r="I38" i="1"/>
  <c r="J38" i="1"/>
  <c r="K38" i="1"/>
  <c r="L38" i="1"/>
  <c r="A38" i="1"/>
  <c r="E37" i="1"/>
  <c r="D37" i="1"/>
  <c r="C37" i="1"/>
  <c r="A37" i="1"/>
  <c r="C36" i="1"/>
  <c r="J58" i="2"/>
  <c r="A36" i="1"/>
  <c r="C35" i="1"/>
  <c r="D35" i="1"/>
  <c r="E35" i="1"/>
  <c r="F35" i="1"/>
  <c r="G35" i="1"/>
  <c r="H35" i="1"/>
  <c r="I35" i="1"/>
  <c r="J35" i="1"/>
  <c r="K35" i="1"/>
  <c r="L35" i="1"/>
  <c r="A35" i="1"/>
  <c r="E34" i="1"/>
  <c r="D34" i="1"/>
  <c r="A34" i="1"/>
  <c r="C33" i="1"/>
  <c r="D33" i="1"/>
  <c r="E33" i="1"/>
  <c r="F33" i="1"/>
  <c r="J95" i="2"/>
  <c r="A33" i="1"/>
  <c r="C32" i="1"/>
  <c r="D32" i="1"/>
  <c r="A32" i="1"/>
  <c r="C31" i="1"/>
  <c r="D31" i="1"/>
  <c r="E31" i="1"/>
  <c r="A31" i="1"/>
  <c r="C30" i="1"/>
  <c r="D30" i="1"/>
  <c r="E30" i="1"/>
  <c r="F30" i="1"/>
  <c r="G30" i="1"/>
  <c r="H30" i="1"/>
  <c r="I30" i="1"/>
  <c r="J30" i="1"/>
  <c r="K30" i="1"/>
  <c r="L30" i="1"/>
  <c r="A30" i="1"/>
  <c r="C29" i="1"/>
  <c r="D29" i="1"/>
  <c r="E29" i="1"/>
  <c r="F29" i="1"/>
  <c r="G29" i="1"/>
  <c r="H29" i="1"/>
  <c r="I29" i="1"/>
  <c r="J29" i="1"/>
  <c r="K29" i="1"/>
  <c r="L29" i="1"/>
  <c r="A29" i="1"/>
  <c r="C28" i="1"/>
  <c r="D28" i="1"/>
  <c r="E28" i="1"/>
  <c r="F28" i="1"/>
  <c r="G28" i="1"/>
  <c r="H28" i="1"/>
  <c r="I28" i="1"/>
  <c r="J28" i="1"/>
  <c r="K28" i="1"/>
  <c r="L28" i="1"/>
  <c r="A28" i="1"/>
  <c r="C27" i="1"/>
  <c r="D27" i="1"/>
  <c r="E27" i="1"/>
  <c r="F27" i="1"/>
  <c r="G27" i="1"/>
  <c r="H27" i="1"/>
  <c r="I27" i="1"/>
  <c r="J27" i="1"/>
  <c r="K27" i="1"/>
  <c r="L27" i="1"/>
  <c r="A27" i="1"/>
  <c r="C26" i="1"/>
  <c r="D26" i="1"/>
  <c r="J34" i="2"/>
  <c r="A26" i="1"/>
  <c r="C25" i="1"/>
  <c r="A25" i="1"/>
  <c r="D24" i="1"/>
  <c r="E24" i="1"/>
  <c r="F24" i="1"/>
  <c r="G24" i="1"/>
  <c r="H24" i="1"/>
  <c r="I24" i="1"/>
  <c r="J24" i="1"/>
  <c r="K24" i="1"/>
  <c r="L24" i="1"/>
  <c r="A24" i="1"/>
  <c r="C23" i="1"/>
  <c r="D23" i="1"/>
  <c r="E23" i="1"/>
  <c r="A23" i="1"/>
  <c r="C22" i="1"/>
  <c r="D22" i="1"/>
  <c r="E22" i="1"/>
  <c r="F22" i="1"/>
  <c r="G22" i="1"/>
  <c r="H22" i="1"/>
  <c r="I22" i="1"/>
  <c r="J22" i="1"/>
  <c r="K22" i="1"/>
  <c r="L22" i="1"/>
  <c r="A22" i="1"/>
  <c r="E21" i="1"/>
  <c r="A21" i="1"/>
  <c r="C20" i="1"/>
  <c r="D20" i="1"/>
  <c r="E20" i="1"/>
  <c r="F20" i="1"/>
  <c r="G20" i="1"/>
  <c r="H20" i="1"/>
  <c r="I20" i="1"/>
  <c r="J20" i="1"/>
  <c r="K20" i="1"/>
  <c r="L20" i="1"/>
  <c r="A20" i="1"/>
  <c r="C19" i="1"/>
  <c r="D19" i="1"/>
  <c r="A19" i="1"/>
  <c r="C18" i="1"/>
  <c r="D18" i="1"/>
  <c r="E18" i="1"/>
  <c r="F18" i="1"/>
  <c r="G18" i="1"/>
  <c r="H18" i="1"/>
  <c r="I18" i="1"/>
  <c r="J18" i="1"/>
  <c r="K18" i="1"/>
  <c r="L18" i="1"/>
  <c r="A18" i="1"/>
  <c r="C17" i="1"/>
  <c r="D17" i="1"/>
  <c r="E17" i="1"/>
  <c r="A17" i="1"/>
  <c r="C16" i="1"/>
  <c r="D16" i="1"/>
  <c r="E16" i="1"/>
  <c r="F16" i="1"/>
  <c r="G16" i="1"/>
  <c r="H16" i="1"/>
  <c r="I16" i="1"/>
  <c r="J16" i="1"/>
  <c r="K16" i="1"/>
  <c r="L16" i="1"/>
  <c r="A16" i="1"/>
  <c r="C15" i="1"/>
  <c r="D15" i="1"/>
  <c r="E15" i="1"/>
  <c r="F15" i="1"/>
  <c r="G15" i="1"/>
  <c r="H15" i="1"/>
  <c r="I15" i="1"/>
  <c r="J15" i="1"/>
  <c r="K15" i="1"/>
  <c r="L15" i="1"/>
  <c r="A15" i="1"/>
  <c r="C14" i="1"/>
  <c r="D14" i="1"/>
  <c r="E14" i="1"/>
  <c r="F14" i="1"/>
  <c r="G14" i="1"/>
  <c r="H14" i="1"/>
  <c r="I14" i="1"/>
  <c r="J14" i="1"/>
  <c r="K14" i="1"/>
  <c r="L14" i="1"/>
  <c r="A14" i="1"/>
  <c r="C13" i="1"/>
  <c r="D13" i="1"/>
  <c r="E13" i="1"/>
  <c r="F13" i="1"/>
  <c r="G13" i="1"/>
  <c r="H13" i="1"/>
  <c r="I13" i="1"/>
  <c r="J13" i="1"/>
  <c r="K13" i="1"/>
  <c r="L13" i="1"/>
  <c r="A13" i="1"/>
  <c r="E12" i="1"/>
  <c r="D12" i="1"/>
  <c r="C12" i="1"/>
  <c r="J13" i="2"/>
  <c r="A12" i="1"/>
  <c r="C11" i="1"/>
  <c r="D11" i="1"/>
  <c r="E11" i="1"/>
  <c r="F11" i="1"/>
  <c r="G11" i="1"/>
  <c r="H11" i="1"/>
  <c r="I11" i="1"/>
  <c r="J11" i="1"/>
  <c r="K11" i="1"/>
  <c r="L11" i="1"/>
  <c r="A11" i="1"/>
  <c r="C10" i="1"/>
  <c r="D10" i="1"/>
  <c r="E10" i="1"/>
  <c r="F10" i="1"/>
  <c r="G10" i="1"/>
  <c r="H10" i="1"/>
  <c r="I10" i="1"/>
  <c r="J10" i="1"/>
  <c r="K10" i="1"/>
  <c r="L10" i="1"/>
  <c r="A10" i="1"/>
  <c r="C9" i="1"/>
  <c r="J26" i="2"/>
  <c r="A9" i="1"/>
  <c r="E8" i="1"/>
  <c r="D8" i="1"/>
  <c r="C8" i="1"/>
  <c r="A8" i="1"/>
  <c r="E7" i="1"/>
  <c r="D7" i="1"/>
  <c r="C7" i="1"/>
  <c r="A7" i="1"/>
  <c r="D6" i="1"/>
  <c r="J11" i="2"/>
  <c r="A6" i="1"/>
  <c r="D5" i="1"/>
  <c r="J10" i="2"/>
  <c r="A5" i="1"/>
  <c r="AL79" i="2"/>
  <c r="AL151" i="2"/>
  <c r="AL172" i="2"/>
  <c r="AL55" i="2"/>
  <c r="AL92" i="2"/>
  <c r="AL29" i="2"/>
  <c r="AL42" i="2"/>
  <c r="AL131" i="2"/>
  <c r="AL185" i="2"/>
  <c r="AL12" i="2"/>
  <c r="AL96" i="2"/>
  <c r="V88" i="2"/>
  <c r="J1993" i="3"/>
  <c r="C1993" i="3"/>
  <c r="AL109" i="2"/>
  <c r="AL138" i="2"/>
  <c r="AL141" i="2"/>
  <c r="AL125" i="2"/>
  <c r="AL9" i="2"/>
  <c r="AL49" i="2"/>
  <c r="P38" i="5"/>
  <c r="V38" i="5"/>
  <c r="N19" i="13"/>
  <c r="S19" i="13"/>
  <c r="C59" i="1"/>
  <c r="R38" i="5"/>
  <c r="X38" i="5"/>
  <c r="X53" i="2"/>
  <c r="I1082" i="3" s="1"/>
  <c r="AV159" i="2"/>
  <c r="V95" i="2"/>
  <c r="J2233" i="3"/>
  <c r="C2233" i="3"/>
  <c r="AV155" i="2"/>
  <c r="AS92" i="2"/>
  <c r="T38" i="5"/>
  <c r="Z38" i="5"/>
  <c r="H56" i="8"/>
  <c r="H64" i="8"/>
  <c r="H72" i="8"/>
  <c r="J103" i="2"/>
  <c r="M103" i="2"/>
  <c r="C2477" i="3"/>
  <c r="AX10" i="7"/>
  <c r="AC211" i="2"/>
  <c r="J5168" i="3" s="1"/>
  <c r="AX32" i="7"/>
  <c r="AC184" i="2"/>
  <c r="J4424" i="3" s="1"/>
  <c r="J2944" i="3"/>
  <c r="M26" i="2"/>
  <c r="C409" i="3"/>
  <c r="H76" i="8"/>
  <c r="I73" i="1"/>
  <c r="J73" i="1"/>
  <c r="K73" i="1"/>
  <c r="L73" i="1"/>
  <c r="F177" i="1"/>
  <c r="G177" i="1"/>
  <c r="H177" i="1"/>
  <c r="I177" i="1"/>
  <c r="J177" i="1"/>
  <c r="K177" i="1"/>
  <c r="L177" i="1"/>
  <c r="H57" i="8"/>
  <c r="H65" i="8"/>
  <c r="H73" i="8"/>
  <c r="H89" i="8"/>
  <c r="H97" i="8"/>
  <c r="D202" i="1"/>
  <c r="E202" i="1"/>
  <c r="F202" i="1"/>
  <c r="G202" i="1"/>
  <c r="H202" i="1"/>
  <c r="I202" i="1"/>
  <c r="J202" i="1"/>
  <c r="K202" i="1"/>
  <c r="L202" i="1"/>
  <c r="J110" i="2"/>
  <c r="C2928" i="3"/>
  <c r="G223" i="1"/>
  <c r="H223" i="1"/>
  <c r="I223" i="1"/>
  <c r="J223" i="1"/>
  <c r="K223" i="1"/>
  <c r="L223" i="1"/>
  <c r="J80" i="2"/>
  <c r="E5" i="1"/>
  <c r="F5" i="1"/>
  <c r="G5" i="1"/>
  <c r="H5" i="1"/>
  <c r="E64" i="1"/>
  <c r="F64" i="1"/>
  <c r="G64" i="1"/>
  <c r="H64" i="1"/>
  <c r="I64" i="1"/>
  <c r="J64" i="1"/>
  <c r="K64" i="1"/>
  <c r="L64" i="1"/>
  <c r="J48" i="2"/>
  <c r="AN64" i="2"/>
  <c r="AT64" i="2" s="1"/>
  <c r="AV147" i="2"/>
  <c r="AV152" i="2"/>
  <c r="AV151" i="2"/>
  <c r="AV160" i="2"/>
  <c r="AS55" i="2"/>
  <c r="AN118" i="2"/>
  <c r="AN120" i="2"/>
  <c r="J2852" i="3" s="1"/>
  <c r="AN37" i="2"/>
  <c r="AN45" i="2"/>
  <c r="AN57" i="2"/>
  <c r="AN110" i="2"/>
  <c r="AT110" i="2" s="1"/>
  <c r="AN133" i="2"/>
  <c r="X110" i="2"/>
  <c r="I2933" i="3" s="1"/>
  <c r="AN34" i="2"/>
  <c r="AN69" i="2"/>
  <c r="J1677" i="3" s="1"/>
  <c r="AN20" i="2"/>
  <c r="J358" i="3" s="1"/>
  <c r="AN103" i="2"/>
  <c r="J2490" i="3" s="1"/>
  <c r="AN143" i="2"/>
  <c r="AT143" i="2" s="1"/>
  <c r="AN38" i="2"/>
  <c r="AN84" i="2"/>
  <c r="J2070" i="3" s="1"/>
  <c r="AN117" i="2"/>
  <c r="AT117" i="2" s="1"/>
  <c r="AN17" i="2"/>
  <c r="AT17" i="2" s="1"/>
  <c r="AN18" i="2"/>
  <c r="AN23" i="2"/>
  <c r="J327" i="3" s="1"/>
  <c r="AN53" i="2"/>
  <c r="AT53" i="2" s="1"/>
  <c r="AN83" i="2"/>
  <c r="AN99" i="2"/>
  <c r="AT99" i="2" s="1"/>
  <c r="AN101" i="2"/>
  <c r="AN106" i="2"/>
  <c r="AN137" i="2"/>
  <c r="J3247" i="3" s="1"/>
  <c r="AN72" i="2"/>
  <c r="AT72" i="2" s="1"/>
  <c r="AN21" i="2"/>
  <c r="AT21" i="2" s="1"/>
  <c r="AN36" i="2"/>
  <c r="J695" i="3" s="1"/>
  <c r="AN44" i="2"/>
  <c r="AN58" i="2"/>
  <c r="AN144" i="2"/>
  <c r="AN156" i="2"/>
  <c r="AN158" i="2"/>
  <c r="AN164" i="2"/>
  <c r="AN39" i="2"/>
  <c r="AT39" i="2" s="1"/>
  <c r="AN47" i="2"/>
  <c r="AN51" i="2"/>
  <c r="J1032" i="3" s="1"/>
  <c r="AN89" i="2"/>
  <c r="J2100" i="3" s="1"/>
  <c r="AN135" i="2"/>
  <c r="AN167" i="2"/>
  <c r="AN169" i="2"/>
  <c r="AT169" i="2" s="1"/>
  <c r="AN126" i="2"/>
  <c r="J3005" i="3" s="1"/>
  <c r="AN41" i="2"/>
  <c r="J1828" i="3" s="1"/>
  <c r="D86" i="4"/>
  <c r="D87" i="4"/>
  <c r="AN105" i="2"/>
  <c r="AT105" i="2" s="1"/>
  <c r="AS9" i="2"/>
  <c r="H61" i="8"/>
  <c r="E32" i="1"/>
  <c r="F32" i="1"/>
  <c r="G32" i="1"/>
  <c r="H32" i="1"/>
  <c r="I32" i="1"/>
  <c r="J32" i="1"/>
  <c r="K32" i="1"/>
  <c r="L32" i="1"/>
  <c r="J41" i="2"/>
  <c r="C1811" i="3"/>
  <c r="J1001" i="3"/>
  <c r="J2279" i="3"/>
  <c r="H58" i="8"/>
  <c r="H88" i="8"/>
  <c r="H96" i="8"/>
  <c r="AN10" i="2"/>
  <c r="AT10" i="2" s="1"/>
  <c r="BX205" i="4"/>
  <c r="F56" i="1"/>
  <c r="G56" i="1"/>
  <c r="H56" i="1"/>
  <c r="I56" i="1"/>
  <c r="J56" i="1"/>
  <c r="K56" i="1"/>
  <c r="L56" i="1"/>
  <c r="J137" i="2"/>
  <c r="C3230" i="3"/>
  <c r="J3519" i="3"/>
  <c r="J4094" i="3"/>
  <c r="J4464" i="3"/>
  <c r="H74" i="8"/>
  <c r="H77" i="8"/>
  <c r="H85" i="8"/>
  <c r="H93" i="8"/>
  <c r="H101" i="8"/>
  <c r="J2159" i="3"/>
  <c r="J113" i="2"/>
  <c r="J111" i="2"/>
  <c r="M111" i="2"/>
  <c r="C2719" i="3"/>
  <c r="J114" i="2"/>
  <c r="J452" i="3"/>
  <c r="H60" i="8"/>
  <c r="H90" i="8"/>
  <c r="Q32" i="13"/>
  <c r="V32" i="13"/>
  <c r="J3095" i="3"/>
  <c r="H53" i="8"/>
  <c r="J421" i="3"/>
  <c r="J3156" i="3"/>
  <c r="Q18" i="13"/>
  <c r="V18" i="13"/>
  <c r="J37" i="2"/>
  <c r="C709" i="3"/>
  <c r="J1889" i="3"/>
  <c r="J2731" i="3"/>
  <c r="J3489" i="3"/>
  <c r="H67" i="8"/>
  <c r="H92" i="8"/>
  <c r="F51" i="1"/>
  <c r="E51" i="1"/>
  <c r="D51" i="1"/>
  <c r="C51" i="1"/>
  <c r="J177" i="2"/>
  <c r="M177" i="2"/>
  <c r="C4202" i="3"/>
  <c r="H69" i="8"/>
  <c r="J199" i="2"/>
  <c r="C4821" i="3"/>
  <c r="I378" i="3"/>
  <c r="J3034" i="3"/>
  <c r="J483" i="3"/>
  <c r="J72" i="2"/>
  <c r="AX34" i="7"/>
  <c r="AC176" i="2"/>
  <c r="J4174" i="3" s="1"/>
  <c r="E6" i="1"/>
  <c r="F6" i="1"/>
  <c r="G6" i="1"/>
  <c r="H6" i="1"/>
  <c r="D83" i="1"/>
  <c r="E83" i="1"/>
  <c r="F83" i="1"/>
  <c r="G83" i="1"/>
  <c r="H83" i="1"/>
  <c r="I83" i="1"/>
  <c r="J83" i="1"/>
  <c r="K83" i="1"/>
  <c r="L83" i="1"/>
  <c r="Z30" i="5"/>
  <c r="J8" i="8"/>
  <c r="J16" i="8"/>
  <c r="L26" i="8"/>
  <c r="H80" i="8"/>
  <c r="F31" i="13"/>
  <c r="P26" i="13"/>
  <c r="U26" i="13"/>
  <c r="C1077" i="3"/>
  <c r="N32" i="13"/>
  <c r="S32" i="13"/>
  <c r="X32" i="13"/>
  <c r="F39" i="1"/>
  <c r="G39" i="1"/>
  <c r="H39" i="1"/>
  <c r="I39" i="1"/>
  <c r="J39" i="1"/>
  <c r="K39" i="1"/>
  <c r="L39" i="1"/>
  <c r="E75" i="1"/>
  <c r="D75" i="1"/>
  <c r="C75" i="1"/>
  <c r="H99" i="8"/>
  <c r="N26" i="13"/>
  <c r="S26" i="13"/>
  <c r="Y30" i="5"/>
  <c r="AD150" i="2"/>
  <c r="I3483" i="3"/>
  <c r="L40" i="8"/>
  <c r="H55" i="8"/>
  <c r="H70" i="8"/>
  <c r="H87" i="8"/>
  <c r="AX31" i="7"/>
  <c r="AC199" i="2"/>
  <c r="J4828" i="3" s="1"/>
  <c r="H78" i="8"/>
  <c r="H83" i="8"/>
  <c r="F37" i="1"/>
  <c r="G37" i="1"/>
  <c r="H37" i="1"/>
  <c r="I37" i="1"/>
  <c r="J37" i="1"/>
  <c r="K37" i="1"/>
  <c r="L37" i="1"/>
  <c r="AO213" i="2"/>
  <c r="AV158" i="2"/>
  <c r="H62" i="8"/>
  <c r="D55" i="1"/>
  <c r="J211" i="2"/>
  <c r="J201" i="2"/>
  <c r="V201" i="2"/>
  <c r="H84" i="8"/>
  <c r="F79" i="1"/>
  <c r="G79" i="1"/>
  <c r="H79" i="1"/>
  <c r="I79" i="1"/>
  <c r="J79" i="1"/>
  <c r="K79" i="1"/>
  <c r="L79" i="1"/>
  <c r="AB20" i="5"/>
  <c r="E44" i="8"/>
  <c r="I44" i="8"/>
  <c r="L44" i="8"/>
  <c r="H81" i="8"/>
  <c r="F45" i="1"/>
  <c r="G45" i="1"/>
  <c r="H45" i="1"/>
  <c r="I45" i="1"/>
  <c r="J45" i="1"/>
  <c r="K45" i="1"/>
  <c r="L45" i="1"/>
  <c r="J7" i="8"/>
  <c r="J11" i="8"/>
  <c r="F176" i="1"/>
  <c r="G176" i="1"/>
  <c r="H176" i="1"/>
  <c r="I176" i="1"/>
  <c r="J176" i="1"/>
  <c r="K176" i="1"/>
  <c r="L176" i="1"/>
  <c r="D176" i="1"/>
  <c r="C176" i="1"/>
  <c r="AX27" i="7"/>
  <c r="AC201" i="2"/>
  <c r="J4922" i="3" s="1"/>
  <c r="J10" i="8"/>
  <c r="E66" i="1"/>
  <c r="F66" i="1"/>
  <c r="G66" i="1"/>
  <c r="H66" i="1"/>
  <c r="I66" i="1"/>
  <c r="J66" i="1"/>
  <c r="K66" i="1"/>
  <c r="L66" i="1"/>
  <c r="C66" i="1"/>
  <c r="J45" i="2"/>
  <c r="J32" i="2"/>
  <c r="C558" i="3"/>
  <c r="J33" i="2"/>
  <c r="C588" i="3"/>
  <c r="L76" i="1"/>
  <c r="J175" i="2"/>
  <c r="C4137" i="3"/>
  <c r="AX38" i="7"/>
  <c r="AC181" i="2"/>
  <c r="J4392" i="3" s="1"/>
  <c r="AX11" i="7"/>
  <c r="AC206" i="2"/>
  <c r="J5046" i="3" s="1"/>
  <c r="H52" i="8"/>
  <c r="R28" i="2"/>
  <c r="C446" i="3"/>
  <c r="J56" i="2"/>
  <c r="M56" i="2"/>
  <c r="C1143" i="3"/>
  <c r="C34" i="1"/>
  <c r="H94" i="8"/>
  <c r="F12" i="1"/>
  <c r="G12" i="1"/>
  <c r="H12" i="1"/>
  <c r="I12" i="1"/>
  <c r="J12" i="1"/>
  <c r="K12" i="1"/>
  <c r="L12" i="1"/>
  <c r="J105" i="2"/>
  <c r="V105" i="2"/>
  <c r="F185" i="1"/>
  <c r="G185" i="1"/>
  <c r="H185" i="1"/>
  <c r="I185" i="1"/>
  <c r="J185" i="1"/>
  <c r="K185" i="1"/>
  <c r="L185" i="1"/>
  <c r="C213" i="1"/>
  <c r="D213" i="1"/>
  <c r="E213" i="1"/>
  <c r="F213" i="1"/>
  <c r="G213" i="1"/>
  <c r="H213" i="1"/>
  <c r="I213" i="1"/>
  <c r="J213" i="1"/>
  <c r="K213" i="1"/>
  <c r="L213" i="1"/>
  <c r="C57" i="1"/>
  <c r="J188" i="2"/>
  <c r="C4510" i="3"/>
  <c r="AB27" i="5"/>
  <c r="J12" i="8"/>
  <c r="H68" i="8"/>
  <c r="H100" i="8"/>
  <c r="J189" i="2"/>
  <c r="V189" i="2"/>
  <c r="J3756" i="3"/>
  <c r="AB32" i="5"/>
  <c r="AE170" i="2"/>
  <c r="J4025" i="3"/>
  <c r="X16" i="13"/>
  <c r="X22" i="13"/>
  <c r="X30" i="13"/>
  <c r="J13" i="8"/>
  <c r="H59" i="8"/>
  <c r="H66" i="8"/>
  <c r="H75" i="8"/>
  <c r="H82" i="8"/>
  <c r="H91" i="8"/>
  <c r="H98" i="8"/>
  <c r="X29" i="13"/>
  <c r="C44" i="1"/>
  <c r="D72" i="1"/>
  <c r="C72" i="1"/>
  <c r="J194" i="2"/>
  <c r="C4695" i="3"/>
  <c r="V24" i="5"/>
  <c r="AB31" i="5"/>
  <c r="AE169" i="2"/>
  <c r="J3996" i="3"/>
  <c r="AB39" i="5"/>
  <c r="AE153" i="2"/>
  <c r="J3543" i="3"/>
  <c r="J198" i="2"/>
  <c r="C4790" i="3"/>
  <c r="P19" i="13"/>
  <c r="U19" i="13"/>
  <c r="X19" i="13"/>
  <c r="X24" i="13"/>
  <c r="F8" i="1"/>
  <c r="G8" i="1"/>
  <c r="H8" i="1"/>
  <c r="I8" i="1"/>
  <c r="J8" i="1"/>
  <c r="K8" i="1"/>
  <c r="L8" i="1"/>
  <c r="D39" i="1"/>
  <c r="C39" i="1"/>
  <c r="D56" i="1"/>
  <c r="C56" i="1"/>
  <c r="AB34" i="5"/>
  <c r="AE168" i="2"/>
  <c r="J3967" i="3"/>
  <c r="K31" i="13"/>
  <c r="Q19" i="13"/>
  <c r="V19" i="13"/>
  <c r="X23" i="13"/>
  <c r="J6" i="8"/>
  <c r="J15" i="8"/>
  <c r="J105" i="8"/>
  <c r="J187" i="2"/>
  <c r="C4478" i="3"/>
  <c r="J195" i="2"/>
  <c r="C4727" i="3"/>
  <c r="J202" i="2"/>
  <c r="C4947" i="3"/>
  <c r="T24" i="5"/>
  <c r="Z24" i="5"/>
  <c r="J9" i="8"/>
  <c r="J14" i="8"/>
  <c r="J17" i="8"/>
  <c r="H54" i="8"/>
  <c r="H63" i="8"/>
  <c r="H79" i="8"/>
  <c r="H95" i="8"/>
  <c r="L31" i="13"/>
  <c r="Q31" i="13"/>
  <c r="V31" i="13"/>
  <c r="R19" i="13"/>
  <c r="W19" i="13"/>
  <c r="AV150" i="2"/>
  <c r="AV157" i="2"/>
  <c r="AV149" i="2"/>
  <c r="AV156" i="2"/>
  <c r="AV153" i="2"/>
  <c r="AV148" i="2"/>
  <c r="C799" i="3"/>
  <c r="J39" i="2"/>
  <c r="C772" i="3"/>
  <c r="C2080" i="3"/>
  <c r="J4995" i="3"/>
  <c r="AO214" i="2"/>
  <c r="C1050" i="3"/>
  <c r="M13" i="2"/>
  <c r="C73" i="3"/>
  <c r="AS12" i="2"/>
  <c r="C4856" i="3"/>
  <c r="V197" i="2"/>
  <c r="J4852" i="3"/>
  <c r="C2327" i="3"/>
  <c r="V98" i="2"/>
  <c r="J2323" i="3"/>
  <c r="M143" i="2"/>
  <c r="C3356" i="3"/>
  <c r="AS172" i="2"/>
  <c r="AV154" i="2"/>
  <c r="AS214" i="2"/>
  <c r="V196" i="2"/>
  <c r="J4758" i="3"/>
  <c r="F17" i="1"/>
  <c r="G17" i="1"/>
  <c r="H17" i="1"/>
  <c r="J17" i="2"/>
  <c r="J87" i="2"/>
  <c r="E49" i="1"/>
  <c r="J14" i="2"/>
  <c r="E19" i="1"/>
  <c r="F19" i="1"/>
  <c r="G19" i="1"/>
  <c r="H19" i="1"/>
  <c r="I19" i="1"/>
  <c r="J19" i="1"/>
  <c r="K19" i="1"/>
  <c r="L19" i="1"/>
  <c r="C230" i="1"/>
  <c r="D230" i="1"/>
  <c r="E230" i="1"/>
  <c r="F230" i="1"/>
  <c r="G230" i="1"/>
  <c r="H230" i="1"/>
  <c r="I230" i="1"/>
  <c r="J230" i="1"/>
  <c r="K230" i="1"/>
  <c r="L230" i="1"/>
  <c r="H231" i="1"/>
  <c r="I231" i="1"/>
  <c r="J231" i="1"/>
  <c r="K231" i="1"/>
  <c r="L231" i="1"/>
  <c r="J36" i="2"/>
  <c r="F23" i="1"/>
  <c r="G23" i="1"/>
  <c r="H23" i="1"/>
  <c r="I23" i="1"/>
  <c r="J23" i="1"/>
  <c r="K23" i="1"/>
  <c r="L23" i="1"/>
  <c r="J31" i="2"/>
  <c r="F31" i="1"/>
  <c r="G31" i="1"/>
  <c r="H31" i="1"/>
  <c r="I31" i="1"/>
  <c r="J31" i="1"/>
  <c r="K31" i="1"/>
  <c r="L31" i="1"/>
  <c r="J127" i="2"/>
  <c r="I121" i="1"/>
  <c r="J121" i="1"/>
  <c r="K121" i="1"/>
  <c r="L121" i="1"/>
  <c r="E224" i="1"/>
  <c r="F224" i="1"/>
  <c r="G224" i="1"/>
  <c r="H224" i="1"/>
  <c r="I224" i="1"/>
  <c r="J224" i="1"/>
  <c r="K224" i="1"/>
  <c r="L224" i="1"/>
  <c r="J86" i="2"/>
  <c r="C440" i="3"/>
  <c r="J1155" i="3"/>
  <c r="D133" i="4"/>
  <c r="C3287" i="3"/>
  <c r="C405" i="3"/>
  <c r="J93" i="2"/>
  <c r="M93" i="2"/>
  <c r="G33" i="1"/>
  <c r="H33" i="1"/>
  <c r="I33" i="1"/>
  <c r="J33" i="1"/>
  <c r="K33" i="1"/>
  <c r="L33" i="1"/>
  <c r="J94" i="2"/>
  <c r="G77" i="1"/>
  <c r="H77" i="1"/>
  <c r="I77" i="1"/>
  <c r="J77" i="1"/>
  <c r="K77" i="1"/>
  <c r="L77" i="1"/>
  <c r="E77" i="1"/>
  <c r="D77" i="1"/>
  <c r="C77" i="1"/>
  <c r="J116" i="2"/>
  <c r="J121" i="2"/>
  <c r="M121" i="2"/>
  <c r="C2870" i="3"/>
  <c r="J118" i="2"/>
  <c r="E103" i="1"/>
  <c r="F103" i="1"/>
  <c r="G103" i="1"/>
  <c r="H103" i="1"/>
  <c r="I103" i="1"/>
  <c r="J103" i="1"/>
  <c r="K103" i="1"/>
  <c r="L103" i="1"/>
  <c r="J120" i="2"/>
  <c r="J115" i="2"/>
  <c r="J117" i="2"/>
  <c r="J16" i="2"/>
  <c r="J818" i="3"/>
  <c r="J1767" i="3"/>
  <c r="J3459" i="3"/>
  <c r="C33" i="7"/>
  <c r="AW33" i="7" s="1"/>
  <c r="AE183" i="2" s="1"/>
  <c r="J4363" i="3" s="1"/>
  <c r="D176" i="4"/>
  <c r="C4351" i="3"/>
  <c r="L25" i="8"/>
  <c r="D9" i="1"/>
  <c r="E9" i="1"/>
  <c r="F9" i="1"/>
  <c r="G9" i="1"/>
  <c r="H9" i="1"/>
  <c r="I9" i="1"/>
  <c r="J9" i="1"/>
  <c r="K9" i="1"/>
  <c r="L9" i="1"/>
  <c r="D63" i="1"/>
  <c r="C63" i="1"/>
  <c r="C1325" i="3"/>
  <c r="J122" i="2"/>
  <c r="D132" i="4"/>
  <c r="C3257" i="3"/>
  <c r="J139" i="2"/>
  <c r="M139" i="2"/>
  <c r="C3264" i="3"/>
  <c r="C4050" i="3"/>
  <c r="J152" i="2"/>
  <c r="J74" i="1"/>
  <c r="K74" i="1"/>
  <c r="L74" i="1"/>
  <c r="J85" i="3"/>
  <c r="D21" i="1"/>
  <c r="C21" i="1"/>
  <c r="J30" i="2"/>
  <c r="R32" i="2"/>
  <c r="C568" i="3"/>
  <c r="D25" i="1"/>
  <c r="E25" i="1"/>
  <c r="F25" i="1"/>
  <c r="G25" i="1"/>
  <c r="H25" i="1"/>
  <c r="I25" i="1"/>
  <c r="J25" i="1"/>
  <c r="K25" i="1"/>
  <c r="L25" i="1"/>
  <c r="E65" i="1"/>
  <c r="F65" i="1"/>
  <c r="G65" i="1"/>
  <c r="H65" i="1"/>
  <c r="I65" i="1"/>
  <c r="J65" i="1"/>
  <c r="K65" i="1"/>
  <c r="L65" i="1"/>
  <c r="C65" i="1"/>
  <c r="H72" i="1"/>
  <c r="I72" i="1"/>
  <c r="J72" i="1"/>
  <c r="K72" i="1"/>
  <c r="L72" i="1"/>
  <c r="J148" i="2"/>
  <c r="J156" i="2"/>
  <c r="E76" i="1"/>
  <c r="D76" i="1"/>
  <c r="F111" i="1"/>
  <c r="G111" i="1"/>
  <c r="H111" i="1"/>
  <c r="I111" i="1"/>
  <c r="J111" i="1"/>
  <c r="K111" i="1"/>
  <c r="L111" i="1"/>
  <c r="C38" i="3"/>
  <c r="F21" i="1"/>
  <c r="G21" i="1"/>
  <c r="H21" i="1"/>
  <c r="I21" i="1"/>
  <c r="J21" i="1"/>
  <c r="K21" i="1"/>
  <c r="L21" i="1"/>
  <c r="J129" i="2"/>
  <c r="C1474" i="3"/>
  <c r="E187" i="1"/>
  <c r="F187" i="1"/>
  <c r="G187" i="1"/>
  <c r="H187" i="1"/>
  <c r="I187" i="1"/>
  <c r="J187" i="1"/>
  <c r="K187" i="1"/>
  <c r="L187" i="1"/>
  <c r="D137" i="4"/>
  <c r="C3380" i="3"/>
  <c r="D153" i="4"/>
  <c r="C3713" i="3"/>
  <c r="C20" i="7"/>
  <c r="AW20" i="7" s="1"/>
  <c r="D185" i="4"/>
  <c r="C4630" i="3"/>
  <c r="J192" i="2"/>
  <c r="C4794" i="3"/>
  <c r="G207" i="1"/>
  <c r="H207" i="1"/>
  <c r="I207" i="1"/>
  <c r="J207" i="1"/>
  <c r="K207" i="1"/>
  <c r="L207" i="1"/>
  <c r="C203" i="1"/>
  <c r="D203" i="1"/>
  <c r="E203" i="1"/>
  <c r="F203" i="1"/>
  <c r="G203" i="1"/>
  <c r="H203" i="1"/>
  <c r="I203" i="1"/>
  <c r="J203" i="1"/>
  <c r="K203" i="1"/>
  <c r="L203" i="1"/>
  <c r="C2626" i="3"/>
  <c r="M112" i="2"/>
  <c r="C2630" i="3"/>
  <c r="J43" i="2"/>
  <c r="E69" i="1"/>
  <c r="F69" i="1"/>
  <c r="G69" i="1"/>
  <c r="H69" i="1"/>
  <c r="I69" i="1"/>
  <c r="J69" i="1"/>
  <c r="K69" i="1"/>
  <c r="L69" i="1"/>
  <c r="J126" i="2"/>
  <c r="D192" i="1"/>
  <c r="E192" i="1"/>
  <c r="F192" i="1"/>
  <c r="G192" i="1"/>
  <c r="H192" i="1"/>
  <c r="I192" i="1"/>
  <c r="J192" i="1"/>
  <c r="K192" i="1"/>
  <c r="L192" i="1"/>
  <c r="D72" i="4"/>
  <c r="C1596" i="3"/>
  <c r="J73" i="2"/>
  <c r="AB21" i="5"/>
  <c r="E109" i="1"/>
  <c r="F109" i="1"/>
  <c r="G109" i="1"/>
  <c r="H109" i="1"/>
  <c r="I109" i="1"/>
  <c r="J109" i="1"/>
  <c r="K109" i="1"/>
  <c r="L109" i="1"/>
  <c r="J100" i="2"/>
  <c r="J101" i="2"/>
  <c r="J133" i="2"/>
  <c r="D219" i="1"/>
  <c r="E219" i="1"/>
  <c r="F219" i="1"/>
  <c r="G219" i="1"/>
  <c r="H219" i="1"/>
  <c r="I219" i="1"/>
  <c r="J219" i="1"/>
  <c r="K219" i="1"/>
  <c r="L219" i="1"/>
  <c r="M11" i="2"/>
  <c r="C42" i="3"/>
  <c r="M10" i="2"/>
  <c r="C7" i="3"/>
  <c r="F41" i="1"/>
  <c r="J20" i="2"/>
  <c r="E58" i="1"/>
  <c r="F58" i="1"/>
  <c r="G58" i="1"/>
  <c r="H58" i="1"/>
  <c r="I58" i="1"/>
  <c r="J58" i="1"/>
  <c r="K58" i="1"/>
  <c r="L58" i="1"/>
  <c r="C58" i="1"/>
  <c r="J23" i="3"/>
  <c r="J23" i="2"/>
  <c r="J15" i="2"/>
  <c r="M15" i="2"/>
  <c r="C133" i="3"/>
  <c r="D61" i="1"/>
  <c r="E61" i="1"/>
  <c r="F61" i="1"/>
  <c r="G61" i="1"/>
  <c r="H61" i="1"/>
  <c r="I61" i="1"/>
  <c r="J61" i="1"/>
  <c r="K61" i="1"/>
  <c r="L61" i="1"/>
  <c r="E93" i="1"/>
  <c r="F93" i="1"/>
  <c r="G93" i="1"/>
  <c r="H93" i="1"/>
  <c r="I93" i="1"/>
  <c r="J93" i="1"/>
  <c r="K93" i="1"/>
  <c r="L93" i="1"/>
  <c r="J135" i="2"/>
  <c r="V44" i="2"/>
  <c r="C836" i="3"/>
  <c r="D79" i="4"/>
  <c r="C1900" i="3"/>
  <c r="J85" i="2"/>
  <c r="J140" i="2"/>
  <c r="M140" i="2"/>
  <c r="C3294" i="3"/>
  <c r="C4264" i="3"/>
  <c r="V179" i="2"/>
  <c r="C70" i="1"/>
  <c r="E70" i="1"/>
  <c r="F70" i="1"/>
  <c r="G70" i="1"/>
  <c r="H70" i="1"/>
  <c r="I70" i="1"/>
  <c r="J70" i="1"/>
  <c r="K70" i="1"/>
  <c r="L70" i="1"/>
  <c r="J2039" i="3"/>
  <c r="J2339" i="3"/>
  <c r="C2539" i="3"/>
  <c r="J119" i="2"/>
  <c r="D20" i="4"/>
  <c r="C276" i="3"/>
  <c r="J21" i="2"/>
  <c r="J24" i="2"/>
  <c r="J544" i="3"/>
  <c r="D35" i="4"/>
  <c r="C737" i="3"/>
  <c r="J38" i="2"/>
  <c r="D129" i="4"/>
  <c r="C3167" i="3"/>
  <c r="J136" i="2"/>
  <c r="C4233" i="3"/>
  <c r="V178" i="2"/>
  <c r="C69" i="3"/>
  <c r="D42" i="4"/>
  <c r="C889" i="3"/>
  <c r="D44" i="4"/>
  <c r="C951" i="3"/>
  <c r="J47" i="2"/>
  <c r="D85" i="4"/>
  <c r="C2050" i="3"/>
  <c r="J84" i="2"/>
  <c r="J89" i="2"/>
  <c r="D95" i="4"/>
  <c r="J99" i="2"/>
  <c r="M99" i="2"/>
  <c r="C2297" i="3"/>
  <c r="C2290" i="3"/>
  <c r="D100" i="4"/>
  <c r="C2470" i="3"/>
  <c r="D122" i="4"/>
  <c r="C3015" i="3"/>
  <c r="D127" i="4"/>
  <c r="C3106" i="3"/>
  <c r="J134" i="2"/>
  <c r="AS141" i="2"/>
  <c r="C618" i="3"/>
  <c r="V34" i="2"/>
  <c r="C1201" i="3"/>
  <c r="V58" i="2"/>
  <c r="F7" i="1"/>
  <c r="G7" i="1"/>
  <c r="H7" i="1"/>
  <c r="I7" i="1"/>
  <c r="J7" i="1"/>
  <c r="K7" i="1"/>
  <c r="L7" i="1"/>
  <c r="E26" i="1"/>
  <c r="F26" i="1"/>
  <c r="G26" i="1"/>
  <c r="H26" i="1"/>
  <c r="I26" i="1"/>
  <c r="J26" i="1"/>
  <c r="K26" i="1"/>
  <c r="L26" i="1"/>
  <c r="F34" i="1"/>
  <c r="G34" i="1"/>
  <c r="H34" i="1"/>
  <c r="I34" i="1"/>
  <c r="J34" i="1"/>
  <c r="K34" i="1"/>
  <c r="L34" i="1"/>
  <c r="D36" i="1"/>
  <c r="E36" i="1"/>
  <c r="C79" i="1"/>
  <c r="J78" i="2"/>
  <c r="D18" i="4"/>
  <c r="C247" i="3"/>
  <c r="J19" i="2"/>
  <c r="J2974" i="3"/>
  <c r="D124" i="4"/>
  <c r="J132" i="2"/>
  <c r="C3045" i="3"/>
  <c r="D147" i="4"/>
  <c r="C3561" i="3"/>
  <c r="J154" i="2"/>
  <c r="D49" i="4"/>
  <c r="D56" i="4"/>
  <c r="C1227" i="3"/>
  <c r="J59" i="2"/>
  <c r="M59" i="2"/>
  <c r="C1234" i="3"/>
  <c r="D101" i="4"/>
  <c r="C2440" i="3"/>
  <c r="J104" i="2"/>
  <c r="J3276" i="3"/>
  <c r="D143" i="4"/>
  <c r="C3470" i="3"/>
  <c r="D146" i="4"/>
  <c r="C3530" i="3"/>
  <c r="J153" i="2"/>
  <c r="C32" i="7"/>
  <c r="AW32" i="7" s="1"/>
  <c r="AE184" i="2" s="1"/>
  <c r="J4426" i="3" s="1"/>
  <c r="D177" i="4"/>
  <c r="C4414" i="3"/>
  <c r="L23" i="8"/>
  <c r="L27" i="8"/>
  <c r="X17" i="13"/>
  <c r="X21" i="13"/>
  <c r="D48" i="4"/>
  <c r="J51" i="2"/>
  <c r="J3004" i="3"/>
  <c r="J4124" i="3"/>
  <c r="D19" i="4"/>
  <c r="C338" i="3"/>
  <c r="D43" i="4"/>
  <c r="C919" i="3"/>
  <c r="J46" i="2"/>
  <c r="J1490" i="3"/>
  <c r="J150" i="2"/>
  <c r="M150" i="2"/>
  <c r="C3477" i="3"/>
  <c r="C21" i="7"/>
  <c r="AW21" i="7" s="1"/>
  <c r="D186" i="4"/>
  <c r="C4661" i="3"/>
  <c r="J193" i="2"/>
  <c r="J3337" i="3"/>
  <c r="J2189" i="3"/>
  <c r="D125" i="4"/>
  <c r="C3076" i="3"/>
  <c r="J108" i="2"/>
  <c r="C4825" i="3"/>
  <c r="C9" i="7"/>
  <c r="AW9" i="7" s="1"/>
  <c r="D203" i="4"/>
  <c r="C5188" i="3"/>
  <c r="D25" i="4"/>
  <c r="C464" i="3"/>
  <c r="D37" i="4"/>
  <c r="C1778" i="3"/>
  <c r="J40" i="2"/>
  <c r="D155" i="4"/>
  <c r="C3804" i="3"/>
  <c r="D159" i="4"/>
  <c r="C3895" i="3"/>
  <c r="D166" i="4"/>
  <c r="C4074" i="3"/>
  <c r="J173" i="2"/>
  <c r="M173" i="2"/>
  <c r="C4081" i="3"/>
  <c r="D38" i="4"/>
  <c r="C1808" i="3"/>
  <c r="D94" i="4"/>
  <c r="C2260" i="3"/>
  <c r="J97" i="2"/>
  <c r="D102" i="4"/>
  <c r="C2501" i="3"/>
  <c r="D118" i="4"/>
  <c r="C2955" i="3"/>
  <c r="J124" i="2"/>
  <c r="D135" i="4"/>
  <c r="C3318" i="3"/>
  <c r="J142" i="2"/>
  <c r="C15" i="7"/>
  <c r="AW15" i="7" s="1"/>
  <c r="D179" i="4"/>
  <c r="C4444" i="3"/>
  <c r="J186" i="2"/>
  <c r="C22" i="7"/>
  <c r="AW22" i="7" s="1"/>
  <c r="D184" i="4"/>
  <c r="C4600" i="3"/>
  <c r="J191" i="2"/>
  <c r="D197" i="4"/>
  <c r="C4975" i="3"/>
  <c r="J204" i="2"/>
  <c r="M204" i="2"/>
  <c r="C4982" i="3"/>
  <c r="J71" i="2"/>
  <c r="V71" i="2" s="1"/>
  <c r="J1720" i="3" s="1"/>
  <c r="D60" i="1"/>
  <c r="E60" i="1"/>
  <c r="F60" i="1"/>
  <c r="G60" i="1"/>
  <c r="H60" i="1"/>
  <c r="I60" i="1"/>
  <c r="J60" i="1"/>
  <c r="K60" i="1"/>
  <c r="L60" i="1"/>
  <c r="D21" i="4"/>
  <c r="J22" i="2"/>
  <c r="V22" i="2"/>
  <c r="V50" i="2"/>
  <c r="D50" i="4"/>
  <c r="C1074" i="3"/>
  <c r="D80" i="4"/>
  <c r="C1930" i="3"/>
  <c r="D99" i="4"/>
  <c r="C2410" i="3"/>
  <c r="J102" i="2"/>
  <c r="D120" i="4"/>
  <c r="C1502" i="3"/>
  <c r="C37" i="7"/>
  <c r="AW37" i="7" s="1"/>
  <c r="AE179" i="2" s="1"/>
  <c r="J4269" i="3" s="1"/>
  <c r="D172" i="4"/>
  <c r="C4257" i="3"/>
  <c r="C19" i="7"/>
  <c r="AW19" i="7" s="1"/>
  <c r="D183" i="4"/>
  <c r="C4570" i="3"/>
  <c r="J190" i="2"/>
  <c r="D141" i="4"/>
  <c r="C3440" i="3"/>
  <c r="AM214" i="2"/>
  <c r="D170" i="4"/>
  <c r="C4195" i="3"/>
  <c r="C13" i="7"/>
  <c r="AW13" i="7" s="1"/>
  <c r="D201" i="4"/>
  <c r="C5096" i="3"/>
  <c r="C769" i="3"/>
  <c r="D105" i="4"/>
  <c r="C2623" i="3"/>
  <c r="D119" i="4"/>
  <c r="D121" i="4"/>
  <c r="C2985" i="3"/>
  <c r="D136" i="4"/>
  <c r="C3349" i="3"/>
  <c r="AM213" i="2"/>
  <c r="J200" i="2"/>
  <c r="D34" i="4"/>
  <c r="C706" i="3"/>
  <c r="D71" i="4"/>
  <c r="C1565" i="3"/>
  <c r="D126" i="4"/>
  <c r="C3137" i="3"/>
  <c r="D128" i="4"/>
  <c r="C3197" i="3"/>
  <c r="D130" i="4"/>
  <c r="C3227" i="3"/>
  <c r="C3743" i="3"/>
  <c r="C41" i="7"/>
  <c r="AW41" i="7" s="1"/>
  <c r="AE178" i="2" s="1"/>
  <c r="J4238" i="3" s="1"/>
  <c r="D171" i="4"/>
  <c r="C4226" i="3"/>
  <c r="C14" i="7"/>
  <c r="AW14" i="7" s="1"/>
  <c r="D202" i="4"/>
  <c r="C5128" i="3"/>
  <c r="C39" i="7"/>
  <c r="AW39" i="7" s="1"/>
  <c r="AE180" i="2" s="1"/>
  <c r="J4300" i="3" s="1"/>
  <c r="D173" i="4"/>
  <c r="C4288" i="3"/>
  <c r="C16" i="7"/>
  <c r="AW16" i="7" s="1"/>
  <c r="D180" i="4"/>
  <c r="C4475" i="3"/>
  <c r="C24" i="7"/>
  <c r="AW24" i="7" s="1"/>
  <c r="D187" i="4"/>
  <c r="C4692" i="3"/>
  <c r="C30" i="7"/>
  <c r="AW30" i="7" s="1"/>
  <c r="D191" i="4"/>
  <c r="C10" i="7"/>
  <c r="AW10" i="7" s="1"/>
  <c r="D204" i="4"/>
  <c r="C35" i="7"/>
  <c r="AW35" i="7" s="1"/>
  <c r="AE174" i="2" s="1"/>
  <c r="J4116" i="3" s="1"/>
  <c r="D167" i="4"/>
  <c r="C4104" i="3"/>
  <c r="C17" i="7"/>
  <c r="AW17" i="7" s="1"/>
  <c r="D181" i="4"/>
  <c r="C4507" i="3"/>
  <c r="C25" i="7"/>
  <c r="AW25" i="7" s="1"/>
  <c r="D188" i="4"/>
  <c r="C4724" i="3"/>
  <c r="C31" i="7"/>
  <c r="AW31" i="7" s="1"/>
  <c r="C4818" i="3"/>
  <c r="D192" i="4"/>
  <c r="C23" i="7"/>
  <c r="AW23" i="7" s="1"/>
  <c r="C4880" i="3"/>
  <c r="D193" i="4"/>
  <c r="C8" i="7"/>
  <c r="AW8" i="7" s="1"/>
  <c r="C5005" i="3"/>
  <c r="C4787" i="3"/>
  <c r="C38" i="7"/>
  <c r="AW38" i="7" s="1"/>
  <c r="AE181" i="2" s="1"/>
  <c r="J4394" i="3" s="1"/>
  <c r="D174" i="4"/>
  <c r="C4382" i="3"/>
  <c r="C27" i="7"/>
  <c r="AW27" i="7" s="1"/>
  <c r="D194" i="4"/>
  <c r="C4912" i="3"/>
  <c r="C11" i="7"/>
  <c r="AW11" i="7" s="1"/>
  <c r="D199" i="4"/>
  <c r="C5036" i="3"/>
  <c r="C2187" i="3"/>
  <c r="C34" i="7"/>
  <c r="AW34" i="7" s="1"/>
  <c r="AE176" i="2" s="1"/>
  <c r="J4176" i="3" s="1"/>
  <c r="D169" i="4"/>
  <c r="C4164" i="3"/>
  <c r="C42" i="7"/>
  <c r="AW42" i="7" s="1"/>
  <c r="AE182" i="2" s="1"/>
  <c r="J4331" i="3" s="1"/>
  <c r="D175" i="4"/>
  <c r="C18" i="7"/>
  <c r="AW18" i="7" s="1"/>
  <c r="D182" i="4"/>
  <c r="C4539" i="3"/>
  <c r="D195" i="4"/>
  <c r="C29" i="7"/>
  <c r="AW29" i="7" s="1"/>
  <c r="C4944" i="3"/>
  <c r="C12" i="7"/>
  <c r="AW12" i="7" s="1"/>
  <c r="D200" i="4"/>
  <c r="C5066" i="3"/>
  <c r="BU130" i="4"/>
  <c r="Z137" i="2" s="1"/>
  <c r="I3234" i="3" s="1"/>
  <c r="BU24" i="4"/>
  <c r="BU47" i="4"/>
  <c r="BU58" i="4"/>
  <c r="AX24" i="7"/>
  <c r="AC194" i="2"/>
  <c r="J4702" i="3" s="1"/>
  <c r="AX20" i="7"/>
  <c r="AC192" i="2"/>
  <c r="J4640" i="3" s="1"/>
  <c r="AX17" i="7"/>
  <c r="AC188" i="2"/>
  <c r="J4517" i="3" s="1"/>
  <c r="AX43" i="7"/>
  <c r="AC156" i="2"/>
  <c r="J3631" i="3" s="1"/>
  <c r="AX40" i="7"/>
  <c r="AC175" i="2"/>
  <c r="J4144" i="3" s="1"/>
  <c r="AX37" i="7"/>
  <c r="AX33" i="7"/>
  <c r="AC183" i="2"/>
  <c r="J4361" i="3" s="1"/>
  <c r="AX30" i="7"/>
  <c r="AC198" i="2"/>
  <c r="J4797" i="3" s="1"/>
  <c r="AX21" i="7"/>
  <c r="AC193" i="2"/>
  <c r="J4671" i="3" s="1"/>
  <c r="AX18" i="7"/>
  <c r="AC189" i="2"/>
  <c r="J4549" i="3" s="1"/>
  <c r="AX41" i="7"/>
  <c r="AX22" i="7"/>
  <c r="AC191" i="2"/>
  <c r="J4610" i="3" s="1"/>
  <c r="AX19" i="7"/>
  <c r="AC190" i="2"/>
  <c r="J4580" i="3" s="1"/>
  <c r="AX15" i="7"/>
  <c r="AC186" i="2"/>
  <c r="J4454" i="3" s="1"/>
  <c r="AX44" i="7"/>
  <c r="AC157" i="2"/>
  <c r="J3661" i="3" s="1"/>
  <c r="AX35" i="7"/>
  <c r="AC174" i="2"/>
  <c r="J4114" i="3" s="1"/>
  <c r="AX28" i="7"/>
  <c r="AX12" i="7"/>
  <c r="AC207" i="2"/>
  <c r="J5076" i="3" s="1"/>
  <c r="AX8" i="7"/>
  <c r="AC205" i="2"/>
  <c r="J5015" i="3" s="1"/>
  <c r="AX42" i="7"/>
  <c r="AC182" i="2"/>
  <c r="J4329" i="3" s="1"/>
  <c r="AX39" i="7"/>
  <c r="AC180" i="2"/>
  <c r="J4298" i="3" s="1"/>
  <c r="AX23" i="7"/>
  <c r="AC200" i="2"/>
  <c r="J4890" i="3" s="1"/>
  <c r="AX16" i="7"/>
  <c r="AC187" i="2"/>
  <c r="J4485" i="3" s="1"/>
  <c r="AX36" i="7"/>
  <c r="AC177" i="2"/>
  <c r="J4205" i="3" s="1"/>
  <c r="AX29" i="7"/>
  <c r="AC202" i="2"/>
  <c r="J4954" i="3" s="1"/>
  <c r="AX13" i="7"/>
  <c r="AC208" i="2"/>
  <c r="J5106" i="3" s="1"/>
  <c r="AX9" i="7"/>
  <c r="AC210" i="2"/>
  <c r="J5198" i="3" s="1"/>
  <c r="AX25" i="7"/>
  <c r="AC195" i="2"/>
  <c r="J4734" i="3" s="1"/>
  <c r="AX26" i="7"/>
  <c r="AX14" i="7"/>
  <c r="AC209" i="2"/>
  <c r="J5138" i="3" s="1"/>
  <c r="AZ37" i="7"/>
  <c r="AG179" i="2"/>
  <c r="J4270" i="3" s="1"/>
  <c r="AZ33" i="7"/>
  <c r="AG183" i="2"/>
  <c r="AZ30" i="7"/>
  <c r="AG198" i="2"/>
  <c r="J4800" i="3" s="1"/>
  <c r="AZ26" i="7"/>
  <c r="AG196" i="2"/>
  <c r="J4768" i="3" s="1"/>
  <c r="AZ25" i="7"/>
  <c r="AG195" i="2"/>
  <c r="J4737" i="3" s="1"/>
  <c r="AZ34" i="7"/>
  <c r="AG176" i="2"/>
  <c r="J4177" i="3" s="1"/>
  <c r="AZ31" i="7"/>
  <c r="AG199" i="2"/>
  <c r="J4831" i="3" s="1"/>
  <c r="AZ27" i="7"/>
  <c r="AG201" i="2"/>
  <c r="J4925" i="3" s="1"/>
  <c r="AZ35" i="7"/>
  <c r="AG174" i="2"/>
  <c r="J4117" i="3" s="1"/>
  <c r="AZ28" i="7"/>
  <c r="AG197" i="2"/>
  <c r="J4862" i="3" s="1"/>
  <c r="AZ12" i="7"/>
  <c r="AG207" i="2"/>
  <c r="J5079" i="3" s="1"/>
  <c r="AZ8" i="7"/>
  <c r="AG205" i="2"/>
  <c r="J5018" i="3" s="1"/>
  <c r="AZ42" i="7"/>
  <c r="AG182" i="2"/>
  <c r="J4332" i="3" s="1"/>
  <c r="AZ39" i="7"/>
  <c r="AG180" i="2"/>
  <c r="J4301" i="3" s="1"/>
  <c r="AZ32" i="7"/>
  <c r="AG184" i="2"/>
  <c r="AZ23" i="7"/>
  <c r="AG200" i="2"/>
  <c r="J4893" i="3" s="1"/>
  <c r="AZ16" i="7"/>
  <c r="AG187" i="2"/>
  <c r="J4488" i="3" s="1"/>
  <c r="AZ36" i="7"/>
  <c r="AG177" i="2"/>
  <c r="J4208" i="3" s="1"/>
  <c r="AZ29" i="7"/>
  <c r="AG202" i="2"/>
  <c r="J4957" i="3" s="1"/>
  <c r="AZ13" i="7"/>
  <c r="AG208" i="2"/>
  <c r="J5109" i="3" s="1"/>
  <c r="AZ9" i="7"/>
  <c r="AG210" i="2"/>
  <c r="J5201" i="3" s="1"/>
  <c r="BB25" i="7"/>
  <c r="AZ24" i="7"/>
  <c r="AG194" i="2"/>
  <c r="J4705" i="3" s="1"/>
  <c r="AZ20" i="7"/>
  <c r="AG192" i="2"/>
  <c r="J4643" i="3" s="1"/>
  <c r="AZ17" i="7"/>
  <c r="AG188" i="2"/>
  <c r="J4520" i="3" s="1"/>
  <c r="AZ18" i="7"/>
  <c r="AG189" i="2"/>
  <c r="J4552" i="3" s="1"/>
  <c r="AZ10" i="7"/>
  <c r="AG211" i="2"/>
  <c r="J5171" i="3" s="1"/>
  <c r="AZ22" i="7"/>
  <c r="AG191" i="2"/>
  <c r="J4613" i="3" s="1"/>
  <c r="AZ15" i="7"/>
  <c r="AG186" i="2"/>
  <c r="J4457" i="3"/>
  <c r="AZ21" i="7"/>
  <c r="AG193" i="2"/>
  <c r="J4674" i="3" s="1"/>
  <c r="AZ19" i="7"/>
  <c r="AG190" i="2"/>
  <c r="J4583" i="3" s="1"/>
  <c r="AZ11" i="7"/>
  <c r="AG206" i="2"/>
  <c r="J5049" i="3" s="1"/>
  <c r="AZ14" i="7"/>
  <c r="AG209" i="2"/>
  <c r="J5141" i="3" s="1"/>
  <c r="AB25" i="5"/>
  <c r="T23" i="5"/>
  <c r="AE158" i="2"/>
  <c r="J3694" i="3"/>
  <c r="J3787" i="3"/>
  <c r="AW40" i="7"/>
  <c r="AE175" i="2"/>
  <c r="J4146" i="3" s="1"/>
  <c r="AB33" i="5"/>
  <c r="AE167" i="2"/>
  <c r="J3937" i="3"/>
  <c r="AB26" i="5"/>
  <c r="L24" i="8"/>
  <c r="L28" i="8"/>
  <c r="L36" i="8"/>
  <c r="X15" i="13"/>
  <c r="S23" i="5"/>
  <c r="AB40" i="5"/>
  <c r="AE154" i="2"/>
  <c r="J3574" i="3"/>
  <c r="S24" i="5"/>
  <c r="Y24" i="5"/>
  <c r="F32" i="8"/>
  <c r="G32" i="8"/>
  <c r="H32" i="8"/>
  <c r="L32" i="8"/>
  <c r="D48" i="8"/>
  <c r="P18" i="13"/>
  <c r="U18" i="13"/>
  <c r="X18" i="13"/>
  <c r="W20" i="13"/>
  <c r="X20" i="13"/>
  <c r="AB38" i="5"/>
  <c r="AE152" i="2"/>
  <c r="J3513" i="3"/>
  <c r="AE162" i="2"/>
  <c r="J3817" i="3"/>
  <c r="AE163" i="2"/>
  <c r="J3848" i="3"/>
  <c r="J74" i="2"/>
  <c r="C1538" i="3"/>
  <c r="J181" i="2"/>
  <c r="C4385" i="3"/>
  <c r="J184" i="2"/>
  <c r="C4417" i="3"/>
  <c r="J206" i="2"/>
  <c r="M206" i="2"/>
  <c r="C5043" i="3"/>
  <c r="J207" i="2"/>
  <c r="C5069" i="3"/>
  <c r="J209" i="2"/>
  <c r="M209" i="2"/>
  <c r="C5135" i="3"/>
  <c r="J159" i="2"/>
  <c r="V159" i="2"/>
  <c r="J155" i="2"/>
  <c r="I1539" i="3"/>
  <c r="V48" i="2"/>
  <c r="J862" i="3"/>
  <c r="C862" i="3"/>
  <c r="V26" i="2"/>
  <c r="J405" i="3"/>
  <c r="AE157" i="2"/>
  <c r="J3664" i="3"/>
  <c r="J176" i="2"/>
  <c r="M176" i="2"/>
  <c r="C4171" i="3"/>
  <c r="J210" i="2"/>
  <c r="V210" i="2"/>
  <c r="J182" i="2"/>
  <c r="C4322" i="3"/>
  <c r="X26" i="13"/>
  <c r="J91" i="2"/>
  <c r="M91" i="2"/>
  <c r="C2147" i="3"/>
  <c r="J174" i="2"/>
  <c r="C4107" i="3"/>
  <c r="J208" i="2"/>
  <c r="C5099" i="3"/>
  <c r="J205" i="2"/>
  <c r="C5008" i="3"/>
  <c r="J180" i="2"/>
  <c r="C4291" i="3"/>
  <c r="J183" i="2"/>
  <c r="V183" i="2"/>
  <c r="E55" i="1"/>
  <c r="F55" i="1"/>
  <c r="G55" i="1"/>
  <c r="H55" i="1"/>
  <c r="I55" i="1"/>
  <c r="J55" i="1"/>
  <c r="K55" i="1"/>
  <c r="L55" i="1"/>
  <c r="V110" i="2"/>
  <c r="J2928" i="3"/>
  <c r="J164" i="2"/>
  <c r="V164" i="2"/>
  <c r="V80" i="2"/>
  <c r="J1842" i="3"/>
  <c r="C1842" i="3"/>
  <c r="P31" i="13"/>
  <c r="U31" i="13"/>
  <c r="X31" i="13"/>
  <c r="J64" i="2"/>
  <c r="C1352" i="3" s="1"/>
  <c r="V64" i="2"/>
  <c r="J1352" i="3" s="1"/>
  <c r="I1843" i="3"/>
  <c r="AM215" i="2"/>
  <c r="AO215" i="2"/>
  <c r="AT74" i="2"/>
  <c r="J1555" i="3"/>
  <c r="AE156" i="2"/>
  <c r="J3634" i="3"/>
  <c r="C1568" i="3"/>
  <c r="V199" i="2"/>
  <c r="J4821" i="3"/>
  <c r="M41" i="2"/>
  <c r="C1815" i="3"/>
  <c r="V37" i="2"/>
  <c r="J709" i="3"/>
  <c r="V137" i="2"/>
  <c r="J3230" i="3"/>
  <c r="M33" i="2"/>
  <c r="C592" i="3"/>
  <c r="J2504" i="3"/>
  <c r="C1139" i="3"/>
  <c r="AB30" i="5"/>
  <c r="AE166" i="2"/>
  <c r="J3908" i="3"/>
  <c r="C4915" i="3"/>
  <c r="V39" i="2"/>
  <c r="J772" i="3"/>
  <c r="V53" i="2"/>
  <c r="J1077" i="3"/>
  <c r="V188" i="2"/>
  <c r="J4510" i="3"/>
  <c r="V187" i="2"/>
  <c r="J4478" i="3"/>
  <c r="AB24" i="5"/>
  <c r="AE160" i="2"/>
  <c r="J3726" i="3"/>
  <c r="J162" i="2"/>
  <c r="V162" i="2"/>
  <c r="V195" i="2"/>
  <c r="J4727" i="3"/>
  <c r="V198" i="2"/>
  <c r="J4790" i="3"/>
  <c r="V28" i="2"/>
  <c r="J436" i="3"/>
  <c r="C4542" i="3"/>
  <c r="C2504" i="3"/>
  <c r="M175" i="2"/>
  <c r="C4141" i="3"/>
  <c r="AB37" i="5"/>
  <c r="AE150" i="2"/>
  <c r="J3483" i="3"/>
  <c r="V202" i="2"/>
  <c r="J4947" i="3"/>
  <c r="M32" i="2"/>
  <c r="C562" i="3"/>
  <c r="V194" i="2"/>
  <c r="J4695" i="3"/>
  <c r="AL214" i="2"/>
  <c r="C3774" i="3"/>
  <c r="V13" i="2"/>
  <c r="J69" i="3"/>
  <c r="V56" i="2"/>
  <c r="J1139" i="3"/>
  <c r="V143" i="2"/>
  <c r="J3352" i="3"/>
  <c r="C373" i="3"/>
  <c r="V46" i="2"/>
  <c r="C922" i="3"/>
  <c r="C3048" i="3"/>
  <c r="V132" i="2"/>
  <c r="F36" i="1"/>
  <c r="C892" i="3"/>
  <c r="V45" i="2"/>
  <c r="J2535" i="3"/>
  <c r="G41" i="1"/>
  <c r="H41" i="1"/>
  <c r="I41" i="1"/>
  <c r="J41" i="1"/>
  <c r="K41" i="1"/>
  <c r="L41" i="1"/>
  <c r="E41" i="1"/>
  <c r="D41" i="1"/>
  <c r="C41" i="1"/>
  <c r="C3140" i="3"/>
  <c r="V133" i="2"/>
  <c r="C2988" i="3"/>
  <c r="V126" i="2"/>
  <c r="C2473" i="3"/>
  <c r="V103" i="2"/>
  <c r="C2896" i="3"/>
  <c r="V122" i="2"/>
  <c r="C2835" i="3"/>
  <c r="V127" i="2"/>
  <c r="C3018" i="3"/>
  <c r="C98" i="3"/>
  <c r="M14" i="2"/>
  <c r="C102" i="3"/>
  <c r="C4198" i="3"/>
  <c r="V177" i="2"/>
  <c r="C2958" i="3"/>
  <c r="V124" i="2"/>
  <c r="C3473" i="3"/>
  <c r="V150" i="2"/>
  <c r="AL213" i="2"/>
  <c r="C2443" i="3"/>
  <c r="V104" i="2"/>
  <c r="C5161" i="3"/>
  <c r="V211" i="2"/>
  <c r="C2293" i="3"/>
  <c r="V99" i="2"/>
  <c r="C740" i="3"/>
  <c r="V38" i="2"/>
  <c r="C1903" i="3"/>
  <c r="V85" i="2"/>
  <c r="C1660" i="3"/>
  <c r="V69" i="2"/>
  <c r="C2383" i="3"/>
  <c r="M101" i="2"/>
  <c r="C2387" i="3"/>
  <c r="V112" i="2"/>
  <c r="V11" i="2"/>
  <c r="J4046" i="3"/>
  <c r="V114" i="2"/>
  <c r="C2774" i="3"/>
  <c r="C2203" i="3"/>
  <c r="V94" i="2"/>
  <c r="J82" i="2"/>
  <c r="J83" i="2"/>
  <c r="F49" i="1"/>
  <c r="G49" i="1"/>
  <c r="H49" i="1"/>
  <c r="I49" i="1"/>
  <c r="J49" i="1"/>
  <c r="K49" i="1"/>
  <c r="L49" i="1"/>
  <c r="C2353" i="3"/>
  <c r="M100" i="2"/>
  <c r="C2357" i="3"/>
  <c r="C1933" i="3"/>
  <c r="V86" i="2"/>
  <c r="C1963" i="3"/>
  <c r="V87" i="2"/>
  <c r="H48" i="8"/>
  <c r="E48" i="8"/>
  <c r="C1720" i="3"/>
  <c r="C3321" i="3"/>
  <c r="C3260" i="3"/>
  <c r="V139" i="2"/>
  <c r="C2655" i="3"/>
  <c r="V118" i="2"/>
  <c r="V93" i="2"/>
  <c r="J166" i="2"/>
  <c r="J4915" i="3"/>
  <c r="M142" i="2"/>
  <c r="C3325" i="3"/>
  <c r="M120" i="2"/>
  <c r="C2839" i="3"/>
  <c r="C3109" i="3"/>
  <c r="V134" i="2"/>
  <c r="C2083" i="3"/>
  <c r="V89" i="2"/>
  <c r="C3170" i="3"/>
  <c r="V136" i="2"/>
  <c r="J4260" i="3"/>
  <c r="C129" i="3"/>
  <c r="V15" i="2"/>
  <c r="C1599" i="3"/>
  <c r="V73" i="2"/>
  <c r="C4633" i="3"/>
  <c r="V192" i="2"/>
  <c r="J170" i="2"/>
  <c r="J168" i="2"/>
  <c r="J169" i="2"/>
  <c r="J163" i="2"/>
  <c r="J157" i="2"/>
  <c r="J158" i="2"/>
  <c r="J167" i="2"/>
  <c r="C76" i="1"/>
  <c r="C498" i="3"/>
  <c r="M30" i="2"/>
  <c r="C502" i="3"/>
  <c r="C3503" i="3"/>
  <c r="M152" i="2"/>
  <c r="C3507" i="3"/>
  <c r="C160" i="3"/>
  <c r="V16" i="2"/>
  <c r="C2744" i="3"/>
  <c r="V113" i="2"/>
  <c r="C678" i="3"/>
  <c r="V36" i="2"/>
  <c r="C189" i="3"/>
  <c r="V17" i="2"/>
  <c r="J985" i="3"/>
  <c r="C3079" i="3"/>
  <c r="C3533" i="3"/>
  <c r="V153" i="2"/>
  <c r="C11" i="3"/>
  <c r="V10" i="2"/>
  <c r="C802" i="3"/>
  <c r="M43" i="2"/>
  <c r="C806" i="3"/>
  <c r="C528" i="3"/>
  <c r="M31" i="2"/>
  <c r="C532" i="3"/>
  <c r="C4447" i="3"/>
  <c r="M186" i="2"/>
  <c r="C4451" i="3"/>
  <c r="C2263" i="3"/>
  <c r="M97" i="2"/>
  <c r="C2267" i="3"/>
  <c r="C1015" i="3"/>
  <c r="V52" i="2"/>
  <c r="J1046" i="3"/>
  <c r="C3564" i="3"/>
  <c r="V154" i="2"/>
  <c r="C1751" i="3"/>
  <c r="M78" i="2"/>
  <c r="C1755" i="3"/>
  <c r="J1201" i="3"/>
  <c r="J160" i="2"/>
  <c r="W39" i="2"/>
  <c r="C4883" i="3"/>
  <c r="V200" i="2"/>
  <c r="C4573" i="3"/>
  <c r="V190" i="2"/>
  <c r="C4978" i="3"/>
  <c r="V204" i="2"/>
  <c r="C4603" i="3"/>
  <c r="V191" i="2"/>
  <c r="J4542" i="3"/>
  <c r="M108" i="2"/>
  <c r="C3083" i="3"/>
  <c r="J618" i="3"/>
  <c r="C954" i="3"/>
  <c r="V47" i="2"/>
  <c r="C310" i="3"/>
  <c r="V23" i="2"/>
  <c r="C1259" i="3"/>
  <c r="M129" i="2"/>
  <c r="V129" i="2" s="1"/>
  <c r="J1474" i="3" s="1"/>
  <c r="C1478" i="3"/>
  <c r="C3624" i="3"/>
  <c r="M156" i="2"/>
  <c r="C3628" i="3"/>
  <c r="C2596" i="3"/>
  <c r="M117" i="2"/>
  <c r="C2600" i="3"/>
  <c r="C2866" i="3"/>
  <c r="V121" i="2"/>
  <c r="J18" i="2"/>
  <c r="I17" i="1"/>
  <c r="J17" i="1"/>
  <c r="K17" i="1"/>
  <c r="L17" i="1"/>
  <c r="C250" i="3"/>
  <c r="V19" i="2"/>
  <c r="C467" i="3"/>
  <c r="V24" i="2"/>
  <c r="C2685" i="3"/>
  <c r="M119" i="2"/>
  <c r="C2689" i="3"/>
  <c r="C3290" i="3"/>
  <c r="V140" i="2"/>
  <c r="C3200" i="3"/>
  <c r="V135" i="2"/>
  <c r="C3443" i="3"/>
  <c r="V148" i="2"/>
  <c r="C2715" i="3"/>
  <c r="V111" i="2"/>
  <c r="C2566" i="3"/>
  <c r="M116" i="2"/>
  <c r="C2570" i="3"/>
  <c r="C2413" i="3"/>
  <c r="V102" i="2"/>
  <c r="C4077" i="3"/>
  <c r="V173" i="2"/>
  <c r="C1781" i="3"/>
  <c r="M40" i="2"/>
  <c r="C1785" i="3"/>
  <c r="C4664" i="3"/>
  <c r="V193" i="2"/>
  <c r="M51" i="2"/>
  <c r="C1019" i="3"/>
  <c r="C1230" i="3"/>
  <c r="V59" i="2"/>
  <c r="C2053" i="3"/>
  <c r="V84" i="2"/>
  <c r="J4229" i="3"/>
  <c r="C279" i="3"/>
  <c r="V21" i="2"/>
  <c r="J832" i="3"/>
  <c r="C341" i="3"/>
  <c r="V20" i="2"/>
  <c r="C2804" i="3"/>
  <c r="V115" i="2"/>
  <c r="V207" i="2"/>
  <c r="J5069" i="3"/>
  <c r="V91" i="2"/>
  <c r="J2143" i="3"/>
  <c r="V181" i="2"/>
  <c r="J4385" i="3"/>
  <c r="V209" i="2"/>
  <c r="J5131" i="3"/>
  <c r="C5131" i="3"/>
  <c r="C5039" i="3"/>
  <c r="C5191" i="3"/>
  <c r="V155" i="2"/>
  <c r="J3594" i="3"/>
  <c r="C3594" i="3"/>
  <c r="V206" i="2"/>
  <c r="J5039" i="3"/>
  <c r="V184" i="2"/>
  <c r="J4417" i="3"/>
  <c r="V182" i="2"/>
  <c r="C4354" i="3"/>
  <c r="V180" i="2"/>
  <c r="J4291" i="3"/>
  <c r="V176" i="2"/>
  <c r="V208" i="2"/>
  <c r="J5099" i="3"/>
  <c r="M174" i="2"/>
  <c r="C4111" i="3"/>
  <c r="C4167" i="3"/>
  <c r="M205" i="2"/>
  <c r="C5012" i="3"/>
  <c r="AB42" i="5"/>
  <c r="C2143" i="3"/>
  <c r="C3746" i="3"/>
  <c r="AL215" i="2"/>
  <c r="I2541" i="3"/>
  <c r="V41" i="2"/>
  <c r="J1811" i="3"/>
  <c r="V33" i="2"/>
  <c r="J588" i="3"/>
  <c r="V32" i="2"/>
  <c r="J558" i="3"/>
  <c r="C3807" i="3"/>
  <c r="V175" i="2"/>
  <c r="J4137" i="3"/>
  <c r="J161" i="2"/>
  <c r="D154" i="4"/>
  <c r="V119" i="2"/>
  <c r="V120" i="2"/>
  <c r="V108" i="2"/>
  <c r="V117" i="2"/>
  <c r="J2596" i="3"/>
  <c r="V14" i="2"/>
  <c r="J98" i="3"/>
  <c r="V142" i="2"/>
  <c r="J3321" i="3"/>
  <c r="V51" i="2"/>
  <c r="J1015" i="3"/>
  <c r="V101" i="2"/>
  <c r="J2383" i="3"/>
  <c r="V97" i="2"/>
  <c r="J2263" i="3"/>
  <c r="V152" i="2"/>
  <c r="J3503" i="3"/>
  <c r="V156" i="2"/>
  <c r="J3624" i="3"/>
  <c r="V186" i="2"/>
  <c r="J4447" i="3"/>
  <c r="V43" i="2"/>
  <c r="J2744" i="3"/>
  <c r="J467" i="3"/>
  <c r="V31" i="2"/>
  <c r="J160" i="3"/>
  <c r="C3927" i="3"/>
  <c r="V167" i="2"/>
  <c r="J3807" i="3"/>
  <c r="C219" i="3"/>
  <c r="V18" i="2"/>
  <c r="J4633" i="3"/>
  <c r="J3260" i="3"/>
  <c r="J3200" i="3"/>
  <c r="J2203" i="3"/>
  <c r="J250" i="3"/>
  <c r="J189" i="3"/>
  <c r="J1230" i="3"/>
  <c r="J2896" i="3"/>
  <c r="J4883" i="3"/>
  <c r="J1933" i="3"/>
  <c r="J2443" i="3"/>
  <c r="J3290" i="3"/>
  <c r="V78" i="2"/>
  <c r="J3746" i="3"/>
  <c r="V157" i="2"/>
  <c r="C3654" i="3"/>
  <c r="J1599" i="3"/>
  <c r="J2083" i="3"/>
  <c r="C3898" i="3"/>
  <c r="V166" i="2"/>
  <c r="J2655" i="3"/>
  <c r="J2293" i="3"/>
  <c r="J2958" i="3"/>
  <c r="J2988" i="3"/>
  <c r="J3048" i="3"/>
  <c r="J373" i="3"/>
  <c r="J38" i="3"/>
  <c r="J740" i="3"/>
  <c r="J5161" i="3"/>
  <c r="J2804" i="3"/>
  <c r="J678" i="3"/>
  <c r="J3170" i="3"/>
  <c r="J57" i="2"/>
  <c r="G36" i="1"/>
  <c r="H36" i="1"/>
  <c r="I36" i="1"/>
  <c r="J36" i="1"/>
  <c r="K36" i="1"/>
  <c r="L36" i="1"/>
  <c r="J279" i="3"/>
  <c r="V40" i="2"/>
  <c r="J2173" i="3"/>
  <c r="J2626" i="3"/>
  <c r="J922" i="3"/>
  <c r="J4354" i="3"/>
  <c r="J4077" i="3"/>
  <c r="J2715" i="3"/>
  <c r="J310" i="3"/>
  <c r="J4603" i="3"/>
  <c r="V30" i="2"/>
  <c r="C3838" i="3"/>
  <c r="V163" i="2"/>
  <c r="J2774" i="3"/>
  <c r="J1660" i="3"/>
  <c r="C3868" i="3"/>
  <c r="J4573" i="3"/>
  <c r="J7" i="3"/>
  <c r="J954" i="3"/>
  <c r="C3716" i="3"/>
  <c r="V160" i="2"/>
  <c r="J3564" i="3"/>
  <c r="C3986" i="3"/>
  <c r="V169" i="2"/>
  <c r="J3109" i="3"/>
  <c r="C2023" i="3"/>
  <c r="V83" i="2"/>
  <c r="J3473" i="3"/>
  <c r="J3018" i="3"/>
  <c r="J2473" i="3"/>
  <c r="J3140" i="3"/>
  <c r="J5191" i="3"/>
  <c r="C4015" i="3"/>
  <c r="V170" i="2"/>
  <c r="J129" i="3"/>
  <c r="J1963" i="3"/>
  <c r="J4198" i="3"/>
  <c r="J3443" i="3"/>
  <c r="J892" i="3"/>
  <c r="V116" i="2"/>
  <c r="C3684" i="3"/>
  <c r="V158" i="2"/>
  <c r="J341" i="3"/>
  <c r="J2053" i="3"/>
  <c r="J4664" i="3"/>
  <c r="J2413" i="3"/>
  <c r="J2866" i="3"/>
  <c r="J4978" i="3"/>
  <c r="J3533" i="3"/>
  <c r="C3957" i="3"/>
  <c r="V168" i="2"/>
  <c r="I48" i="8"/>
  <c r="F48" i="8"/>
  <c r="J48" i="8"/>
  <c r="V100" i="2"/>
  <c r="C1873" i="3"/>
  <c r="V82" i="2"/>
  <c r="J1903" i="3"/>
  <c r="V205" i="2"/>
  <c r="J4322" i="3"/>
  <c r="J4167" i="3"/>
  <c r="V174" i="2"/>
  <c r="V161" i="2"/>
  <c r="J2835" i="3"/>
  <c r="C3777" i="3"/>
  <c r="L48" i="8"/>
  <c r="J3079" i="3"/>
  <c r="J2685" i="3"/>
  <c r="J802" i="3"/>
  <c r="J3684" i="3"/>
  <c r="J2566" i="3"/>
  <c r="J498" i="3"/>
  <c r="J1873" i="3"/>
  <c r="J3898" i="3"/>
  <c r="J1751" i="3"/>
  <c r="J219" i="3"/>
  <c r="J528" i="3"/>
  <c r="J4015" i="3"/>
  <c r="J3986" i="3"/>
  <c r="J3957" i="3"/>
  <c r="C1169" i="3"/>
  <c r="M57" i="2"/>
  <c r="C1173" i="3"/>
  <c r="J2023" i="3"/>
  <c r="J3654" i="3"/>
  <c r="J5008" i="3"/>
  <c r="J3716" i="3"/>
  <c r="J3838" i="3"/>
  <c r="J3868" i="3"/>
  <c r="J2353" i="3"/>
  <c r="J1781" i="3"/>
  <c r="J3927" i="3"/>
  <c r="J4107" i="3"/>
  <c r="J3777" i="3"/>
  <c r="V57" i="2"/>
  <c r="J1169" i="3"/>
  <c r="AU162" i="2"/>
  <c r="S145" i="2" l="1"/>
  <c r="C3424" i="3" s="1"/>
  <c r="P145" i="2"/>
  <c r="C1542" i="3"/>
  <c r="C1552" i="3" s="1"/>
  <c r="V74" i="2"/>
  <c r="J1538" i="3" s="1"/>
  <c r="J1539" i="3" s="1"/>
  <c r="V144" i="2"/>
  <c r="J3383" i="3" s="1"/>
  <c r="C1694" i="3"/>
  <c r="C1704" i="3" s="1"/>
  <c r="C1634" i="3"/>
  <c r="C1644" i="3" s="1"/>
  <c r="V68" i="2"/>
  <c r="J1630" i="3" s="1"/>
  <c r="V62" i="2"/>
  <c r="J1290" i="3" s="1"/>
  <c r="C1294" i="3"/>
  <c r="C1304" i="3" s="1"/>
  <c r="V72" i="2"/>
  <c r="J1568" i="3" s="1"/>
  <c r="AL60" i="2"/>
  <c r="AL212" i="2" s="1"/>
  <c r="V66" i="2"/>
  <c r="J1414" i="3" s="1"/>
  <c r="C1418" i="3"/>
  <c r="C1428" i="3" s="1"/>
  <c r="V61" i="2"/>
  <c r="J1259" i="3" s="1"/>
  <c r="C1263" i="3"/>
  <c r="C1273" i="3" s="1"/>
  <c r="X80" i="2"/>
  <c r="I1847" i="3" s="1"/>
  <c r="J1847" i="3" s="1"/>
  <c r="AT211" i="2"/>
  <c r="J2218" i="3"/>
  <c r="J3388" i="3"/>
  <c r="X74" i="2"/>
  <c r="I1543" i="3" s="1"/>
  <c r="J1543" i="3" s="1"/>
  <c r="J1573" i="3"/>
  <c r="J2190" i="3"/>
  <c r="J2188" i="3" s="1"/>
  <c r="J545" i="3"/>
  <c r="J543" i="3" s="1"/>
  <c r="J665" i="3"/>
  <c r="J663" i="3" s="1"/>
  <c r="J2613" i="3"/>
  <c r="J2611" i="3" s="1"/>
  <c r="J484" i="3"/>
  <c r="J482" i="3" s="1"/>
  <c r="J1756" i="3"/>
  <c r="AT111" i="2"/>
  <c r="AT62" i="2"/>
  <c r="J2911" i="3"/>
  <c r="AT87" i="2"/>
  <c r="AT176" i="2"/>
  <c r="J390" i="3"/>
  <c r="J388" i="3" s="1"/>
  <c r="J897" i="3"/>
  <c r="AT73" i="2"/>
  <c r="AT103" i="2"/>
  <c r="J1206" i="3"/>
  <c r="J2208" i="3"/>
  <c r="J4528" i="3"/>
  <c r="J4526" i="3" s="1"/>
  <c r="J4870" i="3"/>
  <c r="J4868" i="3" s="1"/>
  <c r="J4578" i="3"/>
  <c r="AT137" i="2"/>
  <c r="AT98" i="2"/>
  <c r="J2238" i="3"/>
  <c r="J410" i="3"/>
  <c r="AT90" i="2"/>
  <c r="J3974" i="3"/>
  <c r="J3972" i="3" s="1"/>
  <c r="J4125" i="3"/>
  <c r="J4123" i="3" s="1"/>
  <c r="J593" i="3"/>
  <c r="AT182" i="2"/>
  <c r="AT71" i="2"/>
  <c r="AT41" i="2"/>
  <c r="J2840" i="3"/>
  <c r="AT126" i="2"/>
  <c r="J1647" i="3"/>
  <c r="J1645" i="3" s="1"/>
  <c r="AT97" i="2"/>
  <c r="AT114" i="2"/>
  <c r="J4669" i="3"/>
  <c r="J4247" i="3"/>
  <c r="J4245" i="3" s="1"/>
  <c r="J1400" i="3"/>
  <c r="J1398" i="3" s="1"/>
  <c r="J4888" i="3"/>
  <c r="J2160" i="3"/>
  <c r="J2158" i="3" s="1"/>
  <c r="J3234" i="3"/>
  <c r="J3114" i="3"/>
  <c r="J3962" i="3"/>
  <c r="J2418" i="3"/>
  <c r="J1020" i="3"/>
  <c r="AT170" i="2"/>
  <c r="AT139" i="2"/>
  <c r="J819" i="3"/>
  <c r="J817" i="3" s="1"/>
  <c r="J4465" i="3"/>
  <c r="J4463" i="3" s="1"/>
  <c r="J2819" i="3"/>
  <c r="J990" i="3"/>
  <c r="J3448" i="3"/>
  <c r="J2148" i="3"/>
  <c r="J3538" i="3"/>
  <c r="C2307" i="3"/>
  <c r="J2509" i="3"/>
  <c r="AT23" i="2"/>
  <c r="J4327" i="3"/>
  <c r="J515" i="3"/>
  <c r="J513" i="3" s="1"/>
  <c r="AT150" i="2"/>
  <c r="J2521" i="3"/>
  <c r="J2519" i="3" s="1"/>
  <c r="J1908" i="3"/>
  <c r="J777" i="3"/>
  <c r="AT85" i="2"/>
  <c r="J2488" i="3"/>
  <c r="J1247" i="3"/>
  <c r="J1245" i="3" s="1"/>
  <c r="J4390" i="3"/>
  <c r="J3629" i="3"/>
  <c r="J2993" i="3"/>
  <c r="AN147" i="2"/>
  <c r="AT147" i="2" s="1"/>
  <c r="J4372" i="3"/>
  <c r="J4370" i="3" s="1"/>
  <c r="J4621" i="3"/>
  <c r="J4619" i="3" s="1"/>
  <c r="AT95" i="2"/>
  <c r="J2730" i="3"/>
  <c r="J1369" i="3"/>
  <c r="J1367" i="3" s="1"/>
  <c r="J2601" i="3"/>
  <c r="J1156" i="3"/>
  <c r="J1154" i="3" s="1"/>
  <c r="AT16" i="2"/>
  <c r="AT13" i="2"/>
  <c r="J2368" i="3"/>
  <c r="J3275" i="3"/>
  <c r="AT50" i="2"/>
  <c r="J2268" i="3"/>
  <c r="J2749" i="3"/>
  <c r="J3265" i="3"/>
  <c r="J472" i="3"/>
  <c r="J5074" i="3"/>
  <c r="AT69" i="2"/>
  <c r="J3721" i="3"/>
  <c r="J683" i="3"/>
  <c r="J224" i="3"/>
  <c r="J745" i="3"/>
  <c r="J2478" i="3"/>
  <c r="AT52" i="2"/>
  <c r="AT122" i="2"/>
  <c r="J115" i="3"/>
  <c r="J113" i="3" s="1"/>
  <c r="AT115" i="2"/>
  <c r="J1665" i="3"/>
  <c r="J4214" i="3"/>
  <c r="J4680" i="3"/>
  <c r="J4743" i="3"/>
  <c r="J4763" i="3"/>
  <c r="J4422" i="3"/>
  <c r="J4638" i="3"/>
  <c r="AW158" i="2"/>
  <c r="J4899" i="3"/>
  <c r="AT161" i="2"/>
  <c r="J2278" i="3"/>
  <c r="J4142" i="3"/>
  <c r="J2358" i="3"/>
  <c r="J3357" i="3"/>
  <c r="C3244" i="3"/>
  <c r="C4181" i="3"/>
  <c r="J1843" i="3"/>
  <c r="AT205" i="2"/>
  <c r="AT121" i="2"/>
  <c r="AT177" i="2"/>
  <c r="AT148" i="2"/>
  <c r="J2068" i="3"/>
  <c r="J2641" i="3"/>
  <c r="J3792" i="3"/>
  <c r="C264" i="3"/>
  <c r="C1917" i="3"/>
  <c r="J451" i="3"/>
  <c r="J4082" i="3"/>
  <c r="J4172" i="3"/>
  <c r="J4296" i="3"/>
  <c r="AT54" i="2"/>
  <c r="J53" i="3"/>
  <c r="C2247" i="3"/>
  <c r="C3214" i="3"/>
  <c r="J2933" i="3"/>
  <c r="J937" i="3"/>
  <c r="J1061" i="3"/>
  <c r="J2581" i="3"/>
  <c r="C450" i="3"/>
  <c r="J103" i="3"/>
  <c r="J2973" i="3"/>
  <c r="J4920" i="3"/>
  <c r="J3903" i="3"/>
  <c r="J4359" i="3"/>
  <c r="J1786" i="3"/>
  <c r="J1938" i="3"/>
  <c r="J5166" i="3"/>
  <c r="J2963" i="3"/>
  <c r="AT100" i="2"/>
  <c r="J3003" i="3"/>
  <c r="J4808" i="3"/>
  <c r="J4806" i="3" s="1"/>
  <c r="J1585" i="3"/>
  <c r="J1583" i="3" s="1"/>
  <c r="J325" i="3"/>
  <c r="J3369" i="3"/>
  <c r="J3367" i="3" s="1"/>
  <c r="J4338" i="3"/>
  <c r="J1978" i="3"/>
  <c r="J134" i="3"/>
  <c r="C3487" i="3"/>
  <c r="AT20" i="2"/>
  <c r="AT102" i="2"/>
  <c r="J693" i="3"/>
  <c r="J2881" i="3"/>
  <c r="C4431" i="3"/>
  <c r="J1604" i="3"/>
  <c r="J623" i="3"/>
  <c r="AT116" i="2"/>
  <c r="J1174" i="3"/>
  <c r="J2901" i="3"/>
  <c r="J3731" i="3"/>
  <c r="J5117" i="3"/>
  <c r="J5115" i="3" s="1"/>
  <c r="J3430" i="3"/>
  <c r="J3428" i="3" s="1"/>
  <c r="C5205" i="3"/>
  <c r="J2541" i="3"/>
  <c r="J2540" i="3"/>
  <c r="C1856" i="3"/>
  <c r="J356" i="3"/>
  <c r="J12" i="3"/>
  <c r="C355" i="3"/>
  <c r="AT51" i="2"/>
  <c r="AT46" i="2"/>
  <c r="J1635" i="3"/>
  <c r="J5136" i="3"/>
  <c r="J3508" i="3"/>
  <c r="J1725" i="3"/>
  <c r="J2448" i="3"/>
  <c r="C2910" i="3"/>
  <c r="AT179" i="2"/>
  <c r="AW156" i="2" s="1"/>
  <c r="AT112" i="2"/>
  <c r="J714" i="3"/>
  <c r="J206" i="3"/>
  <c r="J204" i="3" s="1"/>
  <c r="J927" i="3"/>
  <c r="J2058" i="3"/>
  <c r="J2690" i="3"/>
  <c r="C419" i="3"/>
  <c r="AT194" i="2"/>
  <c r="J4713" i="3"/>
  <c r="J4711" i="3" s="1"/>
  <c r="C3062" i="3"/>
  <c r="J3053" i="3"/>
  <c r="J4020" i="3"/>
  <c r="C3335" i="3"/>
  <c r="J1186" i="3"/>
  <c r="J1184" i="3" s="1"/>
  <c r="AT57" i="2"/>
  <c r="C999" i="3"/>
  <c r="C4305" i="3"/>
  <c r="C2367" i="3"/>
  <c r="C4091" i="3"/>
  <c r="AN12" i="2"/>
  <c r="J194" i="3"/>
  <c r="AN92" i="2"/>
  <c r="J1479" i="3"/>
  <c r="J5149" i="3"/>
  <c r="J5147" i="3" s="1"/>
  <c r="AT209" i="2"/>
  <c r="J4837" i="3"/>
  <c r="AT201" i="2"/>
  <c r="J4933" i="3"/>
  <c r="J4931" i="3" s="1"/>
  <c r="C3608" i="3"/>
  <c r="J2702" i="3"/>
  <c r="J2700" i="3" s="1"/>
  <c r="C233" i="3"/>
  <c r="AT18" i="2"/>
  <c r="J236" i="3"/>
  <c r="J234" i="3" s="1"/>
  <c r="AT157" i="2"/>
  <c r="J3671" i="3"/>
  <c r="J3669" i="3" s="1"/>
  <c r="J2088" i="3"/>
  <c r="C2097" i="3"/>
  <c r="J3843" i="3"/>
  <c r="J378" i="3"/>
  <c r="J379" i="3"/>
  <c r="J4095" i="3"/>
  <c r="J4093" i="3" s="1"/>
  <c r="AT173" i="2"/>
  <c r="J4608" i="3"/>
  <c r="AT11" i="2"/>
  <c r="AT9" i="2" s="1"/>
  <c r="AT94" i="2"/>
  <c r="AT101" i="2"/>
  <c r="J2400" i="3"/>
  <c r="J2398" i="3" s="1"/>
  <c r="C3668" i="3"/>
  <c r="J441" i="3"/>
  <c r="J4996" i="3"/>
  <c r="J4994" i="3" s="1"/>
  <c r="AT204" i="2"/>
  <c r="J5104" i="3"/>
  <c r="AT159" i="2"/>
  <c r="J3763" i="3"/>
  <c r="J3761" i="3" s="1"/>
  <c r="C1488" i="3"/>
  <c r="J3157" i="3"/>
  <c r="J3155" i="3" s="1"/>
  <c r="AT133" i="2"/>
  <c r="J1144" i="3"/>
  <c r="C2487" i="3"/>
  <c r="C2549" i="3"/>
  <c r="C2610" i="3"/>
  <c r="C2758" i="3"/>
  <c r="C4336" i="3"/>
  <c r="J3873" i="3"/>
  <c r="C3882" i="3"/>
  <c r="C324" i="3"/>
  <c r="C5175" i="3"/>
  <c r="C2818" i="3"/>
  <c r="J2945" i="3"/>
  <c r="J2943" i="3" s="1"/>
  <c r="C1795" i="3"/>
  <c r="J5087" i="3"/>
  <c r="J5085" i="3" s="1"/>
  <c r="AT160" i="2"/>
  <c r="J789" i="3"/>
  <c r="J787" i="3" s="1"/>
  <c r="C387" i="3"/>
  <c r="C4029" i="3"/>
  <c r="C4399" i="3"/>
  <c r="C4741" i="3"/>
  <c r="C143" i="3"/>
  <c r="C602" i="3"/>
  <c r="C1029" i="3"/>
  <c r="J1522" i="3"/>
  <c r="J1520" i="3" s="1"/>
  <c r="AT130" i="2"/>
  <c r="J757" i="3"/>
  <c r="J755" i="3" s="1"/>
  <c r="AT38" i="2"/>
  <c r="J4547" i="3"/>
  <c r="J2428" i="3"/>
  <c r="C4617" i="3"/>
  <c r="C2457" i="3"/>
  <c r="C2518" i="3"/>
  <c r="J4452" i="3"/>
  <c r="C1825" i="3"/>
  <c r="J4483" i="3"/>
  <c r="J2552" i="3"/>
  <c r="J2550" i="3" s="1"/>
  <c r="AT106" i="2"/>
  <c r="J1338" i="3"/>
  <c r="J1336" i="3" s="1"/>
  <c r="AT63" i="2"/>
  <c r="AT124" i="2"/>
  <c r="AN123" i="2"/>
  <c r="AT123" i="2" s="1"/>
  <c r="J3550" i="3"/>
  <c r="J3548" i="3" s="1"/>
  <c r="AT153" i="2"/>
  <c r="J3991" i="3"/>
  <c r="C4000" i="3"/>
  <c r="C1366" i="3"/>
  <c r="J255" i="3"/>
  <c r="J3458" i="3"/>
  <c r="AN9" i="2"/>
  <c r="J24" i="3"/>
  <c r="J22" i="3" s="1"/>
  <c r="J4003" i="3"/>
  <c r="J4001" i="3" s="1"/>
  <c r="J296" i="3"/>
  <c r="J294" i="3" s="1"/>
  <c r="C1674" i="3"/>
  <c r="C3002" i="3"/>
  <c r="C3154" i="3"/>
  <c r="C3274" i="3"/>
  <c r="C3547" i="3"/>
  <c r="AN27" i="2"/>
  <c r="AT27" i="2" s="1"/>
  <c r="AT181" i="2"/>
  <c r="J4403" i="3"/>
  <c r="J4401" i="3" s="1"/>
  <c r="J4776" i="3"/>
  <c r="J4774" i="3" s="1"/>
  <c r="J4983" i="3"/>
  <c r="J1705" i="3"/>
  <c r="J2028" i="3"/>
  <c r="C2699" i="3"/>
  <c r="C2669" i="3"/>
  <c r="AT89" i="2"/>
  <c r="J1798" i="3"/>
  <c r="J1796" i="3" s="1"/>
  <c r="C21" i="3"/>
  <c r="C1153" i="3"/>
  <c r="C2067" i="3"/>
  <c r="C2157" i="3"/>
  <c r="J3569" i="3"/>
  <c r="J4307" i="3"/>
  <c r="J4732" i="3"/>
  <c r="J2510" i="3"/>
  <c r="J4052" i="3"/>
  <c r="J1113" i="3"/>
  <c r="J563" i="3"/>
  <c r="J2328" i="3"/>
  <c r="J3782" i="3"/>
  <c r="J3599" i="3"/>
  <c r="C4647" i="3"/>
  <c r="J2388" i="3"/>
  <c r="J2850" i="3"/>
  <c r="J1295" i="3"/>
  <c r="AN128" i="2"/>
  <c r="AT128" i="2" s="1"/>
  <c r="C936" i="3"/>
  <c r="J1051" i="3"/>
  <c r="C2217" i="3"/>
  <c r="J1816" i="3"/>
  <c r="J3145" i="3"/>
  <c r="J3659" i="3"/>
  <c r="J3812" i="3"/>
  <c r="C3304" i="3"/>
  <c r="C1765" i="3"/>
  <c r="C2277" i="3"/>
  <c r="C2849" i="3"/>
  <c r="J5196" i="3"/>
  <c r="C1887" i="3"/>
  <c r="J165" i="3"/>
  <c r="J3175" i="3"/>
  <c r="C876" i="3"/>
  <c r="J2298" i="3"/>
  <c r="C3032" i="3"/>
  <c r="J5013" i="3"/>
  <c r="AT200" i="2"/>
  <c r="J3478" i="3"/>
  <c r="J4826" i="3"/>
  <c r="AJ98" i="4"/>
  <c r="W98" i="2" s="1"/>
  <c r="I2324" i="3" s="1"/>
  <c r="J2324" i="3" s="1"/>
  <c r="AB98" i="2"/>
  <c r="I2325" i="3" s="1"/>
  <c r="J2325" i="3" s="1"/>
  <c r="J4952" i="3"/>
  <c r="J3824" i="3"/>
  <c r="J3822" i="3" s="1"/>
  <c r="AT162" i="2"/>
  <c r="J849" i="3"/>
  <c r="J847" i="3" s="1"/>
  <c r="AN42" i="2"/>
  <c r="AT42" i="2" s="1"/>
  <c r="AT44" i="2"/>
  <c r="AT34" i="2"/>
  <c r="J635" i="3"/>
  <c r="J633" i="3" s="1"/>
  <c r="AN125" i="2"/>
  <c r="AT125" i="2" s="1"/>
  <c r="J3035" i="3"/>
  <c r="J3033" i="3" s="1"/>
  <c r="C1244" i="3"/>
  <c r="J1235" i="3"/>
  <c r="AT195" i="2"/>
  <c r="C52" i="3"/>
  <c r="J43" i="3"/>
  <c r="AT180" i="2"/>
  <c r="J1082" i="3"/>
  <c r="C1091" i="3"/>
  <c r="C2007" i="3"/>
  <c r="J1998" i="3"/>
  <c r="J4591" i="3"/>
  <c r="J4589" i="3" s="1"/>
  <c r="AT190" i="2"/>
  <c r="BT130" i="4"/>
  <c r="AA137" i="2" s="1"/>
  <c r="I3233" i="3" s="1"/>
  <c r="J3233" i="3" s="1"/>
  <c r="C3517" i="3"/>
  <c r="AK94" i="4"/>
  <c r="AT193" i="2"/>
  <c r="J3944" i="3"/>
  <c r="J3942" i="3" s="1"/>
  <c r="AT167" i="2"/>
  <c r="AK10" i="4"/>
  <c r="AJ10" i="4" s="1"/>
  <c r="W11" i="2" s="1"/>
  <c r="J4265" i="3"/>
  <c r="C4274" i="3"/>
  <c r="C2729" i="3"/>
  <c r="C3093" i="3"/>
  <c r="J3084" i="3"/>
  <c r="J3581" i="3"/>
  <c r="J3579" i="3" s="1"/>
  <c r="AT154" i="2"/>
  <c r="C1183" i="3"/>
  <c r="J3295" i="3"/>
  <c r="J3338" i="3"/>
  <c r="J3336" i="3" s="1"/>
  <c r="AK34" i="4"/>
  <c r="AB37" i="2" s="1"/>
  <c r="I711" i="3" s="1"/>
  <c r="J711" i="3" s="1"/>
  <c r="C816" i="3"/>
  <c r="J807" i="3"/>
  <c r="AK96" i="4"/>
  <c r="AB100" i="2" s="1"/>
  <c r="I2355" i="3" s="1"/>
  <c r="J2355" i="3" s="1"/>
  <c r="C3698" i="3"/>
  <c r="J3023" i="3"/>
  <c r="C1734" i="3"/>
  <c r="C203" i="3"/>
  <c r="C4492" i="3"/>
  <c r="J3490" i="3"/>
  <c r="J3488" i="3" s="1"/>
  <c r="C3912" i="3"/>
  <c r="C174" i="3"/>
  <c r="J2660" i="3"/>
  <c r="J3326" i="3"/>
  <c r="J2809" i="3"/>
  <c r="C293" i="3"/>
  <c r="J284" i="3"/>
  <c r="C1613" i="3"/>
  <c r="AT120" i="2"/>
  <c r="AN141" i="2"/>
  <c r="J3520" i="3"/>
  <c r="J3518" i="3" s="1"/>
  <c r="J3235" i="3"/>
  <c r="J1000" i="3"/>
  <c r="C481" i="3"/>
  <c r="C3821" i="3"/>
  <c r="C4709" i="3"/>
  <c r="J4857" i="3"/>
  <c r="J4651" i="3"/>
  <c r="J4649" i="3" s="1"/>
  <c r="AT192" i="2"/>
  <c r="AK190" i="4"/>
  <c r="AB197" i="2" s="1"/>
  <c r="I4854" i="3" s="1"/>
  <c r="J4854" i="3" s="1"/>
  <c r="AK60" i="4"/>
  <c r="AK73" i="4"/>
  <c r="AJ73" i="4" s="1"/>
  <c r="AK9" i="4"/>
  <c r="AK176" i="4"/>
  <c r="AM176" i="4" s="1"/>
  <c r="Y183" i="2" s="1"/>
  <c r="I4360" i="3" s="1"/>
  <c r="J4360" i="3" s="1"/>
  <c r="BU172" i="4"/>
  <c r="BT172" i="4" s="1"/>
  <c r="AA179" i="2" s="1"/>
  <c r="I4263" i="3" s="1"/>
  <c r="J4263" i="3" s="1"/>
  <c r="J1449" i="3"/>
  <c r="J2118" i="3"/>
  <c r="J4063" i="3"/>
  <c r="J4061" i="3" s="1"/>
  <c r="AT171" i="2"/>
  <c r="J4155" i="3"/>
  <c r="J4153" i="3" s="1"/>
  <c r="J1276" i="3"/>
  <c r="J1274" i="3" s="1"/>
  <c r="C83" i="3"/>
  <c r="J74" i="3"/>
  <c r="C2337" i="3"/>
  <c r="C4556" i="3"/>
  <c r="C968" i="3"/>
  <c r="AT166" i="2"/>
  <c r="AT19" i="2"/>
  <c r="J267" i="3"/>
  <c r="J265" i="3" s="1"/>
  <c r="C3852" i="3"/>
  <c r="C3971" i="3"/>
  <c r="J346" i="3"/>
  <c r="J3689" i="3"/>
  <c r="C2397" i="3"/>
  <c r="C2972" i="3"/>
  <c r="C1947" i="3"/>
  <c r="C3184" i="3"/>
  <c r="J867" i="3"/>
  <c r="C632" i="3"/>
  <c r="C1977" i="3"/>
  <c r="J1968" i="3"/>
  <c r="C4212" i="3"/>
  <c r="J4203" i="3"/>
  <c r="AN151" i="2"/>
  <c r="J575" i="3"/>
  <c r="J573" i="3" s="1"/>
  <c r="C1215" i="3"/>
  <c r="C2640" i="3"/>
  <c r="J2631" i="3"/>
  <c r="C112" i="3"/>
  <c r="AT82" i="2"/>
  <c r="J1890" i="3"/>
  <c r="J1888" i="3" s="1"/>
  <c r="AT86" i="2"/>
  <c r="J1950" i="3"/>
  <c r="J1948" i="3" s="1"/>
  <c r="J3855" i="3"/>
  <c r="J3853" i="3" s="1"/>
  <c r="AT163" i="2"/>
  <c r="J4496" i="3"/>
  <c r="J4494" i="3" s="1"/>
  <c r="AT187" i="2"/>
  <c r="C2788" i="3"/>
  <c r="J2779" i="3"/>
  <c r="J1768" i="3"/>
  <c r="J1766" i="3" s="1"/>
  <c r="AT78" i="2"/>
  <c r="C4243" i="3"/>
  <c r="J4234" i="3"/>
  <c r="C3397" i="3"/>
  <c r="C4524" i="3"/>
  <c r="J4515" i="3"/>
  <c r="J2720" i="3"/>
  <c r="J1357" i="3"/>
  <c r="C3638" i="3"/>
  <c r="J533" i="3"/>
  <c r="C542" i="3"/>
  <c r="C1582" i="3"/>
  <c r="J2460" i="3"/>
  <c r="J2458" i="3" s="1"/>
  <c r="J4795" i="3"/>
  <c r="AN77" i="2"/>
  <c r="AT77" i="2" s="1"/>
  <c r="J4560" i="3"/>
  <c r="J4558" i="3" s="1"/>
  <c r="AT189" i="2"/>
  <c r="AN203" i="2"/>
  <c r="AT203" i="2" s="1"/>
  <c r="J5057" i="3"/>
  <c r="J5055" i="3" s="1"/>
  <c r="J1859" i="3"/>
  <c r="J1857" i="3" s="1"/>
  <c r="J2248" i="3"/>
  <c r="J4276" i="3"/>
  <c r="J4700" i="3"/>
  <c r="C692" i="3"/>
  <c r="C723" i="3"/>
  <c r="C754" i="3"/>
  <c r="C786" i="3"/>
  <c r="C906" i="3"/>
  <c r="C4866" i="3"/>
  <c r="C4897" i="3"/>
  <c r="C5083" i="3"/>
  <c r="C5113" i="3"/>
  <c r="C4151" i="3"/>
  <c r="J1826" i="3"/>
  <c r="J2098" i="3"/>
  <c r="J5177" i="3"/>
  <c r="C4772" i="3"/>
  <c r="C4804" i="3"/>
  <c r="J84" i="3"/>
  <c r="J2128" i="3"/>
  <c r="J1695" i="3"/>
  <c r="C4461" i="3"/>
  <c r="C3123" i="3"/>
  <c r="C572" i="3"/>
  <c r="J5024" i="3"/>
  <c r="J1030" i="3"/>
  <c r="J3245" i="3"/>
  <c r="J1305" i="3"/>
  <c r="J1918" i="3"/>
  <c r="J3913" i="3"/>
  <c r="J4183" i="3"/>
  <c r="C5022" i="3"/>
  <c r="C3578" i="3"/>
  <c r="J2789" i="3"/>
  <c r="J4051" i="3"/>
  <c r="C1397" i="3"/>
  <c r="C5053" i="3"/>
  <c r="J5044" i="3"/>
  <c r="Z28" i="2"/>
  <c r="I440" i="3" s="1"/>
  <c r="J440" i="3" s="1"/>
  <c r="BT58" i="4"/>
  <c r="AA28" i="2" s="1"/>
  <c r="I439" i="3" s="1"/>
  <c r="J439" i="3" s="1"/>
  <c r="J1878" i="3"/>
  <c r="C3941" i="3"/>
  <c r="J3932" i="3"/>
  <c r="C4368" i="3"/>
  <c r="BT24" i="4"/>
  <c r="AA26" i="2" s="1"/>
  <c r="I408" i="3" s="1"/>
  <c r="J408" i="3" s="1"/>
  <c r="Z26" i="2"/>
  <c r="I409" i="3" s="1"/>
  <c r="J409" i="3" s="1"/>
  <c r="C3730" i="3"/>
  <c r="J503" i="3"/>
  <c r="C3791" i="3"/>
  <c r="J1264" i="3"/>
  <c r="J959" i="3"/>
  <c r="C4992" i="3"/>
  <c r="I773" i="3"/>
  <c r="J773" i="3" s="1"/>
  <c r="C3760" i="3"/>
  <c r="J3751" i="3"/>
  <c r="J2571" i="3"/>
  <c r="C2580" i="3"/>
  <c r="C2037" i="3"/>
  <c r="C512" i="3"/>
  <c r="J315" i="3"/>
  <c r="C4587" i="3"/>
  <c r="J3205" i="3"/>
  <c r="J2871" i="3"/>
  <c r="C2880" i="3"/>
  <c r="J4112" i="3"/>
  <c r="C4121" i="3"/>
  <c r="J837" i="3"/>
  <c r="C846" i="3"/>
  <c r="C3457" i="3"/>
  <c r="BT47" i="4"/>
  <c r="AA50" i="2" s="1"/>
  <c r="I988" i="3" s="1"/>
  <c r="J988" i="3" s="1"/>
  <c r="Z50" i="2"/>
  <c r="I989" i="3" s="1"/>
  <c r="J989" i="3" s="1"/>
  <c r="J2672" i="3"/>
  <c r="J2670" i="3" s="1"/>
  <c r="AT118" i="2"/>
  <c r="BU66" i="4"/>
  <c r="BU45" i="4"/>
  <c r="BU65" i="4"/>
  <c r="BU28" i="4"/>
  <c r="BU148" i="4"/>
  <c r="BU195" i="4"/>
  <c r="BU18" i="4"/>
  <c r="BU83" i="4"/>
  <c r="BU92" i="4"/>
  <c r="BU17" i="4"/>
  <c r="BU100" i="4"/>
  <c r="BU181" i="4"/>
  <c r="BU197" i="4"/>
  <c r="BU120" i="4"/>
  <c r="BU128" i="4"/>
  <c r="BU37" i="4"/>
  <c r="BU174" i="4"/>
  <c r="BU112" i="4"/>
  <c r="BU175" i="4"/>
  <c r="BU73" i="4"/>
  <c r="BU30" i="4"/>
  <c r="BU38" i="4"/>
  <c r="BU132" i="4"/>
  <c r="BU20" i="4"/>
  <c r="BU108" i="4"/>
  <c r="BU49" i="4"/>
  <c r="BU32" i="4"/>
  <c r="BU152" i="4"/>
  <c r="BU103" i="4"/>
  <c r="BU143" i="4"/>
  <c r="BU31" i="4"/>
  <c r="BU124" i="4"/>
  <c r="BU163" i="4"/>
  <c r="BU180" i="4"/>
  <c r="BU119" i="4"/>
  <c r="BU113" i="4"/>
  <c r="BU135" i="4"/>
  <c r="BU54" i="4"/>
  <c r="BU157" i="4"/>
  <c r="BU86" i="4"/>
  <c r="BU153" i="4"/>
  <c r="BU43" i="4"/>
  <c r="BU27" i="4"/>
  <c r="BU68" i="4"/>
  <c r="BU78" i="4"/>
  <c r="BU201" i="4"/>
  <c r="BU71" i="4"/>
  <c r="BU147" i="4"/>
  <c r="BU87" i="4"/>
  <c r="BU82" i="4"/>
  <c r="BU80" i="4"/>
  <c r="BU50" i="4"/>
  <c r="BU98" i="4"/>
  <c r="BU194" i="4"/>
  <c r="BU122" i="4"/>
  <c r="BU191" i="4"/>
  <c r="BU99" i="4"/>
  <c r="BU167" i="4"/>
  <c r="BU53" i="4"/>
  <c r="BU96" i="4"/>
  <c r="BU29" i="4"/>
  <c r="BU22" i="4"/>
  <c r="BU35" i="4"/>
  <c r="BU107" i="4"/>
  <c r="BU185" i="4"/>
  <c r="BU141" i="4"/>
  <c r="BU62" i="4"/>
  <c r="BU40" i="4"/>
  <c r="BU189" i="4"/>
  <c r="BU187" i="4"/>
  <c r="BU179" i="4"/>
  <c r="BU166" i="4"/>
  <c r="BU60" i="4"/>
  <c r="BU151" i="4"/>
  <c r="BU200" i="4"/>
  <c r="BU72" i="4"/>
  <c r="BU13" i="4"/>
  <c r="BU193" i="4"/>
  <c r="BU10" i="4"/>
  <c r="BU36" i="4"/>
  <c r="BU91" i="4"/>
  <c r="BU101" i="4"/>
  <c r="BU61" i="4"/>
  <c r="BU188" i="4"/>
  <c r="BU171" i="4"/>
  <c r="BU170" i="4"/>
  <c r="BU156" i="4"/>
  <c r="BU44" i="4"/>
  <c r="BU118" i="4"/>
  <c r="BU192" i="4"/>
  <c r="BU183" i="4"/>
  <c r="BU204" i="4"/>
  <c r="BU177" i="4"/>
  <c r="BU190" i="4"/>
  <c r="BU19" i="4"/>
  <c r="BU159" i="4"/>
  <c r="BU84" i="4"/>
  <c r="BU94" i="4"/>
  <c r="BU127" i="4"/>
  <c r="BU102" i="4"/>
  <c r="BU115" i="4"/>
  <c r="BU121" i="4"/>
  <c r="BU34" i="4"/>
  <c r="BU76" i="4"/>
  <c r="BU95" i="4"/>
  <c r="BU12" i="4"/>
  <c r="BU110" i="4"/>
  <c r="BU64" i="4"/>
  <c r="BU14" i="4"/>
  <c r="BU146" i="4"/>
  <c r="BU161" i="4"/>
  <c r="BU125" i="4"/>
  <c r="BU114" i="4"/>
  <c r="BU85" i="4"/>
  <c r="BU70" i="4"/>
  <c r="BU184" i="4"/>
  <c r="BU160" i="4"/>
  <c r="BU41" i="4"/>
  <c r="BU162" i="4"/>
  <c r="BU150" i="4"/>
  <c r="BU104" i="4"/>
  <c r="BU67" i="4"/>
  <c r="BU55" i="4"/>
  <c r="BU81" i="4"/>
  <c r="BU51" i="4"/>
  <c r="BU182" i="4"/>
  <c r="BU137" i="4"/>
  <c r="BU133" i="4"/>
  <c r="BU33" i="4"/>
  <c r="BU25" i="4"/>
  <c r="BU21" i="4"/>
  <c r="BU138" i="4"/>
  <c r="BU63" i="4"/>
  <c r="BU169" i="4"/>
  <c r="BU129" i="4"/>
  <c r="BU89" i="4"/>
  <c r="BU168" i="4"/>
  <c r="BU202" i="4"/>
  <c r="BU164" i="4"/>
  <c r="BU15" i="4"/>
  <c r="BU155" i="4"/>
  <c r="BU105" i="4"/>
  <c r="BU199" i="4"/>
  <c r="BU111" i="4"/>
  <c r="BU106" i="4"/>
  <c r="BU9" i="4"/>
  <c r="BU145" i="4"/>
  <c r="BU97" i="4"/>
  <c r="BU48" i="4"/>
  <c r="BU186" i="4"/>
  <c r="BU126" i="4"/>
  <c r="BU109" i="4"/>
  <c r="BU79" i="4"/>
  <c r="BU136" i="4"/>
  <c r="BU116" i="4"/>
  <c r="BU56" i="4"/>
  <c r="BU90" i="4"/>
  <c r="BU173" i="4"/>
  <c r="BU176" i="4"/>
  <c r="BU16" i="4"/>
  <c r="BU154" i="4"/>
  <c r="BU203" i="4"/>
  <c r="BU42" i="4"/>
  <c r="BU198" i="4"/>
  <c r="BU149" i="4"/>
  <c r="C5145" i="3"/>
  <c r="C4678" i="3"/>
  <c r="C2427" i="3"/>
  <c r="J726" i="3"/>
  <c r="J724" i="3" s="1"/>
  <c r="AT37" i="2"/>
  <c r="AT47" i="2"/>
  <c r="J971" i="3"/>
  <c r="J969" i="3" s="1"/>
  <c r="J1218" i="3"/>
  <c r="J1216" i="3" s="1"/>
  <c r="AT58" i="2"/>
  <c r="AN55" i="2"/>
  <c r="AM98" i="4"/>
  <c r="Y98" i="2" s="1"/>
  <c r="I2329" i="3" s="1"/>
  <c r="J2329" i="3" s="1"/>
  <c r="AT184" i="2"/>
  <c r="J4435" i="3"/>
  <c r="J4433" i="3" s="1"/>
  <c r="AN172" i="2"/>
  <c r="AN60" i="2"/>
  <c r="AT60" i="2" s="1"/>
  <c r="AT66" i="2"/>
  <c r="J1431" i="3"/>
  <c r="J1429" i="3" s="1"/>
  <c r="AK125" i="4"/>
  <c r="AK133" i="4"/>
  <c r="AK129" i="4"/>
  <c r="AK86" i="4"/>
  <c r="AK76" i="4"/>
  <c r="AK110" i="4"/>
  <c r="AK42" i="4"/>
  <c r="AK112" i="4"/>
  <c r="AK50" i="4"/>
  <c r="AK180" i="4"/>
  <c r="AK174" i="4"/>
  <c r="AK177" i="4"/>
  <c r="AK13" i="4"/>
  <c r="AK111" i="4"/>
  <c r="AK132" i="4"/>
  <c r="AK95" i="4"/>
  <c r="AK187" i="4"/>
  <c r="AK85" i="4"/>
  <c r="AK78" i="4"/>
  <c r="AK80" i="4"/>
  <c r="AK137" i="4"/>
  <c r="AK135" i="4"/>
  <c r="AK175" i="4"/>
  <c r="AK22" i="4"/>
  <c r="AK12" i="4"/>
  <c r="AT67" i="2"/>
  <c r="J1461" i="3"/>
  <c r="J1459" i="3" s="1"/>
  <c r="C4929" i="3"/>
  <c r="J3217" i="3"/>
  <c r="J3215" i="3" s="1"/>
  <c r="AT135" i="2"/>
  <c r="AK51" i="4"/>
  <c r="AK21" i="4"/>
  <c r="AN29" i="2"/>
  <c r="AT29" i="2" s="1"/>
  <c r="J3641" i="3"/>
  <c r="J3639" i="3" s="1"/>
  <c r="AT156" i="2"/>
  <c r="J1094" i="3"/>
  <c r="J1092" i="3" s="1"/>
  <c r="AN49" i="2"/>
  <c r="AT49" i="2" s="1"/>
  <c r="AT36" i="2"/>
  <c r="C4835" i="3"/>
  <c r="J909" i="3"/>
  <c r="J907" i="3" s="1"/>
  <c r="AT45" i="2"/>
  <c r="C1519" i="3"/>
  <c r="J1511" i="3"/>
  <c r="J1510" i="3"/>
  <c r="J146" i="3"/>
  <c r="J144" i="3" s="1"/>
  <c r="AT15" i="2"/>
  <c r="J2761" i="3"/>
  <c r="J2759" i="3" s="1"/>
  <c r="AN109" i="2"/>
  <c r="AT109" i="2" s="1"/>
  <c r="AT164" i="2"/>
  <c r="J3885" i="3"/>
  <c r="J3883" i="3" s="1"/>
  <c r="AN96" i="2"/>
  <c r="AT96" i="2" s="1"/>
  <c r="J2310" i="3"/>
  <c r="J2308" i="3" s="1"/>
  <c r="C1335" i="3"/>
  <c r="J1326" i="3"/>
  <c r="J1614" i="3"/>
  <c r="J1553" i="3"/>
  <c r="J4965" i="3"/>
  <c r="J4963" i="3" s="1"/>
  <c r="AT202" i="2"/>
  <c r="C3366" i="3"/>
  <c r="C4961" i="3"/>
  <c r="AK181" i="4"/>
  <c r="AK153" i="4"/>
  <c r="AK102" i="4"/>
  <c r="AK65" i="4"/>
  <c r="AK38" i="4"/>
  <c r="AK184" i="4"/>
  <c r="AK156" i="4"/>
  <c r="AK113" i="4"/>
  <c r="AK45" i="4"/>
  <c r="AK16" i="4"/>
  <c r="AK191" i="4"/>
  <c r="AK164" i="4"/>
  <c r="AK101" i="4"/>
  <c r="AK63" i="4"/>
  <c r="AK186" i="4"/>
  <c r="AK159" i="4"/>
  <c r="AK18" i="4"/>
  <c r="AK37" i="4"/>
  <c r="AK69" i="4"/>
  <c r="AK64" i="4"/>
  <c r="AK185" i="4"/>
  <c r="AK157" i="4"/>
  <c r="AK106" i="4"/>
  <c r="AK72" i="4"/>
  <c r="AK204" i="4"/>
  <c r="AK188" i="4"/>
  <c r="AK161" i="4"/>
  <c r="AK90" i="4"/>
  <c r="AK30" i="4"/>
  <c r="AK32" i="4"/>
  <c r="AK158" i="4"/>
  <c r="AK189" i="4"/>
  <c r="AK119" i="4"/>
  <c r="AK84" i="4"/>
  <c r="AK136" i="4"/>
  <c r="AK171" i="4"/>
  <c r="AK105" i="4"/>
  <c r="AK35" i="4"/>
  <c r="AK120" i="4"/>
  <c r="AK147" i="4"/>
  <c r="AK121" i="4"/>
  <c r="AK82" i="4"/>
  <c r="AK200" i="4"/>
  <c r="AK163" i="4"/>
  <c r="AK115" i="4"/>
  <c r="AK44" i="4"/>
  <c r="AK138" i="4"/>
  <c r="AK168" i="4"/>
  <c r="AK97" i="4"/>
  <c r="AK56" i="4"/>
  <c r="AK103" i="4"/>
  <c r="AK148" i="4"/>
  <c r="AK68" i="4"/>
  <c r="AK17" i="4"/>
  <c r="AK197" i="4"/>
  <c r="AK155" i="4"/>
  <c r="AK99" i="4"/>
  <c r="AK67" i="4"/>
  <c r="AK194" i="4"/>
  <c r="AK92" i="4"/>
  <c r="AK66" i="4"/>
  <c r="AK33" i="4"/>
  <c r="AK83" i="4"/>
  <c r="AK172" i="4"/>
  <c r="AK100" i="4"/>
  <c r="AK43" i="4"/>
  <c r="AK198" i="4"/>
  <c r="AK152" i="4"/>
  <c r="AK71" i="4"/>
  <c r="AK20" i="4"/>
  <c r="AK183" i="4"/>
  <c r="AK160" i="4"/>
  <c r="AK104" i="4"/>
  <c r="AK54" i="4"/>
  <c r="AK169" i="4"/>
  <c r="AK87" i="4"/>
  <c r="AK70" i="4"/>
  <c r="AK193" i="4"/>
  <c r="AK91" i="4"/>
  <c r="AK202" i="4"/>
  <c r="AK122" i="4"/>
  <c r="AK25" i="4"/>
  <c r="AK151" i="4"/>
  <c r="AK116" i="4"/>
  <c r="AK173" i="4"/>
  <c r="AK107" i="4"/>
  <c r="AK166" i="4"/>
  <c r="AK40" i="4"/>
  <c r="AK146" i="4"/>
  <c r="AK58" i="4"/>
  <c r="AK149" i="4"/>
  <c r="AK62" i="4"/>
  <c r="AK192" i="4"/>
  <c r="AK55" i="4"/>
  <c r="AK182" i="4"/>
  <c r="AK127" i="4"/>
  <c r="AK61" i="4"/>
  <c r="AK150" i="4"/>
  <c r="AK41" i="4"/>
  <c r="AK124" i="4"/>
  <c r="AK27" i="4"/>
  <c r="AK162" i="4"/>
  <c r="AK31" i="4"/>
  <c r="AK167" i="4"/>
  <c r="AK49" i="4"/>
  <c r="AK201" i="4"/>
  <c r="AK128" i="4"/>
  <c r="AK48" i="4"/>
  <c r="AK154" i="4"/>
  <c r="AK28" i="4"/>
  <c r="AK47" i="4"/>
  <c r="AK24" i="4"/>
  <c r="AK114" i="4"/>
  <c r="AK145" i="4"/>
  <c r="AK19" i="4"/>
  <c r="AK108" i="4"/>
  <c r="AK126" i="4"/>
  <c r="AK141" i="4"/>
  <c r="AK53" i="4"/>
  <c r="AK89" i="4"/>
  <c r="AK199" i="4"/>
  <c r="AK36" i="4"/>
  <c r="AK130" i="4"/>
  <c r="AK195" i="4"/>
  <c r="AK79" i="4"/>
  <c r="AK81" i="4"/>
  <c r="AK179" i="4"/>
  <c r="AK118" i="4"/>
  <c r="AK203" i="4"/>
  <c r="AK14" i="4"/>
  <c r="AK109" i="4"/>
  <c r="AK170" i="4"/>
  <c r="AK29" i="4"/>
  <c r="AK15" i="4"/>
  <c r="AK143" i="4"/>
  <c r="J605" i="3"/>
  <c r="J603" i="3" s="1"/>
  <c r="AT33" i="2"/>
  <c r="J653" i="3"/>
  <c r="C662" i="3"/>
  <c r="J3701" i="3"/>
  <c r="J3699" i="3" s="1"/>
  <c r="AT158" i="2"/>
  <c r="J2040" i="3"/>
  <c r="J2038" i="3" s="1"/>
  <c r="AN79" i="2"/>
  <c r="AT79" i="2" s="1"/>
  <c r="AT83" i="2"/>
  <c r="J1491" i="3"/>
  <c r="J1489" i="3" s="1"/>
  <c r="AT129" i="2"/>
  <c r="J4030" i="3"/>
  <c r="J3126" i="3"/>
  <c r="J3124" i="3" s="1"/>
  <c r="AT134" i="2"/>
  <c r="J3187" i="3"/>
  <c r="J3185" i="3" s="1"/>
  <c r="AT136" i="2"/>
  <c r="AT155" i="2"/>
  <c r="J3611" i="3"/>
  <c r="J3609" i="3" s="1"/>
  <c r="AT144" i="2"/>
  <c r="AT141" i="2" s="1"/>
  <c r="J3400" i="3"/>
  <c r="J3398" i="3" s="1"/>
  <c r="J1675" i="3"/>
  <c r="J1735" i="3"/>
  <c r="AN185" i="2"/>
  <c r="AT185" i="2" s="1"/>
  <c r="AW157" i="2" s="1"/>
  <c r="AT199" i="2"/>
  <c r="AW159" i="2" s="1"/>
  <c r="C4060" i="3"/>
  <c r="J422" i="3"/>
  <c r="J420" i="3" s="1"/>
  <c r="AN25" i="2"/>
  <c r="J3096" i="3"/>
  <c r="J3094" i="3" s="1"/>
  <c r="AT108" i="2"/>
  <c r="AN138" i="2"/>
  <c r="AT138" i="2" s="1"/>
  <c r="AT140" i="2"/>
  <c r="C2127" i="3"/>
  <c r="C1060" i="3"/>
  <c r="J3065" i="3"/>
  <c r="J3063" i="3" s="1"/>
  <c r="AT132" i="2"/>
  <c r="AN131" i="2"/>
  <c r="AT131" i="2" s="1"/>
  <c r="J2338" i="3"/>
  <c r="C2942" i="3"/>
  <c r="J175" i="3"/>
  <c r="J5209" i="3"/>
  <c r="J5207" i="3" s="1"/>
  <c r="AT210" i="2"/>
  <c r="J3305" i="3"/>
  <c r="J3418" i="3"/>
  <c r="J1123" i="3"/>
  <c r="C1122" i="3"/>
  <c r="AT88" i="2"/>
  <c r="J2010" i="3"/>
  <c r="J2008" i="3" s="1"/>
  <c r="AT70" i="2"/>
  <c r="AT48" i="2"/>
  <c r="J879" i="3"/>
  <c r="J877" i="3" s="1"/>
  <c r="BU158" i="4"/>
  <c r="J1419" i="3"/>
  <c r="C1458" i="3"/>
  <c r="J1388" i="3"/>
  <c r="BU69" i="4"/>
  <c r="V145" i="2" l="1"/>
  <c r="J3413" i="3" s="1"/>
  <c r="C3421" i="3"/>
  <c r="C3427" i="3" s="1"/>
  <c r="AB11" i="2"/>
  <c r="I40" i="3" s="1"/>
  <c r="J40" i="3" s="1"/>
  <c r="AM10" i="4"/>
  <c r="Y11" i="2" s="1"/>
  <c r="I44" i="3" s="1"/>
  <c r="J44" i="3" s="1"/>
  <c r="AJ176" i="4"/>
  <c r="W183" i="2" s="1"/>
  <c r="I4355" i="3" s="1"/>
  <c r="J4355" i="3" s="1"/>
  <c r="AJ96" i="4"/>
  <c r="W100" i="2" s="1"/>
  <c r="I2354" i="3" s="1"/>
  <c r="J2354" i="3" s="1"/>
  <c r="AB183" i="2"/>
  <c r="I4356" i="3" s="1"/>
  <c r="J4356" i="3" s="1"/>
  <c r="AJ190" i="4"/>
  <c r="W197" i="2" s="1"/>
  <c r="I4853" i="3" s="1"/>
  <c r="J4853" i="3" s="1"/>
  <c r="AW147" i="2"/>
  <c r="AW151" i="2"/>
  <c r="AW148" i="2"/>
  <c r="AT92" i="2"/>
  <c r="AW152" i="2"/>
  <c r="AW155" i="2"/>
  <c r="AT55" i="2"/>
  <c r="AW153" i="2"/>
  <c r="AT12" i="2"/>
  <c r="AW160" i="2"/>
  <c r="AT172" i="2"/>
  <c r="AW154" i="2" s="1"/>
  <c r="Z179" i="2"/>
  <c r="I4264" i="3" s="1"/>
  <c r="J4264" i="3" s="1"/>
  <c r="AB10" i="2"/>
  <c r="I9" i="3" s="1"/>
  <c r="J9" i="3" s="1"/>
  <c r="AM9" i="4"/>
  <c r="Y10" i="2" s="1"/>
  <c r="I13" i="3" s="1"/>
  <c r="J13" i="3" s="1"/>
  <c r="AJ9" i="4"/>
  <c r="W10" i="2" s="1"/>
  <c r="I8" i="3" s="1"/>
  <c r="J8" i="3" s="1"/>
  <c r="AM96" i="4"/>
  <c r="Y100" i="2" s="1"/>
  <c r="I2359" i="3" s="1"/>
  <c r="J2359" i="3" s="1"/>
  <c r="AN214" i="2"/>
  <c r="AT151" i="2"/>
  <c r="AT214" i="2" s="1"/>
  <c r="AB74" i="2"/>
  <c r="I1540" i="3" s="1"/>
  <c r="J1540" i="3" s="1"/>
  <c r="AM73" i="4"/>
  <c r="AB97" i="2"/>
  <c r="I2265" i="3" s="1"/>
  <c r="J2265" i="3" s="1"/>
  <c r="AJ94" i="4"/>
  <c r="W97" i="2" s="1"/>
  <c r="I2264" i="3" s="1"/>
  <c r="J2264" i="3" s="1"/>
  <c r="AM94" i="4"/>
  <c r="Y97" i="2" s="1"/>
  <c r="I2269" i="3" s="1"/>
  <c r="J2269" i="3" s="1"/>
  <c r="AM190" i="4"/>
  <c r="Y197" i="2" s="1"/>
  <c r="I4858" i="3" s="1"/>
  <c r="J4858" i="3" s="1"/>
  <c r="AB75" i="2"/>
  <c r="AW149" i="2"/>
  <c r="AJ60" i="4"/>
  <c r="W61" i="2" s="1"/>
  <c r="I1260" i="3" s="1"/>
  <c r="J1260" i="3" s="1"/>
  <c r="AB61" i="2"/>
  <c r="I1261" i="3" s="1"/>
  <c r="J1261" i="3" s="1"/>
  <c r="AM60" i="4"/>
  <c r="Y61" i="2" s="1"/>
  <c r="I1265" i="3" s="1"/>
  <c r="J1265" i="3" s="1"/>
  <c r="AW150" i="2"/>
  <c r="AJ34" i="4"/>
  <c r="W37" i="2" s="1"/>
  <c r="I710" i="3" s="1"/>
  <c r="J710" i="3" s="1"/>
  <c r="AM34" i="4"/>
  <c r="Y37" i="2" s="1"/>
  <c r="I715" i="3" s="1"/>
  <c r="J715" i="3" s="1"/>
  <c r="AJ19" i="4"/>
  <c r="W20" i="2" s="1"/>
  <c r="AB20" i="2"/>
  <c r="I343" i="3" s="1"/>
  <c r="J343" i="3" s="1"/>
  <c r="AM19" i="4"/>
  <c r="Y20" i="2" s="1"/>
  <c r="I347" i="3" s="1"/>
  <c r="J347" i="3" s="1"/>
  <c r="AJ149" i="4"/>
  <c r="W156" i="2" s="1"/>
  <c r="AM149" i="4"/>
  <c r="Y156" i="2" s="1"/>
  <c r="I3630" i="3" s="1"/>
  <c r="J3630" i="3" s="1"/>
  <c r="AB156" i="2"/>
  <c r="I3626" i="3" s="1"/>
  <c r="J3626" i="3" s="1"/>
  <c r="AJ198" i="4"/>
  <c r="W205" i="2" s="1"/>
  <c r="AB205" i="2"/>
  <c r="I5010" i="3" s="1"/>
  <c r="J5010" i="3" s="1"/>
  <c r="AM198" i="4"/>
  <c r="Y205" i="2" s="1"/>
  <c r="I5014" i="3" s="1"/>
  <c r="J5014" i="3" s="1"/>
  <c r="AM200" i="4"/>
  <c r="Y207" i="2" s="1"/>
  <c r="I5075" i="3" s="1"/>
  <c r="J5075" i="3" s="1"/>
  <c r="AJ200" i="4"/>
  <c r="W207" i="2" s="1"/>
  <c r="AB207" i="2"/>
  <c r="I5071" i="3" s="1"/>
  <c r="J5071" i="3" s="1"/>
  <c r="AJ69" i="4"/>
  <c r="W70" i="2" s="1"/>
  <c r="AB70" i="2"/>
  <c r="I1692" i="3" s="1"/>
  <c r="J1692" i="3" s="1"/>
  <c r="AM69" i="4"/>
  <c r="Y70" i="2" s="1"/>
  <c r="I1696" i="3" s="1"/>
  <c r="J1696" i="3" s="1"/>
  <c r="AM80" i="4"/>
  <c r="Y86" i="2" s="1"/>
  <c r="I1939" i="3" s="1"/>
  <c r="J1939" i="3" s="1"/>
  <c r="AJ80" i="4"/>
  <c r="W86" i="2" s="1"/>
  <c r="AB86" i="2"/>
  <c r="I1935" i="3" s="1"/>
  <c r="J1935" i="3" s="1"/>
  <c r="AM177" i="4"/>
  <c r="Y184" i="2" s="1"/>
  <c r="I4423" i="3" s="1"/>
  <c r="J4423" i="3" s="1"/>
  <c r="AB184" i="2"/>
  <c r="I4419" i="3" s="1"/>
  <c r="J4419" i="3" s="1"/>
  <c r="AJ177" i="4"/>
  <c r="W184" i="2" s="1"/>
  <c r="AM86" i="4"/>
  <c r="Y89" i="2" s="1"/>
  <c r="I2089" i="3" s="1"/>
  <c r="J2089" i="3" s="1"/>
  <c r="AJ86" i="4"/>
  <c r="W89" i="2" s="1"/>
  <c r="AB89" i="2"/>
  <c r="I2085" i="3" s="1"/>
  <c r="J2085" i="3" s="1"/>
  <c r="Z161" i="2"/>
  <c r="I3781" i="3" s="1"/>
  <c r="J3781" i="3" s="1"/>
  <c r="BT154" i="4"/>
  <c r="AA161" i="2" s="1"/>
  <c r="I3780" i="3" s="1"/>
  <c r="J3780" i="3" s="1"/>
  <c r="BT79" i="4"/>
  <c r="AA85" i="2" s="1"/>
  <c r="I1906" i="3" s="1"/>
  <c r="J1906" i="3" s="1"/>
  <c r="Z85" i="2"/>
  <c r="I1907" i="3" s="1"/>
  <c r="J1907" i="3" s="1"/>
  <c r="BT106" i="4"/>
  <c r="AA113" i="2" s="1"/>
  <c r="I2747" i="3" s="1"/>
  <c r="J2747" i="3" s="1"/>
  <c r="Z113" i="2"/>
  <c r="I2748" i="3" s="1"/>
  <c r="J2748" i="3" s="1"/>
  <c r="Z175" i="2"/>
  <c r="I4141" i="3" s="1"/>
  <c r="J4141" i="3" s="1"/>
  <c r="BT168" i="4"/>
  <c r="AA175" i="2" s="1"/>
  <c r="I4140" i="3" s="1"/>
  <c r="J4140" i="3" s="1"/>
  <c r="BT33" i="4"/>
  <c r="AA36" i="2" s="1"/>
  <c r="I681" i="3" s="1"/>
  <c r="J681" i="3" s="1"/>
  <c r="Z36" i="2"/>
  <c r="I682" i="3" s="1"/>
  <c r="J682" i="3" s="1"/>
  <c r="BT104" i="4"/>
  <c r="AA110" i="2" s="1"/>
  <c r="I2931" i="3" s="1"/>
  <c r="J2931" i="3" s="1"/>
  <c r="Z110" i="2"/>
  <c r="I2932" i="3" s="1"/>
  <c r="J2932" i="3" s="1"/>
  <c r="BT114" i="4"/>
  <c r="AA121" i="2" s="1"/>
  <c r="I2869" i="3" s="1"/>
  <c r="J2869" i="3" s="1"/>
  <c r="Z121" i="2"/>
  <c r="I2870" i="3" s="1"/>
  <c r="J2870" i="3" s="1"/>
  <c r="Z99" i="2"/>
  <c r="I2297" i="3" s="1"/>
  <c r="J2297" i="3" s="1"/>
  <c r="BT95" i="4"/>
  <c r="AA99" i="2" s="1"/>
  <c r="I2296" i="3" s="1"/>
  <c r="J2296" i="3" s="1"/>
  <c r="Z90" i="2"/>
  <c r="I2117" i="3" s="1"/>
  <c r="J2117" i="3" s="1"/>
  <c r="BT84" i="4"/>
  <c r="AA90" i="2" s="1"/>
  <c r="I2116" i="3" s="1"/>
  <c r="J2116" i="3" s="1"/>
  <c r="Z124" i="2"/>
  <c r="I2962" i="3" s="1"/>
  <c r="J2962" i="3" s="1"/>
  <c r="BT118" i="4"/>
  <c r="AA124" i="2" s="1"/>
  <c r="I2961" i="3" s="1"/>
  <c r="J2961" i="3" s="1"/>
  <c r="Z94" i="2"/>
  <c r="I2207" i="3" s="1"/>
  <c r="J2207" i="3" s="1"/>
  <c r="BT91" i="4"/>
  <c r="AA94" i="2" s="1"/>
  <c r="I2206" i="3" s="1"/>
  <c r="J2206" i="3" s="1"/>
  <c r="Z61" i="2"/>
  <c r="BT60" i="4"/>
  <c r="AA61" i="2" s="1"/>
  <c r="I1262" i="3" s="1"/>
  <c r="J1262" i="3" s="1"/>
  <c r="Z192" i="2"/>
  <c r="I4637" i="3" s="1"/>
  <c r="J4637" i="3" s="1"/>
  <c r="BT185" i="4"/>
  <c r="AA192" i="2" s="1"/>
  <c r="I4636" i="3" s="1"/>
  <c r="J4636" i="3" s="1"/>
  <c r="Z102" i="2"/>
  <c r="I2417" i="3" s="1"/>
  <c r="J2417" i="3" s="1"/>
  <c r="BT99" i="4"/>
  <c r="AA102" i="2" s="1"/>
  <c r="I2416" i="3" s="1"/>
  <c r="J2416" i="3" s="1"/>
  <c r="Z81" i="2"/>
  <c r="BT87" i="4"/>
  <c r="Z80" i="2"/>
  <c r="BT153" i="4"/>
  <c r="AA160" i="2" s="1"/>
  <c r="I3719" i="3" s="1"/>
  <c r="J3719" i="3" s="1"/>
  <c r="Z160" i="2"/>
  <c r="I3720" i="3" s="1"/>
  <c r="J3720" i="3" s="1"/>
  <c r="Z170" i="2"/>
  <c r="I4019" i="3" s="1"/>
  <c r="J4019" i="3" s="1"/>
  <c r="BT163" i="4"/>
  <c r="AA170" i="2" s="1"/>
  <c r="I4018" i="3" s="1"/>
  <c r="J4018" i="3" s="1"/>
  <c r="BT108" i="4"/>
  <c r="AA115" i="2" s="1"/>
  <c r="I2807" i="3" s="1"/>
  <c r="J2807" i="3" s="1"/>
  <c r="Z115" i="2"/>
  <c r="I2808" i="3" s="1"/>
  <c r="J2808" i="3" s="1"/>
  <c r="BT174" i="4"/>
  <c r="AA181" i="2" s="1"/>
  <c r="I4388" i="3" s="1"/>
  <c r="J4388" i="3" s="1"/>
  <c r="Z181" i="2"/>
  <c r="I4389" i="3" s="1"/>
  <c r="J4389" i="3" s="1"/>
  <c r="BT92" i="4"/>
  <c r="AA95" i="2" s="1"/>
  <c r="I2236" i="3" s="1"/>
  <c r="J2236" i="3" s="1"/>
  <c r="Z95" i="2"/>
  <c r="I2237" i="3" s="1"/>
  <c r="J2237" i="3" s="1"/>
  <c r="Z67" i="2"/>
  <c r="I1448" i="3" s="1"/>
  <c r="J1448" i="3" s="1"/>
  <c r="BT66" i="4"/>
  <c r="AA67" i="2" s="1"/>
  <c r="I1447" i="3" s="1"/>
  <c r="J1447" i="3" s="1"/>
  <c r="AM14" i="4"/>
  <c r="Y15" i="2" s="1"/>
  <c r="I135" i="3" s="1"/>
  <c r="J135" i="3" s="1"/>
  <c r="AJ14" i="4"/>
  <c r="W15" i="2" s="1"/>
  <c r="AB15" i="2"/>
  <c r="I131" i="3" s="1"/>
  <c r="J131" i="3" s="1"/>
  <c r="AM36" i="4"/>
  <c r="Y39" i="2" s="1"/>
  <c r="I778" i="3" s="1"/>
  <c r="J778" i="3" s="1"/>
  <c r="AB39" i="2"/>
  <c r="I774" i="3" s="1"/>
  <c r="J774" i="3" s="1"/>
  <c r="AJ145" i="4"/>
  <c r="W152" i="2" s="1"/>
  <c r="AB152" i="2"/>
  <c r="I3505" i="3" s="1"/>
  <c r="J3505" i="3" s="1"/>
  <c r="AM145" i="4"/>
  <c r="Y152" i="2" s="1"/>
  <c r="I3509" i="3" s="1"/>
  <c r="J3509" i="3" s="1"/>
  <c r="AM201" i="4"/>
  <c r="Y208" i="2" s="1"/>
  <c r="I5105" i="3" s="1"/>
  <c r="J5105" i="3" s="1"/>
  <c r="AJ201" i="4"/>
  <c r="W208" i="2" s="1"/>
  <c r="AB208" i="2"/>
  <c r="I5101" i="3" s="1"/>
  <c r="J5101" i="3" s="1"/>
  <c r="AM150" i="4"/>
  <c r="Y157" i="2" s="1"/>
  <c r="I3660" i="3" s="1"/>
  <c r="J3660" i="3" s="1"/>
  <c r="AJ150" i="4"/>
  <c r="W157" i="2" s="1"/>
  <c r="AB157" i="2"/>
  <c r="I3656" i="3" s="1"/>
  <c r="J3656" i="3" s="1"/>
  <c r="AB28" i="2"/>
  <c r="I438" i="3" s="1"/>
  <c r="J438" i="3" s="1"/>
  <c r="AJ58" i="4"/>
  <c r="W28" i="2" s="1"/>
  <c r="AM58" i="4"/>
  <c r="Y28" i="2" s="1"/>
  <c r="I442" i="3" s="1"/>
  <c r="J442" i="3" s="1"/>
  <c r="AM25" i="4"/>
  <c r="Y24" i="2" s="1"/>
  <c r="I473" i="3" s="1"/>
  <c r="J473" i="3" s="1"/>
  <c r="AJ25" i="4"/>
  <c r="W24" i="2" s="1"/>
  <c r="AB24" i="2"/>
  <c r="I469" i="3" s="1"/>
  <c r="J469" i="3" s="1"/>
  <c r="AJ54" i="4"/>
  <c r="W57" i="2" s="1"/>
  <c r="AM54" i="4"/>
  <c r="Y57" i="2" s="1"/>
  <c r="I1175" i="3" s="1"/>
  <c r="J1175" i="3" s="1"/>
  <c r="AB57" i="2"/>
  <c r="I1171" i="3" s="1"/>
  <c r="J1171" i="3" s="1"/>
  <c r="AB46" i="2"/>
  <c r="I924" i="3" s="1"/>
  <c r="J924" i="3" s="1"/>
  <c r="AM43" i="4"/>
  <c r="Y46" i="2" s="1"/>
  <c r="I928" i="3" s="1"/>
  <c r="J928" i="3" s="1"/>
  <c r="AJ43" i="4"/>
  <c r="W46" i="2" s="1"/>
  <c r="AJ67" i="4"/>
  <c r="W68" i="2" s="1"/>
  <c r="AM67" i="4"/>
  <c r="Y68" i="2" s="1"/>
  <c r="I1636" i="3" s="1"/>
  <c r="J1636" i="3" s="1"/>
  <c r="AB68" i="2"/>
  <c r="I1632" i="3" s="1"/>
  <c r="J1632" i="3" s="1"/>
  <c r="AM56" i="4"/>
  <c r="Y59" i="2" s="1"/>
  <c r="I1236" i="3" s="1"/>
  <c r="J1236" i="3" s="1"/>
  <c r="AJ56" i="4"/>
  <c r="W59" i="2" s="1"/>
  <c r="AB59" i="2"/>
  <c r="I1232" i="3" s="1"/>
  <c r="J1232" i="3" s="1"/>
  <c r="AM82" i="4"/>
  <c r="Y87" i="2" s="1"/>
  <c r="I1969" i="3" s="1"/>
  <c r="J1969" i="3" s="1"/>
  <c r="AJ82" i="4"/>
  <c r="W87" i="2" s="1"/>
  <c r="AB87" i="2"/>
  <c r="I1965" i="3" s="1"/>
  <c r="J1965" i="3" s="1"/>
  <c r="AJ84" i="4"/>
  <c r="W90" i="2" s="1"/>
  <c r="AB90" i="2"/>
  <c r="I2115" i="3" s="1"/>
  <c r="J2115" i="3" s="1"/>
  <c r="AM84" i="4"/>
  <c r="Y90" i="2" s="1"/>
  <c r="I2119" i="3" s="1"/>
  <c r="J2119" i="3" s="1"/>
  <c r="AJ188" i="4"/>
  <c r="W195" i="2" s="1"/>
  <c r="AM188" i="4"/>
  <c r="Y195" i="2" s="1"/>
  <c r="I4733" i="3" s="1"/>
  <c r="J4733" i="3" s="1"/>
  <c r="AB195" i="2"/>
  <c r="I4729" i="3" s="1"/>
  <c r="J4729" i="3" s="1"/>
  <c r="AJ37" i="4"/>
  <c r="W40" i="2" s="1"/>
  <c r="AM37" i="4"/>
  <c r="Y40" i="2" s="1"/>
  <c r="I1787" i="3" s="1"/>
  <c r="J1787" i="3" s="1"/>
  <c r="AB40" i="2"/>
  <c r="I1783" i="3" s="1"/>
  <c r="J1783" i="3" s="1"/>
  <c r="AJ16" i="4"/>
  <c r="W17" i="2" s="1"/>
  <c r="AM16" i="4"/>
  <c r="Y17" i="2" s="1"/>
  <c r="I195" i="3" s="1"/>
  <c r="J195" i="3" s="1"/>
  <c r="AB17" i="2"/>
  <c r="I191" i="3" s="1"/>
  <c r="J191" i="3" s="1"/>
  <c r="AM153" i="4"/>
  <c r="Y160" i="2" s="1"/>
  <c r="I3722" i="3" s="1"/>
  <c r="J3722" i="3" s="1"/>
  <c r="AB160" i="2"/>
  <c r="I3718" i="3" s="1"/>
  <c r="J3718" i="3" s="1"/>
  <c r="AJ153" i="4"/>
  <c r="W160" i="2" s="1"/>
  <c r="AJ78" i="4"/>
  <c r="W82" i="2" s="1"/>
  <c r="AB82" i="2"/>
  <c r="I1875" i="3" s="1"/>
  <c r="J1875" i="3" s="1"/>
  <c r="AM78" i="4"/>
  <c r="Y82" i="2" s="1"/>
  <c r="I1879" i="3" s="1"/>
  <c r="J1879" i="3" s="1"/>
  <c r="AJ174" i="4"/>
  <c r="W181" i="2" s="1"/>
  <c r="AB181" i="2"/>
  <c r="I4387" i="3" s="1"/>
  <c r="J4387" i="3" s="1"/>
  <c r="AM174" i="4"/>
  <c r="Y181" i="2" s="1"/>
  <c r="I4391" i="3" s="1"/>
  <c r="J4391" i="3" s="1"/>
  <c r="AM129" i="4"/>
  <c r="Y136" i="2" s="1"/>
  <c r="I3176" i="3" s="1"/>
  <c r="J3176" i="3" s="1"/>
  <c r="AJ129" i="4"/>
  <c r="W136" i="2" s="1"/>
  <c r="AB136" i="2"/>
  <c r="I3172" i="3" s="1"/>
  <c r="J3172" i="3" s="1"/>
  <c r="BT16" i="4"/>
  <c r="AA17" i="2" s="1"/>
  <c r="I192" i="3" s="1"/>
  <c r="J192" i="3" s="1"/>
  <c r="Z17" i="2"/>
  <c r="I193" i="3" s="1"/>
  <c r="J193" i="3" s="1"/>
  <c r="BT109" i="4"/>
  <c r="AA116" i="2" s="1"/>
  <c r="I2569" i="3" s="1"/>
  <c r="J2569" i="3" s="1"/>
  <c r="Z116" i="2"/>
  <c r="I2570" i="3" s="1"/>
  <c r="J2570" i="3" s="1"/>
  <c r="BT111" i="4"/>
  <c r="AA118" i="2" s="1"/>
  <c r="I2658" i="3" s="1"/>
  <c r="J2658" i="3" s="1"/>
  <c r="Z118" i="2"/>
  <c r="I2659" i="3" s="1"/>
  <c r="J2659" i="3" s="1"/>
  <c r="BT89" i="4"/>
  <c r="AA91" i="2" s="1"/>
  <c r="I2146" i="3" s="1"/>
  <c r="J2146" i="3" s="1"/>
  <c r="Z91" i="2"/>
  <c r="I2147" i="3" s="1"/>
  <c r="J2147" i="3" s="1"/>
  <c r="Z140" i="2"/>
  <c r="I3294" i="3" s="1"/>
  <c r="J3294" i="3" s="1"/>
  <c r="BT133" i="4"/>
  <c r="AA140" i="2" s="1"/>
  <c r="I3293" i="3" s="1"/>
  <c r="J3293" i="3" s="1"/>
  <c r="Z157" i="2"/>
  <c r="I3658" i="3" s="1"/>
  <c r="J3658" i="3" s="1"/>
  <c r="BT150" i="4"/>
  <c r="AA157" i="2" s="1"/>
  <c r="I3657" i="3" s="1"/>
  <c r="J3657" i="3" s="1"/>
  <c r="BT125" i="4"/>
  <c r="AA108" i="2" s="1"/>
  <c r="I3082" i="3" s="1"/>
  <c r="J3082" i="3" s="1"/>
  <c r="Z108" i="2"/>
  <c r="I3083" i="3" s="1"/>
  <c r="J3083" i="3" s="1"/>
  <c r="BT76" i="4"/>
  <c r="AA78" i="2" s="1"/>
  <c r="I1754" i="3" s="1"/>
  <c r="J1754" i="3" s="1"/>
  <c r="Z78" i="2"/>
  <c r="I1755" i="3" s="1"/>
  <c r="J1755" i="3" s="1"/>
  <c r="BT159" i="4"/>
  <c r="AA166" i="2" s="1"/>
  <c r="I3901" i="3" s="1"/>
  <c r="J3901" i="3" s="1"/>
  <c r="Z166" i="2"/>
  <c r="I3902" i="3" s="1"/>
  <c r="J3902" i="3" s="1"/>
  <c r="Z47" i="2"/>
  <c r="I958" i="3" s="1"/>
  <c r="J958" i="3" s="1"/>
  <c r="BT44" i="4"/>
  <c r="AA47" i="2" s="1"/>
  <c r="I957" i="3" s="1"/>
  <c r="J957" i="3" s="1"/>
  <c r="Z39" i="2"/>
  <c r="BT36" i="4"/>
  <c r="AA39" i="2" s="1"/>
  <c r="I775" i="3" s="1"/>
  <c r="J775" i="3" s="1"/>
  <c r="BT166" i="4"/>
  <c r="AA173" i="2" s="1"/>
  <c r="I4080" i="3" s="1"/>
  <c r="J4080" i="3" s="1"/>
  <c r="Z173" i="2"/>
  <c r="I4081" i="3" s="1"/>
  <c r="J4081" i="3" s="1"/>
  <c r="BT107" i="4"/>
  <c r="AA114" i="2" s="1"/>
  <c r="I2777" i="3" s="1"/>
  <c r="J2777" i="3" s="1"/>
  <c r="Z114" i="2"/>
  <c r="I2778" i="3" s="1"/>
  <c r="J2778" i="3" s="1"/>
  <c r="BT191" i="4"/>
  <c r="AA198" i="2" s="1"/>
  <c r="I4793" i="3" s="1"/>
  <c r="J4793" i="3" s="1"/>
  <c r="Z198" i="2"/>
  <c r="I4794" i="3" s="1"/>
  <c r="J4794" i="3" s="1"/>
  <c r="BT147" i="4"/>
  <c r="AA154" i="2" s="1"/>
  <c r="I3567" i="3" s="1"/>
  <c r="J3567" i="3" s="1"/>
  <c r="Z154" i="2"/>
  <c r="I3568" i="3" s="1"/>
  <c r="J3568" i="3" s="1"/>
  <c r="Z89" i="2"/>
  <c r="I2087" i="3" s="1"/>
  <c r="J2087" i="3" s="1"/>
  <c r="BT86" i="4"/>
  <c r="AA89" i="2" s="1"/>
  <c r="I2086" i="3" s="1"/>
  <c r="J2086" i="3" s="1"/>
  <c r="BT124" i="4"/>
  <c r="AA132" i="2" s="1"/>
  <c r="I3051" i="3" s="1"/>
  <c r="J3051" i="3" s="1"/>
  <c r="Z132" i="2"/>
  <c r="I3052" i="3" s="1"/>
  <c r="J3052" i="3" s="1"/>
  <c r="Z21" i="2"/>
  <c r="I283" i="3" s="1"/>
  <c r="J283" i="3" s="1"/>
  <c r="BT20" i="4"/>
  <c r="AA21" i="2" s="1"/>
  <c r="I282" i="3" s="1"/>
  <c r="J282" i="3" s="1"/>
  <c r="BT37" i="4"/>
  <c r="AA40" i="2" s="1"/>
  <c r="I1784" i="3" s="1"/>
  <c r="J1784" i="3" s="1"/>
  <c r="Z40" i="2"/>
  <c r="I1785" i="3" s="1"/>
  <c r="J1785" i="3" s="1"/>
  <c r="BT83" i="4"/>
  <c r="AA88" i="2" s="1"/>
  <c r="I1996" i="3" s="1"/>
  <c r="J1996" i="3" s="1"/>
  <c r="Z88" i="2"/>
  <c r="I1997" i="3" s="1"/>
  <c r="J1997" i="3" s="1"/>
  <c r="AM130" i="4"/>
  <c r="Y137" i="2" s="1"/>
  <c r="I3236" i="3" s="1"/>
  <c r="J3236" i="3" s="1"/>
  <c r="AJ130" i="4"/>
  <c r="W137" i="2" s="1"/>
  <c r="AB137" i="2"/>
  <c r="I3232" i="3" s="1"/>
  <c r="J3232" i="3" s="1"/>
  <c r="AJ128" i="4"/>
  <c r="W135" i="2" s="1"/>
  <c r="AB135" i="2"/>
  <c r="I3202" i="3" s="1"/>
  <c r="J3202" i="3" s="1"/>
  <c r="AM128" i="4"/>
  <c r="Y135" i="2" s="1"/>
  <c r="I3206" i="3" s="1"/>
  <c r="J3206" i="3" s="1"/>
  <c r="AJ151" i="4"/>
  <c r="W158" i="2" s="1"/>
  <c r="AM151" i="4"/>
  <c r="Y158" i="2" s="1"/>
  <c r="I3690" i="3" s="1"/>
  <c r="J3690" i="3" s="1"/>
  <c r="AB158" i="2"/>
  <c r="I3686" i="3" s="1"/>
  <c r="J3686" i="3" s="1"/>
  <c r="AJ194" i="4"/>
  <c r="W201" i="2" s="1"/>
  <c r="AM194" i="4"/>
  <c r="Y201" i="2" s="1"/>
  <c r="I4921" i="3" s="1"/>
  <c r="J4921" i="3" s="1"/>
  <c r="AB201" i="2"/>
  <c r="I4917" i="3" s="1"/>
  <c r="J4917" i="3" s="1"/>
  <c r="AM161" i="4"/>
  <c r="Y168" i="2" s="1"/>
  <c r="I3963" i="3" s="1"/>
  <c r="J3963" i="3" s="1"/>
  <c r="AJ161" i="4"/>
  <c r="W168" i="2" s="1"/>
  <c r="AB168" i="2"/>
  <c r="I3959" i="3" s="1"/>
  <c r="J3959" i="3" s="1"/>
  <c r="AM102" i="4"/>
  <c r="AB105" i="2"/>
  <c r="I2506" i="3" s="1"/>
  <c r="J2506" i="3" s="1"/>
  <c r="AJ102" i="4"/>
  <c r="W105" i="2" s="1"/>
  <c r="AJ203" i="4"/>
  <c r="W210" i="2" s="1"/>
  <c r="AM203" i="4"/>
  <c r="Y210" i="2" s="1"/>
  <c r="I5197" i="3" s="1"/>
  <c r="J5197" i="3" s="1"/>
  <c r="AB210" i="2"/>
  <c r="I5193" i="3" s="1"/>
  <c r="J5193" i="3" s="1"/>
  <c r="AJ114" i="4"/>
  <c r="W121" i="2" s="1"/>
  <c r="AM114" i="4"/>
  <c r="Y121" i="2" s="1"/>
  <c r="I2872" i="3" s="1"/>
  <c r="J2872" i="3" s="1"/>
  <c r="AB121" i="2"/>
  <c r="I2868" i="3" s="1"/>
  <c r="J2868" i="3" s="1"/>
  <c r="AJ61" i="4"/>
  <c r="W62" i="2" s="1"/>
  <c r="AM61" i="4"/>
  <c r="Y62" i="2" s="1"/>
  <c r="I1296" i="3" s="1"/>
  <c r="J1296" i="3" s="1"/>
  <c r="AB62" i="2"/>
  <c r="I1292" i="3" s="1"/>
  <c r="J1292" i="3" s="1"/>
  <c r="AM122" i="4"/>
  <c r="Y127" i="2" s="1"/>
  <c r="I3024" i="3" s="1"/>
  <c r="J3024" i="3" s="1"/>
  <c r="AJ122" i="4"/>
  <c r="W127" i="2" s="1"/>
  <c r="AB127" i="2"/>
  <c r="I3020" i="3" s="1"/>
  <c r="J3020" i="3" s="1"/>
  <c r="AJ100" i="4"/>
  <c r="W103" i="2" s="1"/>
  <c r="AB103" i="2"/>
  <c r="I2475" i="3" s="1"/>
  <c r="J2475" i="3" s="1"/>
  <c r="AM100" i="4"/>
  <c r="Y103" i="2" s="1"/>
  <c r="I2479" i="3" s="1"/>
  <c r="J2479" i="3" s="1"/>
  <c r="AM97" i="4"/>
  <c r="Y101" i="2" s="1"/>
  <c r="I2389" i="3" s="1"/>
  <c r="J2389" i="3" s="1"/>
  <c r="AJ97" i="4"/>
  <c r="W101" i="2" s="1"/>
  <c r="AB101" i="2"/>
  <c r="I2385" i="3" s="1"/>
  <c r="J2385" i="3" s="1"/>
  <c r="AJ119" i="4"/>
  <c r="W129" i="2" s="1"/>
  <c r="AM119" i="4"/>
  <c r="Y129" i="2" s="1"/>
  <c r="I1480" i="3" s="1"/>
  <c r="J1480" i="3" s="1"/>
  <c r="AB129" i="2"/>
  <c r="I1476" i="3" s="1"/>
  <c r="J1476" i="3" s="1"/>
  <c r="AM18" i="4"/>
  <c r="Y19" i="2" s="1"/>
  <c r="I256" i="3" s="1"/>
  <c r="J256" i="3" s="1"/>
  <c r="AJ18" i="4"/>
  <c r="W19" i="2" s="1"/>
  <c r="AB19" i="2"/>
  <c r="I252" i="3" s="1"/>
  <c r="J252" i="3" s="1"/>
  <c r="AJ181" i="4"/>
  <c r="W188" i="2" s="1"/>
  <c r="AM181" i="4"/>
  <c r="Y188" i="2" s="1"/>
  <c r="I4516" i="3" s="1"/>
  <c r="J4516" i="3" s="1"/>
  <c r="AB188" i="2"/>
  <c r="I4512" i="3" s="1"/>
  <c r="J4512" i="3" s="1"/>
  <c r="AJ85" i="4"/>
  <c r="W84" i="2" s="1"/>
  <c r="AB84" i="2"/>
  <c r="I2055" i="3" s="1"/>
  <c r="J2055" i="3" s="1"/>
  <c r="AM85" i="4"/>
  <c r="Y84" i="2" s="1"/>
  <c r="I2059" i="3" s="1"/>
  <c r="J2059" i="3" s="1"/>
  <c r="AM180" i="4"/>
  <c r="Y187" i="2" s="1"/>
  <c r="I4484" i="3" s="1"/>
  <c r="J4484" i="3" s="1"/>
  <c r="AJ180" i="4"/>
  <c r="W187" i="2" s="1"/>
  <c r="AB187" i="2"/>
  <c r="I4480" i="3" s="1"/>
  <c r="J4480" i="3" s="1"/>
  <c r="AM133" i="4"/>
  <c r="Y140" i="2" s="1"/>
  <c r="I3296" i="3" s="1"/>
  <c r="J3296" i="3" s="1"/>
  <c r="AJ133" i="4"/>
  <c r="W140" i="2" s="1"/>
  <c r="AB140" i="2"/>
  <c r="I3292" i="3" s="1"/>
  <c r="J3292" i="3" s="1"/>
  <c r="I39" i="3"/>
  <c r="J39" i="3" s="1"/>
  <c r="BT126" i="4"/>
  <c r="AA133" i="2" s="1"/>
  <c r="I3143" i="3" s="1"/>
  <c r="J3143" i="3" s="1"/>
  <c r="Z133" i="2"/>
  <c r="I3144" i="3" s="1"/>
  <c r="J3144" i="3" s="1"/>
  <c r="Z136" i="2"/>
  <c r="I3174" i="3" s="1"/>
  <c r="J3174" i="3" s="1"/>
  <c r="BT129" i="4"/>
  <c r="AA136" i="2" s="1"/>
  <c r="I3173" i="3" s="1"/>
  <c r="J3173" i="3" s="1"/>
  <c r="BT162" i="4"/>
  <c r="AA169" i="2" s="1"/>
  <c r="I3989" i="3" s="1"/>
  <c r="J3989" i="3" s="1"/>
  <c r="Z169" i="2"/>
  <c r="I3990" i="3" s="1"/>
  <c r="J3990" i="3" s="1"/>
  <c r="BT34" i="4"/>
  <c r="AA37" i="2" s="1"/>
  <c r="I712" i="3" s="1"/>
  <c r="J712" i="3" s="1"/>
  <c r="Z37" i="2"/>
  <c r="I713" i="3" s="1"/>
  <c r="J713" i="3" s="1"/>
  <c r="Z20" i="2"/>
  <c r="I345" i="3" s="1"/>
  <c r="J345" i="3" s="1"/>
  <c r="BT19" i="4"/>
  <c r="AA20" i="2" s="1"/>
  <c r="I344" i="3" s="1"/>
  <c r="J344" i="3" s="1"/>
  <c r="BT10" i="4"/>
  <c r="AA11" i="2" s="1"/>
  <c r="I41" i="3" s="1"/>
  <c r="J41" i="3" s="1"/>
  <c r="Z11" i="2"/>
  <c r="I42" i="3" s="1"/>
  <c r="J42" i="3" s="1"/>
  <c r="Z38" i="2"/>
  <c r="I744" i="3" s="1"/>
  <c r="J744" i="3" s="1"/>
  <c r="BT35" i="4"/>
  <c r="AA38" i="2" s="1"/>
  <c r="I743" i="3" s="1"/>
  <c r="J743" i="3" s="1"/>
  <c r="BT71" i="4"/>
  <c r="AA72" i="2" s="1"/>
  <c r="I1571" i="3" s="1"/>
  <c r="J1571" i="3" s="1"/>
  <c r="Z72" i="2"/>
  <c r="I1572" i="3" s="1"/>
  <c r="J1572" i="3" s="1"/>
  <c r="BT31" i="4"/>
  <c r="AA34" i="2" s="1"/>
  <c r="I621" i="3" s="1"/>
  <c r="J621" i="3" s="1"/>
  <c r="Z34" i="2"/>
  <c r="I622" i="3" s="1"/>
  <c r="J622" i="3" s="1"/>
  <c r="Z139" i="2"/>
  <c r="I3264" i="3" s="1"/>
  <c r="J3264" i="3" s="1"/>
  <c r="BT132" i="4"/>
  <c r="AA139" i="2" s="1"/>
  <c r="I3263" i="3" s="1"/>
  <c r="J3263" i="3" s="1"/>
  <c r="Z135" i="2"/>
  <c r="I3204" i="3" s="1"/>
  <c r="J3204" i="3" s="1"/>
  <c r="BT128" i="4"/>
  <c r="AA135" i="2" s="1"/>
  <c r="I3203" i="3" s="1"/>
  <c r="J3203" i="3" s="1"/>
  <c r="BT18" i="4"/>
  <c r="AA19" i="2" s="1"/>
  <c r="I253" i="3" s="1"/>
  <c r="J253" i="3" s="1"/>
  <c r="Z19" i="2"/>
  <c r="I254" i="3" s="1"/>
  <c r="J254" i="3" s="1"/>
  <c r="Z70" i="2"/>
  <c r="I1694" i="3" s="1"/>
  <c r="J1694" i="3" s="1"/>
  <c r="BT69" i="4"/>
  <c r="AA70" i="2" s="1"/>
  <c r="I1693" i="3" s="1"/>
  <c r="J1693" i="3" s="1"/>
  <c r="AT25" i="2"/>
  <c r="AN212" i="2"/>
  <c r="AJ118" i="4"/>
  <c r="W124" i="2" s="1"/>
  <c r="AM118" i="4"/>
  <c r="Y124" i="2" s="1"/>
  <c r="I2964" i="3" s="1"/>
  <c r="J2964" i="3" s="1"/>
  <c r="AB124" i="2"/>
  <c r="I2960" i="3" s="1"/>
  <c r="J2960" i="3" s="1"/>
  <c r="AJ24" i="4"/>
  <c r="W26" i="2" s="1"/>
  <c r="AM24" i="4"/>
  <c r="Y26" i="2" s="1"/>
  <c r="I411" i="3" s="1"/>
  <c r="J411" i="3" s="1"/>
  <c r="AB26" i="2"/>
  <c r="I407" i="3" s="1"/>
  <c r="J407" i="3" s="1"/>
  <c r="AJ127" i="4"/>
  <c r="W134" i="2" s="1"/>
  <c r="AM127" i="4"/>
  <c r="Y134" i="2" s="1"/>
  <c r="I3115" i="3" s="1"/>
  <c r="J3115" i="3" s="1"/>
  <c r="AB134" i="2"/>
  <c r="I3111" i="3" s="1"/>
  <c r="J3111" i="3" s="1"/>
  <c r="AM202" i="4"/>
  <c r="Y209" i="2" s="1"/>
  <c r="I5137" i="3" s="1"/>
  <c r="J5137" i="3" s="1"/>
  <c r="AJ202" i="4"/>
  <c r="W209" i="2" s="1"/>
  <c r="AB209" i="2"/>
  <c r="I5133" i="3" s="1"/>
  <c r="J5133" i="3" s="1"/>
  <c r="AJ172" i="4"/>
  <c r="W179" i="2" s="1"/>
  <c r="AM172" i="4"/>
  <c r="Y179" i="2" s="1"/>
  <c r="I4266" i="3" s="1"/>
  <c r="J4266" i="3" s="1"/>
  <c r="AB179" i="2"/>
  <c r="I4262" i="3" s="1"/>
  <c r="J4262" i="3" s="1"/>
  <c r="AM168" i="4"/>
  <c r="Y175" i="2" s="1"/>
  <c r="I4143" i="3" s="1"/>
  <c r="J4143" i="3" s="1"/>
  <c r="AJ168" i="4"/>
  <c r="W175" i="2" s="1"/>
  <c r="AB175" i="2"/>
  <c r="I4139" i="3" s="1"/>
  <c r="J4139" i="3" s="1"/>
  <c r="AJ189" i="4"/>
  <c r="W196" i="2" s="1"/>
  <c r="AM189" i="4"/>
  <c r="Y196" i="2" s="1"/>
  <c r="I4764" i="3" s="1"/>
  <c r="J4764" i="3" s="1"/>
  <c r="AB196" i="2"/>
  <c r="I4760" i="3" s="1"/>
  <c r="J4760" i="3" s="1"/>
  <c r="AJ72" i="4"/>
  <c r="W73" i="2" s="1"/>
  <c r="AB73" i="2"/>
  <c r="I1601" i="3" s="1"/>
  <c r="J1601" i="3" s="1"/>
  <c r="AM72" i="4"/>
  <c r="Y73" i="2" s="1"/>
  <c r="I1605" i="3" s="1"/>
  <c r="J1605" i="3" s="1"/>
  <c r="AM159" i="4"/>
  <c r="Y166" i="2" s="1"/>
  <c r="I3904" i="3" s="1"/>
  <c r="J3904" i="3" s="1"/>
  <c r="AJ159" i="4"/>
  <c r="W166" i="2" s="1"/>
  <c r="AB166" i="2"/>
  <c r="I3900" i="3" s="1"/>
  <c r="J3900" i="3" s="1"/>
  <c r="AM113" i="4"/>
  <c r="Y120" i="2" s="1"/>
  <c r="I2841" i="3" s="1"/>
  <c r="J2841" i="3" s="1"/>
  <c r="AJ113" i="4"/>
  <c r="W120" i="2" s="1"/>
  <c r="AB120" i="2"/>
  <c r="I2837" i="3" s="1"/>
  <c r="J2837" i="3" s="1"/>
  <c r="AM12" i="4"/>
  <c r="Y13" i="2" s="1"/>
  <c r="I75" i="3" s="1"/>
  <c r="J75" i="3" s="1"/>
  <c r="AB13" i="2"/>
  <c r="I71" i="3" s="1"/>
  <c r="J71" i="3" s="1"/>
  <c r="AJ12" i="4"/>
  <c r="W13" i="2" s="1"/>
  <c r="AJ50" i="4"/>
  <c r="W53" i="2" s="1"/>
  <c r="AB53" i="2"/>
  <c r="I1079" i="3" s="1"/>
  <c r="J1079" i="3" s="1"/>
  <c r="AM50" i="4"/>
  <c r="Y53" i="2" s="1"/>
  <c r="I1083" i="3" s="1"/>
  <c r="J1083" i="3" s="1"/>
  <c r="AJ125" i="4"/>
  <c r="W108" i="2" s="1"/>
  <c r="AM125" i="4"/>
  <c r="Y108" i="2" s="1"/>
  <c r="I3085" i="3" s="1"/>
  <c r="J3085" i="3" s="1"/>
  <c r="AB108" i="2"/>
  <c r="I3081" i="3" s="1"/>
  <c r="J3081" i="3" s="1"/>
  <c r="BT173" i="4"/>
  <c r="AA180" i="2" s="1"/>
  <c r="I4294" i="3" s="1"/>
  <c r="J4294" i="3" s="1"/>
  <c r="Z180" i="2"/>
  <c r="I4295" i="3" s="1"/>
  <c r="J4295" i="3" s="1"/>
  <c r="BT105" i="4"/>
  <c r="AA112" i="2" s="1"/>
  <c r="I2629" i="3" s="1"/>
  <c r="J2629" i="3" s="1"/>
  <c r="Z112" i="2"/>
  <c r="I2630" i="3" s="1"/>
  <c r="J2630" i="3" s="1"/>
  <c r="Z189" i="2"/>
  <c r="I4546" i="3" s="1"/>
  <c r="J4546" i="3" s="1"/>
  <c r="BT182" i="4"/>
  <c r="AA189" i="2" s="1"/>
  <c r="I4545" i="3" s="1"/>
  <c r="J4545" i="3" s="1"/>
  <c r="Z153" i="2"/>
  <c r="I3537" i="3" s="1"/>
  <c r="J3537" i="3" s="1"/>
  <c r="BT146" i="4"/>
  <c r="AA153" i="2" s="1"/>
  <c r="I3536" i="3" s="1"/>
  <c r="J3536" i="3" s="1"/>
  <c r="Z197" i="2"/>
  <c r="I4856" i="3" s="1"/>
  <c r="J4856" i="3" s="1"/>
  <c r="BT190" i="4"/>
  <c r="AA197" i="2" s="1"/>
  <c r="I4855" i="3" s="1"/>
  <c r="J4855" i="3" s="1"/>
  <c r="Z200" i="2"/>
  <c r="I4887" i="3" s="1"/>
  <c r="J4887" i="3" s="1"/>
  <c r="BT193" i="4"/>
  <c r="AA200" i="2" s="1"/>
  <c r="I4886" i="3" s="1"/>
  <c r="J4886" i="3" s="1"/>
  <c r="Z23" i="2"/>
  <c r="I314" i="3" s="1"/>
  <c r="J314" i="3" s="1"/>
  <c r="BT22" i="4"/>
  <c r="AA23" i="2" s="1"/>
  <c r="I313" i="3" s="1"/>
  <c r="J313" i="3" s="1"/>
  <c r="BT201" i="4"/>
  <c r="AA208" i="2" s="1"/>
  <c r="I5102" i="3" s="1"/>
  <c r="J5102" i="3" s="1"/>
  <c r="Z208" i="2"/>
  <c r="I5103" i="3" s="1"/>
  <c r="J5103" i="3" s="1"/>
  <c r="Z57" i="2"/>
  <c r="I1173" i="3" s="1"/>
  <c r="J1173" i="3" s="1"/>
  <c r="BT54" i="4"/>
  <c r="AA57" i="2" s="1"/>
  <c r="I1172" i="3" s="1"/>
  <c r="J1172" i="3" s="1"/>
  <c r="BT38" i="4"/>
  <c r="AA41" i="2" s="1"/>
  <c r="I1814" i="3" s="1"/>
  <c r="J1814" i="3" s="1"/>
  <c r="Z41" i="2"/>
  <c r="I1815" i="3" s="1"/>
  <c r="J1815" i="3" s="1"/>
  <c r="Z130" i="2"/>
  <c r="I1509" i="3" s="1"/>
  <c r="J1509" i="3" s="1"/>
  <c r="BT120" i="4"/>
  <c r="AA130" i="2" s="1"/>
  <c r="I1508" i="3" s="1"/>
  <c r="J1508" i="3" s="1"/>
  <c r="BT195" i="4"/>
  <c r="AA202" i="2" s="1"/>
  <c r="I4950" i="3" s="1"/>
  <c r="J4950" i="3" s="1"/>
  <c r="Z202" i="2"/>
  <c r="I4951" i="3" s="1"/>
  <c r="J4951" i="3" s="1"/>
  <c r="AM143" i="4"/>
  <c r="Y150" i="2" s="1"/>
  <c r="I3479" i="3" s="1"/>
  <c r="J3479" i="3" s="1"/>
  <c r="AB150" i="2"/>
  <c r="I3475" i="3" s="1"/>
  <c r="J3475" i="3" s="1"/>
  <c r="AJ143" i="4"/>
  <c r="W150" i="2" s="1"/>
  <c r="AM179" i="4"/>
  <c r="Y186" i="2" s="1"/>
  <c r="I4453" i="3" s="1"/>
  <c r="J4453" i="3" s="1"/>
  <c r="AB186" i="2"/>
  <c r="I4449" i="3" s="1"/>
  <c r="J4449" i="3" s="1"/>
  <c r="AJ179" i="4"/>
  <c r="W186" i="2" s="1"/>
  <c r="AB56" i="2"/>
  <c r="I1141" i="3" s="1"/>
  <c r="J1141" i="3" s="1"/>
  <c r="AJ53" i="4"/>
  <c r="W56" i="2" s="1"/>
  <c r="AM53" i="4"/>
  <c r="Y56" i="2" s="1"/>
  <c r="I1145" i="3" s="1"/>
  <c r="J1145" i="3" s="1"/>
  <c r="AJ47" i="4"/>
  <c r="W50" i="2" s="1"/>
  <c r="AB50" i="2"/>
  <c r="I987" i="3" s="1"/>
  <c r="J987" i="3" s="1"/>
  <c r="AM47" i="4"/>
  <c r="Y50" i="2" s="1"/>
  <c r="I991" i="3" s="1"/>
  <c r="J991" i="3" s="1"/>
  <c r="AJ31" i="4"/>
  <c r="W34" i="2" s="1"/>
  <c r="AM31" i="4"/>
  <c r="Y34" i="2" s="1"/>
  <c r="I624" i="3" s="1"/>
  <c r="J624" i="3" s="1"/>
  <c r="AB34" i="2"/>
  <c r="I620" i="3" s="1"/>
  <c r="J620" i="3" s="1"/>
  <c r="AM182" i="4"/>
  <c r="Y189" i="2" s="1"/>
  <c r="I4548" i="3" s="1"/>
  <c r="J4548" i="3" s="1"/>
  <c r="AB189" i="2"/>
  <c r="I4544" i="3" s="1"/>
  <c r="J4544" i="3" s="1"/>
  <c r="AJ182" i="4"/>
  <c r="W189" i="2" s="1"/>
  <c r="AM166" i="4"/>
  <c r="Y173" i="2" s="1"/>
  <c r="I4083" i="3" s="1"/>
  <c r="J4083" i="3" s="1"/>
  <c r="AJ166" i="4"/>
  <c r="W173" i="2" s="1"/>
  <c r="AB173" i="2"/>
  <c r="I4079" i="3" s="1"/>
  <c r="J4079" i="3" s="1"/>
  <c r="AM91" i="4"/>
  <c r="Y94" i="2" s="1"/>
  <c r="I2209" i="3" s="1"/>
  <c r="J2209" i="3" s="1"/>
  <c r="AB94" i="2"/>
  <c r="I2205" i="3" s="1"/>
  <c r="J2205" i="3" s="1"/>
  <c r="AJ91" i="4"/>
  <c r="W94" i="2" s="1"/>
  <c r="AJ183" i="4"/>
  <c r="W190" i="2" s="1"/>
  <c r="AM183" i="4"/>
  <c r="Y190" i="2" s="1"/>
  <c r="I4579" i="3" s="1"/>
  <c r="J4579" i="3" s="1"/>
  <c r="AB190" i="2"/>
  <c r="I4575" i="3" s="1"/>
  <c r="J4575" i="3" s="1"/>
  <c r="AM83" i="4"/>
  <c r="Y88" i="2" s="1"/>
  <c r="I1999" i="3" s="1"/>
  <c r="J1999" i="3" s="1"/>
  <c r="AB88" i="2"/>
  <c r="I1995" i="3" s="1"/>
  <c r="J1995" i="3" s="1"/>
  <c r="AJ83" i="4"/>
  <c r="W88" i="2" s="1"/>
  <c r="AM197" i="4"/>
  <c r="Y204" i="2" s="1"/>
  <c r="I4984" i="3" s="1"/>
  <c r="J4984" i="3" s="1"/>
  <c r="AJ197" i="4"/>
  <c r="W204" i="2" s="1"/>
  <c r="AB204" i="2"/>
  <c r="I4980" i="3" s="1"/>
  <c r="J4980" i="3" s="1"/>
  <c r="AM138" i="4"/>
  <c r="Y145" i="2" s="1"/>
  <c r="I3419" i="3" s="1"/>
  <c r="J3419" i="3" s="1"/>
  <c r="AB145" i="2"/>
  <c r="I3415" i="3" s="1"/>
  <c r="AJ138" i="4"/>
  <c r="W145" i="2" s="1"/>
  <c r="AB130" i="2"/>
  <c r="I1507" i="3" s="1"/>
  <c r="J1507" i="3" s="1"/>
  <c r="AM120" i="4"/>
  <c r="AJ120" i="4"/>
  <c r="W130" i="2" s="1"/>
  <c r="AJ158" i="4"/>
  <c r="W165" i="2" s="1"/>
  <c r="AM158" i="4"/>
  <c r="Y165" i="2" s="1"/>
  <c r="AB165" i="2"/>
  <c r="AJ106" i="4"/>
  <c r="W113" i="2" s="1"/>
  <c r="AM106" i="4"/>
  <c r="Y113" i="2" s="1"/>
  <c r="I2750" i="3" s="1"/>
  <c r="J2750" i="3" s="1"/>
  <c r="AB113" i="2"/>
  <c r="I2746" i="3" s="1"/>
  <c r="J2746" i="3" s="1"/>
  <c r="AM186" i="4"/>
  <c r="Y193" i="2" s="1"/>
  <c r="I4670" i="3" s="1"/>
  <c r="J4670" i="3" s="1"/>
  <c r="AJ186" i="4"/>
  <c r="W193" i="2" s="1"/>
  <c r="AB193" i="2"/>
  <c r="I4666" i="3" s="1"/>
  <c r="J4666" i="3" s="1"/>
  <c r="AJ156" i="4"/>
  <c r="W163" i="2" s="1"/>
  <c r="AM156" i="4"/>
  <c r="Y163" i="2" s="1"/>
  <c r="I3844" i="3" s="1"/>
  <c r="J3844" i="3" s="1"/>
  <c r="AB163" i="2"/>
  <c r="I3840" i="3" s="1"/>
  <c r="J3840" i="3" s="1"/>
  <c r="AJ21" i="4"/>
  <c r="W22" i="2" s="1"/>
  <c r="AM21" i="4"/>
  <c r="AB22" i="2"/>
  <c r="I375" i="3" s="1"/>
  <c r="J375" i="3" s="1"/>
  <c r="AJ22" i="4"/>
  <c r="W23" i="2" s="1"/>
  <c r="AM22" i="4"/>
  <c r="Y23" i="2" s="1"/>
  <c r="I316" i="3" s="1"/>
  <c r="J316" i="3" s="1"/>
  <c r="AB23" i="2"/>
  <c r="I312" i="3" s="1"/>
  <c r="J312" i="3" s="1"/>
  <c r="AJ95" i="4"/>
  <c r="W99" i="2" s="1"/>
  <c r="AM95" i="4"/>
  <c r="Y99" i="2" s="1"/>
  <c r="I2299" i="3" s="1"/>
  <c r="J2299" i="3" s="1"/>
  <c r="AB99" i="2"/>
  <c r="I2295" i="3" s="1"/>
  <c r="J2295" i="3" s="1"/>
  <c r="AM112" i="4"/>
  <c r="Y119" i="2" s="1"/>
  <c r="I2691" i="3" s="1"/>
  <c r="J2691" i="3" s="1"/>
  <c r="AB119" i="2"/>
  <c r="I2687" i="3" s="1"/>
  <c r="J2687" i="3" s="1"/>
  <c r="AJ112" i="4"/>
  <c r="W119" i="2" s="1"/>
  <c r="BT149" i="4"/>
  <c r="AA156" i="2" s="1"/>
  <c r="I3627" i="3" s="1"/>
  <c r="J3627" i="3" s="1"/>
  <c r="Z156" i="2"/>
  <c r="I3628" i="3" s="1"/>
  <c r="J3628" i="3" s="1"/>
  <c r="Z93" i="2"/>
  <c r="I2177" i="3" s="1"/>
  <c r="J2177" i="3" s="1"/>
  <c r="BT90" i="4"/>
  <c r="AA93" i="2" s="1"/>
  <c r="I2176" i="3" s="1"/>
  <c r="J2176" i="3" s="1"/>
  <c r="Z51" i="2"/>
  <c r="I1019" i="3" s="1"/>
  <c r="J1019" i="3" s="1"/>
  <c r="BT48" i="4"/>
  <c r="AA51" i="2" s="1"/>
  <c r="I1018" i="3" s="1"/>
  <c r="J1018" i="3" s="1"/>
  <c r="Z162" i="2"/>
  <c r="I3811" i="3" s="1"/>
  <c r="J3811" i="3" s="1"/>
  <c r="BT155" i="4"/>
  <c r="AA162" i="2" s="1"/>
  <c r="I3810" i="3" s="1"/>
  <c r="J3810" i="3" s="1"/>
  <c r="Z64" i="2"/>
  <c r="I1356" i="3" s="1"/>
  <c r="J1356" i="3" s="1"/>
  <c r="BT63" i="4"/>
  <c r="AA64" i="2" s="1"/>
  <c r="I1355" i="3" s="1"/>
  <c r="J1355" i="3" s="1"/>
  <c r="Z54" i="2"/>
  <c r="I1112" i="3" s="1"/>
  <c r="J1112" i="3" s="1"/>
  <c r="BT51" i="4"/>
  <c r="AA54" i="2" s="1"/>
  <c r="I1111" i="3" s="1"/>
  <c r="J1111" i="3" s="1"/>
  <c r="BT160" i="4"/>
  <c r="AA167" i="2" s="1"/>
  <c r="I3930" i="3" s="1"/>
  <c r="J3930" i="3" s="1"/>
  <c r="Z167" i="2"/>
  <c r="I3931" i="3" s="1"/>
  <c r="J3931" i="3" s="1"/>
  <c r="Z15" i="2"/>
  <c r="I133" i="3" s="1"/>
  <c r="J133" i="3" s="1"/>
  <c r="BT14" i="4"/>
  <c r="AA15" i="2" s="1"/>
  <c r="I132" i="3" s="1"/>
  <c r="J132" i="3" s="1"/>
  <c r="Z122" i="2"/>
  <c r="I2900" i="3" s="1"/>
  <c r="J2900" i="3" s="1"/>
  <c r="BT115" i="4"/>
  <c r="AA122" i="2" s="1"/>
  <c r="I2899" i="3" s="1"/>
  <c r="J2899" i="3" s="1"/>
  <c r="BT177" i="4"/>
  <c r="AA184" i="2" s="1"/>
  <c r="I4420" i="3" s="1"/>
  <c r="J4420" i="3" s="1"/>
  <c r="Z184" i="2"/>
  <c r="I4421" i="3" s="1"/>
  <c r="J4421" i="3" s="1"/>
  <c r="BT171" i="4"/>
  <c r="AA178" i="2" s="1"/>
  <c r="I4232" i="3" s="1"/>
  <c r="J4232" i="3" s="1"/>
  <c r="Z178" i="2"/>
  <c r="I4233" i="3" s="1"/>
  <c r="J4233" i="3" s="1"/>
  <c r="BT13" i="4"/>
  <c r="AA14" i="2" s="1"/>
  <c r="I101" i="3" s="1"/>
  <c r="J101" i="3" s="1"/>
  <c r="Z14" i="2"/>
  <c r="I102" i="3" s="1"/>
  <c r="J102" i="3" s="1"/>
  <c r="BT189" i="4"/>
  <c r="AA196" i="2" s="1"/>
  <c r="I4761" i="3" s="1"/>
  <c r="J4761" i="3" s="1"/>
  <c r="Z196" i="2"/>
  <c r="I4762" i="3" s="1"/>
  <c r="J4762" i="3" s="1"/>
  <c r="Z32" i="2"/>
  <c r="I562" i="3" s="1"/>
  <c r="J562" i="3" s="1"/>
  <c r="BT29" i="4"/>
  <c r="AA32" i="2" s="1"/>
  <c r="I561" i="3" s="1"/>
  <c r="J561" i="3" s="1"/>
  <c r="Z98" i="2"/>
  <c r="BT98" i="4"/>
  <c r="AA98" i="2" s="1"/>
  <c r="I2326" i="3" s="1"/>
  <c r="J2326" i="3" s="1"/>
  <c r="Z82" i="2"/>
  <c r="I1877" i="3" s="1"/>
  <c r="J1877" i="3" s="1"/>
  <c r="BT78" i="4"/>
  <c r="AA82" i="2" s="1"/>
  <c r="I1876" i="3" s="1"/>
  <c r="J1876" i="3" s="1"/>
  <c r="Z142" i="2"/>
  <c r="I3325" i="3" s="1"/>
  <c r="J3325" i="3" s="1"/>
  <c r="BT135" i="4"/>
  <c r="AA142" i="2" s="1"/>
  <c r="I3324" i="3" s="1"/>
  <c r="J3324" i="3" s="1"/>
  <c r="Z106" i="2"/>
  <c r="I2539" i="3" s="1"/>
  <c r="J2539" i="3" s="1"/>
  <c r="BT103" i="4"/>
  <c r="AA106" i="2" s="1"/>
  <c r="I2538" i="3" s="1"/>
  <c r="J2538" i="3" s="1"/>
  <c r="Z33" i="2"/>
  <c r="I592" i="3" s="1"/>
  <c r="J592" i="3" s="1"/>
  <c r="BT30" i="4"/>
  <c r="AA33" i="2" s="1"/>
  <c r="I591" i="3" s="1"/>
  <c r="J591" i="3" s="1"/>
  <c r="Z204" i="2"/>
  <c r="I4982" i="3" s="1"/>
  <c r="J4982" i="3" s="1"/>
  <c r="BT197" i="4"/>
  <c r="AA204" i="2" s="1"/>
  <c r="I4981" i="3" s="1"/>
  <c r="J4981" i="3" s="1"/>
  <c r="Z155" i="2"/>
  <c r="I3598" i="3" s="1"/>
  <c r="J3598" i="3" s="1"/>
  <c r="BT148" i="4"/>
  <c r="AA155" i="2" s="1"/>
  <c r="I3597" i="3" s="1"/>
  <c r="J3597" i="3" s="1"/>
  <c r="AM109" i="4"/>
  <c r="Y116" i="2" s="1"/>
  <c r="I2572" i="3" s="1"/>
  <c r="J2572" i="3" s="1"/>
  <c r="AJ109" i="4"/>
  <c r="W116" i="2" s="1"/>
  <c r="AB116" i="2"/>
  <c r="I2568" i="3" s="1"/>
  <c r="J2568" i="3" s="1"/>
  <c r="AM41" i="4"/>
  <c r="Y44" i="2" s="1"/>
  <c r="I838" i="3" s="1"/>
  <c r="J838" i="3" s="1"/>
  <c r="AJ41" i="4"/>
  <c r="W44" i="2" s="1"/>
  <c r="AB44" i="2"/>
  <c r="I834" i="3" s="1"/>
  <c r="J834" i="3" s="1"/>
  <c r="AM169" i="4"/>
  <c r="Y176" i="2" s="1"/>
  <c r="I4173" i="3" s="1"/>
  <c r="J4173" i="3" s="1"/>
  <c r="AJ169" i="4"/>
  <c r="W176" i="2" s="1"/>
  <c r="AB176" i="2"/>
  <c r="I4169" i="3" s="1"/>
  <c r="J4169" i="3" s="1"/>
  <c r="AJ103" i="4"/>
  <c r="W106" i="2" s="1"/>
  <c r="AB106" i="2"/>
  <c r="I2537" i="3" s="1"/>
  <c r="J2537" i="3" s="1"/>
  <c r="AM103" i="4"/>
  <c r="AJ136" i="4"/>
  <c r="W143" i="2" s="1"/>
  <c r="AM136" i="4"/>
  <c r="Y143" i="2" s="1"/>
  <c r="I3358" i="3" s="1"/>
  <c r="J3358" i="3" s="1"/>
  <c r="AB143" i="2"/>
  <c r="I3354" i="3" s="1"/>
  <c r="J3354" i="3" s="1"/>
  <c r="AJ191" i="4"/>
  <c r="W198" i="2" s="1"/>
  <c r="AM191" i="4"/>
  <c r="Y198" i="2" s="1"/>
  <c r="I4796" i="3" s="1"/>
  <c r="J4796" i="3" s="1"/>
  <c r="AB198" i="2"/>
  <c r="I4792" i="3" s="1"/>
  <c r="J4792" i="3" s="1"/>
  <c r="AJ199" i="4"/>
  <c r="W206" i="2" s="1"/>
  <c r="AM199" i="4"/>
  <c r="Y206" i="2" s="1"/>
  <c r="I5045" i="3" s="1"/>
  <c r="J5045" i="3" s="1"/>
  <c r="AB206" i="2"/>
  <c r="I5041" i="3" s="1"/>
  <c r="J5041" i="3" s="1"/>
  <c r="AM49" i="4"/>
  <c r="Y52" i="2" s="1"/>
  <c r="I1052" i="3" s="1"/>
  <c r="J1052" i="3" s="1"/>
  <c r="AJ49" i="4"/>
  <c r="W52" i="2" s="1"/>
  <c r="AB52" i="2"/>
  <c r="I1048" i="3" s="1"/>
  <c r="J1048" i="3" s="1"/>
  <c r="AM146" i="4"/>
  <c r="Y153" i="2" s="1"/>
  <c r="I3539" i="3" s="1"/>
  <c r="J3539" i="3" s="1"/>
  <c r="AJ146" i="4"/>
  <c r="W153" i="2" s="1"/>
  <c r="AB153" i="2"/>
  <c r="I3535" i="3" s="1"/>
  <c r="J3535" i="3" s="1"/>
  <c r="AB110" i="2"/>
  <c r="I2930" i="3" s="1"/>
  <c r="J2930" i="3" s="1"/>
  <c r="AJ104" i="4"/>
  <c r="W110" i="2" s="1"/>
  <c r="AM104" i="4"/>
  <c r="Y110" i="2" s="1"/>
  <c r="I2934" i="3" s="1"/>
  <c r="J2934" i="3" s="1"/>
  <c r="AJ99" i="4"/>
  <c r="W102" i="2" s="1"/>
  <c r="AM99" i="4"/>
  <c r="Y102" i="2" s="1"/>
  <c r="I2419" i="3" s="1"/>
  <c r="J2419" i="3" s="1"/>
  <c r="AB102" i="2"/>
  <c r="I2415" i="3" s="1"/>
  <c r="J2415" i="3" s="1"/>
  <c r="AJ121" i="4"/>
  <c r="W126" i="2" s="1"/>
  <c r="AM121" i="4"/>
  <c r="Y126" i="2" s="1"/>
  <c r="I2994" i="3" s="1"/>
  <c r="J2994" i="3" s="1"/>
  <c r="AB126" i="2"/>
  <c r="I2990" i="3" s="1"/>
  <c r="J2990" i="3" s="1"/>
  <c r="AM204" i="4"/>
  <c r="Y211" i="2" s="1"/>
  <c r="I5167" i="3" s="1"/>
  <c r="J5167" i="3" s="1"/>
  <c r="AJ204" i="4"/>
  <c r="W211" i="2" s="1"/>
  <c r="AB211" i="2"/>
  <c r="I5163" i="3" s="1"/>
  <c r="J5163" i="3" s="1"/>
  <c r="AJ45" i="4"/>
  <c r="W48" i="2" s="1"/>
  <c r="AB48" i="2"/>
  <c r="I864" i="3" s="1"/>
  <c r="J864" i="3" s="1"/>
  <c r="AM45" i="4"/>
  <c r="Y48" i="2" s="1"/>
  <c r="I868" i="3" s="1"/>
  <c r="J868" i="3" s="1"/>
  <c r="BT176" i="4"/>
  <c r="AA183" i="2" s="1"/>
  <c r="I4357" i="3" s="1"/>
  <c r="J4357" i="3" s="1"/>
  <c r="Z183" i="2"/>
  <c r="I4358" i="3" s="1"/>
  <c r="J4358" i="3" s="1"/>
  <c r="Z206" i="2"/>
  <c r="I5043" i="3" s="1"/>
  <c r="J5043" i="3" s="1"/>
  <c r="BT199" i="4"/>
  <c r="AA206" i="2" s="1"/>
  <c r="I5042" i="3" s="1"/>
  <c r="J5042" i="3" s="1"/>
  <c r="BT137" i="4"/>
  <c r="AA144" i="2" s="1"/>
  <c r="I3386" i="3" s="1"/>
  <c r="J3386" i="3" s="1"/>
  <c r="Z144" i="2"/>
  <c r="I3387" i="3" s="1"/>
  <c r="J3387" i="3" s="1"/>
  <c r="Z168" i="2"/>
  <c r="I3961" i="3" s="1"/>
  <c r="J3961" i="3" s="1"/>
  <c r="BT161" i="4"/>
  <c r="AA168" i="2" s="1"/>
  <c r="I3960" i="3" s="1"/>
  <c r="J3960" i="3" s="1"/>
  <c r="Z163" i="2"/>
  <c r="I3842" i="3" s="1"/>
  <c r="J3842" i="3" s="1"/>
  <c r="BT156" i="4"/>
  <c r="AA163" i="2" s="1"/>
  <c r="I3841" i="3" s="1"/>
  <c r="J3841" i="3" s="1"/>
  <c r="Z186" i="2"/>
  <c r="I4451" i="3" s="1"/>
  <c r="J4451" i="3" s="1"/>
  <c r="BT179" i="4"/>
  <c r="AA186" i="2" s="1"/>
  <c r="I4450" i="3" s="1"/>
  <c r="J4450" i="3" s="1"/>
  <c r="BT122" i="4"/>
  <c r="AA127" i="2" s="1"/>
  <c r="I3021" i="3" s="1"/>
  <c r="J3021" i="3" s="1"/>
  <c r="Z127" i="2"/>
  <c r="I3022" i="3" s="1"/>
  <c r="J3022" i="3" s="1"/>
  <c r="BT157" i="4"/>
  <c r="AA164" i="2" s="1"/>
  <c r="I3871" i="3" s="1"/>
  <c r="J3871" i="3" s="1"/>
  <c r="Z164" i="2"/>
  <c r="I3872" i="3" s="1"/>
  <c r="J3872" i="3" s="1"/>
  <c r="AM89" i="4"/>
  <c r="Y91" i="2" s="1"/>
  <c r="I2149" i="3" s="1"/>
  <c r="J2149" i="3" s="1"/>
  <c r="AB91" i="2"/>
  <c r="I2145" i="3" s="1"/>
  <c r="J2145" i="3" s="1"/>
  <c r="AJ89" i="4"/>
  <c r="W91" i="2" s="1"/>
  <c r="AJ167" i="4"/>
  <c r="W174" i="2" s="1"/>
  <c r="AM167" i="4"/>
  <c r="Y174" i="2" s="1"/>
  <c r="I4113" i="3" s="1"/>
  <c r="J4113" i="3" s="1"/>
  <c r="AB174" i="2"/>
  <c r="I4109" i="3" s="1"/>
  <c r="J4109" i="3" s="1"/>
  <c r="AJ40" i="4"/>
  <c r="W43" i="2" s="1"/>
  <c r="AM40" i="4"/>
  <c r="Y43" i="2" s="1"/>
  <c r="I808" i="3" s="1"/>
  <c r="J808" i="3" s="1"/>
  <c r="AB43" i="2"/>
  <c r="I804" i="3" s="1"/>
  <c r="J804" i="3" s="1"/>
  <c r="AJ160" i="4"/>
  <c r="W167" i="2" s="1"/>
  <c r="AM160" i="4"/>
  <c r="Y167" i="2" s="1"/>
  <c r="I3933" i="3" s="1"/>
  <c r="J3933" i="3" s="1"/>
  <c r="AB167" i="2"/>
  <c r="I3929" i="3" s="1"/>
  <c r="J3929" i="3" s="1"/>
  <c r="AJ155" i="4"/>
  <c r="W162" i="2" s="1"/>
  <c r="AM155" i="4"/>
  <c r="Y162" i="2" s="1"/>
  <c r="I3813" i="3" s="1"/>
  <c r="J3813" i="3" s="1"/>
  <c r="AB162" i="2"/>
  <c r="I3809" i="3" s="1"/>
  <c r="J3809" i="3" s="1"/>
  <c r="AM147" i="4"/>
  <c r="Y154" i="2" s="1"/>
  <c r="I3570" i="3" s="1"/>
  <c r="J3570" i="3" s="1"/>
  <c r="AB154" i="2"/>
  <c r="I3566" i="3" s="1"/>
  <c r="J3566" i="3" s="1"/>
  <c r="AJ147" i="4"/>
  <c r="W154" i="2" s="1"/>
  <c r="AM187" i="4"/>
  <c r="Y194" i="2" s="1"/>
  <c r="I4701" i="3" s="1"/>
  <c r="J4701" i="3" s="1"/>
  <c r="AJ187" i="4"/>
  <c r="W194" i="2" s="1"/>
  <c r="AB194" i="2"/>
  <c r="I4697" i="3" s="1"/>
  <c r="J4697" i="3" s="1"/>
  <c r="BT186" i="4"/>
  <c r="AA193" i="2" s="1"/>
  <c r="I4667" i="3" s="1"/>
  <c r="J4667" i="3" s="1"/>
  <c r="Z193" i="2"/>
  <c r="I4668" i="3" s="1"/>
  <c r="J4668" i="3" s="1"/>
  <c r="BT169" i="4"/>
  <c r="AA176" i="2" s="1"/>
  <c r="I4170" i="3" s="1"/>
  <c r="J4170" i="3" s="1"/>
  <c r="Z176" i="2"/>
  <c r="I4171" i="3" s="1"/>
  <c r="J4171" i="3" s="1"/>
  <c r="BT41" i="4"/>
  <c r="AA44" i="2" s="1"/>
  <c r="I835" i="3" s="1"/>
  <c r="J835" i="3" s="1"/>
  <c r="Z44" i="2"/>
  <c r="I836" i="3" s="1"/>
  <c r="J836" i="3" s="1"/>
  <c r="Z126" i="2"/>
  <c r="I2992" i="3" s="1"/>
  <c r="J2992" i="3" s="1"/>
  <c r="BT121" i="4"/>
  <c r="AA126" i="2" s="1"/>
  <c r="I2991" i="3" s="1"/>
  <c r="J2991" i="3" s="1"/>
  <c r="Z177" i="2"/>
  <c r="I4202" i="3" s="1"/>
  <c r="J4202" i="3" s="1"/>
  <c r="BT170" i="4"/>
  <c r="AA177" i="2" s="1"/>
  <c r="I4201" i="3" s="1"/>
  <c r="J4201" i="3" s="1"/>
  <c r="Z194" i="2"/>
  <c r="I4699" i="3" s="1"/>
  <c r="J4699" i="3" s="1"/>
  <c r="BT187" i="4"/>
  <c r="AA194" i="2" s="1"/>
  <c r="I4698" i="3" s="1"/>
  <c r="J4698" i="3" s="1"/>
  <c r="BT194" i="4"/>
  <c r="AA201" i="2" s="1"/>
  <c r="I4918" i="3" s="1"/>
  <c r="J4918" i="3" s="1"/>
  <c r="Z201" i="2"/>
  <c r="I4919" i="3" s="1"/>
  <c r="J4919" i="3" s="1"/>
  <c r="BT143" i="4"/>
  <c r="AA150" i="2" s="1"/>
  <c r="I3476" i="3" s="1"/>
  <c r="J3476" i="3" s="1"/>
  <c r="Z150" i="2"/>
  <c r="I3477" i="3" s="1"/>
  <c r="J3477" i="3" s="1"/>
  <c r="AJ15" i="4"/>
  <c r="W16" i="2" s="1"/>
  <c r="AM15" i="4"/>
  <c r="Y16" i="2" s="1"/>
  <c r="I166" i="3" s="1"/>
  <c r="J166" i="3" s="1"/>
  <c r="AB16" i="2"/>
  <c r="I162" i="3" s="1"/>
  <c r="J162" i="3" s="1"/>
  <c r="AJ81" i="4"/>
  <c r="W83" i="2" s="1"/>
  <c r="AB83" i="2"/>
  <c r="I2025" i="3" s="1"/>
  <c r="J2025" i="3" s="1"/>
  <c r="AM81" i="4"/>
  <c r="Y83" i="2" s="1"/>
  <c r="I2029" i="3" s="1"/>
  <c r="J2029" i="3" s="1"/>
  <c r="AJ141" i="4"/>
  <c r="W148" i="2" s="1"/>
  <c r="AB148" i="2"/>
  <c r="I3445" i="3" s="1"/>
  <c r="J3445" i="3" s="1"/>
  <c r="AM141" i="4"/>
  <c r="Y148" i="2" s="1"/>
  <c r="I3449" i="3" s="1"/>
  <c r="J3449" i="3" s="1"/>
  <c r="AJ28" i="4"/>
  <c r="W31" i="2" s="1"/>
  <c r="AM28" i="4"/>
  <c r="Y31" i="2" s="1"/>
  <c r="I534" i="3" s="1"/>
  <c r="J534" i="3" s="1"/>
  <c r="AB31" i="2"/>
  <c r="I530" i="3" s="1"/>
  <c r="J530" i="3" s="1"/>
  <c r="AJ162" i="4"/>
  <c r="W169" i="2" s="1"/>
  <c r="AB169" i="2"/>
  <c r="I3988" i="3" s="1"/>
  <c r="J3988" i="3" s="1"/>
  <c r="AM162" i="4"/>
  <c r="Y169" i="2" s="1"/>
  <c r="I3992" i="3" s="1"/>
  <c r="J3992" i="3" s="1"/>
  <c r="AM55" i="4"/>
  <c r="Y58" i="2" s="1"/>
  <c r="I1207" i="3" s="1"/>
  <c r="J1207" i="3" s="1"/>
  <c r="AJ55" i="4"/>
  <c r="W58" i="2" s="1"/>
  <c r="AB58" i="2"/>
  <c r="I1203" i="3" s="1"/>
  <c r="J1203" i="3" s="1"/>
  <c r="AM107" i="4"/>
  <c r="Y114" i="2" s="1"/>
  <c r="I2780" i="3" s="1"/>
  <c r="J2780" i="3" s="1"/>
  <c r="AJ107" i="4"/>
  <c r="W114" i="2" s="1"/>
  <c r="AB114" i="2"/>
  <c r="I2776" i="3" s="1"/>
  <c r="J2776" i="3" s="1"/>
  <c r="AM193" i="4"/>
  <c r="Y200" i="2" s="1"/>
  <c r="I4889" i="3" s="1"/>
  <c r="J4889" i="3" s="1"/>
  <c r="AJ193" i="4"/>
  <c r="W200" i="2" s="1"/>
  <c r="AB200" i="2"/>
  <c r="I4885" i="3" s="1"/>
  <c r="J4885" i="3" s="1"/>
  <c r="AJ20" i="4"/>
  <c r="W21" i="2" s="1"/>
  <c r="AB21" i="2"/>
  <c r="I281" i="3" s="1"/>
  <c r="J281" i="3" s="1"/>
  <c r="AM20" i="4"/>
  <c r="Y21" i="2" s="1"/>
  <c r="I285" i="3" s="1"/>
  <c r="J285" i="3" s="1"/>
  <c r="AM33" i="4"/>
  <c r="Y36" i="2" s="1"/>
  <c r="I684" i="3" s="1"/>
  <c r="J684" i="3" s="1"/>
  <c r="AJ33" i="4"/>
  <c r="W36" i="2" s="1"/>
  <c r="AB36" i="2"/>
  <c r="I680" i="3" s="1"/>
  <c r="J680" i="3" s="1"/>
  <c r="AJ17" i="4"/>
  <c r="W18" i="2" s="1"/>
  <c r="AM17" i="4"/>
  <c r="Y18" i="2" s="1"/>
  <c r="I225" i="3" s="1"/>
  <c r="J225" i="3" s="1"/>
  <c r="AB18" i="2"/>
  <c r="I221" i="3" s="1"/>
  <c r="J221" i="3" s="1"/>
  <c r="AM44" i="4"/>
  <c r="Y47" i="2" s="1"/>
  <c r="I960" i="3" s="1"/>
  <c r="J960" i="3" s="1"/>
  <c r="AJ44" i="4"/>
  <c r="W47" i="2" s="1"/>
  <c r="AB47" i="2"/>
  <c r="I956" i="3" s="1"/>
  <c r="J956" i="3" s="1"/>
  <c r="AB38" i="2"/>
  <c r="I742" i="3" s="1"/>
  <c r="J742" i="3" s="1"/>
  <c r="AM35" i="4"/>
  <c r="Y38" i="2" s="1"/>
  <c r="I746" i="3" s="1"/>
  <c r="J746" i="3" s="1"/>
  <c r="AJ35" i="4"/>
  <c r="W38" i="2" s="1"/>
  <c r="AB35" i="2"/>
  <c r="I650" i="3" s="1"/>
  <c r="J650" i="3" s="1"/>
  <c r="AJ32" i="4"/>
  <c r="W35" i="2" s="1"/>
  <c r="AM32" i="4"/>
  <c r="Y35" i="2" s="1"/>
  <c r="I654" i="3" s="1"/>
  <c r="J654" i="3" s="1"/>
  <c r="AM157" i="4"/>
  <c r="Y164" i="2" s="1"/>
  <c r="I3874" i="3" s="1"/>
  <c r="J3874" i="3" s="1"/>
  <c r="AJ157" i="4"/>
  <c r="W164" i="2" s="1"/>
  <c r="AB164" i="2"/>
  <c r="I3870" i="3" s="1"/>
  <c r="J3870" i="3" s="1"/>
  <c r="AJ63" i="4"/>
  <c r="W64" i="2" s="1"/>
  <c r="AB64" i="2"/>
  <c r="I1354" i="3" s="1"/>
  <c r="J1354" i="3" s="1"/>
  <c r="AM63" i="4"/>
  <c r="Y64" i="2" s="1"/>
  <c r="I1358" i="3" s="1"/>
  <c r="J1358" i="3" s="1"/>
  <c r="AJ184" i="4"/>
  <c r="W191" i="2" s="1"/>
  <c r="AM184" i="4"/>
  <c r="Y191" i="2" s="1"/>
  <c r="I4609" i="3" s="1"/>
  <c r="J4609" i="3" s="1"/>
  <c r="AB191" i="2"/>
  <c r="I4605" i="3" s="1"/>
  <c r="J4605" i="3" s="1"/>
  <c r="AB54" i="2"/>
  <c r="I1110" i="3" s="1"/>
  <c r="J1110" i="3" s="1"/>
  <c r="AM51" i="4"/>
  <c r="Y54" i="2" s="1"/>
  <c r="I1114" i="3" s="1"/>
  <c r="J1114" i="3" s="1"/>
  <c r="AJ51" i="4"/>
  <c r="W54" i="2" s="1"/>
  <c r="AJ175" i="4"/>
  <c r="W182" i="2" s="1"/>
  <c r="AB182" i="2"/>
  <c r="I4324" i="3" s="1"/>
  <c r="J4324" i="3" s="1"/>
  <c r="AM175" i="4"/>
  <c r="Y182" i="2" s="1"/>
  <c r="I4328" i="3" s="1"/>
  <c r="J4328" i="3" s="1"/>
  <c r="AB139" i="2"/>
  <c r="I3262" i="3" s="1"/>
  <c r="J3262" i="3" s="1"/>
  <c r="AM132" i="4"/>
  <c r="Y139" i="2" s="1"/>
  <c r="I3266" i="3" s="1"/>
  <c r="J3266" i="3" s="1"/>
  <c r="AJ132" i="4"/>
  <c r="W139" i="2" s="1"/>
  <c r="AM42" i="4"/>
  <c r="Y45" i="2" s="1"/>
  <c r="I898" i="3" s="1"/>
  <c r="J898" i="3" s="1"/>
  <c r="AJ42" i="4"/>
  <c r="W45" i="2" s="1"/>
  <c r="AB45" i="2"/>
  <c r="I894" i="3" s="1"/>
  <c r="J894" i="3" s="1"/>
  <c r="Z205" i="2"/>
  <c r="I5012" i="3" s="1"/>
  <c r="J5012" i="3" s="1"/>
  <c r="BT198" i="4"/>
  <c r="AA205" i="2" s="1"/>
  <c r="I5011" i="3" s="1"/>
  <c r="J5011" i="3" s="1"/>
  <c r="BT56" i="4"/>
  <c r="AA59" i="2" s="1"/>
  <c r="I1233" i="3" s="1"/>
  <c r="J1233" i="3" s="1"/>
  <c r="Z59" i="2"/>
  <c r="I1234" i="3" s="1"/>
  <c r="J1234" i="3" s="1"/>
  <c r="BT97" i="4"/>
  <c r="AA101" i="2" s="1"/>
  <c r="I2386" i="3" s="1"/>
  <c r="J2386" i="3" s="1"/>
  <c r="Z101" i="2"/>
  <c r="I2387" i="3" s="1"/>
  <c r="J2387" i="3" s="1"/>
  <c r="Z16" i="2"/>
  <c r="I164" i="3" s="1"/>
  <c r="J164" i="3" s="1"/>
  <c r="BT15" i="4"/>
  <c r="AA16" i="2" s="1"/>
  <c r="I163" i="3" s="1"/>
  <c r="J163" i="3" s="1"/>
  <c r="BT138" i="4"/>
  <c r="AA145" i="2" s="1"/>
  <c r="I3416" i="3" s="1"/>
  <c r="Z145" i="2"/>
  <c r="I3417" i="3" s="1"/>
  <c r="J3417" i="3" s="1"/>
  <c r="BT81" i="4"/>
  <c r="AA83" i="2" s="1"/>
  <c r="I2026" i="3" s="1"/>
  <c r="J2026" i="3" s="1"/>
  <c r="Z83" i="2"/>
  <c r="I2027" i="3" s="1"/>
  <c r="J2027" i="3" s="1"/>
  <c r="BT184" i="4"/>
  <c r="AA191" i="2" s="1"/>
  <c r="I4606" i="3" s="1"/>
  <c r="J4606" i="3" s="1"/>
  <c r="Z191" i="2"/>
  <c r="I4607" i="3" s="1"/>
  <c r="J4607" i="3" s="1"/>
  <c r="Z65" i="2"/>
  <c r="I1387" i="3" s="1"/>
  <c r="J1387" i="3" s="1"/>
  <c r="BT64" i="4"/>
  <c r="AA65" i="2" s="1"/>
  <c r="I1386" i="3" s="1"/>
  <c r="J1386" i="3" s="1"/>
  <c r="Z105" i="2"/>
  <c r="I2508" i="3" s="1"/>
  <c r="J2508" i="3" s="1"/>
  <c r="BT102" i="4"/>
  <c r="AA105" i="2" s="1"/>
  <c r="I2507" i="3" s="1"/>
  <c r="J2507" i="3" s="1"/>
  <c r="BT204" i="4"/>
  <c r="AA211" i="2" s="1"/>
  <c r="I5164" i="3" s="1"/>
  <c r="J5164" i="3" s="1"/>
  <c r="Z211" i="2"/>
  <c r="I5165" i="3" s="1"/>
  <c r="J5165" i="3" s="1"/>
  <c r="BT188" i="4"/>
  <c r="AA195" i="2" s="1"/>
  <c r="I4730" i="3" s="1"/>
  <c r="J4730" i="3" s="1"/>
  <c r="Z195" i="2"/>
  <c r="I4731" i="3" s="1"/>
  <c r="J4731" i="3" s="1"/>
  <c r="BT72" i="4"/>
  <c r="AA73" i="2" s="1"/>
  <c r="I1602" i="3" s="1"/>
  <c r="J1602" i="3" s="1"/>
  <c r="Z73" i="2"/>
  <c r="I1603" i="3" s="1"/>
  <c r="J1603" i="3" s="1"/>
  <c r="Z43" i="2"/>
  <c r="I806" i="3" s="1"/>
  <c r="J806" i="3" s="1"/>
  <c r="BT40" i="4"/>
  <c r="AA43" i="2" s="1"/>
  <c r="I805" i="3" s="1"/>
  <c r="J805" i="3" s="1"/>
  <c r="Z100" i="2"/>
  <c r="I2357" i="3" s="1"/>
  <c r="J2357" i="3" s="1"/>
  <c r="BT96" i="4"/>
  <c r="AA100" i="2" s="1"/>
  <c r="I2356" i="3" s="1"/>
  <c r="J2356" i="3" s="1"/>
  <c r="BT50" i="4"/>
  <c r="AA53" i="2" s="1"/>
  <c r="I1080" i="3" s="1"/>
  <c r="J1080" i="3" s="1"/>
  <c r="Z53" i="2"/>
  <c r="I1081" i="3" s="1"/>
  <c r="J1081" i="3" s="1"/>
  <c r="Z69" i="2"/>
  <c r="I1664" i="3" s="1"/>
  <c r="J1664" i="3" s="1"/>
  <c r="BT68" i="4"/>
  <c r="AA69" i="2" s="1"/>
  <c r="I1663" i="3" s="1"/>
  <c r="J1663" i="3" s="1"/>
  <c r="BT113" i="4"/>
  <c r="AA120" i="2" s="1"/>
  <c r="I2838" i="3" s="1"/>
  <c r="J2838" i="3" s="1"/>
  <c r="Z120" i="2"/>
  <c r="I2839" i="3" s="1"/>
  <c r="J2839" i="3" s="1"/>
  <c r="Z159" i="2"/>
  <c r="I3750" i="3" s="1"/>
  <c r="J3750" i="3" s="1"/>
  <c r="BT152" i="4"/>
  <c r="AA159" i="2" s="1"/>
  <c r="I3749" i="3" s="1"/>
  <c r="J3749" i="3" s="1"/>
  <c r="Z75" i="2"/>
  <c r="BT73" i="4"/>
  <c r="Z74" i="2"/>
  <c r="BT181" i="4"/>
  <c r="AA188" i="2" s="1"/>
  <c r="I4513" i="3" s="1"/>
  <c r="J4513" i="3" s="1"/>
  <c r="Z188" i="2"/>
  <c r="I4514" i="3" s="1"/>
  <c r="J4514" i="3" s="1"/>
  <c r="BT28" i="4"/>
  <c r="AA31" i="2" s="1"/>
  <c r="I531" i="3" s="1"/>
  <c r="J531" i="3" s="1"/>
  <c r="Z31" i="2"/>
  <c r="I532" i="3" s="1"/>
  <c r="J532" i="3" s="1"/>
  <c r="AJ29" i="4"/>
  <c r="W32" i="2" s="1"/>
  <c r="AM29" i="4"/>
  <c r="Y32" i="2" s="1"/>
  <c r="I564" i="3" s="1"/>
  <c r="J564" i="3" s="1"/>
  <c r="AB32" i="2"/>
  <c r="I560" i="3" s="1"/>
  <c r="J560" i="3" s="1"/>
  <c r="AM79" i="4"/>
  <c r="Y85" i="2" s="1"/>
  <c r="I1909" i="3" s="1"/>
  <c r="J1909" i="3" s="1"/>
  <c r="AJ79" i="4"/>
  <c r="W85" i="2" s="1"/>
  <c r="AB85" i="2"/>
  <c r="I1905" i="3" s="1"/>
  <c r="J1905" i="3" s="1"/>
  <c r="AB133" i="2"/>
  <c r="I3142" i="3" s="1"/>
  <c r="J3142" i="3" s="1"/>
  <c r="AM126" i="4"/>
  <c r="Y133" i="2" s="1"/>
  <c r="I3146" i="3" s="1"/>
  <c r="J3146" i="3" s="1"/>
  <c r="AJ126" i="4"/>
  <c r="W133" i="2" s="1"/>
  <c r="AM154" i="4"/>
  <c r="Y161" i="2" s="1"/>
  <c r="I3783" i="3" s="1"/>
  <c r="J3783" i="3" s="1"/>
  <c r="AB161" i="2"/>
  <c r="I3779" i="3" s="1"/>
  <c r="J3779" i="3" s="1"/>
  <c r="AJ154" i="4"/>
  <c r="W161" i="2" s="1"/>
  <c r="AM27" i="4"/>
  <c r="Y30" i="2" s="1"/>
  <c r="I504" i="3" s="1"/>
  <c r="J504" i="3" s="1"/>
  <c r="AJ27" i="4"/>
  <c r="W30" i="2" s="1"/>
  <c r="AB30" i="2"/>
  <c r="I500" i="3" s="1"/>
  <c r="J500" i="3" s="1"/>
  <c r="AJ192" i="4"/>
  <c r="W199" i="2" s="1"/>
  <c r="AM192" i="4"/>
  <c r="Y199" i="2" s="1"/>
  <c r="I4827" i="3" s="1"/>
  <c r="J4827" i="3" s="1"/>
  <c r="AB199" i="2"/>
  <c r="I4823" i="3" s="1"/>
  <c r="J4823" i="3" s="1"/>
  <c r="AJ173" i="4"/>
  <c r="W180" i="2" s="1"/>
  <c r="AM173" i="4"/>
  <c r="Y180" i="2" s="1"/>
  <c r="I4297" i="3" s="1"/>
  <c r="J4297" i="3" s="1"/>
  <c r="AB180" i="2"/>
  <c r="I4293" i="3" s="1"/>
  <c r="J4293" i="3" s="1"/>
  <c r="AJ70" i="4"/>
  <c r="W71" i="2" s="1"/>
  <c r="AM70" i="4"/>
  <c r="Y71" i="2" s="1"/>
  <c r="I1726" i="3" s="1"/>
  <c r="J1726" i="3" s="1"/>
  <c r="AB71" i="2"/>
  <c r="I1722" i="3" s="1"/>
  <c r="J1722" i="3" s="1"/>
  <c r="AJ71" i="4"/>
  <c r="W72" i="2" s="1"/>
  <c r="AM71" i="4"/>
  <c r="Y72" i="2" s="1"/>
  <c r="I1574" i="3" s="1"/>
  <c r="J1574" i="3" s="1"/>
  <c r="AB72" i="2"/>
  <c r="I1570" i="3" s="1"/>
  <c r="J1570" i="3" s="1"/>
  <c r="AJ66" i="4"/>
  <c r="W67" i="2" s="1"/>
  <c r="AM66" i="4"/>
  <c r="Y67" i="2" s="1"/>
  <c r="I1450" i="3" s="1"/>
  <c r="J1450" i="3" s="1"/>
  <c r="AB67" i="2"/>
  <c r="I1446" i="3" s="1"/>
  <c r="J1446" i="3" s="1"/>
  <c r="AM68" i="4"/>
  <c r="Y69" i="2" s="1"/>
  <c r="I1666" i="3" s="1"/>
  <c r="J1666" i="3" s="1"/>
  <c r="AB69" i="2"/>
  <c r="I1662" i="3" s="1"/>
  <c r="J1662" i="3" s="1"/>
  <c r="AJ68" i="4"/>
  <c r="W69" i="2" s="1"/>
  <c r="AM115" i="4"/>
  <c r="Y122" i="2" s="1"/>
  <c r="I2902" i="3" s="1"/>
  <c r="J2902" i="3" s="1"/>
  <c r="AJ115" i="4"/>
  <c r="W122" i="2" s="1"/>
  <c r="AB122" i="2"/>
  <c r="I2898" i="3" s="1"/>
  <c r="J2898" i="3" s="1"/>
  <c r="AJ105" i="4"/>
  <c r="W112" i="2" s="1"/>
  <c r="AM105" i="4"/>
  <c r="Y112" i="2" s="1"/>
  <c r="I2632" i="3" s="1"/>
  <c r="J2632" i="3" s="1"/>
  <c r="AB112" i="2"/>
  <c r="I2628" i="3" s="1"/>
  <c r="J2628" i="3" s="1"/>
  <c r="AM30" i="4"/>
  <c r="Y33" i="2" s="1"/>
  <c r="I594" i="3" s="1"/>
  <c r="J594" i="3" s="1"/>
  <c r="AJ30" i="4"/>
  <c r="W33" i="2" s="1"/>
  <c r="AB33" i="2"/>
  <c r="I590" i="3" s="1"/>
  <c r="J590" i="3" s="1"/>
  <c r="AJ185" i="4"/>
  <c r="W192" i="2" s="1"/>
  <c r="AB192" i="2"/>
  <c r="I4635" i="3" s="1"/>
  <c r="J4635" i="3" s="1"/>
  <c r="AM185" i="4"/>
  <c r="Y192" i="2" s="1"/>
  <c r="I4639" i="3" s="1"/>
  <c r="J4639" i="3" s="1"/>
  <c r="AM101" i="4"/>
  <c r="Y104" i="2" s="1"/>
  <c r="I2449" i="3" s="1"/>
  <c r="J2449" i="3" s="1"/>
  <c r="AJ101" i="4"/>
  <c r="W104" i="2" s="1"/>
  <c r="AB104" i="2"/>
  <c r="I2445" i="3" s="1"/>
  <c r="J2445" i="3" s="1"/>
  <c r="AM38" i="4"/>
  <c r="Y41" i="2" s="1"/>
  <c r="I1817" i="3" s="1"/>
  <c r="J1817" i="3" s="1"/>
  <c r="AJ38" i="4"/>
  <c r="W41" i="2" s="1"/>
  <c r="AB41" i="2"/>
  <c r="I1813" i="3" s="1"/>
  <c r="J1813" i="3" s="1"/>
  <c r="AM135" i="4"/>
  <c r="Y142" i="2" s="1"/>
  <c r="I3327" i="3" s="1"/>
  <c r="J3327" i="3" s="1"/>
  <c r="AB142" i="2"/>
  <c r="I3323" i="3" s="1"/>
  <c r="J3323" i="3" s="1"/>
  <c r="AJ135" i="4"/>
  <c r="W142" i="2" s="1"/>
  <c r="AJ111" i="4"/>
  <c r="W118" i="2" s="1"/>
  <c r="AM111" i="4"/>
  <c r="Y118" i="2" s="1"/>
  <c r="I2661" i="3" s="1"/>
  <c r="J2661" i="3" s="1"/>
  <c r="AB118" i="2"/>
  <c r="I2657" i="3" s="1"/>
  <c r="J2657" i="3" s="1"/>
  <c r="AJ110" i="4"/>
  <c r="W117" i="2" s="1"/>
  <c r="AB117" i="2"/>
  <c r="I2598" i="3" s="1"/>
  <c r="J2598" i="3" s="1"/>
  <c r="AM110" i="4"/>
  <c r="Y117" i="2" s="1"/>
  <c r="I2602" i="3" s="1"/>
  <c r="J2602" i="3" s="1"/>
  <c r="BT42" i="4"/>
  <c r="AA45" i="2" s="1"/>
  <c r="I895" i="3" s="1"/>
  <c r="J895" i="3" s="1"/>
  <c r="Z45" i="2"/>
  <c r="I896" i="3" s="1"/>
  <c r="J896" i="3" s="1"/>
  <c r="BT116" i="4"/>
  <c r="AA111" i="2" s="1"/>
  <c r="I2718" i="3" s="1"/>
  <c r="J2718" i="3" s="1"/>
  <c r="Z111" i="2"/>
  <c r="I2719" i="3" s="1"/>
  <c r="J2719" i="3" s="1"/>
  <c r="Z152" i="2"/>
  <c r="I3507" i="3" s="1"/>
  <c r="J3507" i="3" s="1"/>
  <c r="BT145" i="4"/>
  <c r="AA152" i="2" s="1"/>
  <c r="I3506" i="3" s="1"/>
  <c r="J3506" i="3" s="1"/>
  <c r="BT164" i="4"/>
  <c r="AA171" i="2" s="1"/>
  <c r="I4049" i="3" s="1"/>
  <c r="J4049" i="3" s="1"/>
  <c r="Z171" i="2"/>
  <c r="I4050" i="3" s="1"/>
  <c r="J4050" i="3" s="1"/>
  <c r="BT21" i="4"/>
  <c r="AA22" i="2" s="1"/>
  <c r="I376" i="3" s="1"/>
  <c r="J376" i="3" s="1"/>
  <c r="Z22" i="2"/>
  <c r="I377" i="3" s="1"/>
  <c r="J377" i="3" s="1"/>
  <c r="BT55" i="4"/>
  <c r="AA58" i="2" s="1"/>
  <c r="I1204" i="3" s="1"/>
  <c r="J1204" i="3" s="1"/>
  <c r="Z58" i="2"/>
  <c r="I1205" i="3" s="1"/>
  <c r="J1205" i="3" s="1"/>
  <c r="BT70" i="4"/>
  <c r="AA71" i="2" s="1"/>
  <c r="I1723" i="3" s="1"/>
  <c r="J1723" i="3" s="1"/>
  <c r="Z71" i="2"/>
  <c r="I1724" i="3" s="1"/>
  <c r="J1724" i="3" s="1"/>
  <c r="BT110" i="4"/>
  <c r="AA117" i="2" s="1"/>
  <c r="I2599" i="3" s="1"/>
  <c r="J2599" i="3" s="1"/>
  <c r="Z117" i="2"/>
  <c r="I2600" i="3" s="1"/>
  <c r="J2600" i="3" s="1"/>
  <c r="BT127" i="4"/>
  <c r="AA134" i="2" s="1"/>
  <c r="I3112" i="3" s="1"/>
  <c r="J3112" i="3" s="1"/>
  <c r="Z134" i="2"/>
  <c r="I3113" i="3" s="1"/>
  <c r="J3113" i="3" s="1"/>
  <c r="BT183" i="4"/>
  <c r="AA190" i="2" s="1"/>
  <c r="I4576" i="3" s="1"/>
  <c r="J4576" i="3" s="1"/>
  <c r="Z190" i="2"/>
  <c r="I4577" i="3" s="1"/>
  <c r="J4577" i="3" s="1"/>
  <c r="Z62" i="2"/>
  <c r="I1294" i="3" s="1"/>
  <c r="J1294" i="3" s="1"/>
  <c r="BT61" i="4"/>
  <c r="AA62" i="2" s="1"/>
  <c r="I1293" i="3" s="1"/>
  <c r="J1293" i="3" s="1"/>
  <c r="Z207" i="2"/>
  <c r="I5073" i="3" s="1"/>
  <c r="J5073" i="3" s="1"/>
  <c r="BT200" i="4"/>
  <c r="AA207" i="2" s="1"/>
  <c r="I5072" i="3" s="1"/>
  <c r="J5072" i="3" s="1"/>
  <c r="Z63" i="2"/>
  <c r="I1325" i="3" s="1"/>
  <c r="J1325" i="3" s="1"/>
  <c r="BT62" i="4"/>
  <c r="AA63" i="2" s="1"/>
  <c r="I1324" i="3" s="1"/>
  <c r="J1324" i="3" s="1"/>
  <c r="BT53" i="4"/>
  <c r="AA56" i="2" s="1"/>
  <c r="I1142" i="3" s="1"/>
  <c r="J1142" i="3" s="1"/>
  <c r="Z56" i="2"/>
  <c r="I1143" i="3" s="1"/>
  <c r="J1143" i="3" s="1"/>
  <c r="BT80" i="4"/>
  <c r="AA86" i="2" s="1"/>
  <c r="I1936" i="3" s="1"/>
  <c r="J1936" i="3" s="1"/>
  <c r="Z86" i="2"/>
  <c r="I1937" i="3" s="1"/>
  <c r="J1937" i="3" s="1"/>
  <c r="Z30" i="2"/>
  <c r="I502" i="3" s="1"/>
  <c r="J502" i="3" s="1"/>
  <c r="BT27" i="4"/>
  <c r="AA30" i="2" s="1"/>
  <c r="I501" i="3" s="1"/>
  <c r="J501" i="3" s="1"/>
  <c r="BT119" i="4"/>
  <c r="AA129" i="2" s="1"/>
  <c r="I1477" i="3" s="1"/>
  <c r="J1477" i="3" s="1"/>
  <c r="Z129" i="2"/>
  <c r="I1478" i="3" s="1"/>
  <c r="J1478" i="3" s="1"/>
  <c r="Z35" i="2"/>
  <c r="I652" i="3" s="1"/>
  <c r="J652" i="3" s="1"/>
  <c r="BT32" i="4"/>
  <c r="AA35" i="2" s="1"/>
  <c r="I651" i="3" s="1"/>
  <c r="J651" i="3" s="1"/>
  <c r="BT175" i="4"/>
  <c r="AA182" i="2" s="1"/>
  <c r="I4325" i="3" s="1"/>
  <c r="J4325" i="3" s="1"/>
  <c r="Z182" i="2"/>
  <c r="I4326" i="3" s="1"/>
  <c r="J4326" i="3" s="1"/>
  <c r="Z103" i="2"/>
  <c r="I2477" i="3" s="1"/>
  <c r="J2477" i="3" s="1"/>
  <c r="BT100" i="4"/>
  <c r="AA103" i="2" s="1"/>
  <c r="I2476" i="3" s="1"/>
  <c r="J2476" i="3" s="1"/>
  <c r="Z66" i="2"/>
  <c r="I1418" i="3" s="1"/>
  <c r="J1418" i="3" s="1"/>
  <c r="BT65" i="4"/>
  <c r="AA66" i="2" s="1"/>
  <c r="I1417" i="3" s="1"/>
  <c r="J1417" i="3" s="1"/>
  <c r="BT158" i="4"/>
  <c r="AA165" i="2" s="1"/>
  <c r="Z165" i="2"/>
  <c r="AM170" i="4"/>
  <c r="Y177" i="2" s="1"/>
  <c r="I4204" i="3" s="1"/>
  <c r="J4204" i="3" s="1"/>
  <c r="AJ170" i="4"/>
  <c r="W177" i="2" s="1"/>
  <c r="AB177" i="2"/>
  <c r="I4200" i="3" s="1"/>
  <c r="J4200" i="3" s="1"/>
  <c r="AM195" i="4"/>
  <c r="Y202" i="2" s="1"/>
  <c r="I4953" i="3" s="1"/>
  <c r="J4953" i="3" s="1"/>
  <c r="AB202" i="2"/>
  <c r="I4949" i="3" s="1"/>
  <c r="J4949" i="3" s="1"/>
  <c r="AJ195" i="4"/>
  <c r="W202" i="2" s="1"/>
  <c r="AJ108" i="4"/>
  <c r="W115" i="2" s="1"/>
  <c r="AM108" i="4"/>
  <c r="Y115" i="2" s="1"/>
  <c r="I2810" i="3" s="1"/>
  <c r="J2810" i="3" s="1"/>
  <c r="AB115" i="2"/>
  <c r="I2806" i="3" s="1"/>
  <c r="J2806" i="3" s="1"/>
  <c r="AM48" i="4"/>
  <c r="Y51" i="2" s="1"/>
  <c r="I1021" i="3" s="1"/>
  <c r="J1021" i="3" s="1"/>
  <c r="AJ48" i="4"/>
  <c r="W51" i="2" s="1"/>
  <c r="AB51" i="2"/>
  <c r="I1017" i="3" s="1"/>
  <c r="J1017" i="3" s="1"/>
  <c r="AM124" i="4"/>
  <c r="Y132" i="2" s="1"/>
  <c r="I3054" i="3" s="1"/>
  <c r="J3054" i="3" s="1"/>
  <c r="AJ124" i="4"/>
  <c r="W132" i="2" s="1"/>
  <c r="AB132" i="2"/>
  <c r="I3050" i="3" s="1"/>
  <c r="J3050" i="3" s="1"/>
  <c r="AB63" i="2"/>
  <c r="I1323" i="3" s="1"/>
  <c r="J1323" i="3" s="1"/>
  <c r="AJ62" i="4"/>
  <c r="W63" i="2" s="1"/>
  <c r="AM62" i="4"/>
  <c r="Y63" i="2" s="1"/>
  <c r="I1327" i="3" s="1"/>
  <c r="J1327" i="3" s="1"/>
  <c r="AJ116" i="4"/>
  <c r="W111" i="2" s="1"/>
  <c r="AM116" i="4"/>
  <c r="Y111" i="2" s="1"/>
  <c r="I2721" i="3" s="1"/>
  <c r="J2721" i="3" s="1"/>
  <c r="AB111" i="2"/>
  <c r="I2717" i="3" s="1"/>
  <c r="J2717" i="3" s="1"/>
  <c r="AB81" i="2"/>
  <c r="AB80" i="2"/>
  <c r="I1844" i="3" s="1"/>
  <c r="J1844" i="3" s="1"/>
  <c r="AJ87" i="4"/>
  <c r="AM87" i="4"/>
  <c r="AJ152" i="4"/>
  <c r="W159" i="2" s="1"/>
  <c r="AM152" i="4"/>
  <c r="Y159" i="2" s="1"/>
  <c r="I3752" i="3" s="1"/>
  <c r="J3752" i="3" s="1"/>
  <c r="AB159" i="2"/>
  <c r="I3748" i="3" s="1"/>
  <c r="J3748" i="3" s="1"/>
  <c r="AJ92" i="4"/>
  <c r="W95" i="2" s="1"/>
  <c r="AM92" i="4"/>
  <c r="Y95" i="2" s="1"/>
  <c r="I2239" i="3" s="1"/>
  <c r="J2239" i="3" s="1"/>
  <c r="AB95" i="2"/>
  <c r="I2235" i="3" s="1"/>
  <c r="J2235" i="3" s="1"/>
  <c r="AB155" i="2"/>
  <c r="I3596" i="3" s="1"/>
  <c r="J3596" i="3" s="1"/>
  <c r="AJ148" i="4"/>
  <c r="W155" i="2" s="1"/>
  <c r="AM148" i="4"/>
  <c r="Y155" i="2" s="1"/>
  <c r="I3600" i="3" s="1"/>
  <c r="J3600" i="3" s="1"/>
  <c r="AM163" i="4"/>
  <c r="Y170" i="2" s="1"/>
  <c r="I4021" i="3" s="1"/>
  <c r="J4021" i="3" s="1"/>
  <c r="AB170" i="2"/>
  <c r="I4017" i="3" s="1"/>
  <c r="J4017" i="3" s="1"/>
  <c r="AJ163" i="4"/>
  <c r="W170" i="2" s="1"/>
  <c r="AJ171" i="4"/>
  <c r="W178" i="2" s="1"/>
  <c r="AM171" i="4"/>
  <c r="Y178" i="2" s="1"/>
  <c r="I4235" i="3" s="1"/>
  <c r="J4235" i="3" s="1"/>
  <c r="AB178" i="2"/>
  <c r="I4231" i="3" s="1"/>
  <c r="J4231" i="3" s="1"/>
  <c r="AM90" i="4"/>
  <c r="Y93" i="2" s="1"/>
  <c r="I2179" i="3" s="1"/>
  <c r="J2179" i="3" s="1"/>
  <c r="AJ90" i="4"/>
  <c r="W93" i="2" s="1"/>
  <c r="AB93" i="2"/>
  <c r="I2175" i="3" s="1"/>
  <c r="J2175" i="3" s="1"/>
  <c r="AJ64" i="4"/>
  <c r="W65" i="2" s="1"/>
  <c r="AB65" i="2"/>
  <c r="I1385" i="3" s="1"/>
  <c r="J1385" i="3" s="1"/>
  <c r="AM64" i="4"/>
  <c r="Y65" i="2" s="1"/>
  <c r="I1389" i="3" s="1"/>
  <c r="J1389" i="3" s="1"/>
  <c r="AB171" i="2"/>
  <c r="I4048" i="3" s="1"/>
  <c r="J4048" i="3" s="1"/>
  <c r="AJ164" i="4"/>
  <c r="W171" i="2" s="1"/>
  <c r="AM164" i="4"/>
  <c r="AJ65" i="4"/>
  <c r="W66" i="2" s="1"/>
  <c r="AB66" i="2"/>
  <c r="I1416" i="3" s="1"/>
  <c r="J1416" i="3" s="1"/>
  <c r="AM65" i="4"/>
  <c r="Y66" i="2" s="1"/>
  <c r="I1420" i="3" s="1"/>
  <c r="J1420" i="3" s="1"/>
  <c r="AM137" i="4"/>
  <c r="Y144" i="2" s="1"/>
  <c r="I3389" i="3" s="1"/>
  <c r="J3389" i="3" s="1"/>
  <c r="AJ137" i="4"/>
  <c r="W144" i="2" s="1"/>
  <c r="AB144" i="2"/>
  <c r="I3385" i="3" s="1"/>
  <c r="J3385" i="3" s="1"/>
  <c r="AM13" i="4"/>
  <c r="Y14" i="2" s="1"/>
  <c r="I104" i="3" s="1"/>
  <c r="J104" i="3" s="1"/>
  <c r="AJ13" i="4"/>
  <c r="W14" i="2" s="1"/>
  <c r="AB14" i="2"/>
  <c r="I100" i="3" s="1"/>
  <c r="J100" i="3" s="1"/>
  <c r="AJ76" i="4"/>
  <c r="W78" i="2" s="1"/>
  <c r="AM76" i="4"/>
  <c r="Y78" i="2" s="1"/>
  <c r="I1757" i="3" s="1"/>
  <c r="J1757" i="3" s="1"/>
  <c r="AB78" i="2"/>
  <c r="I1753" i="3" s="1"/>
  <c r="J1753" i="3" s="1"/>
  <c r="AN213" i="2"/>
  <c r="Z210" i="2"/>
  <c r="I5195" i="3" s="1"/>
  <c r="J5195" i="3" s="1"/>
  <c r="BT203" i="4"/>
  <c r="AA210" i="2" s="1"/>
  <c r="I5194" i="3" s="1"/>
  <c r="J5194" i="3" s="1"/>
  <c r="BT136" i="4"/>
  <c r="AA143" i="2" s="1"/>
  <c r="I3355" i="3" s="1"/>
  <c r="J3355" i="3" s="1"/>
  <c r="Z143" i="2"/>
  <c r="I3356" i="3" s="1"/>
  <c r="J3356" i="3" s="1"/>
  <c r="BU205" i="4"/>
  <c r="BT9" i="4"/>
  <c r="Z10" i="2"/>
  <c r="Z209" i="2"/>
  <c r="I5135" i="3" s="1"/>
  <c r="J5135" i="3" s="1"/>
  <c r="BT202" i="4"/>
  <c r="AA209" i="2" s="1"/>
  <c r="I5134" i="3" s="1"/>
  <c r="J5134" i="3" s="1"/>
  <c r="BT25" i="4"/>
  <c r="AA24" i="2" s="1"/>
  <c r="I470" i="3" s="1"/>
  <c r="J470" i="3" s="1"/>
  <c r="Z24" i="2"/>
  <c r="I471" i="3" s="1"/>
  <c r="J471" i="3" s="1"/>
  <c r="Z68" i="2"/>
  <c r="I1634" i="3" s="1"/>
  <c r="J1634" i="3" s="1"/>
  <c r="BT67" i="4"/>
  <c r="AA68" i="2" s="1"/>
  <c r="I1633" i="3" s="1"/>
  <c r="J1633" i="3" s="1"/>
  <c r="Z84" i="2"/>
  <c r="I2057" i="3" s="1"/>
  <c r="J2057" i="3" s="1"/>
  <c r="BT85" i="4"/>
  <c r="AA84" i="2" s="1"/>
  <c r="I2056" i="3" s="1"/>
  <c r="J2056" i="3" s="1"/>
  <c r="BT12" i="4"/>
  <c r="AA13" i="2" s="1"/>
  <c r="I72" i="3" s="1"/>
  <c r="J72" i="3" s="1"/>
  <c r="Z13" i="2"/>
  <c r="I73" i="3" s="1"/>
  <c r="J73" i="3" s="1"/>
  <c r="BT94" i="4"/>
  <c r="AA97" i="2" s="1"/>
  <c r="I2266" i="3" s="1"/>
  <c r="J2266" i="3" s="1"/>
  <c r="Z97" i="2"/>
  <c r="BT192" i="4"/>
  <c r="AA199" i="2" s="1"/>
  <c r="I4824" i="3" s="1"/>
  <c r="J4824" i="3" s="1"/>
  <c r="Z199" i="2"/>
  <c r="I4825" i="3" s="1"/>
  <c r="J4825" i="3" s="1"/>
  <c r="BT101" i="4"/>
  <c r="AA104" i="2" s="1"/>
  <c r="I2446" i="3" s="1"/>
  <c r="J2446" i="3" s="1"/>
  <c r="Z104" i="2"/>
  <c r="I2447" i="3" s="1"/>
  <c r="J2447" i="3" s="1"/>
  <c r="BT151" i="4"/>
  <c r="AA158" i="2" s="1"/>
  <c r="I3687" i="3" s="1"/>
  <c r="J3687" i="3" s="1"/>
  <c r="Z158" i="2"/>
  <c r="I3688" i="3" s="1"/>
  <c r="J3688" i="3" s="1"/>
  <c r="Z148" i="2"/>
  <c r="I3447" i="3" s="1"/>
  <c r="J3447" i="3" s="1"/>
  <c r="BT141" i="4"/>
  <c r="AA148" i="2" s="1"/>
  <c r="I3446" i="3" s="1"/>
  <c r="J3446" i="3" s="1"/>
  <c r="Z174" i="2"/>
  <c r="I4111" i="3" s="1"/>
  <c r="J4111" i="3" s="1"/>
  <c r="BT167" i="4"/>
  <c r="AA174" i="2" s="1"/>
  <c r="I4110" i="3" s="1"/>
  <c r="J4110" i="3" s="1"/>
  <c r="Z87" i="2"/>
  <c r="I1967" i="3" s="1"/>
  <c r="J1967" i="3" s="1"/>
  <c r="BT82" i="4"/>
  <c r="AA87" i="2" s="1"/>
  <c r="I1966" i="3" s="1"/>
  <c r="J1966" i="3" s="1"/>
  <c r="Z46" i="2"/>
  <c r="I926" i="3" s="1"/>
  <c r="J926" i="3" s="1"/>
  <c r="BT43" i="4"/>
  <c r="AA46" i="2" s="1"/>
  <c r="I925" i="3" s="1"/>
  <c r="J925" i="3" s="1"/>
  <c r="BT180" i="4"/>
  <c r="AA187" i="2" s="1"/>
  <c r="I4481" i="3" s="1"/>
  <c r="J4481" i="3" s="1"/>
  <c r="Z187" i="2"/>
  <c r="I4482" i="3" s="1"/>
  <c r="J4482" i="3" s="1"/>
  <c r="Z52" i="2"/>
  <c r="I1050" i="3" s="1"/>
  <c r="J1050" i="3" s="1"/>
  <c r="BT49" i="4"/>
  <c r="AA52" i="2" s="1"/>
  <c r="I1049" i="3" s="1"/>
  <c r="J1049" i="3" s="1"/>
  <c r="Z119" i="2"/>
  <c r="I2689" i="3" s="1"/>
  <c r="J2689" i="3" s="1"/>
  <c r="BT112" i="4"/>
  <c r="AA119" i="2" s="1"/>
  <c r="I2688" i="3" s="1"/>
  <c r="J2688" i="3" s="1"/>
  <c r="BT17" i="4"/>
  <c r="AA18" i="2" s="1"/>
  <c r="I222" i="3" s="1"/>
  <c r="J222" i="3" s="1"/>
  <c r="Z18" i="2"/>
  <c r="I223" i="3" s="1"/>
  <c r="J223" i="3" s="1"/>
  <c r="BT45" i="4"/>
  <c r="AA48" i="2" s="1"/>
  <c r="I865" i="3" s="1"/>
  <c r="J865" i="3" s="1"/>
  <c r="Z48" i="2"/>
  <c r="I866" i="3" s="1"/>
  <c r="J866" i="3" s="1"/>
  <c r="J3416" i="3" l="1"/>
  <c r="J3415" i="3"/>
  <c r="AN215" i="2"/>
  <c r="J4369" i="3"/>
  <c r="J4374" i="3" s="1"/>
  <c r="K4374" i="3" s="1"/>
  <c r="AK183" i="2"/>
  <c r="AR183" i="2" s="1"/>
  <c r="J2367" i="3"/>
  <c r="J2372" i="3" s="1"/>
  <c r="K2372" i="3" s="1"/>
  <c r="AK11" i="2"/>
  <c r="AP11" i="2" s="1"/>
  <c r="J52" i="3"/>
  <c r="J57" i="3" s="1"/>
  <c r="K57" i="3" s="1"/>
  <c r="Y75" i="2"/>
  <c r="Y74" i="2"/>
  <c r="I1544" i="3" s="1"/>
  <c r="J1544" i="3" s="1"/>
  <c r="I11" i="3"/>
  <c r="J11" i="3" s="1"/>
  <c r="AK115" i="2"/>
  <c r="I2805" i="3"/>
  <c r="J2805" i="3" s="1"/>
  <c r="J2818" i="3" s="1"/>
  <c r="J2823" i="3" s="1"/>
  <c r="K2823" i="3" s="1"/>
  <c r="I2656" i="3"/>
  <c r="J2656" i="3" s="1"/>
  <c r="J2669" i="3" s="1"/>
  <c r="J2674" i="3" s="1"/>
  <c r="K2674" i="3" s="1"/>
  <c r="AK118" i="2"/>
  <c r="I2444" i="3"/>
  <c r="J2444" i="3" s="1"/>
  <c r="J2457" i="3" s="1"/>
  <c r="J2462" i="3" s="1"/>
  <c r="K2462" i="3" s="1"/>
  <c r="AK104" i="2"/>
  <c r="I4604" i="3"/>
  <c r="J4604" i="3" s="1"/>
  <c r="J4618" i="3" s="1"/>
  <c r="J4623" i="3" s="1"/>
  <c r="K4623" i="3" s="1"/>
  <c r="AK191" i="2"/>
  <c r="I649" i="3"/>
  <c r="J649" i="3" s="1"/>
  <c r="J662" i="3" s="1"/>
  <c r="J667" i="3" s="1"/>
  <c r="K667" i="3" s="1"/>
  <c r="AK35" i="2"/>
  <c r="I280" i="3"/>
  <c r="J280" i="3" s="1"/>
  <c r="J293" i="3" s="1"/>
  <c r="J298" i="3" s="1"/>
  <c r="K298" i="3" s="1"/>
  <c r="AK21" i="2"/>
  <c r="AK58" i="2"/>
  <c r="I1202" i="3"/>
  <c r="J1202" i="3" s="1"/>
  <c r="J1215" i="3" s="1"/>
  <c r="J1220" i="3" s="1"/>
  <c r="K1220" i="3" s="1"/>
  <c r="I161" i="3"/>
  <c r="J161" i="3" s="1"/>
  <c r="J174" i="3" s="1"/>
  <c r="J179" i="3" s="1"/>
  <c r="K179" i="3" s="1"/>
  <c r="AK16" i="2"/>
  <c r="I2989" i="3"/>
  <c r="J2989" i="3" s="1"/>
  <c r="J3002" i="3" s="1"/>
  <c r="J3007" i="3" s="1"/>
  <c r="K3007" i="3" s="1"/>
  <c r="AK126" i="2"/>
  <c r="I3534" i="3"/>
  <c r="J3534" i="3" s="1"/>
  <c r="J3547" i="3" s="1"/>
  <c r="J3552" i="3" s="1"/>
  <c r="K3552" i="3" s="1"/>
  <c r="AK153" i="2"/>
  <c r="I2536" i="3"/>
  <c r="J2536" i="3" s="1"/>
  <c r="J2549" i="3" s="1"/>
  <c r="J2554" i="3" s="1"/>
  <c r="K2554" i="3" s="1"/>
  <c r="AK106" i="2"/>
  <c r="I2567" i="3"/>
  <c r="J2567" i="3" s="1"/>
  <c r="J2580" i="3" s="1"/>
  <c r="J2585" i="3" s="1"/>
  <c r="K2585" i="3" s="1"/>
  <c r="AK116" i="2"/>
  <c r="AK113" i="2"/>
  <c r="I2745" i="3"/>
  <c r="J2745" i="3" s="1"/>
  <c r="J2758" i="3" s="1"/>
  <c r="J2763" i="3" s="1"/>
  <c r="K2763" i="3" s="1"/>
  <c r="I3474" i="3"/>
  <c r="J3474" i="3" s="1"/>
  <c r="J3487" i="3" s="1"/>
  <c r="J3492" i="3" s="1"/>
  <c r="K3492" i="3" s="1"/>
  <c r="AK150" i="2"/>
  <c r="AK53" i="2"/>
  <c r="I1078" i="3"/>
  <c r="J1078" i="3" s="1"/>
  <c r="J1091" i="3" s="1"/>
  <c r="J1096" i="3" s="1"/>
  <c r="K1096" i="3" s="1"/>
  <c r="I3899" i="3"/>
  <c r="J3899" i="3" s="1"/>
  <c r="J3912" i="3" s="1"/>
  <c r="J3917" i="3" s="1"/>
  <c r="K3917" i="3" s="1"/>
  <c r="AK166" i="2"/>
  <c r="AK37" i="2"/>
  <c r="I4479" i="3"/>
  <c r="J4479" i="3" s="1"/>
  <c r="J4493" i="3" s="1"/>
  <c r="J4498" i="3" s="1"/>
  <c r="K4498" i="3" s="1"/>
  <c r="AK187" i="2"/>
  <c r="AK105" i="2"/>
  <c r="I2505" i="3"/>
  <c r="J2505" i="3" s="1"/>
  <c r="J2518" i="3" s="1"/>
  <c r="J2523" i="3" s="1"/>
  <c r="K2523" i="3" s="1"/>
  <c r="I4916" i="3"/>
  <c r="J4916" i="3" s="1"/>
  <c r="J4930" i="3" s="1"/>
  <c r="J4935" i="3" s="1"/>
  <c r="K4935" i="3" s="1"/>
  <c r="AK201" i="2"/>
  <c r="I3231" i="3"/>
  <c r="J3231" i="3" s="1"/>
  <c r="J3244" i="3" s="1"/>
  <c r="J3249" i="3" s="1"/>
  <c r="K3249" i="3" s="1"/>
  <c r="AK137" i="2"/>
  <c r="AK17" i="2"/>
  <c r="I190" i="3"/>
  <c r="J190" i="3" s="1"/>
  <c r="J203" i="3" s="1"/>
  <c r="J208" i="3" s="1"/>
  <c r="K208" i="3" s="1"/>
  <c r="I1170" i="3"/>
  <c r="J1170" i="3" s="1"/>
  <c r="J1183" i="3" s="1"/>
  <c r="J1188" i="3" s="1"/>
  <c r="K1188" i="3" s="1"/>
  <c r="AK57" i="2"/>
  <c r="I3655" i="3"/>
  <c r="J3655" i="3" s="1"/>
  <c r="J3668" i="3" s="1"/>
  <c r="J3673" i="3" s="1"/>
  <c r="K3673" i="3" s="1"/>
  <c r="AK157" i="2"/>
  <c r="AA10" i="2"/>
  <c r="I10" i="3" s="1"/>
  <c r="J10" i="3" s="1"/>
  <c r="J21" i="3" s="1"/>
  <c r="J26" i="3" s="1"/>
  <c r="K26" i="3" s="1"/>
  <c r="BT205" i="4"/>
  <c r="I3384" i="3"/>
  <c r="J3384" i="3" s="1"/>
  <c r="J3397" i="3" s="1"/>
  <c r="J3402" i="3" s="1"/>
  <c r="K3402" i="3" s="1"/>
  <c r="AK144" i="2"/>
  <c r="I4230" i="3"/>
  <c r="J4230" i="3" s="1"/>
  <c r="J4244" i="3" s="1"/>
  <c r="J4249" i="3" s="1"/>
  <c r="K4249" i="3" s="1"/>
  <c r="AK178" i="2"/>
  <c r="I3049" i="3"/>
  <c r="J3049" i="3" s="1"/>
  <c r="J3062" i="3" s="1"/>
  <c r="J3067" i="3" s="1"/>
  <c r="K3067" i="3" s="1"/>
  <c r="AK132" i="2"/>
  <c r="I4948" i="3"/>
  <c r="J4948" i="3" s="1"/>
  <c r="J4962" i="3" s="1"/>
  <c r="J4967" i="3" s="1"/>
  <c r="K4967" i="3" s="1"/>
  <c r="AK202" i="2"/>
  <c r="I3322" i="3"/>
  <c r="J3322" i="3" s="1"/>
  <c r="J3335" i="3" s="1"/>
  <c r="J3340" i="3" s="1"/>
  <c r="K3340" i="3" s="1"/>
  <c r="AK142" i="2"/>
  <c r="I1721" i="3"/>
  <c r="J1721" i="3" s="1"/>
  <c r="J1734" i="3" s="1"/>
  <c r="J1739" i="3" s="1"/>
  <c r="K1739" i="3" s="1"/>
  <c r="AK71" i="2"/>
  <c r="I499" i="3"/>
  <c r="J499" i="3" s="1"/>
  <c r="J512" i="3" s="1"/>
  <c r="J517" i="3" s="1"/>
  <c r="K517" i="3" s="1"/>
  <c r="AK30" i="2"/>
  <c r="AK162" i="2"/>
  <c r="I3808" i="3"/>
  <c r="J3808" i="3" s="1"/>
  <c r="J3821" i="3" s="1"/>
  <c r="J3826" i="3" s="1"/>
  <c r="K3826" i="3" s="1"/>
  <c r="I2294" i="3"/>
  <c r="J2294" i="3" s="1"/>
  <c r="J2307" i="3" s="1"/>
  <c r="J2312" i="3" s="1"/>
  <c r="K2312" i="3" s="1"/>
  <c r="AK99" i="2"/>
  <c r="I4543" i="3"/>
  <c r="J4543" i="3" s="1"/>
  <c r="J4557" i="3" s="1"/>
  <c r="J4562" i="3" s="1"/>
  <c r="K4562" i="3" s="1"/>
  <c r="AK189" i="2"/>
  <c r="I986" i="3"/>
  <c r="J986" i="3" s="1"/>
  <c r="J999" i="3" s="1"/>
  <c r="J1004" i="3" s="1"/>
  <c r="K1004" i="3" s="1"/>
  <c r="AK50" i="2"/>
  <c r="I70" i="3"/>
  <c r="J70" i="3" s="1"/>
  <c r="J83" i="3" s="1"/>
  <c r="J88" i="3" s="1"/>
  <c r="K88" i="3" s="1"/>
  <c r="AK13" i="2"/>
  <c r="I4138" i="3"/>
  <c r="J4138" i="3" s="1"/>
  <c r="J4152" i="3" s="1"/>
  <c r="J4157" i="3" s="1"/>
  <c r="K4157" i="3" s="1"/>
  <c r="AK175" i="2"/>
  <c r="AK124" i="2"/>
  <c r="I2959" i="3"/>
  <c r="J2959" i="3" s="1"/>
  <c r="J2972" i="3" s="1"/>
  <c r="J2977" i="3" s="1"/>
  <c r="K2977" i="3" s="1"/>
  <c r="J723" i="3"/>
  <c r="J728" i="3" s="1"/>
  <c r="K728" i="3" s="1"/>
  <c r="I251" i="3"/>
  <c r="J251" i="3" s="1"/>
  <c r="J264" i="3" s="1"/>
  <c r="J269" i="3" s="1"/>
  <c r="K269" i="3" s="1"/>
  <c r="AK19" i="2"/>
  <c r="AK62" i="2"/>
  <c r="I1291" i="3"/>
  <c r="J1291" i="3" s="1"/>
  <c r="J1304" i="3" s="1"/>
  <c r="J1309" i="3" s="1"/>
  <c r="K1309" i="3" s="1"/>
  <c r="I2114" i="3"/>
  <c r="J2114" i="3" s="1"/>
  <c r="J2127" i="3" s="1"/>
  <c r="J2132" i="3" s="1"/>
  <c r="K2132" i="3" s="1"/>
  <c r="AK90" i="2"/>
  <c r="I1846" i="3"/>
  <c r="J1846" i="3" s="1"/>
  <c r="I1263" i="3"/>
  <c r="J1263" i="3" s="1"/>
  <c r="J1273" i="3" s="1"/>
  <c r="J1278" i="3" s="1"/>
  <c r="K1278" i="3" s="1"/>
  <c r="AK61" i="2"/>
  <c r="AK89" i="2"/>
  <c r="I2084" i="3"/>
  <c r="J2084" i="3" s="1"/>
  <c r="J2097" i="3" s="1"/>
  <c r="J2102" i="3" s="1"/>
  <c r="K2102" i="3" s="1"/>
  <c r="I5009" i="3"/>
  <c r="J5009" i="3" s="1"/>
  <c r="J5023" i="3" s="1"/>
  <c r="J5028" i="3" s="1"/>
  <c r="K5028" i="3" s="1"/>
  <c r="AK205" i="2"/>
  <c r="AK112" i="2"/>
  <c r="I2627" i="3"/>
  <c r="J2627" i="3" s="1"/>
  <c r="J2640" i="3" s="1"/>
  <c r="J2645" i="3" s="1"/>
  <c r="K2645" i="3" s="1"/>
  <c r="I4323" i="3"/>
  <c r="J4323" i="3" s="1"/>
  <c r="J4337" i="3" s="1"/>
  <c r="J4342" i="3" s="1"/>
  <c r="K4342" i="3" s="1"/>
  <c r="AK182" i="2"/>
  <c r="I3839" i="3"/>
  <c r="J3839" i="3" s="1"/>
  <c r="J3852" i="3" s="1"/>
  <c r="J3857" i="3" s="1"/>
  <c r="K3857" i="3" s="1"/>
  <c r="AK163" i="2"/>
  <c r="I1874" i="3"/>
  <c r="J1874" i="3" s="1"/>
  <c r="J1887" i="3" s="1"/>
  <c r="J1892" i="3" s="1"/>
  <c r="K1892" i="3" s="1"/>
  <c r="AK82" i="2"/>
  <c r="AK68" i="2"/>
  <c r="I1631" i="3"/>
  <c r="J1631" i="3" s="1"/>
  <c r="J1644" i="3" s="1"/>
  <c r="J1649" i="3" s="1"/>
  <c r="K1649" i="3" s="1"/>
  <c r="I468" i="3"/>
  <c r="J468" i="3" s="1"/>
  <c r="J481" i="3" s="1"/>
  <c r="J486" i="3" s="1"/>
  <c r="K486" i="3" s="1"/>
  <c r="AK24" i="2"/>
  <c r="AK65" i="2"/>
  <c r="I1384" i="3"/>
  <c r="J1384" i="3" s="1"/>
  <c r="J1397" i="3" s="1"/>
  <c r="J1402" i="3" s="1"/>
  <c r="K1402" i="3" s="1"/>
  <c r="I3778" i="3"/>
  <c r="J3778" i="3" s="1"/>
  <c r="J3791" i="3" s="1"/>
  <c r="J3796" i="3" s="1"/>
  <c r="K3796" i="3" s="1"/>
  <c r="AK161" i="2"/>
  <c r="AK45" i="2"/>
  <c r="I893" i="3"/>
  <c r="J893" i="3" s="1"/>
  <c r="J906" i="3" s="1"/>
  <c r="J911" i="3" s="1"/>
  <c r="K911" i="3" s="1"/>
  <c r="I1353" i="3"/>
  <c r="J1353" i="3" s="1"/>
  <c r="J1366" i="3" s="1"/>
  <c r="J1371" i="3" s="1"/>
  <c r="K1371" i="3" s="1"/>
  <c r="AK64" i="2"/>
  <c r="I2144" i="3"/>
  <c r="J2144" i="3" s="1"/>
  <c r="J2157" i="3" s="1"/>
  <c r="J2162" i="3" s="1"/>
  <c r="K2162" i="3" s="1"/>
  <c r="AK91" i="2"/>
  <c r="I2414" i="3"/>
  <c r="J2414" i="3" s="1"/>
  <c r="J2427" i="3" s="1"/>
  <c r="J2432" i="3" s="1"/>
  <c r="K2432" i="3" s="1"/>
  <c r="AK102" i="2"/>
  <c r="AK165" i="2"/>
  <c r="I4979" i="3"/>
  <c r="J4979" i="3" s="1"/>
  <c r="J4993" i="3" s="1"/>
  <c r="J4998" i="3" s="1"/>
  <c r="K4998" i="3" s="1"/>
  <c r="AK204" i="2"/>
  <c r="I2204" i="3"/>
  <c r="J2204" i="3" s="1"/>
  <c r="J2217" i="3" s="1"/>
  <c r="J2222" i="3" s="1"/>
  <c r="K2222" i="3" s="1"/>
  <c r="AK94" i="2"/>
  <c r="I2474" i="3"/>
  <c r="J2474" i="3" s="1"/>
  <c r="J2487" i="3" s="1"/>
  <c r="J2492" i="3" s="1"/>
  <c r="K2492" i="3" s="1"/>
  <c r="AK103" i="2"/>
  <c r="I3717" i="3"/>
  <c r="J3717" i="3" s="1"/>
  <c r="J3730" i="3" s="1"/>
  <c r="J3735" i="3" s="1"/>
  <c r="K3735" i="3" s="1"/>
  <c r="AK160" i="2"/>
  <c r="I1782" i="3"/>
  <c r="J1782" i="3" s="1"/>
  <c r="J1795" i="3" s="1"/>
  <c r="J1800" i="3" s="1"/>
  <c r="K1800" i="3" s="1"/>
  <c r="AK40" i="2"/>
  <c r="I2267" i="3"/>
  <c r="J2267" i="3" s="1"/>
  <c r="J2277" i="3" s="1"/>
  <c r="J2282" i="3" s="1"/>
  <c r="K2282" i="3" s="1"/>
  <c r="AK97" i="2"/>
  <c r="I1752" i="3"/>
  <c r="J1752" i="3" s="1"/>
  <c r="J1765" i="3" s="1"/>
  <c r="J1770" i="3" s="1"/>
  <c r="K1770" i="3" s="1"/>
  <c r="AK78" i="2"/>
  <c r="I2716" i="3"/>
  <c r="J2716" i="3" s="1"/>
  <c r="J2729" i="3" s="1"/>
  <c r="J2734" i="3" s="1"/>
  <c r="K2734" i="3" s="1"/>
  <c r="AK111" i="2"/>
  <c r="I1016" i="3"/>
  <c r="J1016" i="3" s="1"/>
  <c r="J1029" i="3" s="1"/>
  <c r="J1034" i="3" s="1"/>
  <c r="K1034" i="3" s="1"/>
  <c r="AK51" i="2"/>
  <c r="I4634" i="3"/>
  <c r="J4634" i="3" s="1"/>
  <c r="J4648" i="3" s="1"/>
  <c r="J4653" i="3" s="1"/>
  <c r="K4653" i="3" s="1"/>
  <c r="AK192" i="2"/>
  <c r="I2897" i="3"/>
  <c r="J2897" i="3" s="1"/>
  <c r="J2910" i="3" s="1"/>
  <c r="J2915" i="3" s="1"/>
  <c r="K2915" i="3" s="1"/>
  <c r="AK122" i="2"/>
  <c r="I4292" i="3"/>
  <c r="J4292" i="3" s="1"/>
  <c r="J4306" i="3" s="1"/>
  <c r="J4311" i="3" s="1"/>
  <c r="K4311" i="3" s="1"/>
  <c r="AK180" i="2"/>
  <c r="AA75" i="2"/>
  <c r="AA74" i="2"/>
  <c r="I1541" i="3" s="1"/>
  <c r="J1541" i="3" s="1"/>
  <c r="AK36" i="2"/>
  <c r="I679" i="3"/>
  <c r="J679" i="3" s="1"/>
  <c r="J692" i="3" s="1"/>
  <c r="J697" i="3" s="1"/>
  <c r="K697" i="3" s="1"/>
  <c r="AK169" i="2"/>
  <c r="I3987" i="3"/>
  <c r="J3987" i="3" s="1"/>
  <c r="J4000" i="3" s="1"/>
  <c r="J4005" i="3" s="1"/>
  <c r="K4005" i="3" s="1"/>
  <c r="I3565" i="3"/>
  <c r="J3565" i="3" s="1"/>
  <c r="J3578" i="3" s="1"/>
  <c r="J3583" i="3" s="1"/>
  <c r="K3583" i="3" s="1"/>
  <c r="AK154" i="2"/>
  <c r="I3928" i="3"/>
  <c r="J3928" i="3" s="1"/>
  <c r="J3941" i="3" s="1"/>
  <c r="J3946" i="3" s="1"/>
  <c r="K3946" i="3" s="1"/>
  <c r="AK167" i="2"/>
  <c r="I5162" i="3"/>
  <c r="J5162" i="3" s="1"/>
  <c r="J5176" i="3" s="1"/>
  <c r="J5181" i="3" s="1"/>
  <c r="K5181" i="3" s="1"/>
  <c r="AK211" i="2"/>
  <c r="I2686" i="3"/>
  <c r="J2686" i="3" s="1"/>
  <c r="J2699" i="3" s="1"/>
  <c r="J2704" i="3" s="1"/>
  <c r="K2704" i="3" s="1"/>
  <c r="AK119" i="2"/>
  <c r="I311" i="3"/>
  <c r="J311" i="3" s="1"/>
  <c r="J324" i="3" s="1"/>
  <c r="J329" i="3" s="1"/>
  <c r="K329" i="3" s="1"/>
  <c r="AK23" i="2"/>
  <c r="I4665" i="3"/>
  <c r="J4665" i="3" s="1"/>
  <c r="J4679" i="3" s="1"/>
  <c r="J4684" i="3" s="1"/>
  <c r="K4684" i="3" s="1"/>
  <c r="AK193" i="2"/>
  <c r="I1506" i="3"/>
  <c r="J1506" i="3" s="1"/>
  <c r="J1519" i="3" s="1"/>
  <c r="J1524" i="3" s="1"/>
  <c r="K1524" i="3" s="1"/>
  <c r="AK130" i="2"/>
  <c r="I1600" i="3"/>
  <c r="J1600" i="3" s="1"/>
  <c r="J1613" i="3" s="1"/>
  <c r="J1618" i="3" s="1"/>
  <c r="K1618" i="3" s="1"/>
  <c r="AK73" i="2"/>
  <c r="I2054" i="3"/>
  <c r="J2054" i="3" s="1"/>
  <c r="J2067" i="3" s="1"/>
  <c r="J2072" i="3" s="1"/>
  <c r="K2072" i="3" s="1"/>
  <c r="AK84" i="2"/>
  <c r="I2867" i="3"/>
  <c r="J2867" i="3" s="1"/>
  <c r="J2880" i="3" s="1"/>
  <c r="J2885" i="3" s="1"/>
  <c r="K2885" i="3" s="1"/>
  <c r="AK121" i="2"/>
  <c r="I3958" i="3"/>
  <c r="J3958" i="3" s="1"/>
  <c r="J3971" i="3" s="1"/>
  <c r="J3976" i="3" s="1"/>
  <c r="K3976" i="3" s="1"/>
  <c r="AK168" i="2"/>
  <c r="I3625" i="3"/>
  <c r="J3625" i="3" s="1"/>
  <c r="J3638" i="3" s="1"/>
  <c r="J3643" i="3" s="1"/>
  <c r="K3643" i="3" s="1"/>
  <c r="AK156" i="2"/>
  <c r="I4016" i="3"/>
  <c r="J4016" i="3" s="1"/>
  <c r="J4029" i="3" s="1"/>
  <c r="J4034" i="3" s="1"/>
  <c r="K4034" i="3" s="1"/>
  <c r="AK170" i="2"/>
  <c r="AK95" i="2"/>
  <c r="I2234" i="3"/>
  <c r="J2234" i="3" s="1"/>
  <c r="J2247" i="3" s="1"/>
  <c r="J2252" i="3" s="1"/>
  <c r="K2252" i="3" s="1"/>
  <c r="AK85" i="2"/>
  <c r="I1904" i="3"/>
  <c r="J1904" i="3" s="1"/>
  <c r="J1917" i="3" s="1"/>
  <c r="J1922" i="3" s="1"/>
  <c r="K1922" i="3" s="1"/>
  <c r="I741" i="3"/>
  <c r="J741" i="3" s="1"/>
  <c r="J754" i="3" s="1"/>
  <c r="J759" i="3" s="1"/>
  <c r="K759" i="3" s="1"/>
  <c r="AK38" i="2"/>
  <c r="I220" i="3"/>
  <c r="J220" i="3" s="1"/>
  <c r="J233" i="3" s="1"/>
  <c r="J238" i="3" s="1"/>
  <c r="K238" i="3" s="1"/>
  <c r="AK18" i="2"/>
  <c r="AK200" i="2"/>
  <c r="I4884" i="3"/>
  <c r="J4884" i="3" s="1"/>
  <c r="J4898" i="3" s="1"/>
  <c r="J4903" i="3" s="1"/>
  <c r="K4903" i="3" s="1"/>
  <c r="I3444" i="3"/>
  <c r="J3444" i="3" s="1"/>
  <c r="J3457" i="3" s="1"/>
  <c r="J3462" i="3" s="1"/>
  <c r="K3462" i="3" s="1"/>
  <c r="AK148" i="2"/>
  <c r="AK194" i="2"/>
  <c r="I4696" i="3"/>
  <c r="J4696" i="3" s="1"/>
  <c r="J4710" i="3" s="1"/>
  <c r="J4715" i="3" s="1"/>
  <c r="K4715" i="3" s="1"/>
  <c r="I4108" i="3"/>
  <c r="J4108" i="3" s="1"/>
  <c r="J4122" i="3" s="1"/>
  <c r="J4127" i="3" s="1"/>
  <c r="K4127" i="3" s="1"/>
  <c r="AK174" i="2"/>
  <c r="I863" i="3"/>
  <c r="J863" i="3" s="1"/>
  <c r="J876" i="3" s="1"/>
  <c r="J881" i="3" s="1"/>
  <c r="K881" i="3" s="1"/>
  <c r="AK48" i="2"/>
  <c r="I4791" i="3"/>
  <c r="J4791" i="3" s="1"/>
  <c r="J4805" i="3" s="1"/>
  <c r="J4810" i="3" s="1"/>
  <c r="K4810" i="3" s="1"/>
  <c r="AK198" i="2"/>
  <c r="I4168" i="3"/>
  <c r="J4168" i="3" s="1"/>
  <c r="J4182" i="3" s="1"/>
  <c r="J4187" i="3" s="1"/>
  <c r="K4187" i="3" s="1"/>
  <c r="AK176" i="2"/>
  <c r="I4574" i="3"/>
  <c r="J4574" i="3" s="1"/>
  <c r="J4588" i="3" s="1"/>
  <c r="J4593" i="3" s="1"/>
  <c r="K4593" i="3" s="1"/>
  <c r="AK190" i="2"/>
  <c r="AA81" i="2"/>
  <c r="AA80" i="2"/>
  <c r="I1845" i="3" s="1"/>
  <c r="J1845" i="3" s="1"/>
  <c r="I1445" i="3"/>
  <c r="J1445" i="3" s="1"/>
  <c r="J1458" i="3" s="1"/>
  <c r="J1463" i="3" s="1"/>
  <c r="K1463" i="3" s="1"/>
  <c r="AK67" i="2"/>
  <c r="I1542" i="3"/>
  <c r="J1542" i="3" s="1"/>
  <c r="I1109" i="3"/>
  <c r="J1109" i="3" s="1"/>
  <c r="J1122" i="3" s="1"/>
  <c r="J1127" i="3" s="1"/>
  <c r="K1127" i="3" s="1"/>
  <c r="AK54" i="2"/>
  <c r="AK52" i="2"/>
  <c r="I1047" i="3"/>
  <c r="J1047" i="3" s="1"/>
  <c r="J1060" i="3" s="1"/>
  <c r="J1065" i="3" s="1"/>
  <c r="K1065" i="3" s="1"/>
  <c r="I1140" i="3"/>
  <c r="J1140" i="3" s="1"/>
  <c r="J1153" i="3" s="1"/>
  <c r="J1158" i="3" s="1"/>
  <c r="K1158" i="3" s="1"/>
  <c r="AK56" i="2"/>
  <c r="I3110" i="3"/>
  <c r="J3110" i="3" s="1"/>
  <c r="J3123" i="3" s="1"/>
  <c r="J3128" i="3" s="1"/>
  <c r="K3128" i="3" s="1"/>
  <c r="AK134" i="2"/>
  <c r="I3685" i="3"/>
  <c r="J3685" i="3" s="1"/>
  <c r="J3698" i="3" s="1"/>
  <c r="J3703" i="3" s="1"/>
  <c r="K3703" i="3" s="1"/>
  <c r="AK158" i="2"/>
  <c r="AK136" i="2"/>
  <c r="I3171" i="3"/>
  <c r="J3171" i="3" s="1"/>
  <c r="J3184" i="3" s="1"/>
  <c r="J3189" i="3" s="1"/>
  <c r="K3189" i="3" s="1"/>
  <c r="I1964" i="3"/>
  <c r="J1964" i="3" s="1"/>
  <c r="J1977" i="3" s="1"/>
  <c r="J1982" i="3" s="1"/>
  <c r="K1982" i="3" s="1"/>
  <c r="AK87" i="2"/>
  <c r="I923" i="3"/>
  <c r="J923" i="3" s="1"/>
  <c r="J936" i="3" s="1"/>
  <c r="J941" i="3" s="1"/>
  <c r="K941" i="3" s="1"/>
  <c r="AK46" i="2"/>
  <c r="AK208" i="2"/>
  <c r="I5100" i="3"/>
  <c r="J5100" i="3" s="1"/>
  <c r="J5114" i="3" s="1"/>
  <c r="J5119" i="3" s="1"/>
  <c r="K5119" i="3" s="1"/>
  <c r="I130" i="3"/>
  <c r="J130" i="3" s="1"/>
  <c r="J143" i="3" s="1"/>
  <c r="J148" i="3" s="1"/>
  <c r="K148" i="3" s="1"/>
  <c r="AK15" i="2"/>
  <c r="I4418" i="3"/>
  <c r="J4418" i="3" s="1"/>
  <c r="J4432" i="3" s="1"/>
  <c r="J4437" i="3" s="1"/>
  <c r="K4437" i="3" s="1"/>
  <c r="AK184" i="2"/>
  <c r="AK70" i="2"/>
  <c r="I1691" i="3"/>
  <c r="J1691" i="3" s="1"/>
  <c r="J1704" i="3" s="1"/>
  <c r="J1709" i="3" s="1"/>
  <c r="K1709" i="3" s="1"/>
  <c r="AK66" i="2"/>
  <c r="I1415" i="3"/>
  <c r="J1415" i="3" s="1"/>
  <c r="J1428" i="3" s="1"/>
  <c r="J1433" i="3" s="1"/>
  <c r="K1433" i="3" s="1"/>
  <c r="I2174" i="3"/>
  <c r="J2174" i="3" s="1"/>
  <c r="J2187" i="3" s="1"/>
  <c r="J2192" i="3" s="1"/>
  <c r="K2192" i="3" s="1"/>
  <c r="AK93" i="2"/>
  <c r="I3747" i="3"/>
  <c r="J3747" i="3" s="1"/>
  <c r="J3760" i="3" s="1"/>
  <c r="J3765" i="3" s="1"/>
  <c r="K3765" i="3" s="1"/>
  <c r="AK159" i="2"/>
  <c r="I4199" i="3"/>
  <c r="J4199" i="3" s="1"/>
  <c r="J4213" i="3" s="1"/>
  <c r="J4218" i="3" s="1"/>
  <c r="K4218" i="3" s="1"/>
  <c r="AK177" i="2"/>
  <c r="I2597" i="3"/>
  <c r="J2597" i="3" s="1"/>
  <c r="J2610" i="3" s="1"/>
  <c r="J2615" i="3" s="1"/>
  <c r="K2615" i="3" s="1"/>
  <c r="AK117" i="2"/>
  <c r="I1812" i="3"/>
  <c r="J1812" i="3" s="1"/>
  <c r="J1825" i="3" s="1"/>
  <c r="J1830" i="3" s="1"/>
  <c r="K1830" i="3" s="1"/>
  <c r="AK41" i="2"/>
  <c r="AK139" i="2"/>
  <c r="I3261" i="3"/>
  <c r="J3261" i="3" s="1"/>
  <c r="J3274" i="3" s="1"/>
  <c r="J3279" i="3" s="1"/>
  <c r="K3279" i="3" s="1"/>
  <c r="AK164" i="2"/>
  <c r="I3869" i="3"/>
  <c r="J3869" i="3" s="1"/>
  <c r="J3882" i="3" s="1"/>
  <c r="J3887" i="3" s="1"/>
  <c r="K3887" i="3" s="1"/>
  <c r="I2775" i="3"/>
  <c r="J2775" i="3" s="1"/>
  <c r="J2788" i="3" s="1"/>
  <c r="J2793" i="3" s="1"/>
  <c r="K2793" i="3" s="1"/>
  <c r="AK114" i="2"/>
  <c r="I2024" i="3"/>
  <c r="J2024" i="3" s="1"/>
  <c r="J2037" i="3" s="1"/>
  <c r="J2042" i="3" s="1"/>
  <c r="K2042" i="3" s="1"/>
  <c r="AK83" i="2"/>
  <c r="I2929" i="3"/>
  <c r="J2929" i="3" s="1"/>
  <c r="J2942" i="3" s="1"/>
  <c r="J2947" i="3" s="1"/>
  <c r="K2947" i="3" s="1"/>
  <c r="AK110" i="2"/>
  <c r="AK143" i="2"/>
  <c r="I3353" i="3"/>
  <c r="J3353" i="3" s="1"/>
  <c r="J3366" i="3" s="1"/>
  <c r="J3371" i="3" s="1"/>
  <c r="K3371" i="3" s="1"/>
  <c r="I833" i="3"/>
  <c r="J833" i="3" s="1"/>
  <c r="J846" i="3" s="1"/>
  <c r="J851" i="3" s="1"/>
  <c r="K851" i="3" s="1"/>
  <c r="AK44" i="2"/>
  <c r="I1994" i="3"/>
  <c r="J1994" i="3" s="1"/>
  <c r="J2007" i="3" s="1"/>
  <c r="J2012" i="3" s="1"/>
  <c r="K2012" i="3" s="1"/>
  <c r="AK88" i="2"/>
  <c r="I4448" i="3"/>
  <c r="J4448" i="3" s="1"/>
  <c r="J4462" i="3" s="1"/>
  <c r="J4467" i="3" s="1"/>
  <c r="K4467" i="3" s="1"/>
  <c r="AK186" i="2"/>
  <c r="I3080" i="3"/>
  <c r="J3080" i="3" s="1"/>
  <c r="J3093" i="3" s="1"/>
  <c r="J3098" i="3" s="1"/>
  <c r="K3098" i="3" s="1"/>
  <c r="AK108" i="2"/>
  <c r="I2836" i="3"/>
  <c r="J2836" i="3" s="1"/>
  <c r="J2849" i="3" s="1"/>
  <c r="J2854" i="3" s="1"/>
  <c r="K2854" i="3" s="1"/>
  <c r="AK120" i="2"/>
  <c r="I4261" i="3"/>
  <c r="J4261" i="3" s="1"/>
  <c r="J4275" i="3" s="1"/>
  <c r="J4280" i="3" s="1"/>
  <c r="K4280" i="3" s="1"/>
  <c r="AK179" i="2"/>
  <c r="AK140" i="2"/>
  <c r="I3291" i="3"/>
  <c r="J3291" i="3" s="1"/>
  <c r="J3304" i="3" s="1"/>
  <c r="J3309" i="3" s="1"/>
  <c r="K3309" i="3" s="1"/>
  <c r="I1475" i="3"/>
  <c r="J1475" i="3" s="1"/>
  <c r="J1488" i="3" s="1"/>
  <c r="J1493" i="3" s="1"/>
  <c r="K1493" i="3" s="1"/>
  <c r="AK129" i="2"/>
  <c r="I3019" i="3"/>
  <c r="J3019" i="3" s="1"/>
  <c r="J3032" i="3" s="1"/>
  <c r="J3037" i="3" s="1"/>
  <c r="K3037" i="3" s="1"/>
  <c r="AK127" i="2"/>
  <c r="I776" i="3"/>
  <c r="J776" i="3" s="1"/>
  <c r="J786" i="3" s="1"/>
  <c r="J791" i="3" s="1"/>
  <c r="K791" i="3" s="1"/>
  <c r="AK39" i="2"/>
  <c r="I437" i="3"/>
  <c r="J437" i="3" s="1"/>
  <c r="J450" i="3" s="1"/>
  <c r="J455" i="3" s="1"/>
  <c r="K455" i="3" s="1"/>
  <c r="AK28" i="2"/>
  <c r="I5070" i="3"/>
  <c r="J5070" i="3" s="1"/>
  <c r="J5084" i="3" s="1"/>
  <c r="J5089" i="3" s="1"/>
  <c r="K5089" i="3" s="1"/>
  <c r="AK207" i="2"/>
  <c r="I99" i="3"/>
  <c r="J99" i="3" s="1"/>
  <c r="J112" i="3" s="1"/>
  <c r="J117" i="3" s="1"/>
  <c r="K117" i="3" s="1"/>
  <c r="AK14" i="2"/>
  <c r="I3595" i="3"/>
  <c r="J3595" i="3" s="1"/>
  <c r="J3608" i="3" s="1"/>
  <c r="J3613" i="3" s="1"/>
  <c r="K3613" i="3" s="1"/>
  <c r="AK155" i="2"/>
  <c r="Y81" i="2"/>
  <c r="Y80" i="2"/>
  <c r="I1848" i="3" s="1"/>
  <c r="J1848" i="3" s="1"/>
  <c r="AK63" i="2"/>
  <c r="I1322" i="3"/>
  <c r="J1322" i="3" s="1"/>
  <c r="J1335" i="3" s="1"/>
  <c r="J1340" i="3" s="1"/>
  <c r="K1340" i="3" s="1"/>
  <c r="I589" i="3"/>
  <c r="J589" i="3" s="1"/>
  <c r="J602" i="3" s="1"/>
  <c r="J607" i="3" s="1"/>
  <c r="K607" i="3" s="1"/>
  <c r="AK33" i="2"/>
  <c r="AK69" i="2"/>
  <c r="I1661" i="3"/>
  <c r="J1661" i="3" s="1"/>
  <c r="J1674" i="3" s="1"/>
  <c r="J1679" i="3" s="1"/>
  <c r="K1679" i="3" s="1"/>
  <c r="I1569" i="3"/>
  <c r="J1569" i="3" s="1"/>
  <c r="J1582" i="3" s="1"/>
  <c r="J1587" i="3" s="1"/>
  <c r="K1587" i="3" s="1"/>
  <c r="AK72" i="2"/>
  <c r="I3141" i="3"/>
  <c r="J3141" i="3" s="1"/>
  <c r="J3154" i="3" s="1"/>
  <c r="J3159" i="3" s="1"/>
  <c r="K3159" i="3" s="1"/>
  <c r="AK133" i="2"/>
  <c r="AK32" i="2"/>
  <c r="I559" i="3"/>
  <c r="J559" i="3" s="1"/>
  <c r="J572" i="3" s="1"/>
  <c r="J577" i="3" s="1"/>
  <c r="K577" i="3" s="1"/>
  <c r="I955" i="3"/>
  <c r="J955" i="3" s="1"/>
  <c r="J968" i="3" s="1"/>
  <c r="J973" i="3" s="1"/>
  <c r="K973" i="3" s="1"/>
  <c r="AK47" i="2"/>
  <c r="J4867" i="3"/>
  <c r="J4872" i="3" s="1"/>
  <c r="K4872" i="3" s="1"/>
  <c r="I619" i="3"/>
  <c r="J619" i="3" s="1"/>
  <c r="J632" i="3" s="1"/>
  <c r="J637" i="3" s="1"/>
  <c r="K637" i="3" s="1"/>
  <c r="AK34" i="2"/>
  <c r="I406" i="3"/>
  <c r="J406" i="3" s="1"/>
  <c r="J419" i="3" s="1"/>
  <c r="J424" i="3" s="1"/>
  <c r="K424" i="3" s="1"/>
  <c r="AK26" i="2"/>
  <c r="I3201" i="3"/>
  <c r="J3201" i="3" s="1"/>
  <c r="J3214" i="3" s="1"/>
  <c r="J3219" i="3" s="1"/>
  <c r="K3219" i="3" s="1"/>
  <c r="AK135" i="2"/>
  <c r="I4728" i="3"/>
  <c r="J4728" i="3" s="1"/>
  <c r="J4742" i="3" s="1"/>
  <c r="J4747" i="3" s="1"/>
  <c r="K4747" i="3" s="1"/>
  <c r="AK195" i="2"/>
  <c r="I1231" i="3"/>
  <c r="J1231" i="3" s="1"/>
  <c r="J1244" i="3" s="1"/>
  <c r="J1249" i="3" s="1"/>
  <c r="K1249" i="3" s="1"/>
  <c r="AK59" i="2"/>
  <c r="AK100" i="2"/>
  <c r="I4047" i="3"/>
  <c r="J4047" i="3" s="1"/>
  <c r="J4060" i="3" s="1"/>
  <c r="J4065" i="3" s="1"/>
  <c r="K4065" i="3" s="1"/>
  <c r="AK171" i="2"/>
  <c r="I4822" i="3"/>
  <c r="J4822" i="3" s="1"/>
  <c r="J4836" i="3" s="1"/>
  <c r="J4841" i="3" s="1"/>
  <c r="K4841" i="3" s="1"/>
  <c r="AK199" i="2"/>
  <c r="I529" i="3"/>
  <c r="J529" i="3" s="1"/>
  <c r="J542" i="3" s="1"/>
  <c r="J547" i="3" s="1"/>
  <c r="K547" i="3" s="1"/>
  <c r="AK31" i="2"/>
  <c r="I803" i="3"/>
  <c r="J803" i="3" s="1"/>
  <c r="J816" i="3" s="1"/>
  <c r="J821" i="3" s="1"/>
  <c r="K821" i="3" s="1"/>
  <c r="AK43" i="2"/>
  <c r="AK197" i="2"/>
  <c r="I5040" i="3"/>
  <c r="J5040" i="3" s="1"/>
  <c r="J5054" i="3" s="1"/>
  <c r="J5059" i="3" s="1"/>
  <c r="K5059" i="3" s="1"/>
  <c r="AK206" i="2"/>
  <c r="AK98" i="2"/>
  <c r="I2327" i="3"/>
  <c r="J2327" i="3" s="1"/>
  <c r="J2337" i="3" s="1"/>
  <c r="J2342" i="3" s="1"/>
  <c r="K2342" i="3" s="1"/>
  <c r="I374" i="3"/>
  <c r="J374" i="3" s="1"/>
  <c r="J387" i="3" s="1"/>
  <c r="J392" i="3" s="1"/>
  <c r="K392" i="3" s="1"/>
  <c r="AK22" i="2"/>
  <c r="I3414" i="3"/>
  <c r="J3414" i="3" s="1"/>
  <c r="AK145" i="2"/>
  <c r="I4078" i="3"/>
  <c r="J4078" i="3" s="1"/>
  <c r="J4092" i="3" s="1"/>
  <c r="J4097" i="3" s="1"/>
  <c r="K4097" i="3" s="1"/>
  <c r="AK173" i="2"/>
  <c r="I4759" i="3"/>
  <c r="J4759" i="3" s="1"/>
  <c r="J4773" i="3" s="1"/>
  <c r="J4778" i="3" s="1"/>
  <c r="K4778" i="3" s="1"/>
  <c r="AK196" i="2"/>
  <c r="I5132" i="3"/>
  <c r="J5132" i="3" s="1"/>
  <c r="J5146" i="3" s="1"/>
  <c r="J5151" i="3" s="1"/>
  <c r="K5151" i="3" s="1"/>
  <c r="AK209" i="2"/>
  <c r="I4511" i="3"/>
  <c r="J4511" i="3" s="1"/>
  <c r="J4525" i="3" s="1"/>
  <c r="J4530" i="3" s="1"/>
  <c r="K4530" i="3" s="1"/>
  <c r="AK188" i="2"/>
  <c r="I2384" i="3"/>
  <c r="J2384" i="3" s="1"/>
  <c r="J2397" i="3" s="1"/>
  <c r="J2402" i="3" s="1"/>
  <c r="K2402" i="3" s="1"/>
  <c r="AK101" i="2"/>
  <c r="I5192" i="3"/>
  <c r="J5192" i="3" s="1"/>
  <c r="J5206" i="3" s="1"/>
  <c r="J5211" i="3" s="1"/>
  <c r="K5211" i="3" s="1"/>
  <c r="AK210" i="2"/>
  <c r="I4386" i="3"/>
  <c r="J4386" i="3" s="1"/>
  <c r="J4400" i="3" s="1"/>
  <c r="J4405" i="3" s="1"/>
  <c r="K4405" i="3" s="1"/>
  <c r="AK181" i="2"/>
  <c r="I3504" i="3"/>
  <c r="J3504" i="3" s="1"/>
  <c r="J3517" i="3" s="1"/>
  <c r="J3522" i="3" s="1"/>
  <c r="K3522" i="3" s="1"/>
  <c r="AK152" i="2"/>
  <c r="I1934" i="3"/>
  <c r="J1934" i="3" s="1"/>
  <c r="J1947" i="3" s="1"/>
  <c r="J1952" i="3" s="1"/>
  <c r="K1952" i="3" s="1"/>
  <c r="AK86" i="2"/>
  <c r="I342" i="3"/>
  <c r="J342" i="3" s="1"/>
  <c r="J355" i="3" s="1"/>
  <c r="J360" i="3" s="1"/>
  <c r="K360" i="3" s="1"/>
  <c r="AK20" i="2"/>
  <c r="J3427" i="3" l="1"/>
  <c r="J3432" i="3" s="1"/>
  <c r="K3432" i="3" s="1"/>
  <c r="AR11" i="2"/>
  <c r="AP183" i="2"/>
  <c r="AK75" i="2"/>
  <c r="AR75" i="2" s="1"/>
  <c r="J1856" i="3"/>
  <c r="J1861" i="3" s="1"/>
  <c r="K1861" i="3" s="1"/>
  <c r="AK81" i="2"/>
  <c r="AR81" i="2" s="1"/>
  <c r="AK74" i="2"/>
  <c r="AP74" i="2" s="1"/>
  <c r="AR43" i="2"/>
  <c r="AP43" i="2"/>
  <c r="AK42" i="2"/>
  <c r="AR42" i="2" s="1"/>
  <c r="AR32" i="2"/>
  <c r="AP32" i="2"/>
  <c r="AP117" i="2"/>
  <c r="AR117" i="2"/>
  <c r="AP136" i="2"/>
  <c r="AR136" i="2"/>
  <c r="AP52" i="2"/>
  <c r="AR52" i="2"/>
  <c r="AR85" i="2"/>
  <c r="AP85" i="2"/>
  <c r="AP36" i="2"/>
  <c r="AR36" i="2"/>
  <c r="AR94" i="2"/>
  <c r="AP94" i="2"/>
  <c r="AR65" i="2"/>
  <c r="AP65" i="2"/>
  <c r="AP175" i="2"/>
  <c r="AR175" i="2"/>
  <c r="AR99" i="2"/>
  <c r="AP99" i="2"/>
  <c r="AR142" i="2"/>
  <c r="AK141" i="2"/>
  <c r="AP142" i="2"/>
  <c r="AP144" i="2"/>
  <c r="AR144" i="2"/>
  <c r="AP105" i="2"/>
  <c r="AR105" i="2"/>
  <c r="AR150" i="2"/>
  <c r="AK149" i="2"/>
  <c r="AR149" i="2" s="1"/>
  <c r="AP150" i="2"/>
  <c r="AP149" i="2" s="1"/>
  <c r="AP153" i="2"/>
  <c r="AR153" i="2"/>
  <c r="AR21" i="2"/>
  <c r="AP21" i="2"/>
  <c r="AR118" i="2"/>
  <c r="AP118" i="2"/>
  <c r="AR181" i="2"/>
  <c r="AP181" i="2"/>
  <c r="AR209" i="2"/>
  <c r="AP209" i="2"/>
  <c r="AR22" i="2"/>
  <c r="AP22" i="2"/>
  <c r="AR59" i="2"/>
  <c r="AP59" i="2"/>
  <c r="AP34" i="2"/>
  <c r="AR34" i="2"/>
  <c r="AR133" i="2"/>
  <c r="AP133" i="2"/>
  <c r="AR207" i="2"/>
  <c r="AP207" i="2"/>
  <c r="AK128" i="2"/>
  <c r="AR128" i="2" s="1"/>
  <c r="AP129" i="2"/>
  <c r="AR129" i="2"/>
  <c r="AP108" i="2"/>
  <c r="AP107" i="2" s="1"/>
  <c r="AK107" i="2"/>
  <c r="AR107" i="2" s="1"/>
  <c r="AR108" i="2"/>
  <c r="AP66" i="2"/>
  <c r="BG66" i="2" s="1"/>
  <c r="AR66" i="2"/>
  <c r="AR158" i="2"/>
  <c r="AP158" i="2"/>
  <c r="AR54" i="2"/>
  <c r="AP54" i="2"/>
  <c r="AZ54" i="2" s="1"/>
  <c r="AP48" i="2"/>
  <c r="AR48" i="2"/>
  <c r="AR121" i="2"/>
  <c r="AP121" i="2"/>
  <c r="AR193" i="2"/>
  <c r="AP193" i="2"/>
  <c r="AR167" i="2"/>
  <c r="AP167" i="2"/>
  <c r="J1552" i="3"/>
  <c r="J1557" i="3" s="1"/>
  <c r="K1557" i="3" s="1"/>
  <c r="K1" i="3" s="1"/>
  <c r="L2" i="3" s="1"/>
  <c r="AP51" i="2"/>
  <c r="AR51" i="2"/>
  <c r="AP64" i="2"/>
  <c r="AR64" i="2"/>
  <c r="AP24" i="2"/>
  <c r="AR24" i="2"/>
  <c r="AP182" i="2"/>
  <c r="AR182" i="2"/>
  <c r="AR187" i="2"/>
  <c r="AP187" i="2"/>
  <c r="AR171" i="2"/>
  <c r="AP171" i="2"/>
  <c r="AR100" i="2"/>
  <c r="AP100" i="2"/>
  <c r="AR31" i="2"/>
  <c r="AP31" i="2"/>
  <c r="AR143" i="2"/>
  <c r="AP143" i="2"/>
  <c r="AP164" i="2"/>
  <c r="AR164" i="2"/>
  <c r="AP177" i="2"/>
  <c r="AR177" i="2"/>
  <c r="AR208" i="2"/>
  <c r="AP208" i="2"/>
  <c r="AP200" i="2"/>
  <c r="AR200" i="2"/>
  <c r="AR95" i="2"/>
  <c r="AP95" i="2"/>
  <c r="AR40" i="2"/>
  <c r="AP40" i="2"/>
  <c r="AZ40" i="2" s="1"/>
  <c r="AR204" i="2"/>
  <c r="AP204" i="2"/>
  <c r="AK203" i="2"/>
  <c r="AR203" i="2" s="1"/>
  <c r="AR202" i="2"/>
  <c r="AP202" i="2"/>
  <c r="AP17" i="2"/>
  <c r="AR17" i="2"/>
  <c r="AR126" i="2"/>
  <c r="AK125" i="2"/>
  <c r="AR125" i="2" s="1"/>
  <c r="AP126" i="2"/>
  <c r="AR35" i="2"/>
  <c r="AP35" i="2"/>
  <c r="AP195" i="2"/>
  <c r="AR195" i="2"/>
  <c r="AP72" i="2"/>
  <c r="AR72" i="2"/>
  <c r="AR110" i="2"/>
  <c r="AP110" i="2"/>
  <c r="AK109" i="2"/>
  <c r="AR109" i="2" s="1"/>
  <c r="AP61" i="2"/>
  <c r="AR61" i="2"/>
  <c r="AP19" i="2"/>
  <c r="AR19" i="2"/>
  <c r="AP162" i="2"/>
  <c r="AR162" i="2"/>
  <c r="AP115" i="2"/>
  <c r="AR115" i="2"/>
  <c r="AP98" i="2"/>
  <c r="AR98" i="2"/>
  <c r="AP199" i="2"/>
  <c r="AR199" i="2"/>
  <c r="AK138" i="2"/>
  <c r="AR138" i="2" s="1"/>
  <c r="AP139" i="2"/>
  <c r="AR139" i="2"/>
  <c r="AR159" i="2"/>
  <c r="AP159" i="2"/>
  <c r="AP70" i="2"/>
  <c r="AR70" i="2"/>
  <c r="AR160" i="2"/>
  <c r="AP160" i="2"/>
  <c r="AR165" i="2"/>
  <c r="AP165" i="2"/>
  <c r="AP45" i="2"/>
  <c r="AR45" i="2"/>
  <c r="AR68" i="2"/>
  <c r="AP68" i="2"/>
  <c r="AP112" i="2"/>
  <c r="AR112" i="2"/>
  <c r="AP50" i="2"/>
  <c r="AR50" i="2"/>
  <c r="AK49" i="2"/>
  <c r="AR49" i="2" s="1"/>
  <c r="AR30" i="2"/>
  <c r="AP30" i="2"/>
  <c r="AK29" i="2"/>
  <c r="AR29" i="2" s="1"/>
  <c r="AP132" i="2"/>
  <c r="AR132" i="2"/>
  <c r="AK131" i="2"/>
  <c r="AR131" i="2" s="1"/>
  <c r="AP166" i="2"/>
  <c r="AR166" i="2"/>
  <c r="AR116" i="2"/>
  <c r="AP116" i="2"/>
  <c r="AP16" i="2"/>
  <c r="AR16" i="2"/>
  <c r="AP191" i="2"/>
  <c r="AR191" i="2"/>
  <c r="AR63" i="2"/>
  <c r="AP63" i="2"/>
  <c r="AR89" i="2"/>
  <c r="AP89" i="2"/>
  <c r="AR62" i="2"/>
  <c r="AP62" i="2"/>
  <c r="AK12" i="2"/>
  <c r="AR12" i="2" s="1"/>
  <c r="AP13" i="2"/>
  <c r="AR13" i="2"/>
  <c r="AP20" i="2"/>
  <c r="AR20" i="2"/>
  <c r="AP210" i="2"/>
  <c r="AR210" i="2"/>
  <c r="AR196" i="2"/>
  <c r="AP196" i="2"/>
  <c r="AZ196" i="2" s="1"/>
  <c r="AK27" i="2"/>
  <c r="AR27" i="2" s="1"/>
  <c r="AP28" i="2"/>
  <c r="AP27" i="2" s="1"/>
  <c r="AP186" i="2"/>
  <c r="AR186" i="2"/>
  <c r="AK185" i="2"/>
  <c r="AR185" i="2" s="1"/>
  <c r="AP46" i="2"/>
  <c r="AR46" i="2"/>
  <c r="AR134" i="2"/>
  <c r="AP134" i="2"/>
  <c r="AP190" i="2"/>
  <c r="AR190" i="2"/>
  <c r="AR174" i="2"/>
  <c r="AP174" i="2"/>
  <c r="AR18" i="2"/>
  <c r="AP18" i="2"/>
  <c r="AP170" i="2"/>
  <c r="AR170" i="2"/>
  <c r="AR84" i="2"/>
  <c r="AP84" i="2"/>
  <c r="AR23" i="2"/>
  <c r="AP23" i="2"/>
  <c r="AR154" i="2"/>
  <c r="AP154" i="2"/>
  <c r="AR180" i="2"/>
  <c r="AP180" i="2"/>
  <c r="AP111" i="2"/>
  <c r="AR111" i="2"/>
  <c r="AR137" i="2"/>
  <c r="AP137" i="2"/>
  <c r="AP37" i="2"/>
  <c r="AR37" i="2"/>
  <c r="AP113" i="2"/>
  <c r="AR113" i="2"/>
  <c r="AP140" i="2"/>
  <c r="AR140" i="2"/>
  <c r="AP86" i="2"/>
  <c r="AR86" i="2"/>
  <c r="AP101" i="2"/>
  <c r="AR101" i="2"/>
  <c r="AR173" i="2"/>
  <c r="AP173" i="2"/>
  <c r="AK172" i="2"/>
  <c r="AR206" i="2"/>
  <c r="AP206" i="2"/>
  <c r="AP135" i="2"/>
  <c r="AR135" i="2"/>
  <c r="AR47" i="2"/>
  <c r="AP47" i="2"/>
  <c r="AU49" i="2" s="1"/>
  <c r="AR155" i="2"/>
  <c r="AP155" i="2"/>
  <c r="AR39" i="2"/>
  <c r="AP39" i="2"/>
  <c r="AP179" i="2"/>
  <c r="AZ179" i="2" s="1"/>
  <c r="AZ172" i="2" s="1"/>
  <c r="AR179" i="2"/>
  <c r="AP88" i="2"/>
  <c r="AR88" i="2"/>
  <c r="AR83" i="2"/>
  <c r="AP83" i="2"/>
  <c r="AR184" i="2"/>
  <c r="AP184" i="2"/>
  <c r="AP87" i="2"/>
  <c r="AR87" i="2"/>
  <c r="AR56" i="2"/>
  <c r="AP56" i="2"/>
  <c r="AK55" i="2"/>
  <c r="AR67" i="2"/>
  <c r="AP67" i="2"/>
  <c r="BG67" i="2" s="1"/>
  <c r="AR176" i="2"/>
  <c r="AP176" i="2"/>
  <c r="AR38" i="2"/>
  <c r="AP38" i="2"/>
  <c r="AR156" i="2"/>
  <c r="AP156" i="2"/>
  <c r="AP73" i="2"/>
  <c r="AR73" i="2"/>
  <c r="AP119" i="2"/>
  <c r="AR119" i="2"/>
  <c r="AR122" i="2"/>
  <c r="AP122" i="2"/>
  <c r="AP78" i="2"/>
  <c r="AP77" i="2" s="1"/>
  <c r="AK77" i="2"/>
  <c r="AR77" i="2" s="1"/>
  <c r="AR78" i="2"/>
  <c r="AR102" i="2"/>
  <c r="AP102" i="2"/>
  <c r="AZ102" i="2" s="1"/>
  <c r="AP161" i="2"/>
  <c r="AR161" i="2"/>
  <c r="AP82" i="2"/>
  <c r="AR82" i="2"/>
  <c r="AK80" i="2"/>
  <c r="AP157" i="2"/>
  <c r="AR157" i="2"/>
  <c r="AR201" i="2"/>
  <c r="AP201" i="2"/>
  <c r="AK10" i="2"/>
  <c r="AP69" i="2"/>
  <c r="AR69" i="2"/>
  <c r="AR41" i="2"/>
  <c r="AP41" i="2"/>
  <c r="AK92" i="2"/>
  <c r="AP93" i="2"/>
  <c r="AR93" i="2"/>
  <c r="AR194" i="2"/>
  <c r="AP194" i="2"/>
  <c r="AP169" i="2"/>
  <c r="AR169" i="2"/>
  <c r="AR103" i="2"/>
  <c r="AP103" i="2"/>
  <c r="AR189" i="2"/>
  <c r="AP189" i="2"/>
  <c r="AR71" i="2"/>
  <c r="AP71" i="2"/>
  <c r="AR178" i="2"/>
  <c r="AP178" i="2"/>
  <c r="AR106" i="2"/>
  <c r="AP106" i="2"/>
  <c r="AP104" i="2"/>
  <c r="AR104" i="2"/>
  <c r="AK151" i="2"/>
  <c r="AR152" i="2"/>
  <c r="AP152" i="2"/>
  <c r="AR188" i="2"/>
  <c r="AP188" i="2"/>
  <c r="AR145" i="2"/>
  <c r="AP145" i="2"/>
  <c r="AP197" i="2"/>
  <c r="AZ197" i="2" s="1"/>
  <c r="AR197" i="2"/>
  <c r="AP26" i="2"/>
  <c r="AP25" i="2" s="1"/>
  <c r="AK25" i="2"/>
  <c r="AR25" i="2" s="1"/>
  <c r="AR26" i="2"/>
  <c r="AP33" i="2"/>
  <c r="AR33" i="2"/>
  <c r="AP14" i="2"/>
  <c r="BL14" i="2" s="1"/>
  <c r="AR14" i="2"/>
  <c r="AR127" i="2"/>
  <c r="AP127" i="2"/>
  <c r="BN120" i="2"/>
  <c r="AP120" i="2"/>
  <c r="BJ120" i="2" s="1"/>
  <c r="AR120" i="2"/>
  <c r="AP44" i="2"/>
  <c r="AR44" i="2"/>
  <c r="AR114" i="2"/>
  <c r="AP114" i="2"/>
  <c r="AP15" i="2"/>
  <c r="AR15" i="2"/>
  <c r="AR198" i="2"/>
  <c r="AP198" i="2"/>
  <c r="AK147" i="2"/>
  <c r="AR147" i="2" s="1"/>
  <c r="AR148" i="2"/>
  <c r="AP148" i="2"/>
  <c r="AP147" i="2" s="1"/>
  <c r="AP168" i="2"/>
  <c r="AR168" i="2"/>
  <c r="AR130" i="2"/>
  <c r="AP130" i="2"/>
  <c r="AP211" i="2"/>
  <c r="AR211" i="2"/>
  <c r="AR192" i="2"/>
  <c r="AP192" i="2"/>
  <c r="AP97" i="2"/>
  <c r="AR97" i="2"/>
  <c r="AK96" i="2"/>
  <c r="AR96" i="2" s="1"/>
  <c r="AR91" i="2"/>
  <c r="AP91" i="2"/>
  <c r="AX91" i="2" s="1"/>
  <c r="AR163" i="2"/>
  <c r="AP163" i="2"/>
  <c r="AR205" i="2"/>
  <c r="AP205" i="2"/>
  <c r="AP90" i="2"/>
  <c r="BE90" i="2" s="1"/>
  <c r="AR90" i="2"/>
  <c r="AP124" i="2"/>
  <c r="AP123" i="2" s="1"/>
  <c r="AK123" i="2"/>
  <c r="AR123" i="2" s="1"/>
  <c r="AR124" i="2"/>
  <c r="AP57" i="2"/>
  <c r="AR57" i="2"/>
  <c r="AR53" i="2"/>
  <c r="AP53" i="2"/>
  <c r="AZ53" i="2" s="1"/>
  <c r="AR58" i="2"/>
  <c r="AP58" i="2"/>
  <c r="AR74" i="2" l="1"/>
  <c r="AQ68" i="2" s="1"/>
  <c r="AP75" i="2"/>
  <c r="AP60" i="2" s="1"/>
  <c r="AP81" i="2"/>
  <c r="AU150" i="2"/>
  <c r="AP138" i="2"/>
  <c r="AP96" i="2"/>
  <c r="AK60" i="2"/>
  <c r="AR60" i="2" s="1"/>
  <c r="AP55" i="2"/>
  <c r="AP125" i="2"/>
  <c r="AP141" i="2"/>
  <c r="AR92" i="2"/>
  <c r="AP49" i="2"/>
  <c r="AK213" i="2"/>
  <c r="AU159" i="2"/>
  <c r="AP10" i="2"/>
  <c r="AP9" i="2" s="1"/>
  <c r="AR10" i="2"/>
  <c r="AR9" i="2" s="1"/>
  <c r="AK9" i="2"/>
  <c r="AP203" i="2"/>
  <c r="AP151" i="2"/>
  <c r="AP214" i="2" s="1"/>
  <c r="AU156" i="2"/>
  <c r="AU155" i="2"/>
  <c r="AR172" i="2"/>
  <c r="AU154" i="2" s="1"/>
  <c r="AP185" i="2"/>
  <c r="AU149" i="2"/>
  <c r="AR55" i="2"/>
  <c r="AQ14" i="2"/>
  <c r="AU160" i="2"/>
  <c r="AK214" i="2"/>
  <c r="AR151" i="2"/>
  <c r="AR214" i="2" s="1"/>
  <c r="AP109" i="2"/>
  <c r="AP92" i="2"/>
  <c r="AU158" i="2"/>
  <c r="AP131" i="2"/>
  <c r="AU151" i="2"/>
  <c r="AU152" i="2"/>
  <c r="AQ23" i="2"/>
  <c r="AR141" i="2"/>
  <c r="AP42" i="2"/>
  <c r="AU153" i="2"/>
  <c r="AU147" i="2"/>
  <c r="AU148" i="2"/>
  <c r="AQ17" i="2"/>
  <c r="AP128" i="2"/>
  <c r="AP12" i="2"/>
  <c r="AU157" i="2"/>
  <c r="AP29" i="2"/>
  <c r="AQ81" i="2"/>
  <c r="AQ82" i="2"/>
  <c r="AK79" i="2"/>
  <c r="AR79" i="2" s="1"/>
  <c r="AR80" i="2"/>
  <c r="AQ80" i="2" s="1"/>
  <c r="AP80" i="2"/>
  <c r="AP172" i="2"/>
  <c r="AQ20" i="2"/>
  <c r="AP79" i="2" l="1"/>
  <c r="AP8" i="2" s="1"/>
  <c r="AP213" i="2"/>
  <c r="AP215" i="2" s="1"/>
  <c r="AK215" i="2"/>
  <c r="AU214" i="2"/>
  <c r="AQ12" i="2"/>
  <c r="AK212" i="2"/>
  <c r="AP212" i="2" l="1"/>
  <c r="BK211" i="2"/>
  <c r="BK213" i="2" s="1"/>
  <c r="BK215" i="2" s="1"/>
  <c r="BM217" i="2" s="1"/>
  <c r="BE211" i="2"/>
  <c r="BE213" i="2" l="1"/>
  <c r="BE214" i="2" s="1"/>
  <c r="BE217" i="2"/>
  <c r="BF217" i="2" s="1"/>
  <c r="BG218" i="2" s="1"/>
  <c r="BI224" i="2" s="1"/>
</calcChain>
</file>

<file path=xl/comments1.xml><?xml version="1.0" encoding="utf-8"?>
<comments xmlns="http://schemas.openxmlformats.org/spreadsheetml/2006/main">
  <authors>
    <author>QPhuong</author>
  </authors>
  <commentList>
    <comment ref="E178" authorId="0" shapeId="0">
      <text>
        <r>
          <rPr>
            <sz val="9"/>
            <rFont val="Tahoma"/>
            <family val="2"/>
          </rPr>
          <t xml:space="preserve">
</t>
        </r>
        <r>
          <rPr>
            <sz val="9"/>
            <rFont val="Tahoma"/>
            <family val="2"/>
          </rPr>
          <t>Đạt</t>
        </r>
      </text>
    </comment>
    <comment ref="D179" authorId="0" shapeId="0">
      <text>
        <r>
          <rPr>
            <sz val="9"/>
            <rFont val="Tahoma"/>
            <family val="2"/>
          </rPr>
          <t xml:space="preserve">
</t>
        </r>
        <r>
          <rPr>
            <sz val="9"/>
            <rFont val="Tahoma"/>
            <family val="2"/>
          </rPr>
          <t>Thắng</t>
        </r>
      </text>
    </comment>
    <comment ref="C182" authorId="0" shapeId="0">
      <text>
        <r>
          <rPr>
            <sz val="9"/>
            <rFont val="Tahoma"/>
            <family val="2"/>
          </rPr>
          <t xml:space="preserve">
</t>
        </r>
        <r>
          <rPr>
            <sz val="9"/>
            <rFont val="Tahoma"/>
            <family val="2"/>
          </rPr>
          <t>Nhàn</t>
        </r>
      </text>
    </comment>
    <comment ref="C184" authorId="0" shapeId="0">
      <text>
        <r>
          <rPr>
            <sz val="9"/>
            <rFont val="Tahoma"/>
            <family val="2"/>
          </rPr>
          <t xml:space="preserve">
</t>
        </r>
        <r>
          <rPr>
            <sz val="9"/>
            <rFont val="Tahoma"/>
            <family val="2"/>
          </rPr>
          <t>Trung</t>
        </r>
      </text>
    </comment>
    <comment ref="D187" authorId="0" shapeId="0">
      <text>
        <r>
          <rPr>
            <sz val="9"/>
            <rFont val="Tahoma"/>
            <family val="2"/>
          </rPr>
          <t xml:space="preserve">
</t>
        </r>
        <r>
          <rPr>
            <sz val="9"/>
            <rFont val="Tahoma"/>
            <family val="2"/>
          </rPr>
          <t>Hà</t>
        </r>
      </text>
    </comment>
    <comment ref="C192" authorId="0" shapeId="0">
      <text>
        <r>
          <rPr>
            <sz val="9"/>
            <rFont val="Tahoma"/>
            <family val="2"/>
          </rPr>
          <t xml:space="preserve">
</t>
        </r>
        <r>
          <rPr>
            <sz val="9"/>
            <rFont val="Tahoma"/>
            <family val="2"/>
          </rPr>
          <t>Khanh</t>
        </r>
      </text>
    </comment>
    <comment ref="D196" authorId="0" shapeId="0">
      <text>
        <r>
          <rPr>
            <sz val="9"/>
            <rFont val="Tahoma"/>
            <family val="2"/>
          </rPr>
          <t>A. Ngọc - luu y</t>
        </r>
      </text>
    </comment>
    <comment ref="E199" authorId="0" shapeId="0">
      <text>
        <r>
          <rPr>
            <sz val="9"/>
            <rFont val="Tahoma"/>
            <family val="2"/>
          </rPr>
          <t xml:space="preserve">
</t>
        </r>
        <r>
          <rPr>
            <sz val="9"/>
            <rFont val="Tahoma"/>
            <family val="2"/>
          </rPr>
          <t xml:space="preserve">        Đông</t>
        </r>
      </text>
    </comment>
    <comment ref="D202" authorId="0" shapeId="0">
      <text>
        <r>
          <rPr>
            <sz val="9"/>
            <rFont val="Tahoma"/>
            <family val="2"/>
          </rPr>
          <t xml:space="preserve">
</t>
        </r>
        <r>
          <rPr>
            <sz val="9"/>
            <rFont val="Tahoma"/>
            <family val="2"/>
          </rPr>
          <t>Huệ - luu y</t>
        </r>
      </text>
    </comment>
    <comment ref="C215" authorId="0" shapeId="0">
      <text>
        <r>
          <rPr>
            <sz val="9"/>
            <rFont val="Tahoma"/>
            <family val="2"/>
          </rPr>
          <t xml:space="preserve">
</t>
        </r>
        <r>
          <rPr>
            <sz val="9"/>
            <rFont val="Tahoma"/>
            <family val="2"/>
          </rPr>
          <t>Long</t>
        </r>
      </text>
    </comment>
    <comment ref="F218" authorId="0" shapeId="0">
      <text>
        <r>
          <rPr>
            <sz val="9"/>
            <rFont val="Tahoma"/>
            <family val="2"/>
          </rPr>
          <t xml:space="preserve">
</t>
        </r>
        <r>
          <rPr>
            <sz val="9"/>
            <rFont val="Tahoma"/>
            <family val="2"/>
          </rPr>
          <t>Thái</t>
        </r>
      </text>
    </comment>
    <comment ref="C219" authorId="0" shapeId="0">
      <text>
        <r>
          <rPr>
            <sz val="9"/>
            <rFont val="Tahoma"/>
            <family val="2"/>
          </rPr>
          <t xml:space="preserve">
</t>
        </r>
        <r>
          <rPr>
            <sz val="9"/>
            <rFont val="Tahoma"/>
            <family val="2"/>
          </rPr>
          <t>Nhân</t>
        </r>
      </text>
    </comment>
    <comment ref="D224" authorId="0" shapeId="0">
      <text>
        <r>
          <rPr>
            <sz val="9"/>
            <rFont val="Tahoma"/>
            <family val="2"/>
          </rPr>
          <t>NV KHO</t>
        </r>
      </text>
    </comment>
    <comment ref="E231" authorId="0" shapeId="0">
      <text>
        <r>
          <rPr>
            <sz val="9"/>
            <rFont val="Tahoma"/>
            <family val="2"/>
          </rPr>
          <t>Thông</t>
        </r>
      </text>
    </comment>
    <comment ref="D233" authorId="0" shapeId="0">
      <text>
        <r>
          <rPr>
            <sz val="9"/>
            <rFont val="Tahoma"/>
            <family val="2"/>
          </rPr>
          <t>Thuần</t>
        </r>
      </text>
    </comment>
  </commentList>
</comments>
</file>

<file path=xl/comments2.xml><?xml version="1.0" encoding="utf-8"?>
<comments xmlns="http://schemas.openxmlformats.org/spreadsheetml/2006/main">
  <authors>
    <author>X1</author>
    <author>Dell</author>
    <author>A</author>
    <author>ANH</author>
    <author>Admin</author>
  </authors>
  <commentList>
    <comment ref="L6" authorId="0" shapeId="0">
      <text>
        <r>
          <rPr>
            <b/>
            <sz val="9"/>
            <rFont val="Tahoma"/>
            <family val="2"/>
          </rPr>
          <t>X1:</t>
        </r>
        <r>
          <rPr>
            <sz val="9"/>
            <rFont val="Tahoma"/>
            <family val="2"/>
          </rPr>
          <t xml:space="preserve">
</t>
        </r>
        <r>
          <rPr>
            <sz val="9"/>
            <rFont val="Tahoma"/>
            <family val="2"/>
          </rPr>
          <t>ĐỐI VỚI CV ĐÒI HỎI TRÁCH NHIỆM CAO - CẤP DƯỚI BAN GĐ</t>
        </r>
      </text>
    </comment>
    <comment ref="N6" authorId="0" shapeId="0">
      <text>
        <r>
          <rPr>
            <b/>
            <sz val="9"/>
            <rFont val="Tahoma"/>
            <family val="2"/>
          </rPr>
          <t>X1:</t>
        </r>
        <r>
          <rPr>
            <sz val="9"/>
            <rFont val="Tahoma"/>
            <family val="2"/>
          </rPr>
          <t xml:space="preserve">
</t>
        </r>
        <r>
          <rPr>
            <sz val="9"/>
            <rFont val="Tahoma"/>
            <family val="2"/>
          </rPr>
          <t>ÁP DỤNG CHO CÁC VỊ TRÍ CẦN THU HÚT NHÂN SỰ, đặc biệt làm việc tại NM</t>
        </r>
      </text>
    </comment>
    <comment ref="S6" authorId="0" shapeId="0">
      <text>
        <r>
          <rPr>
            <b/>
            <sz val="9"/>
            <rFont val="Tahoma"/>
            <family val="2"/>
          </rPr>
          <t>X1:</t>
        </r>
        <r>
          <rPr>
            <sz val="9"/>
            <rFont val="Tahoma"/>
            <family val="2"/>
          </rPr>
          <t xml:space="preserve">
</t>
        </r>
        <r>
          <rPr>
            <sz val="9"/>
            <rFont val="Tahoma"/>
            <family val="2"/>
          </rPr>
          <t>KHÁM CHỮA BỆNH Ở BẤT KỲ BV NÀO</t>
        </r>
      </text>
    </comment>
    <comment ref="T6" authorId="0" shapeId="0">
      <text>
        <r>
          <rPr>
            <b/>
            <sz val="9"/>
            <rFont val="Tahoma"/>
            <family val="2"/>
          </rPr>
          <t>X1:</t>
        </r>
        <r>
          <rPr>
            <sz val="9"/>
            <rFont val="Tahoma"/>
            <family val="2"/>
          </rPr>
          <t xml:space="preserve">
</t>
        </r>
        <r>
          <rPr>
            <sz val="9"/>
            <rFont val="Tahoma"/>
            <family val="2"/>
          </rPr>
          <t xml:space="preserve">cân đối lương cho phu hợp hiện tại và thị trường
</t>
        </r>
      </text>
    </comment>
    <comment ref="AP14" authorId="1" shapeId="0">
      <text>
        <r>
          <rPr>
            <b/>
            <sz val="9"/>
            <rFont val="Tahoma"/>
            <family val="2"/>
          </rPr>
          <t xml:space="preserve">X1:
</t>
        </r>
        <r>
          <rPr>
            <b/>
            <sz val="9"/>
            <rFont val="Tahoma"/>
            <family val="2"/>
          </rPr>
          <t>những người tô màu xanh có công thức tính lương /30 ngày công</t>
        </r>
      </text>
    </comment>
    <comment ref="AJ19" authorId="2" shapeId="0">
      <text>
        <r>
          <rPr>
            <b/>
            <sz val="9"/>
            <rFont val="Tahoma"/>
            <family val="2"/>
          </rPr>
          <t>A:</t>
        </r>
        <r>
          <rPr>
            <sz val="9"/>
            <rFont val="Tahoma"/>
            <family val="2"/>
          </rPr>
          <t xml:space="preserve">
</t>
        </r>
        <r>
          <rPr>
            <sz val="9"/>
            <rFont val="Tahoma"/>
            <family val="2"/>
          </rPr>
          <t>Sếp PaRi yêu cầu hỗ trợ ngoài 1tr</t>
        </r>
      </text>
    </comment>
    <comment ref="AJ22" authorId="2" shapeId="0">
      <text>
        <r>
          <rPr>
            <b/>
            <sz val="9"/>
            <rFont val="Tahoma"/>
            <family val="2"/>
          </rPr>
          <t>A:</t>
        </r>
        <r>
          <rPr>
            <sz val="9"/>
            <rFont val="Tahoma"/>
            <family val="2"/>
          </rPr>
          <t xml:space="preserve">
</t>
        </r>
        <r>
          <rPr>
            <sz val="9"/>
            <rFont val="Tahoma"/>
            <family val="2"/>
          </rPr>
          <t>Sếp Thảo yêu cầu hỗ trợ ngoài 1tr</t>
        </r>
      </text>
    </comment>
    <comment ref="AJ28" authorId="3" shapeId="0">
      <text>
        <r>
          <rPr>
            <b/>
            <sz val="9"/>
            <color indexed="81"/>
            <rFont val="Tahoma"/>
            <family val="2"/>
          </rPr>
          <t>ANH:</t>
        </r>
        <r>
          <rPr>
            <sz val="9"/>
            <color indexed="81"/>
            <rFont val="Tahoma"/>
            <family val="2"/>
          </rPr>
          <t xml:space="preserve">
Hỗ trợ vị trí mới (Phó Tổng)</t>
        </r>
      </text>
    </comment>
    <comment ref="AM28" authorId="3" shapeId="0">
      <text>
        <r>
          <rPr>
            <b/>
            <sz val="9"/>
            <color indexed="81"/>
            <rFont val="Tahoma"/>
            <family val="2"/>
          </rPr>
          <t>ANH:</t>
        </r>
        <r>
          <rPr>
            <sz val="9"/>
            <color indexed="81"/>
            <rFont val="Tahoma"/>
            <family val="2"/>
          </rPr>
          <t xml:space="preserve">
Báo tăng từ tháng 08/2019</t>
        </r>
      </text>
    </comment>
    <comment ref="AJ30" authorId="3" shapeId="0">
      <text>
        <r>
          <rPr>
            <b/>
            <sz val="9"/>
            <color indexed="81"/>
            <rFont val="Tahoma"/>
            <charset val="1"/>
          </rPr>
          <t xml:space="preserve">ANH:
</t>
        </r>
        <r>
          <rPr>
            <sz val="9"/>
            <color indexed="81"/>
            <rFont val="Tahoma"/>
            <family val="2"/>
          </rPr>
          <t>Hỗ trợ ngoài lương mỗi tháng 10tr, tháng 8 bù thêm cho tháng 6 và 7.</t>
        </r>
      </text>
    </comment>
    <comment ref="AJ34" authorId="3" shapeId="0">
      <text>
        <r>
          <rPr>
            <b/>
            <sz val="9"/>
            <color indexed="81"/>
            <rFont val="Tahoma"/>
            <family val="2"/>
          </rPr>
          <t>ANH:</t>
        </r>
        <r>
          <rPr>
            <sz val="9"/>
            <color indexed="81"/>
            <rFont val="Tahoma"/>
            <family val="2"/>
          </rPr>
          <t xml:space="preserve">
Kiêm kế toán thuế</t>
        </r>
      </text>
    </comment>
    <comment ref="J35" authorId="3" shapeId="0">
      <text>
        <r>
          <rPr>
            <b/>
            <sz val="9"/>
            <color indexed="81"/>
            <rFont val="Tahoma"/>
            <charset val="1"/>
          </rPr>
          <t>ANH:</t>
        </r>
        <r>
          <rPr>
            <sz val="9"/>
            <color indexed="81"/>
            <rFont val="Tahoma"/>
            <charset val="1"/>
          </rPr>
          <t xml:space="preserve">
Mức thử việc</t>
        </r>
      </text>
    </comment>
    <comment ref="C40" authorId="2" shapeId="0">
      <text>
        <r>
          <rPr>
            <b/>
            <sz val="9"/>
            <rFont val="Tahoma"/>
            <family val="2"/>
          </rPr>
          <t>A:</t>
        </r>
        <r>
          <rPr>
            <sz val="9"/>
            <rFont val="Tahoma"/>
            <family val="2"/>
          </rPr>
          <t xml:space="preserve">
</t>
        </r>
        <r>
          <rPr>
            <sz val="9"/>
            <rFont val="Tahoma"/>
            <family val="2"/>
          </rPr>
          <t>Chuyển qua BP kế toán từ ngày 01/10/2018</t>
        </r>
      </text>
    </comment>
    <comment ref="V48" authorId="3" shapeId="0">
      <text>
        <r>
          <rPr>
            <b/>
            <sz val="9"/>
            <color indexed="81"/>
            <rFont val="Tahoma"/>
            <family val="2"/>
          </rPr>
          <t>ANH:</t>
        </r>
        <r>
          <rPr>
            <sz val="9"/>
            <color indexed="81"/>
            <rFont val="Tahoma"/>
            <family val="2"/>
          </rPr>
          <t xml:space="preserve">
85% thử việc 2 tháng</t>
        </r>
      </text>
    </comment>
    <comment ref="AJ53" authorId="3" shapeId="0">
      <text>
        <r>
          <rPr>
            <b/>
            <sz val="9"/>
            <color indexed="81"/>
            <rFont val="Tahoma"/>
            <family val="2"/>
          </rPr>
          <t>ANH:</t>
        </r>
        <r>
          <rPr>
            <sz val="9"/>
            <color indexed="81"/>
            <rFont val="Tahoma"/>
            <family val="2"/>
          </rPr>
          <t xml:space="preserve">
Hỗ trợ cho vị trí mới Trưởng Phòng KHTH từ 15/07/2019.</t>
        </r>
      </text>
    </comment>
    <comment ref="J54" authorId="3" shapeId="0">
      <text>
        <r>
          <rPr>
            <b/>
            <sz val="9"/>
            <color indexed="81"/>
            <rFont val="Tahoma"/>
            <family val="2"/>
          </rPr>
          <t>ANH:</t>
        </r>
        <r>
          <rPr>
            <sz val="9"/>
            <color indexed="81"/>
            <rFont val="Tahoma"/>
            <family val="2"/>
          </rPr>
          <t xml:space="preserve">
Mức lương thử việc và chính thức lun</t>
        </r>
      </text>
    </comment>
    <comment ref="C59" authorId="2" shapeId="0">
      <text>
        <r>
          <rPr>
            <b/>
            <sz val="9"/>
            <rFont val="Tahoma"/>
            <family val="2"/>
          </rPr>
          <t>A:</t>
        </r>
        <r>
          <rPr>
            <sz val="9"/>
            <rFont val="Tahoma"/>
            <family val="2"/>
          </rPr>
          <t xml:space="preserve">
</t>
        </r>
        <r>
          <rPr>
            <sz val="9"/>
            <rFont val="Tahoma"/>
            <family val="2"/>
          </rPr>
          <t>Ngày qua Dự Án là 12/03/2018</t>
        </r>
      </text>
    </comment>
    <comment ref="AJ61" authorId="3" shapeId="0">
      <text>
        <r>
          <rPr>
            <b/>
            <sz val="9"/>
            <color indexed="81"/>
            <rFont val="Tahoma"/>
            <family val="2"/>
          </rPr>
          <t>ANH:</t>
        </r>
        <r>
          <rPr>
            <sz val="9"/>
            <color indexed="81"/>
            <rFont val="Tahoma"/>
            <family val="2"/>
          </rPr>
          <t xml:space="preserve">
Hỗ trợ ngoài vị trí mới Trưởng BP NC KHCN, bắt đầu từ tháng 6/2019</t>
        </r>
      </text>
    </comment>
    <comment ref="V65" authorId="3" shapeId="0">
      <text>
        <r>
          <rPr>
            <b/>
            <sz val="9"/>
            <color indexed="81"/>
            <rFont val="Tahoma"/>
            <family val="2"/>
          </rPr>
          <t>ANH:</t>
        </r>
        <r>
          <rPr>
            <sz val="9"/>
            <color indexed="81"/>
            <rFont val="Tahoma"/>
            <family val="2"/>
          </rPr>
          <t xml:space="preserve">
Mức thử việc 2 tháng</t>
        </r>
      </text>
    </comment>
    <comment ref="E66" authorId="3" shapeId="0">
      <text>
        <r>
          <rPr>
            <b/>
            <sz val="9"/>
            <color indexed="81"/>
            <rFont val="Tahoma"/>
            <family val="2"/>
          </rPr>
          <t>ANH:</t>
        </r>
        <r>
          <rPr>
            <sz val="9"/>
            <color indexed="81"/>
            <rFont val="Tahoma"/>
            <family val="2"/>
          </rPr>
          <t xml:space="preserve">
Ngày qua làm công nhân Biogas</t>
        </r>
      </text>
    </comment>
    <comment ref="AJ69" authorId="3" shapeId="0">
      <text>
        <r>
          <rPr>
            <b/>
            <sz val="9"/>
            <color indexed="81"/>
            <rFont val="Tahoma"/>
            <family val="2"/>
          </rPr>
          <t>ANH:</t>
        </r>
        <r>
          <rPr>
            <sz val="9"/>
            <color indexed="81"/>
            <rFont val="Tahoma"/>
            <family val="2"/>
          </rPr>
          <t xml:space="preserve">
Hỗ trợ cho vị trí mới Trưởng Phòng KHTH từ 15/07/2019.</t>
        </r>
      </text>
    </comment>
    <comment ref="V70" authorId="3" shapeId="0">
      <text>
        <r>
          <rPr>
            <b/>
            <sz val="9"/>
            <color indexed="81"/>
            <rFont val="Tahoma"/>
            <family val="2"/>
          </rPr>
          <t>ANH:</t>
        </r>
        <r>
          <rPr>
            <sz val="9"/>
            <color indexed="81"/>
            <rFont val="Tahoma"/>
            <family val="2"/>
          </rPr>
          <t xml:space="preserve">
Mức thử việc 2 tháng</t>
        </r>
      </text>
    </comment>
    <comment ref="Z71" authorId="2" shapeId="0">
      <text>
        <r>
          <rPr>
            <b/>
            <sz val="9"/>
            <rFont val="Tahoma"/>
            <family val="2"/>
          </rPr>
          <t>A:</t>
        </r>
        <r>
          <rPr>
            <sz val="9"/>
            <rFont val="Tahoma"/>
            <family val="2"/>
          </rPr>
          <t xml:space="preserve">
</t>
        </r>
        <r>
          <rPr>
            <sz val="9"/>
            <rFont val="Tahoma"/>
            <family val="2"/>
          </rPr>
          <t>Thực nghiệm compost - Đất sạch theo quy trình sx của NM: trồng rau, chăm sóc, tưới tiêu...</t>
        </r>
      </text>
    </comment>
    <comment ref="V74" authorId="3" shapeId="0">
      <text>
        <r>
          <rPr>
            <b/>
            <sz val="9"/>
            <color indexed="81"/>
            <rFont val="Tahoma"/>
            <family val="2"/>
          </rPr>
          <t>ANH:</t>
        </r>
        <r>
          <rPr>
            <sz val="9"/>
            <color indexed="81"/>
            <rFont val="Tahoma"/>
            <family val="2"/>
          </rPr>
          <t xml:space="preserve">
Mức thử việc 2 tháng</t>
        </r>
      </text>
    </comment>
    <comment ref="V80" authorId="3" shapeId="0">
      <text>
        <r>
          <rPr>
            <b/>
            <sz val="9"/>
            <color indexed="81"/>
            <rFont val="Tahoma"/>
            <family val="2"/>
          </rPr>
          <t>ANH:</t>
        </r>
        <r>
          <rPr>
            <sz val="9"/>
            <color indexed="81"/>
            <rFont val="Tahoma"/>
            <family val="2"/>
          </rPr>
          <t xml:space="preserve">
Mức thử việc 2 tháng</t>
        </r>
      </text>
    </comment>
    <comment ref="D84" authorId="3" shapeId="0">
      <text>
        <r>
          <rPr>
            <b/>
            <sz val="9"/>
            <color indexed="81"/>
            <rFont val="Tahoma"/>
            <family val="2"/>
          </rPr>
          <t>ANH:</t>
        </r>
        <r>
          <rPr>
            <sz val="9"/>
            <color indexed="81"/>
            <rFont val="Tahoma"/>
            <family val="2"/>
          </rPr>
          <t xml:space="preserve">
Chuyển xuống vị trí thủ kho từ 26/04/2019</t>
        </r>
      </text>
    </comment>
    <comment ref="V88" authorId="3" shapeId="0">
      <text>
        <r>
          <rPr>
            <b/>
            <sz val="9"/>
            <color indexed="81"/>
            <rFont val="Tahoma"/>
            <family val="2"/>
          </rPr>
          <t>ANH:</t>
        </r>
        <r>
          <rPr>
            <sz val="9"/>
            <color indexed="81"/>
            <rFont val="Tahoma"/>
            <family val="2"/>
          </rPr>
          <t xml:space="preserve">
85% 2 tháng</t>
        </r>
      </text>
    </comment>
    <comment ref="J90" authorId="3" shapeId="0">
      <text>
        <r>
          <rPr>
            <b/>
            <sz val="9"/>
            <color indexed="81"/>
            <rFont val="Tahoma"/>
            <family val="2"/>
          </rPr>
          <t>ANH:</t>
        </r>
        <r>
          <rPr>
            <sz val="9"/>
            <color indexed="81"/>
            <rFont val="Tahoma"/>
            <family val="2"/>
          </rPr>
          <t xml:space="preserve">
B1 theo vị trí Admin kho</t>
        </r>
      </text>
    </comment>
    <comment ref="V90" authorId="3" shapeId="0">
      <text>
        <r>
          <rPr>
            <b/>
            <sz val="9"/>
            <color indexed="81"/>
            <rFont val="Tahoma"/>
            <family val="2"/>
          </rPr>
          <t>ANH:</t>
        </r>
        <r>
          <rPr>
            <sz val="9"/>
            <color indexed="81"/>
            <rFont val="Tahoma"/>
            <family val="2"/>
          </rPr>
          <t xml:space="preserve">
85% 2 tháng</t>
        </r>
      </text>
    </comment>
    <comment ref="V95" authorId="3" shapeId="0">
      <text>
        <r>
          <rPr>
            <b/>
            <sz val="9"/>
            <color indexed="81"/>
            <rFont val="Tahoma"/>
            <family val="2"/>
          </rPr>
          <t>ANH:</t>
        </r>
        <r>
          <rPr>
            <sz val="9"/>
            <color indexed="81"/>
            <rFont val="Tahoma"/>
            <family val="2"/>
          </rPr>
          <t xml:space="preserve">
Thử việc 2 tháng 85%</t>
        </r>
      </text>
    </comment>
    <comment ref="D105" authorId="3" shapeId="0">
      <text>
        <r>
          <rPr>
            <b/>
            <sz val="9"/>
            <rFont val="Tahoma"/>
            <family val="2"/>
          </rPr>
          <t>ANH: Nhân viên kỹ thuật</t>
        </r>
        <r>
          <rPr>
            <sz val="9"/>
            <rFont val="Tahoma"/>
            <family val="2"/>
          </rPr>
          <t xml:space="preserve">
</t>
        </r>
      </text>
    </comment>
    <comment ref="D110" authorId="3" shapeId="0">
      <text>
        <r>
          <rPr>
            <b/>
            <sz val="9"/>
            <color indexed="81"/>
            <rFont val="Tahoma"/>
            <family val="2"/>
          </rPr>
          <t>ANH:</t>
        </r>
        <r>
          <rPr>
            <sz val="9"/>
            <color indexed="81"/>
            <rFont val="Tahoma"/>
            <family val="2"/>
          </rPr>
          <t xml:space="preserve">
Mức lương cho vị trí mới</t>
        </r>
      </text>
    </comment>
    <comment ref="E127" authorId="3" shapeId="0">
      <text>
        <r>
          <rPr>
            <b/>
            <sz val="9"/>
            <rFont val="Tahoma"/>
            <family val="2"/>
          </rPr>
          <t>ANH:</t>
        </r>
        <r>
          <rPr>
            <sz val="9"/>
            <rFont val="Tahoma"/>
            <family val="2"/>
          </rPr>
          <t xml:space="preserve">
</t>
        </r>
        <r>
          <rPr>
            <sz val="9"/>
            <rFont val="Tahoma"/>
            <family val="2"/>
          </rPr>
          <t>Chuyển qua làm tổ trưởng cây xanh bắt đầu từ ngày 26/03/2019</t>
        </r>
      </text>
    </comment>
    <comment ref="AM135" authorId="3" shapeId="0">
      <text>
        <r>
          <rPr>
            <b/>
            <sz val="9"/>
            <color indexed="81"/>
            <rFont val="Tahoma"/>
            <family val="2"/>
          </rPr>
          <t>ANH:</t>
        </r>
        <r>
          <rPr>
            <sz val="9"/>
            <color indexed="81"/>
            <rFont val="Tahoma"/>
            <family val="2"/>
          </rPr>
          <t xml:space="preserve">
Báo giảm nghỉ k lương từ tháng 07/2019</t>
        </r>
      </text>
    </comment>
    <comment ref="V145" authorId="3" shapeId="0">
      <text>
        <r>
          <rPr>
            <b/>
            <sz val="9"/>
            <color indexed="81"/>
            <rFont val="Tahoma"/>
            <family val="2"/>
          </rPr>
          <t>ANH:</t>
        </r>
        <r>
          <rPr>
            <sz val="9"/>
            <color indexed="81"/>
            <rFont val="Tahoma"/>
            <family val="2"/>
          </rPr>
          <t xml:space="preserve">
85% 2 tháng</t>
        </r>
      </text>
    </comment>
    <comment ref="V155" authorId="3" shapeId="0">
      <text>
        <r>
          <rPr>
            <b/>
            <sz val="9"/>
            <color indexed="81"/>
            <rFont val="Tahoma"/>
            <family val="2"/>
          </rPr>
          <t>ANH:</t>
        </r>
        <r>
          <rPr>
            <sz val="9"/>
            <color indexed="81"/>
            <rFont val="Tahoma"/>
            <family val="2"/>
          </rPr>
          <t xml:space="preserve">
Thử việc 85%</t>
        </r>
      </text>
    </comment>
    <comment ref="V165" authorId="3" shapeId="0">
      <text>
        <r>
          <rPr>
            <b/>
            <sz val="9"/>
            <color indexed="81"/>
            <rFont val="Tahoma"/>
            <family val="2"/>
          </rPr>
          <t>ANH:</t>
        </r>
        <r>
          <rPr>
            <sz val="9"/>
            <color indexed="81"/>
            <rFont val="Tahoma"/>
            <family val="2"/>
          </rPr>
          <t xml:space="preserve">
Thử việc 85%</t>
        </r>
      </text>
    </comment>
    <comment ref="U166" authorId="2" shapeId="0">
      <text>
        <r>
          <rPr>
            <b/>
            <sz val="9"/>
            <rFont val="Tahoma"/>
            <family val="2"/>
          </rPr>
          <t>A:</t>
        </r>
        <r>
          <rPr>
            <sz val="9"/>
            <rFont val="Tahoma"/>
            <family val="2"/>
          </rPr>
          <t xml:space="preserve">
</t>
        </r>
        <r>
          <rPr>
            <sz val="9"/>
            <rFont val="Tahoma"/>
            <family val="2"/>
          </rPr>
          <t>Kiêm mảng Maketing &amp; KD bùn khác</t>
        </r>
      </text>
    </comment>
    <comment ref="AI174" authorId="3" shapeId="0">
      <text>
        <r>
          <rPr>
            <b/>
            <sz val="9"/>
            <color indexed="81"/>
            <rFont val="Tahoma"/>
            <family val="2"/>
          </rPr>
          <t>ANH:</t>
        </r>
        <r>
          <rPr>
            <sz val="9"/>
            <color indexed="81"/>
            <rFont val="Tahoma"/>
            <family val="2"/>
          </rPr>
          <t xml:space="preserve">
Số chuyến cao nhất</t>
        </r>
      </text>
    </comment>
    <comment ref="J178" authorId="4" shapeId="0">
      <text>
        <r>
          <rPr>
            <b/>
            <sz val="9"/>
            <rFont val="Tahoma"/>
            <family val="2"/>
          </rPr>
          <t>Admin:</t>
        </r>
        <r>
          <rPr>
            <sz val="9"/>
            <rFont val="Tahoma"/>
            <family val="2"/>
          </rPr>
          <t xml:space="preserve">
</t>
        </r>
        <r>
          <rPr>
            <sz val="9"/>
            <rFont val="Tahoma"/>
            <family val="2"/>
          </rPr>
          <t>Bắt đầu từ tháng 01/2019 Cọp chạy xe ben 51C-845.53 tính lương như Châu Kim Lượng</t>
        </r>
      </text>
    </comment>
    <comment ref="AM192" authorId="3" shapeId="0">
      <text>
        <r>
          <rPr>
            <b/>
            <sz val="9"/>
            <color indexed="81"/>
            <rFont val="Tahoma"/>
            <family val="2"/>
          </rPr>
          <t>ANH:</t>
        </r>
        <r>
          <rPr>
            <sz val="9"/>
            <color indexed="81"/>
            <rFont val="Tahoma"/>
            <family val="2"/>
          </rPr>
          <t xml:space="preserve">
tăng tháng 08/2019</t>
        </r>
      </text>
    </comment>
    <comment ref="AM194" authorId="3" shapeId="0">
      <text>
        <r>
          <rPr>
            <b/>
            <sz val="9"/>
            <color indexed="81"/>
            <rFont val="Tahoma"/>
            <family val="2"/>
          </rPr>
          <t>ANH:</t>
        </r>
        <r>
          <rPr>
            <sz val="9"/>
            <color indexed="81"/>
            <rFont val="Tahoma"/>
            <family val="2"/>
          </rPr>
          <t xml:space="preserve">
tăng tháng 08/2019</t>
        </r>
      </text>
    </comment>
    <comment ref="AM195" authorId="3" shapeId="0">
      <text>
        <r>
          <rPr>
            <b/>
            <sz val="9"/>
            <color indexed="81"/>
            <rFont val="Tahoma"/>
            <family val="2"/>
          </rPr>
          <t>ANH:</t>
        </r>
        <r>
          <rPr>
            <sz val="9"/>
            <color indexed="81"/>
            <rFont val="Tahoma"/>
            <family val="2"/>
          </rPr>
          <t xml:space="preserve">
tăng tháng 08/2019</t>
        </r>
      </text>
    </comment>
    <comment ref="J196" authorId="4" shapeId="0">
      <text>
        <r>
          <rPr>
            <b/>
            <sz val="9"/>
            <rFont val="Tahoma"/>
            <family val="2"/>
          </rPr>
          <t>Admin:</t>
        </r>
        <r>
          <rPr>
            <sz val="9"/>
            <rFont val="Tahoma"/>
            <family val="2"/>
          </rPr>
          <t xml:space="preserve">
</t>
        </r>
        <r>
          <rPr>
            <sz val="9"/>
            <rFont val="Tahoma"/>
            <family val="2"/>
          </rPr>
          <t>Bốc bùn, lương cứng 7tr/tháng</t>
        </r>
      </text>
    </comment>
  </commentList>
</comments>
</file>

<file path=xl/comments3.xml><?xml version="1.0" encoding="utf-8"?>
<comments xmlns="http://schemas.openxmlformats.org/spreadsheetml/2006/main">
  <authors>
    <author>X1</author>
    <author>Asus</author>
    <author>ANH</author>
    <author>Win 10</author>
    <author>A</author>
    <author>84909116095</author>
    <author>Luxury</author>
    <author>Admin</author>
    <author>Thanh Luan Nguyen</author>
  </authors>
  <commentList>
    <comment ref="J5" authorId="0" shapeId="0">
      <text>
        <r>
          <rPr>
            <b/>
            <sz val="9"/>
            <rFont val="Tahoma"/>
            <family val="2"/>
          </rPr>
          <t>X1:</t>
        </r>
        <r>
          <rPr>
            <sz val="9"/>
            <rFont val="Tahoma"/>
            <family val="2"/>
          </rPr>
          <t xml:space="preserve">
</t>
        </r>
        <r>
          <rPr>
            <sz val="9"/>
            <rFont val="Tahoma"/>
            <family val="2"/>
          </rPr>
          <t>Tháng không có ngày 30 ghi chữ K vào ô này</t>
        </r>
      </text>
    </comment>
    <comment ref="AT5" authorId="0" shapeId="0">
      <text>
        <r>
          <rPr>
            <b/>
            <sz val="9"/>
            <rFont val="Tahoma"/>
            <family val="2"/>
          </rPr>
          <t>X1:</t>
        </r>
        <r>
          <rPr>
            <sz val="9"/>
            <rFont val="Tahoma"/>
            <family val="2"/>
          </rPr>
          <t xml:space="preserve">
</t>
        </r>
        <r>
          <rPr>
            <sz val="9"/>
            <rFont val="Tahoma"/>
            <family val="2"/>
          </rPr>
          <t>Tháng không có ngày 30 ghi chữ K vào ô này</t>
        </r>
      </text>
    </comment>
    <comment ref="W15" authorId="1" shapeId="0">
      <text>
        <r>
          <rPr>
            <b/>
            <sz val="9"/>
            <color indexed="81"/>
            <rFont val="Tahoma"/>
            <family val="2"/>
          </rPr>
          <t>Asus:</t>
        </r>
        <r>
          <rPr>
            <sz val="9"/>
            <color indexed="81"/>
            <rFont val="Tahoma"/>
            <family val="2"/>
          </rPr>
          <t xml:space="preserve">
Dồn 2 lần 0.5 ngày, tháng này nợ 0.5 ngày P tháng sau trừ dồn</t>
        </r>
      </text>
    </comment>
    <comment ref="AA31" authorId="2" shapeId="0">
      <text>
        <r>
          <rPr>
            <b/>
            <sz val="9"/>
            <color indexed="81"/>
            <rFont val="Tahoma"/>
          </rPr>
          <t>ANH:</t>
        </r>
        <r>
          <rPr>
            <sz val="9"/>
            <color indexed="81"/>
            <rFont val="Tahoma"/>
          </rPr>
          <t xml:space="preserve">
Dồn 2 lần 0.5 nagy2 trong tháng</t>
        </r>
      </text>
    </comment>
    <comment ref="AF31" authorId="3" shapeId="0">
      <text>
        <r>
          <rPr>
            <b/>
            <sz val="9"/>
            <color indexed="81"/>
            <rFont val="Tahoma"/>
            <family val="2"/>
            <charset val="163"/>
          </rPr>
          <t>A:</t>
        </r>
        <r>
          <rPr>
            <sz val="9"/>
            <color indexed="81"/>
            <rFont val="Tahoma"/>
            <family val="2"/>
            <charset val="163"/>
          </rPr>
          <t xml:space="preserve">
2 lần 0,5 ngày quy 1P</t>
        </r>
      </text>
    </comment>
    <comment ref="AJ36" authorId="2" shapeId="0">
      <text>
        <r>
          <rPr>
            <b/>
            <sz val="9"/>
            <color indexed="81"/>
            <rFont val="Tahoma"/>
            <charset val="1"/>
          </rPr>
          <t>ANH:</t>
        </r>
        <r>
          <rPr>
            <sz val="9"/>
            <color indexed="81"/>
            <rFont val="Tahoma"/>
            <charset val="1"/>
          </rPr>
          <t xml:space="preserve">
Tính lun 6 ngày làm việc từ 26/08 đến 31/08</t>
        </r>
      </text>
    </comment>
    <comment ref="BX37" authorId="4" shapeId="0">
      <text>
        <r>
          <rPr>
            <b/>
            <sz val="9"/>
            <rFont val="Tahoma"/>
            <family val="2"/>
          </rPr>
          <t>A:</t>
        </r>
        <r>
          <rPr>
            <sz val="9"/>
            <rFont val="Tahoma"/>
            <family val="2"/>
          </rPr>
          <t xml:space="preserve">
</t>
        </r>
        <r>
          <rPr>
            <sz val="9"/>
            <rFont val="Tahoma"/>
            <family val="2"/>
          </rPr>
          <t xml:space="preserve">Trừ 5tr tiền học từ kỳ nhận lương tháng 08 đến kỳ lương tháng 05/2019 mỗi tháng trừ 500k.
</t>
        </r>
        <r>
          <rPr>
            <sz val="9"/>
            <rFont val="Tahoma"/>
            <family val="2"/>
          </rPr>
          <t>- Trừ ứng 15tr (giải quyết việc gia đình) từ kỳ nhận lương tháng 01/2019 đến hết kỳ nhận tháng 10/2019 mỗi tháng trừ 1tr5.</t>
        </r>
      </text>
    </comment>
    <comment ref="J55" authorId="1" shapeId="0">
      <text>
        <r>
          <rPr>
            <b/>
            <sz val="9"/>
            <color indexed="81"/>
            <rFont val="Tahoma"/>
            <family val="2"/>
          </rPr>
          <t>Asus:</t>
        </r>
        <r>
          <rPr>
            <sz val="9"/>
            <color indexed="81"/>
            <rFont val="Tahoma"/>
            <family val="2"/>
          </rPr>
          <t xml:space="preserve">
Bù 1 ngày tháng 6 chấm sót</t>
        </r>
      </text>
    </comment>
    <comment ref="BX60" authorId="5" shapeId="0">
      <text>
        <r>
          <rPr>
            <b/>
            <sz val="9"/>
            <rFont val="Tahoma"/>
            <family val="2"/>
          </rPr>
          <t>A:</t>
        </r>
        <r>
          <rPr>
            <sz val="9"/>
            <rFont val="Tahoma"/>
            <family val="2"/>
          </rPr>
          <t xml:space="preserve">
</t>
        </r>
        <r>
          <rPr>
            <sz val="9"/>
            <rFont val="Tahoma"/>
            <family val="2"/>
          </rPr>
          <t>Ung 20tr viec gia dinh, tru hang thang 3tr. Bat dau tru tu 05/03 luong thang 02/2019</t>
        </r>
      </text>
    </comment>
    <comment ref="AH73" authorId="2" shapeId="0">
      <text>
        <r>
          <rPr>
            <b/>
            <sz val="9"/>
            <color indexed="81"/>
            <rFont val="Tahoma"/>
          </rPr>
          <t>ANH:</t>
        </r>
        <r>
          <rPr>
            <sz val="9"/>
            <color indexed="81"/>
            <rFont val="Tahoma"/>
          </rPr>
          <t xml:space="preserve">
Bù 1 ngày công của tháng 07</t>
        </r>
      </text>
    </comment>
    <comment ref="BW73" authorId="2" shapeId="0">
      <text>
        <r>
          <rPr>
            <b/>
            <sz val="9"/>
            <color indexed="81"/>
            <rFont val="Tahoma"/>
            <family val="2"/>
          </rPr>
          <t>ANH:</t>
        </r>
        <r>
          <rPr>
            <sz val="9"/>
            <color indexed="81"/>
            <rFont val="Tahoma"/>
            <family val="2"/>
          </rPr>
          <t xml:space="preserve">
Trừ tạm ứng lương tháng 08</t>
        </r>
      </text>
    </comment>
    <comment ref="AL80" authorId="2" shapeId="0">
      <text>
        <r>
          <rPr>
            <b/>
            <sz val="9"/>
            <color indexed="81"/>
            <rFont val="Tahoma"/>
            <family val="2"/>
          </rPr>
          <t>ANH:</t>
        </r>
        <r>
          <rPr>
            <sz val="9"/>
            <color indexed="81"/>
            <rFont val="Tahoma"/>
            <family val="2"/>
          </rPr>
          <t xml:space="preserve">
Bù 1 ngày Phép</t>
        </r>
      </text>
    </comment>
    <comment ref="BX89" authorId="4" shapeId="0">
      <text>
        <r>
          <rPr>
            <b/>
            <sz val="9"/>
            <rFont val="Tahoma"/>
            <family val="2"/>
          </rPr>
          <t>A:</t>
        </r>
        <r>
          <rPr>
            <sz val="9"/>
            <rFont val="Tahoma"/>
            <family val="2"/>
          </rPr>
          <t xml:space="preserve">
Hết Trừ phạt 3tr9</t>
        </r>
      </text>
    </comment>
    <comment ref="BX90" authorId="5" shapeId="0">
      <text>
        <r>
          <rPr>
            <b/>
            <sz val="9"/>
            <rFont val="Tahoma"/>
            <family val="2"/>
          </rPr>
          <t>A:</t>
        </r>
        <r>
          <rPr>
            <sz val="9"/>
            <rFont val="Tahoma"/>
            <family val="2"/>
          </rPr>
          <t xml:space="preserve">
</t>
        </r>
        <r>
          <rPr>
            <sz val="9"/>
            <rFont val="Tahoma"/>
            <family val="2"/>
          </rPr>
          <t>Ung 20tr viec rieng, tru hang thang 2tr. Bat dau tru tu 05/03 luong thang 02/2019</t>
        </r>
      </text>
    </comment>
    <comment ref="C97" authorId="0" shapeId="0">
      <text>
        <r>
          <rPr>
            <b/>
            <sz val="9"/>
            <rFont val="Tahoma"/>
            <family val="2"/>
          </rPr>
          <t>X1:</t>
        </r>
        <r>
          <rPr>
            <sz val="9"/>
            <rFont val="Tahoma"/>
            <family val="2"/>
          </rPr>
          <t xml:space="preserve">
</t>
        </r>
        <r>
          <rPr>
            <sz val="9"/>
            <rFont val="Tahoma"/>
            <family val="2"/>
          </rPr>
          <t>moi chuyen qua tu thang 1/2018</t>
        </r>
      </text>
    </comment>
    <comment ref="BW105" authorId="2" shapeId="0">
      <text>
        <r>
          <rPr>
            <b/>
            <sz val="9"/>
            <color indexed="81"/>
            <rFont val="Tahoma"/>
            <family val="2"/>
          </rPr>
          <t>ANH:</t>
        </r>
        <r>
          <rPr>
            <sz val="9"/>
            <color indexed="81"/>
            <rFont val="Tahoma"/>
            <family val="2"/>
          </rPr>
          <t xml:space="preserve">
Tháng 06/2019 không trừ tiền ứng 1tr cho Cty, và 1 tr cho NM được vì không đủ lương để trừ do nghỉ nhiều.</t>
        </r>
      </text>
    </comment>
    <comment ref="BX105" authorId="2" shapeId="0">
      <text>
        <r>
          <rPr>
            <b/>
            <sz val="9"/>
            <color indexed="81"/>
            <rFont val="Tahoma"/>
            <family val="2"/>
          </rPr>
          <t>ANH:</t>
        </r>
        <r>
          <rPr>
            <sz val="9"/>
            <color indexed="81"/>
            <rFont val="Tahoma"/>
            <family val="2"/>
          </rPr>
          <t xml:space="preserve">
Trừ lương 1tr và Nhà Máy 1tr (bắt đầu từ kỳ lương tháng 05/2019</t>
        </r>
      </text>
    </comment>
    <comment ref="BW119" authorId="2" shapeId="0">
      <text>
        <r>
          <rPr>
            <b/>
            <sz val="9"/>
            <rFont val="Tahoma"/>
            <family val="2"/>
          </rPr>
          <t>ANH:</t>
        </r>
        <r>
          <rPr>
            <sz val="9"/>
            <rFont val="Tahoma"/>
            <family val="2"/>
          </rPr>
          <t xml:space="preserve">
Tháng 05/2019 đã trừ xong tiền ứng 10tr</t>
        </r>
      </text>
    </comment>
    <comment ref="BX119" authorId="2" shapeId="0">
      <text>
        <r>
          <rPr>
            <b/>
            <sz val="9"/>
            <rFont val="Tahoma"/>
            <family val="2"/>
          </rPr>
          <t>ANH:</t>
        </r>
        <r>
          <rPr>
            <sz val="9"/>
            <rFont val="Tahoma"/>
            <family val="2"/>
          </rPr>
          <t xml:space="preserve">
</t>
        </r>
        <r>
          <rPr>
            <sz val="9"/>
            <rFont val="Tahoma"/>
            <family val="2"/>
          </rPr>
          <t>Tháng 03 trừ trước 5tr còn kỳ lương tháng 4 trừ tiếp 5tr</t>
        </r>
      </text>
    </comment>
    <comment ref="L125" authorId="6" shapeId="0">
      <text>
        <r>
          <rPr>
            <b/>
            <sz val="9"/>
            <color indexed="81"/>
            <rFont val="Tahoma"/>
            <family val="2"/>
          </rPr>
          <t>Luxury:</t>
        </r>
        <r>
          <rPr>
            <sz val="9"/>
            <color indexed="81"/>
            <rFont val="Tahoma"/>
            <family val="2"/>
          </rPr>
          <t xml:space="preserve">
nghỉ kết hôn, nghỉ hưởng lương</t>
        </r>
      </text>
    </comment>
    <comment ref="AH133" authorId="6" shapeId="0">
      <text>
        <r>
          <rPr>
            <b/>
            <sz val="9"/>
            <color indexed="81"/>
            <rFont val="Tahoma"/>
          </rPr>
          <t>Anh:</t>
        </r>
        <r>
          <rPr>
            <sz val="9"/>
            <color indexed="81"/>
            <rFont val="Tahoma"/>
          </rPr>
          <t xml:space="preserve">
Tài đi 2 ca thay cho TX Tuấn nghỉ bệnh</t>
        </r>
      </text>
    </comment>
    <comment ref="BX133" authorId="2" shapeId="0">
      <text>
        <r>
          <rPr>
            <b/>
            <sz val="9"/>
            <color indexed="81"/>
            <rFont val="Tahoma"/>
            <family val="2"/>
          </rPr>
          <t>ANH:</t>
        </r>
        <r>
          <rPr>
            <sz val="9"/>
            <color indexed="81"/>
            <rFont val="Tahoma"/>
            <family val="2"/>
          </rPr>
          <t xml:space="preserve">
Ngày 13/05 ứng lương Cty 10tr, mỗi tháng trừ 2tr. Bắt đầu từ ký lương tháng 05/2019</t>
        </r>
      </text>
    </comment>
    <comment ref="C136" authorId="7" shapeId="0">
      <text>
        <r>
          <rPr>
            <b/>
            <sz val="9"/>
            <rFont val="Tahoma"/>
            <family val="2"/>
          </rPr>
          <t>Admin:</t>
        </r>
        <r>
          <rPr>
            <sz val="9"/>
            <rFont val="Tahoma"/>
            <family val="2"/>
          </rPr>
          <t xml:space="preserve">
</t>
        </r>
        <r>
          <rPr>
            <sz val="9"/>
            <rFont val="Tahoma"/>
            <family val="2"/>
          </rPr>
          <t xml:space="preserve">Tổ phó sx qua QC từ ngày 26/03/2018
</t>
        </r>
      </text>
    </comment>
    <comment ref="BX166" authorId="7" shapeId="0">
      <text>
        <r>
          <rPr>
            <b/>
            <sz val="9"/>
            <rFont val="Tahoma"/>
            <family val="2"/>
          </rPr>
          <t>Admin:</t>
        </r>
        <r>
          <rPr>
            <sz val="9"/>
            <rFont val="Tahoma"/>
            <family val="2"/>
          </rPr>
          <t xml:space="preserve">
- Phạt BH xe, bắt đầu trừ từ tháng 04/2018 (18tr)
- Trừ 500k tiền ứng học nâng cao nghiệp vụ bắt đầu trừ từ tháng 05 (3tr5) --&gt; tháng 12/2018 hết 3tr5.</t>
        </r>
      </text>
    </comment>
    <comment ref="BX168" authorId="4" shapeId="0">
      <text>
        <r>
          <rPr>
            <b/>
            <sz val="9"/>
            <rFont val="Tahoma"/>
            <family val="2"/>
          </rPr>
          <t xml:space="preserve">A:
</t>
        </r>
        <r>
          <rPr>
            <b/>
            <sz val="9"/>
            <rFont val="Tahoma"/>
            <family val="2"/>
          </rPr>
          <t>Đã</t>
        </r>
        <r>
          <rPr>
            <sz val="9"/>
            <rFont val="Tahoma"/>
            <family val="2"/>
          </rPr>
          <t xml:space="preserve"> trừ đến hết (4tr), Giờ tiếp tục trừ khoản ứng 20tr (trừ 2tr bắt đầu từ kỳ lương tháng 1/2019 đến hết.</t>
        </r>
      </text>
    </comment>
    <comment ref="BX170" authorId="2" shapeId="0">
      <text>
        <r>
          <rPr>
            <b/>
            <sz val="9"/>
            <color indexed="81"/>
            <rFont val="Tahoma"/>
            <family val="2"/>
          </rPr>
          <t>ANH:</t>
        </r>
        <r>
          <rPr>
            <sz val="9"/>
            <color indexed="81"/>
            <rFont val="Tahoma"/>
            <family val="2"/>
          </rPr>
          <t xml:space="preserve">
Bắt đầu trừ 20tr ứng việc riêng vào kỳ lương tháng 07 (mỗi tháng 2tr đến kỳ lương tháng 04 là 5/2019)</t>
        </r>
      </text>
    </comment>
    <comment ref="AQ171" authorId="8" shapeId="0">
      <text>
        <r>
          <rPr>
            <b/>
            <sz val="9"/>
            <rFont val="Tahoma"/>
            <family val="2"/>
          </rPr>
          <t>A:</t>
        </r>
        <r>
          <rPr>
            <sz val="9"/>
            <rFont val="Tahoma"/>
            <family val="2"/>
          </rPr>
          <t xml:space="preserve">
</t>
        </r>
        <r>
          <rPr>
            <sz val="9"/>
            <rFont val="Tahoma"/>
            <family val="2"/>
          </rPr>
          <t>Bù 1 ngày CN tháng 10</t>
        </r>
      </text>
    </comment>
    <comment ref="BX172" authorId="8" shapeId="0">
      <text>
        <r>
          <rPr>
            <b/>
            <sz val="9"/>
            <rFont val="Tahoma"/>
            <family val="2"/>
          </rPr>
          <t>A:</t>
        </r>
        <r>
          <rPr>
            <sz val="9"/>
            <rFont val="Tahoma"/>
            <family val="2"/>
          </rPr>
          <t xml:space="preserve">
</t>
        </r>
        <r>
          <rPr>
            <sz val="9"/>
            <rFont val="Tahoma"/>
            <family val="2"/>
          </rPr>
          <t>Trả tiền sửa cửa cuốn Xưởng Bình Hưng (7.060tr) mỗi tháng trừ 1tr đến hết, bắt đầu từ tháng 01/2019.</t>
        </r>
      </text>
    </comment>
    <comment ref="BX187" authorId="2" shapeId="0">
      <text>
        <r>
          <rPr>
            <b/>
            <sz val="9"/>
            <color indexed="81"/>
            <rFont val="Tahoma"/>
            <family val="2"/>
          </rPr>
          <t>ANH:</t>
        </r>
        <r>
          <rPr>
            <sz val="9"/>
            <color indexed="81"/>
            <rFont val="Tahoma"/>
            <family val="2"/>
          </rPr>
          <t xml:space="preserve">
Ứng 7tr cho vợ sinh, mỗi tháng trừ 1tr, bắt đầu từ kỳ lương tháng 07/2018</t>
        </r>
      </text>
    </comment>
    <comment ref="AQ189" authorId="8" shapeId="0">
      <text>
        <r>
          <rPr>
            <b/>
            <sz val="9"/>
            <rFont val="Tahoma"/>
            <family val="2"/>
          </rPr>
          <t>A:</t>
        </r>
        <r>
          <rPr>
            <sz val="9"/>
            <rFont val="Tahoma"/>
            <family val="2"/>
          </rPr>
          <t xml:space="preserve">
</t>
        </r>
        <r>
          <rPr>
            <sz val="9"/>
            <rFont val="Tahoma"/>
            <family val="2"/>
          </rPr>
          <t>Bù 1 ngày CN tháng 10</t>
        </r>
      </text>
    </comment>
    <comment ref="R203" authorId="2" shapeId="0">
      <text>
        <r>
          <rPr>
            <b/>
            <sz val="9"/>
            <color indexed="81"/>
            <rFont val="Tahoma"/>
            <family val="2"/>
          </rPr>
          <t>ANH:</t>
        </r>
        <r>
          <rPr>
            <sz val="9"/>
            <color indexed="81"/>
            <rFont val="Tahoma"/>
            <family val="2"/>
          </rPr>
          <t xml:space="preserve">
Nghì phép đi tập huấn quân sự</t>
        </r>
      </text>
    </comment>
  </commentList>
</comments>
</file>

<file path=xl/comments4.xml><?xml version="1.0" encoding="utf-8"?>
<comments xmlns="http://schemas.openxmlformats.org/spreadsheetml/2006/main">
  <authors>
    <author>X1</author>
    <author>A</author>
  </authors>
  <commentList>
    <comment ref="AP11" authorId="0" shapeId="0">
      <text>
        <r>
          <rPr>
            <b/>
            <sz val="9"/>
            <rFont val="Tahoma"/>
            <family val="2"/>
          </rPr>
          <t>X1:</t>
        </r>
        <r>
          <rPr>
            <sz val="9"/>
            <rFont val="Tahoma"/>
            <family val="2"/>
          </rPr>
          <t xml:space="preserve">
</t>
        </r>
        <r>
          <rPr>
            <sz val="9"/>
            <rFont val="Tahoma"/>
            <family val="2"/>
          </rPr>
          <t>CU CHI</t>
        </r>
      </text>
    </comment>
    <comment ref="AP12" authorId="1" shapeId="0">
      <text>
        <r>
          <rPr>
            <b/>
            <sz val="9"/>
            <rFont val="Tahoma"/>
            <family val="2"/>
          </rPr>
          <t>A:</t>
        </r>
        <r>
          <rPr>
            <sz val="9"/>
            <rFont val="Tahoma"/>
            <family val="2"/>
          </rPr>
          <t xml:space="preserve">
</t>
        </r>
        <r>
          <rPr>
            <sz val="9"/>
            <rFont val="Tahoma"/>
            <family val="2"/>
          </rPr>
          <t>CỦ CHI</t>
        </r>
      </text>
    </comment>
    <comment ref="AR40" authorId="1" shapeId="0">
      <text>
        <r>
          <rPr>
            <b/>
            <sz val="9"/>
            <rFont val="Tahoma"/>
            <family val="2"/>
          </rPr>
          <t>A:</t>
        </r>
        <r>
          <rPr>
            <sz val="9"/>
            <rFont val="Tahoma"/>
            <family val="2"/>
          </rPr>
          <t xml:space="preserve">
</t>
        </r>
        <r>
          <rPr>
            <sz val="9"/>
            <rFont val="Tahoma"/>
            <family val="2"/>
          </rPr>
          <t>Bến Tre</t>
        </r>
      </text>
    </comment>
  </commentList>
</comments>
</file>

<file path=xl/comments5.xml><?xml version="1.0" encoding="utf-8"?>
<comments xmlns="http://schemas.openxmlformats.org/spreadsheetml/2006/main">
  <authors>
    <author>Q.Phương</author>
    <author>Nguyen</author>
    <author>X1</author>
  </authors>
  <commentList>
    <comment ref="AD2" authorId="0" shapeId="0">
      <text>
        <r>
          <rPr>
            <b/>
            <sz val="9"/>
            <rFont val="Tahoma"/>
            <family val="2"/>
          </rPr>
          <t>tinh nghi phep</t>
        </r>
        <r>
          <rPr>
            <sz val="9"/>
            <rFont val="Tahoma"/>
            <family val="2"/>
          </rPr>
          <t xml:space="preserve">
</t>
        </r>
      </text>
    </comment>
    <comment ref="AU2" authorId="0" shapeId="0">
      <text>
        <r>
          <rPr>
            <b/>
            <sz val="9"/>
            <rFont val="Tahoma"/>
            <family val="2"/>
          </rPr>
          <t>tinh nghi phep</t>
        </r>
        <r>
          <rPr>
            <sz val="9"/>
            <rFont val="Tahoma"/>
            <family val="2"/>
          </rPr>
          <t xml:space="preserve">
</t>
        </r>
      </text>
    </comment>
    <comment ref="AC4" authorId="1" shapeId="0">
      <text>
        <r>
          <rPr>
            <b/>
            <sz val="9"/>
            <rFont val="Tahoma"/>
            <family val="2"/>
          </rPr>
          <t>2 ngay Cty di choi</t>
        </r>
      </text>
    </comment>
    <comment ref="B34" authorId="1" shapeId="0">
      <text>
        <r>
          <rPr>
            <b/>
            <sz val="9"/>
            <rFont val="Tahoma"/>
            <family val="2"/>
          </rPr>
          <t>NV lam thoi vu 2 thang</t>
        </r>
        <r>
          <rPr>
            <sz val="9"/>
            <rFont val="Tahoma"/>
            <family val="2"/>
          </rPr>
          <t xml:space="preserve">
</t>
        </r>
      </text>
    </comment>
    <comment ref="AN45" authorId="2" shapeId="0">
      <text>
        <r>
          <rPr>
            <b/>
            <sz val="9"/>
            <rFont val="Tahoma"/>
            <family val="2"/>
          </rPr>
          <t>X1:</t>
        </r>
        <r>
          <rPr>
            <sz val="9"/>
            <rFont val="Tahoma"/>
            <family val="2"/>
          </rPr>
          <t xml:space="preserve">
</t>
        </r>
        <r>
          <rPr>
            <sz val="9"/>
            <rFont val="Tahoma"/>
            <family val="2"/>
          </rPr>
          <t>3 ngay cua nam 2016</t>
        </r>
      </text>
    </comment>
  </commentList>
</comments>
</file>

<file path=xl/comments6.xml><?xml version="1.0" encoding="utf-8"?>
<comments xmlns="http://schemas.openxmlformats.org/spreadsheetml/2006/main">
  <authors>
    <author>Admin</author>
    <author>User</author>
    <author>X1</author>
  </authors>
  <commentList>
    <comment ref="J28" authorId="0" shapeId="0">
      <text>
        <r>
          <rPr>
            <b/>
            <sz val="9"/>
            <rFont val="Tahoma"/>
            <family val="2"/>
          </rPr>
          <t>Admin:</t>
        </r>
        <r>
          <rPr>
            <sz val="9"/>
            <rFont val="Tahoma"/>
            <family val="2"/>
          </rPr>
          <t xml:space="preserve">
</t>
        </r>
        <r>
          <rPr>
            <sz val="9"/>
            <rFont val="Tahoma"/>
            <family val="2"/>
          </rPr>
          <t>2 ngày phép 23,24 vợ sinh dc nghỉ 3 ngày k tính phép</t>
        </r>
      </text>
    </comment>
    <comment ref="C40" authorId="0" shapeId="0">
      <text>
        <r>
          <rPr>
            <b/>
            <sz val="9"/>
            <rFont val="Tahoma"/>
            <family val="2"/>
          </rPr>
          <t xml:space="preserve">Admin: Ngày qua Dự Án là 10/01/2018
</t>
        </r>
        <r>
          <rPr>
            <sz val="9"/>
            <rFont val="Tahoma"/>
            <family val="2"/>
          </rPr>
          <t xml:space="preserve">
</t>
        </r>
      </text>
    </comment>
    <comment ref="J46" authorId="0" shapeId="0">
      <text>
        <r>
          <rPr>
            <b/>
            <sz val="9"/>
            <rFont val="Tahoma"/>
            <family val="2"/>
          </rPr>
          <t>Admin:</t>
        </r>
        <r>
          <rPr>
            <sz val="9"/>
            <rFont val="Tahoma"/>
            <family val="2"/>
          </rPr>
          <t xml:space="preserve">
</t>
        </r>
        <r>
          <rPr>
            <sz val="9"/>
            <rFont val="Tahoma"/>
            <family val="2"/>
          </rPr>
          <t>2 lần 1/2 ngày, cho ngày phép</t>
        </r>
      </text>
    </comment>
    <comment ref="F71" authorId="1" shapeId="0">
      <text>
        <r>
          <rPr>
            <b/>
            <sz val="9"/>
            <rFont val="Tahoma"/>
            <family val="2"/>
          </rPr>
          <t>User:</t>
        </r>
        <r>
          <rPr>
            <sz val="9"/>
            <rFont val="Tahoma"/>
            <family val="2"/>
          </rPr>
          <t xml:space="preserve">
</t>
        </r>
        <r>
          <rPr>
            <sz val="9"/>
            <rFont val="Tahoma"/>
            <family val="2"/>
          </rPr>
          <t>Âm 4 ngày phép này trừ qua năm 2018</t>
        </r>
      </text>
    </comment>
    <comment ref="C72" authorId="2" shapeId="0">
      <text>
        <r>
          <rPr>
            <b/>
            <sz val="9"/>
            <rFont val="Tahoma"/>
            <family val="2"/>
          </rPr>
          <t>X1:</t>
        </r>
        <r>
          <rPr>
            <sz val="9"/>
            <rFont val="Tahoma"/>
            <family val="2"/>
          </rPr>
          <t xml:space="preserve">
</t>
        </r>
        <r>
          <rPr>
            <sz val="9"/>
            <rFont val="Tahoma"/>
            <family val="2"/>
          </rPr>
          <t>moi chuyen qua tu thang 1/2018</t>
        </r>
      </text>
    </comment>
  </commentList>
</comments>
</file>

<file path=xl/sharedStrings.xml><?xml version="1.0" encoding="utf-8"?>
<sst xmlns="http://schemas.openxmlformats.org/spreadsheetml/2006/main" count="12839" uniqueCount="1326">
  <si>
    <t>THANG BẢNG LƯƠNG</t>
  </si>
  <si>
    <t>ĐVT: 1000 ĐỒNG</t>
  </si>
  <si>
    <t>STT</t>
  </si>
  <si>
    <t>VỊ TRÍ</t>
  </si>
  <si>
    <t>BẬC LƯƠNG</t>
  </si>
  <si>
    <t>Hệ số bậc</t>
  </si>
  <si>
    <t>Điểm tham khảo</t>
  </si>
  <si>
    <t>CHỦ TỊCH</t>
  </si>
  <si>
    <t>TỔNG GIÁM ĐỐC</t>
  </si>
  <si>
    <t>TRƯỞNG BAN ĐMCC</t>
  </si>
  <si>
    <t>TRƯỞNG BAN KIỂM SOÁT NỘI BỘ</t>
  </si>
  <si>
    <t>Chuyên viên pháp chế</t>
  </si>
  <si>
    <t>Chuyên viên kiểm soát tài chính</t>
  </si>
  <si>
    <t>Chuyên viên kiểm soát quy trình</t>
  </si>
  <si>
    <t>GIÁM ĐỐC HCNS</t>
  </si>
  <si>
    <t>Nhân viên hành chính/ HCNS NM</t>
  </si>
  <si>
    <t>Nhân viên nhân sự</t>
  </si>
  <si>
    <t>Trưởng Giám sát Nhà máy</t>
  </si>
  <si>
    <t>Nhân viên Giám sát</t>
  </si>
  <si>
    <t>Chuyên viên IT</t>
  </si>
  <si>
    <t>Nhân viên IT</t>
  </si>
  <si>
    <t>Bảo vệ</t>
  </si>
  <si>
    <t>Tạp vụ</t>
  </si>
  <si>
    <t>GIÁM ĐỐC TCKT</t>
  </si>
  <si>
    <t>Chuyên viên tài chính</t>
  </si>
  <si>
    <t>Kế toán quản trị</t>
  </si>
  <si>
    <t>Kế toán …………</t>
  </si>
  <si>
    <t>Kế toán quản lý nội bộ</t>
  </si>
  <si>
    <t>Kế toán quản lý thuế</t>
  </si>
  <si>
    <t>Kế toán thuế</t>
  </si>
  <si>
    <t xml:space="preserve"> Kế toán nội bộ</t>
  </si>
  <si>
    <t>Nhân viên thu hồi công nợ</t>
  </si>
  <si>
    <t>Nhân viên vật giá</t>
  </si>
  <si>
    <t>Thủ quỹ</t>
  </si>
  <si>
    <t>Quản lý trạm cân</t>
  </si>
  <si>
    <t>NV trạm cân</t>
  </si>
  <si>
    <t>TRƯỞNG BAN DỰ ÁN CÔNG</t>
  </si>
  <si>
    <t>NV nghiệm thu thanh toán</t>
  </si>
  <si>
    <t>NV triển khai thực hiện dự án</t>
  </si>
  <si>
    <t>TRƯỞNG BAN DỰ ÁN NGHIÊN CỨU</t>
  </si>
  <si>
    <t>CV dự án nghiên cứu</t>
  </si>
  <si>
    <t>TRƯỞNG BAN KẾ HOẠCH VẬT TƯ</t>
  </si>
  <si>
    <t>CV thu mua vật tư</t>
  </si>
  <si>
    <t>NV Thu mua MMTB</t>
  </si>
  <si>
    <t>CV thu mua MMTB</t>
  </si>
  <si>
    <t>CV thu mua VTXD</t>
  </si>
  <si>
    <t>CV kế hoạch tổng hợp</t>
  </si>
  <si>
    <t>GIÁM ĐỐC LOGISTICS</t>
  </si>
  <si>
    <t>Admin Kho/ Kế toán kho</t>
  </si>
  <si>
    <t>Admin điều vận</t>
  </si>
  <si>
    <t>Giám sát kho</t>
  </si>
  <si>
    <t>NV kho</t>
  </si>
  <si>
    <t>Trưởng đội vận chuyển</t>
  </si>
  <si>
    <t>Tài xế</t>
  </si>
  <si>
    <t>Phụ xe</t>
  </si>
  <si>
    <t>Trưởng đội giao nhận</t>
  </si>
  <si>
    <t>NV giao nhận</t>
  </si>
  <si>
    <t>NV Giao nhận/ Phụ xe</t>
  </si>
  <si>
    <t>GIÁM ĐỐC TTNC</t>
  </si>
  <si>
    <t>CV nghiên cứu KHCN</t>
  </si>
  <si>
    <t>CV môi trường</t>
  </si>
  <si>
    <t>CV Phòng thí nghiệm (Quản lý PTN)</t>
  </si>
  <si>
    <t>NV Phòng thí nghiệm</t>
  </si>
  <si>
    <t>CV nghiên cứu ứng dụng SP</t>
  </si>
  <si>
    <t>Công nhân các BP Nghiên cứu</t>
  </si>
  <si>
    <t>TRƯỞNG BAN XÂY DỰNG CƠ BẢN</t>
  </si>
  <si>
    <t>Trưởng BP thiết kế kỹ thuật</t>
  </si>
  <si>
    <t>CV hoàn công thanh quyết toán</t>
  </si>
  <si>
    <t>CV KCS xây dựng</t>
  </si>
  <si>
    <t>Tổ trưởng thiết kế xây dựng</t>
  </si>
  <si>
    <t>NV thiết kế xây dựng</t>
  </si>
  <si>
    <t>Trưởng BP GS kỹ thuật</t>
  </si>
  <si>
    <t>CV trắc địa kỹ thuật - ATLĐ</t>
  </si>
  <si>
    <t>CV giám sát thi công</t>
  </si>
  <si>
    <t>GIÁM ĐỐC KINH DOANH</t>
  </si>
  <si>
    <t>KD còn tính phần doanh thu nên khoảng cách các bậc nhỏ hơn các vị trí khác</t>
  </si>
  <si>
    <t>Sale admin</t>
  </si>
  <si>
    <t>Trưởng sale TP</t>
  </si>
  <si>
    <t>Trưởng sale Đất công trình</t>
  </si>
  <si>
    <t>NV sale</t>
  </si>
  <si>
    <t>Trưởng sale Tỉnh</t>
  </si>
  <si>
    <t>NV sale Tỉnh</t>
  </si>
  <si>
    <t>GIÁM ĐỐC NHÀ MÁY</t>
  </si>
  <si>
    <t>Phó Giám đốc khối quản lý chất lượng</t>
  </si>
  <si>
    <t>Trưởng phòng điều độ nhân lực</t>
  </si>
  <si>
    <t>Huệ</t>
  </si>
  <si>
    <t>Tổ trưởng bảo vệ</t>
  </si>
  <si>
    <t>ca làm 12 tiếng = mức NV hành chính</t>
  </si>
  <si>
    <t>Tổ trưởng nhân lực sản xuất</t>
  </si>
  <si>
    <t>hoàng</t>
  </si>
  <si>
    <t>Công nhân sản xuất</t>
  </si>
  <si>
    <t>Tổ trưởng nhân lực xử lý bùn</t>
  </si>
  <si>
    <t>chú minh</t>
  </si>
  <si>
    <t>Công nhân xử lý bùn</t>
  </si>
  <si>
    <t>Trưởng BP kế hoạch &amp; thống kê</t>
  </si>
  <si>
    <t>Tổ trưởng điều độ sản xuất</t>
  </si>
  <si>
    <t>Long nhỏ</t>
  </si>
  <si>
    <t>Tổ trưởng kế hoạch SX</t>
  </si>
  <si>
    <t>NV kế hoạch SX</t>
  </si>
  <si>
    <t>Tổ trưởng thống kê SX</t>
  </si>
  <si>
    <t xml:space="preserve">NV thống kê ĐS - PB nguyên liệu </t>
  </si>
  <si>
    <t>NV thống kê ĐS - PB thành phẩm</t>
  </si>
  <si>
    <t>NV thống kê xử lý bùn</t>
  </si>
  <si>
    <t>Trưởng phòng điều độ cơ giới</t>
  </si>
  <si>
    <t>Đông</t>
  </si>
  <si>
    <t>Tổ trưởng điều độ cơ giới</t>
  </si>
  <si>
    <t>Tài xế xe cơ giới</t>
  </si>
  <si>
    <t>Nhân viên điều độ cơ giới</t>
  </si>
  <si>
    <t>Nhân viên thống kê vận hành</t>
  </si>
  <si>
    <t>Thon</t>
  </si>
  <si>
    <t>Trưởng phòng cơ khí - chế tạo</t>
  </si>
  <si>
    <t>Tổ trưởng vận hành máy</t>
  </si>
  <si>
    <t>Đ.N.Trung</t>
  </si>
  <si>
    <t>Tổ phó vận hành máy</t>
  </si>
  <si>
    <t>Nhân viên vận hành máy</t>
  </si>
  <si>
    <t>Tổ trưởng thiết kế cơ khí - chế tạo</t>
  </si>
  <si>
    <t>Nhân viên thiết kế cơ khí - chế tạo</t>
  </si>
  <si>
    <t xml:space="preserve"> </t>
  </si>
  <si>
    <t>Tổ trưởng bảo trì cơ điện</t>
  </si>
  <si>
    <t>A.Thắng</t>
  </si>
  <si>
    <t>Tổ phó bảo trì</t>
  </si>
  <si>
    <t>nhàn</t>
  </si>
  <si>
    <t>Nhân viên bảo trì điện công nghiệp</t>
  </si>
  <si>
    <t>Nhân viên bảo trì cơ khí</t>
  </si>
  <si>
    <t>lâm</t>
  </si>
  <si>
    <t>Phó Giám đốc khối sản xuất</t>
  </si>
  <si>
    <t>Trưởng phòng quản lý chất lượng sản phẩm</t>
  </si>
  <si>
    <t>Tổ trưởng KCS xử lý bùn</t>
  </si>
  <si>
    <t>NV KCS xử lý</t>
  </si>
  <si>
    <t>Tổ trưởng KCS SP khác</t>
  </si>
  <si>
    <t>NV KCS sản xuất</t>
  </si>
  <si>
    <t>Tổ trưởng KCS đất sạch phân bón</t>
  </si>
  <si>
    <t>Trưởng phòng quản lý chất lượng môi trường</t>
  </si>
  <si>
    <t>Trưởng phòng trở lên không tính tăng ca</t>
  </si>
  <si>
    <t>Tổ trưởng cảnh quan - cây xanh</t>
  </si>
  <si>
    <t>Tổ trưởng trở xuống tính tăng tăng ca ngày CN, Lễ Tết, trừ các trường hợp có lương vị trí đặc thù thì không tính gì thêm ngoài thu nhập</t>
  </si>
  <si>
    <t>Tổ phó BP vệ sinh</t>
  </si>
  <si>
    <t>Tổ trưởng có lương định mức cũng không tính tăng ca</t>
  </si>
  <si>
    <t>Công nhân mảng xanh - VSCN</t>
  </si>
  <si>
    <t>Tổ trưởng GS môi trường</t>
  </si>
  <si>
    <t>Nhân viên vận hành trạm XLNT</t>
  </si>
  <si>
    <t>Nhân viên GS môi trường</t>
  </si>
  <si>
    <t>Phó GĐ nhà máy</t>
  </si>
  <si>
    <t>Tổ trưởng môi trường</t>
  </si>
  <si>
    <t>NV nước cấp - nước thải</t>
  </si>
  <si>
    <t>CN nước cấp - nước thải</t>
  </si>
  <si>
    <t>NV khí thải - bụi - chất thải rắn</t>
  </si>
  <si>
    <t>CN khí thải - bụi - chất thải rắn</t>
  </si>
  <si>
    <t>Quản đốc ĐS &amp; PB</t>
  </si>
  <si>
    <t>Tổ trưởng ĐS - PB</t>
  </si>
  <si>
    <t>Nhóm trưởng đóng gói</t>
  </si>
  <si>
    <t>Công nhân đóng gói</t>
  </si>
  <si>
    <t>Nhóm trưởng VHM ĐS - PB</t>
  </si>
  <si>
    <t>Công nhân VHM</t>
  </si>
  <si>
    <t>Tổ trưởng XCG ĐS - PB</t>
  </si>
  <si>
    <t>Tài xế ĐS - PB</t>
  </si>
  <si>
    <t>NV QC inline ĐS - PB</t>
  </si>
  <si>
    <t>Quản đốc xử lý bùn</t>
  </si>
  <si>
    <t>Tổ trưởng xử lý bùn</t>
  </si>
  <si>
    <t>Nhóm trưởng XLB</t>
  </si>
  <si>
    <t>Công nhân XLB</t>
  </si>
  <si>
    <t>Nhóm trưởng VHM XLB</t>
  </si>
  <si>
    <t>Công nhân VHM XLB</t>
  </si>
  <si>
    <t>Tổ trưởng XCG xử lý bùn</t>
  </si>
  <si>
    <t>Tổ phó XCG XLB</t>
  </si>
  <si>
    <t>Tài xế XLB</t>
  </si>
  <si>
    <t>NV QC inline xử lý bùn</t>
  </si>
  <si>
    <t>Trưởng BP Kế toán QTSX</t>
  </si>
  <si>
    <t>Trưởng BP Kho NVL</t>
  </si>
  <si>
    <t>NV kế toán sản xuất</t>
  </si>
  <si>
    <t>NV kế toán kho NVL - Thủ quỹ</t>
  </si>
  <si>
    <t>NV thủ kho NVL</t>
  </si>
  <si>
    <t>Trưởng BP HCNS nhà máy</t>
  </si>
  <si>
    <t>NV giám sát bảo vệ</t>
  </si>
  <si>
    <t>Tổ trưởng cây xanh vệ sinh công nghiệp</t>
  </si>
  <si>
    <t>CN vệ sinh</t>
  </si>
  <si>
    <t>Tổ trưởng HCNS - tạp vụ - quan hệ cộng đồng</t>
  </si>
  <si>
    <t>NV HCNS Nhà máy</t>
  </si>
  <si>
    <t>NV cơ sở hạ tầng</t>
  </si>
  <si>
    <t>Trưởng BP QA</t>
  </si>
  <si>
    <t>Nhân viên QA -  HSE</t>
  </si>
  <si>
    <t>Trưởng phòng kỹ thuật  NM</t>
  </si>
  <si>
    <t>Trưởng BP bảo trì</t>
  </si>
  <si>
    <t>Tổ trưởng bảo trì điện - cơ điện</t>
  </si>
  <si>
    <t>Nhân viên bảo trì điện - cơ điện</t>
  </si>
  <si>
    <t>Tổ trưởng cơ khí - xe cơ giới</t>
  </si>
  <si>
    <t>Nhân viên bảo trì xe / cơ khí</t>
  </si>
  <si>
    <t>Trưởng BP cải tiến máy móc</t>
  </si>
  <si>
    <t>Nhân viên giám sát - thiết kế</t>
  </si>
  <si>
    <t>Trưởng phòng môi trường NM</t>
  </si>
  <si>
    <t>Trưởng BP môi trường</t>
  </si>
  <si>
    <t>NV vận hành trạm xử lý nước thải</t>
  </si>
  <si>
    <t>CN môi trường</t>
  </si>
  <si>
    <t>NV giám sát môi trường</t>
  </si>
  <si>
    <t>Trưởng BP Cây xanh - vệ sinh</t>
  </si>
  <si>
    <t>Tổ trưởng CX - VSCN</t>
  </si>
  <si>
    <t>Trưởng phòng sản xuất</t>
  </si>
  <si>
    <t>Trưởng BP QC Inline</t>
  </si>
  <si>
    <t>Trưởng BP xe cơ giới</t>
  </si>
  <si>
    <t>Trưởng BP Vận hành máy</t>
  </si>
  <si>
    <t>Tổ trưởng VHM</t>
  </si>
  <si>
    <t>Trưởng BP kế hoạch sản xuất</t>
  </si>
  <si>
    <t>Trưởng phòng Quản trị SX NM</t>
  </si>
  <si>
    <t>Trưởng BP thống kê sản xuất</t>
  </si>
  <si>
    <t xml:space="preserve">NV thống kê ĐS - PB </t>
  </si>
  <si>
    <t>Trưởng BP Kho</t>
  </si>
  <si>
    <t>Thủ kho</t>
  </si>
  <si>
    <t>NV Thống kê kho</t>
  </si>
  <si>
    <t>Trưởng phòng HC nhà máy</t>
  </si>
  <si>
    <t>Trưởng BP An ninh</t>
  </si>
  <si>
    <t>Nhân viên ATLĐ</t>
  </si>
  <si>
    <t>Trưởng BP dự án NM</t>
  </si>
  <si>
    <t>NV Giám sát dự án NM</t>
  </si>
  <si>
    <t>Thư ký Chủ tịch</t>
  </si>
  <si>
    <t>Công ty TNHH CNSH Sài Gòn Xanh</t>
  </si>
  <si>
    <t>Tỷ lệ đóng BH</t>
  </si>
  <si>
    <t>TT</t>
  </si>
  <si>
    <t>Mã NV</t>
  </si>
  <si>
    <t>Họ và tên</t>
  </si>
  <si>
    <t>Chức vụ</t>
  </si>
  <si>
    <t>Thâm niên làm việc</t>
  </si>
  <si>
    <t>Bậc</t>
  </si>
  <si>
    <t>Thâm niên</t>
  </si>
  <si>
    <t>Lương CB</t>
  </si>
  <si>
    <t>PHỤ CẤP (P2)</t>
  </si>
  <si>
    <t>PHÚC LỢI KHÁC (P2)</t>
  </si>
  <si>
    <t>Lương cơ bản (tháng) bao gồm phụ cấp</t>
  </si>
  <si>
    <t>Ngày công làm việc</t>
  </si>
  <si>
    <t>Ngày nghỉ phép hưởng lương</t>
  </si>
  <si>
    <t>Ngày nghỉ Lễ Tết hưởng lương</t>
  </si>
  <si>
    <t>Công CN (giờ)</t>
  </si>
  <si>
    <t>Công tăng ca ngày thường (giờ)</t>
  </si>
  <si>
    <t>Công lễ tết</t>
  </si>
  <si>
    <t>Công tác xa</t>
  </si>
  <si>
    <t>Mức đạt trong tháng</t>
  </si>
  <si>
    <t>Lương theo doanh thu doanh số</t>
  </si>
  <si>
    <t>Tổng bùn bốc</t>
  </si>
  <si>
    <t>Thành tiền bốc bùn</t>
  </si>
  <si>
    <t>Lương khác</t>
  </si>
  <si>
    <t>Thi đua</t>
  </si>
  <si>
    <t>Hỗ trợ ngoài lương</t>
  </si>
  <si>
    <t>Tổng thu nhập</t>
  </si>
  <si>
    <t>BHXH BHYT</t>
  </si>
  <si>
    <t>Lương tham gia BHXH</t>
  </si>
  <si>
    <t>Tạm ứng</t>
  </si>
  <si>
    <t>Thưởng lễ tết</t>
  </si>
  <si>
    <t>Thực lãnh</t>
  </si>
  <si>
    <t xml:space="preserve"> Năm </t>
  </si>
  <si>
    <t xml:space="preserve"> Tháng </t>
  </si>
  <si>
    <t xml:space="preserve"> Ngày </t>
  </si>
  <si>
    <t>NẶNG NHỌC ĐỘC HẠI</t>
  </si>
  <si>
    <t>TRÁCH NHIỆM</t>
  </si>
  <si>
    <t>THÂM NIÊN</t>
  </si>
  <si>
    <t>THU HÚT</t>
  </si>
  <si>
    <t>XĂNG</t>
  </si>
  <si>
    <t>ĐIỆN THOẠI</t>
  </si>
  <si>
    <t>CƠM</t>
  </si>
  <si>
    <t>Kiêm nhiệm</t>
  </si>
  <si>
    <t>BHYT ĐẶC BIỆT</t>
  </si>
  <si>
    <t>VỊ TRÍ CẦN KN NHIỀU NĂM</t>
  </si>
  <si>
    <t>Vị trí đặc thù</t>
  </si>
  <si>
    <t>NHÀ Ở</t>
  </si>
  <si>
    <t>VĂN PHÒNG</t>
  </si>
  <si>
    <t>Ban lãnh đạo</t>
  </si>
  <si>
    <t xml:space="preserve"> LĐ01 </t>
  </si>
  <si>
    <t xml:space="preserve"> Ngô Pa Ri </t>
  </si>
  <si>
    <t xml:space="preserve"> LĐ02 </t>
  </si>
  <si>
    <t xml:space="preserve"> Nguyễn Văn Thảo </t>
  </si>
  <si>
    <t>Phòng HCNS - NS</t>
  </si>
  <si>
    <t xml:space="preserve"> NS01 </t>
  </si>
  <si>
    <t xml:space="preserve"> Nguyễn Đỗ Q. Phương </t>
  </si>
  <si>
    <t xml:space="preserve"> NS02 </t>
  </si>
  <si>
    <t xml:space="preserve"> Lê Hoàng Tuấn </t>
  </si>
  <si>
    <t xml:space="preserve"> NS03 </t>
  </si>
  <si>
    <t xml:space="preserve"> Nguyễn T. Hồng Anh </t>
  </si>
  <si>
    <t xml:space="preserve"> NS07 </t>
  </si>
  <si>
    <t xml:space="preserve"> Đỗ Ngọc Thiên Thanh </t>
  </si>
  <si>
    <t xml:space="preserve"> NS04 </t>
  </si>
  <si>
    <t xml:space="preserve"> Nguyễn Chu Thy </t>
  </si>
  <si>
    <t xml:space="preserve"> NS08 </t>
  </si>
  <si>
    <t>Trần Minh Xuân</t>
  </si>
  <si>
    <t>NS06</t>
  </si>
  <si>
    <t>Nguyễn Đức Cường</t>
  </si>
  <si>
    <t>NS10</t>
  </si>
  <si>
    <t>Lê Hà</t>
  </si>
  <si>
    <t>NS11</t>
  </si>
  <si>
    <t>Lê Viết Thuật</t>
  </si>
  <si>
    <t>NS15</t>
  </si>
  <si>
    <t>Nguyễn Trung Kiên</t>
  </si>
  <si>
    <t>NS09</t>
  </si>
  <si>
    <t>Cao Thị Minh Thoa</t>
  </si>
  <si>
    <t>TL01</t>
  </si>
  <si>
    <t>Ngô Thị Minh Tâm</t>
  </si>
  <si>
    <t>Ban KSNB - NB</t>
  </si>
  <si>
    <t xml:space="preserve"> NB02 </t>
  </si>
  <si>
    <t xml:space="preserve"> Nguyễn Trinh Nguyên </t>
  </si>
  <si>
    <t>Phòng Cơ cấu &amp; Chiến Lược</t>
  </si>
  <si>
    <t>CC01</t>
  </si>
  <si>
    <t>Hoàng Giáng Sinh</t>
  </si>
  <si>
    <t>GĐ Cơ cấu &amp; Chiến lược</t>
  </si>
  <si>
    <t>Phòng TCKT - KT</t>
  </si>
  <si>
    <t xml:space="preserve"> KT07 </t>
  </si>
  <si>
    <t xml:space="preserve"> Nguyễn Văn Bảy </t>
  </si>
  <si>
    <t xml:space="preserve"> KT02 </t>
  </si>
  <si>
    <t xml:space="preserve"> Ninh Phương Hạnh </t>
  </si>
  <si>
    <t xml:space="preserve"> KT03 </t>
  </si>
  <si>
    <t xml:space="preserve"> Nguyễn Thái Ngân  </t>
  </si>
  <si>
    <t xml:space="preserve"> KT05 </t>
  </si>
  <si>
    <t xml:space="preserve"> Từ Thị Hoàng Oanh </t>
  </si>
  <si>
    <t xml:space="preserve"> KT08 </t>
  </si>
  <si>
    <t xml:space="preserve"> Kiều Thị Thủy Tiên </t>
  </si>
  <si>
    <t xml:space="preserve"> KT09 </t>
  </si>
  <si>
    <t xml:space="preserve"> Huỳnh Ngọc Giang </t>
  </si>
  <si>
    <t xml:space="preserve"> KT11</t>
  </si>
  <si>
    <t>Nguyễn Thị Phượng Nhi</t>
  </si>
  <si>
    <t xml:space="preserve"> KT12</t>
  </si>
  <si>
    <t>Trần Ngọc Bảo Long</t>
  </si>
  <si>
    <t xml:space="preserve"> KT13</t>
  </si>
  <si>
    <t>Nguyễn Anh Phương</t>
  </si>
  <si>
    <t>LG03</t>
  </si>
  <si>
    <t>Phương Bình</t>
  </si>
  <si>
    <t>LG02</t>
  </si>
  <si>
    <t>Nguyễn Trường Thạch</t>
  </si>
  <si>
    <t>Ban XDCB - XD</t>
  </si>
  <si>
    <t xml:space="preserve"> XD03 </t>
  </si>
  <si>
    <t xml:space="preserve"> Nguyễn Duy Long </t>
  </si>
  <si>
    <t xml:space="preserve"> XD04 </t>
  </si>
  <si>
    <t xml:space="preserve"> Nguyễn Trần Duy Anh </t>
  </si>
  <si>
    <t xml:space="preserve"> XD05</t>
  </si>
  <si>
    <t>Chế Thanh Thân</t>
  </si>
  <si>
    <t xml:space="preserve"> XD06</t>
  </si>
  <si>
    <t>Chau Ri Na</t>
  </si>
  <si>
    <t xml:space="preserve"> XD09</t>
  </si>
  <si>
    <t>Lê Đình Tiến</t>
  </si>
  <si>
    <t>Phòng KH- Vật tư</t>
  </si>
  <si>
    <t xml:space="preserve"> VT05 </t>
  </si>
  <si>
    <t xml:space="preserve"> Lê Châu Bào </t>
  </si>
  <si>
    <t xml:space="preserve"> VT01 </t>
  </si>
  <si>
    <t xml:space="preserve"> Trần Văn Vị Toàn </t>
  </si>
  <si>
    <t xml:space="preserve"> VT04</t>
  </si>
  <si>
    <t>Phan Đông</t>
  </si>
  <si>
    <t>Ban Dự án</t>
  </si>
  <si>
    <t xml:space="preserve"> DA01 </t>
  </si>
  <si>
    <t xml:space="preserve"> Huỳnh Thanh Liêm </t>
  </si>
  <si>
    <t xml:space="preserve"> DA02 </t>
  </si>
  <si>
    <t xml:space="preserve"> Lê Công Nhất Trung </t>
  </si>
  <si>
    <t xml:space="preserve"> DA04 </t>
  </si>
  <si>
    <t xml:space="preserve"> Cao Xuân Vũ </t>
  </si>
  <si>
    <t xml:space="preserve"> DA05</t>
  </si>
  <si>
    <t xml:space="preserve"> Trần Ngọc Thạch </t>
  </si>
  <si>
    <t xml:space="preserve"> DA03</t>
  </si>
  <si>
    <t xml:space="preserve"> Trần Thị Minh Thương </t>
  </si>
  <si>
    <t>Trung tâm NC KHCN -TT</t>
  </si>
  <si>
    <t xml:space="preserve"> TT01 </t>
  </si>
  <si>
    <t xml:space="preserve"> Nguyễn Nguyên Nguyên </t>
  </si>
  <si>
    <t xml:space="preserve"> TT03 </t>
  </si>
  <si>
    <t xml:space="preserve"> Đỗ Thanh Tú </t>
  </si>
  <si>
    <t xml:space="preserve"> TT11</t>
  </si>
  <si>
    <t>Ngô Thành Trung</t>
  </si>
  <si>
    <t xml:space="preserve"> TT13</t>
  </si>
  <si>
    <t>Nguyễn Tấn Phát</t>
  </si>
  <si>
    <t xml:space="preserve"> TT12</t>
  </si>
  <si>
    <t>Phan Thanh Tú</t>
  </si>
  <si>
    <t xml:space="preserve"> TT10</t>
  </si>
  <si>
    <t>Trần Thành Lập</t>
  </si>
  <si>
    <t>GIÁM ĐỐC NCPTSP</t>
  </si>
  <si>
    <t xml:space="preserve"> TT05 </t>
  </si>
  <si>
    <t xml:space="preserve"> Nguyễn Anh Tuấn </t>
  </si>
  <si>
    <t xml:space="preserve"> TT06</t>
  </si>
  <si>
    <t>Đặng Nguyễn Thế Anh</t>
  </si>
  <si>
    <t xml:space="preserve"> TT09</t>
  </si>
  <si>
    <t>Dương Ngọc Bảo Phương</t>
  </si>
  <si>
    <t xml:space="preserve"> TT07</t>
  </si>
  <si>
    <t>Võ Thị Thanh Thủy</t>
  </si>
  <si>
    <t xml:space="preserve"> TT08</t>
  </si>
  <si>
    <t>Phan Thị Trà Hiên</t>
  </si>
  <si>
    <t>NHÀ MÁY</t>
  </si>
  <si>
    <t>BAN GIÁM ĐỐC</t>
  </si>
  <si>
    <t xml:space="preserve"> XD01 </t>
  </si>
  <si>
    <t xml:space="preserve"> Lê Thanh Huy </t>
  </si>
  <si>
    <t>KHO</t>
  </si>
  <si>
    <t>LG05</t>
  </si>
  <si>
    <t>Nguyễn Tấn Lộc</t>
  </si>
  <si>
    <t>LG11</t>
  </si>
  <si>
    <t>Nguyễn Minh Hoàn</t>
  </si>
  <si>
    <t>KHO1</t>
  </si>
  <si>
    <t>Nguyễn Đức Hân</t>
  </si>
  <si>
    <t>LG06</t>
  </si>
  <si>
    <t>Lương Minh Hòa</t>
  </si>
  <si>
    <t>LG09</t>
  </si>
  <si>
    <t>Nguyễn Hữu Tài</t>
  </si>
  <si>
    <t>LG10</t>
  </si>
  <si>
    <t>Ngô Hoàng Oanh</t>
  </si>
  <si>
    <t>KHO2</t>
  </si>
  <si>
    <t>Trần Văn Mơ</t>
  </si>
  <si>
    <t>VT07</t>
  </si>
  <si>
    <t>Thái Hồng Phát</t>
  </si>
  <si>
    <t>QUẢN LÝ TRẠM CÂN</t>
  </si>
  <si>
    <t>TR01</t>
  </si>
  <si>
    <t>Nguyễn Văn Thanh</t>
  </si>
  <si>
    <t>TR02</t>
  </si>
  <si>
    <t>Nguyễn Hùng Dũng</t>
  </si>
  <si>
    <t>TR03</t>
  </si>
  <si>
    <t>Danh Thủy</t>
  </si>
  <si>
    <t>CƠ ĐIỆN</t>
  </si>
  <si>
    <t>CĐ01</t>
  </si>
  <si>
    <t>Đào Công Thắng</t>
  </si>
  <si>
    <t>CĐ23</t>
  </si>
  <si>
    <t>Nguyễn Thành Luân</t>
  </si>
  <si>
    <t>Chuyên viên kỹ thuật bảo trì</t>
  </si>
  <si>
    <t>CĐ02</t>
  </si>
  <si>
    <t>Nguyễn Thanh Nhàn</t>
  </si>
  <si>
    <t>CĐ03</t>
  </si>
  <si>
    <t>Nguyễn Thanh Lâm</t>
  </si>
  <si>
    <t>CĐ09</t>
  </si>
  <si>
    <t>Trần Ngọc Minh</t>
  </si>
  <si>
    <t>CĐ24</t>
  </si>
  <si>
    <t>Nguyễn Công Thuận</t>
  </si>
  <si>
    <t>CĐ05</t>
  </si>
  <si>
    <t>Huỳnh Văn Phương</t>
  </si>
  <si>
    <t>CĐ04</t>
  </si>
  <si>
    <t>Đổng Ngọc Trung</t>
  </si>
  <si>
    <t>CĐ25</t>
  </si>
  <si>
    <t>Nguyễn Thành Khương</t>
  </si>
  <si>
    <t>CĐ26</t>
  </si>
  <si>
    <t>Nguyễn Duy Kha</t>
  </si>
  <si>
    <t>Nhân viên thiết kế máy</t>
  </si>
  <si>
    <t xml:space="preserve"> KẾ HOẠCH SẢN XUẤT</t>
  </si>
  <si>
    <t>KH02</t>
  </si>
  <si>
    <t xml:space="preserve"> Đào Ngọc Long </t>
  </si>
  <si>
    <t>VẬN HÀNH MÁY</t>
  </si>
  <si>
    <t>NV26</t>
  </si>
  <si>
    <t>Nguyễn Đình Huệ</t>
  </si>
  <si>
    <t>CĐ12</t>
  </si>
  <si>
    <t>Trần Quốc Nam</t>
  </si>
  <si>
    <t>VHM02</t>
  </si>
  <si>
    <t>Nguyễn Lê Tân</t>
  </si>
  <si>
    <t>CĐ08</t>
  </si>
  <si>
    <t>Cao Chánh Dũng</t>
  </si>
  <si>
    <t>CĐ13</t>
  </si>
  <si>
    <t>Nguyễn Văn Đức</t>
  </si>
  <si>
    <t>CĐ14</t>
  </si>
  <si>
    <t>Cao Văn Lượm</t>
  </si>
  <si>
    <t>CĐ15</t>
  </si>
  <si>
    <t>Nguyễn Đăng Khoa</t>
  </si>
  <si>
    <t>CĐ16</t>
  </si>
  <si>
    <t>Thạch Phương</t>
  </si>
  <si>
    <t>CĐ17</t>
  </si>
  <si>
    <t>Lê Tấn Hùng</t>
  </si>
  <si>
    <t>CĐ10</t>
  </si>
  <si>
    <t>Thái Minh Tân</t>
  </si>
  <si>
    <t>CĐ11</t>
  </si>
  <si>
    <t>Trần Văn Phi</t>
  </si>
  <si>
    <t>CĐ20</t>
  </si>
  <si>
    <t>Lê Văn Triệu</t>
  </si>
  <si>
    <t>CĐ21</t>
  </si>
  <si>
    <t>Lâm Bal</t>
  </si>
  <si>
    <t>CĐ22</t>
  </si>
  <si>
    <t>Thạch Phiên</t>
  </si>
  <si>
    <t>AN NINH &amp; AN TOÀN LAO ĐỘNG</t>
  </si>
  <si>
    <t>AN01</t>
  </si>
  <si>
    <t>Đặng Văn Thông</t>
  </si>
  <si>
    <t>CÂY XANH - VỆ SINH</t>
  </si>
  <si>
    <t>CX01</t>
  </si>
  <si>
    <t>Phan Hồng Chương</t>
  </si>
  <si>
    <t>MÔI TRƯỜNG</t>
  </si>
  <si>
    <t xml:space="preserve"> MT01</t>
  </si>
  <si>
    <t xml:space="preserve"> Trần Văn Hà </t>
  </si>
  <si>
    <t xml:space="preserve"> MT02 </t>
  </si>
  <si>
    <t>Đinh Thanh Trí</t>
  </si>
  <si>
    <t>NV05</t>
  </si>
  <si>
    <t>Nguyễn Tiến Khanh</t>
  </si>
  <si>
    <t>THỐNG KÊ SẢN XUẤT</t>
  </si>
  <si>
    <t>KH01</t>
  </si>
  <si>
    <t>Nguyễn Hữu Thái</t>
  </si>
  <si>
    <t>KH07</t>
  </si>
  <si>
    <t>Phạm Thành Nhân</t>
  </si>
  <si>
    <t>KH03</t>
  </si>
  <si>
    <t>Mai Thanh Điền</t>
  </si>
  <si>
    <t>KH06</t>
  </si>
  <si>
    <t>Trần Minh Tâm</t>
  </si>
  <si>
    <t>KH05</t>
  </si>
  <si>
    <t>Lê Thị Duyên</t>
  </si>
  <si>
    <t>KH08</t>
  </si>
  <si>
    <t>Đoàn Tấn Tài</t>
  </si>
  <si>
    <t>ĐIỀU ĐỘ CƠ GIỚI</t>
  </si>
  <si>
    <t xml:space="preserve"> XD06 </t>
  </si>
  <si>
    <t xml:space="preserve"> Nguyễn Ngọc Đông </t>
  </si>
  <si>
    <t>NV14</t>
  </si>
  <si>
    <t>Đồng Tấn Tài</t>
  </si>
  <si>
    <t>BỘ PHẬN QC INLINE</t>
  </si>
  <si>
    <t xml:space="preserve"> NB01 </t>
  </si>
  <si>
    <t xml:space="preserve"> Nguyễn Thọ Ngọc </t>
  </si>
  <si>
    <t xml:space="preserve"> NB02</t>
  </si>
  <si>
    <t>Nguyễn Thành Long</t>
  </si>
  <si>
    <t xml:space="preserve"> NB03</t>
  </si>
  <si>
    <t>Nguyễn Trung Hậu</t>
  </si>
  <si>
    <t>KINH DOANH</t>
  </si>
  <si>
    <t>QL Đất</t>
  </si>
  <si>
    <t>KDV1</t>
  </si>
  <si>
    <t>Huỳnh Kim Hải</t>
  </si>
  <si>
    <t>Bùn</t>
  </si>
  <si>
    <t xml:space="preserve"> Qlý + Sale Admin </t>
  </si>
  <si>
    <t>Miền Tây (Mekong)</t>
  </si>
  <si>
    <t xml:space="preserve"> KDV2 </t>
  </si>
  <si>
    <t xml:space="preserve"> Thạch Minh Châu </t>
  </si>
  <si>
    <t>TPHCM</t>
  </si>
  <si>
    <t xml:space="preserve"> Sale </t>
  </si>
  <si>
    <t>Miền Trung</t>
  </si>
  <si>
    <t xml:space="preserve"> KDS4 </t>
  </si>
  <si>
    <t xml:space="preserve"> Trịnh Minh Hảo</t>
  </si>
  <si>
    <t>Miền Đông</t>
  </si>
  <si>
    <t xml:space="preserve"> KDS18</t>
  </si>
  <si>
    <t>Nguyễn Thái Bình</t>
  </si>
  <si>
    <t>QL Logistics</t>
  </si>
  <si>
    <t xml:space="preserve"> KDS23</t>
  </si>
  <si>
    <t>Nguyễn Ngọc Hồng Vy</t>
  </si>
  <si>
    <t>Tổ lái (Đất)</t>
  </si>
  <si>
    <t xml:space="preserve"> KDS2 </t>
  </si>
  <si>
    <t xml:space="preserve"> Phan Thanh Tùng </t>
  </si>
  <si>
    <t>Tổ lái (Bùn)</t>
  </si>
  <si>
    <t xml:space="preserve"> KDS8 </t>
  </si>
  <si>
    <t xml:space="preserve"> Nguyễn Đức Trung </t>
  </si>
  <si>
    <t>Phụ xe (Đất)</t>
  </si>
  <si>
    <t xml:space="preserve"> KDS9 </t>
  </si>
  <si>
    <t xml:space="preserve"> Nguyễn Minh Đại </t>
  </si>
  <si>
    <t>Phụ xe (Bùn)</t>
  </si>
  <si>
    <t xml:space="preserve"> KDS11</t>
  </si>
  <si>
    <t>Hoàng Văn Nhân</t>
  </si>
  <si>
    <t>Giao nhận</t>
  </si>
  <si>
    <t xml:space="preserve"> KDS13</t>
  </si>
  <si>
    <t xml:space="preserve"> KDS14</t>
  </si>
  <si>
    <t xml:space="preserve"> KDS15</t>
  </si>
  <si>
    <t>Đinh Hiệp Thương</t>
  </si>
  <si>
    <t xml:space="preserve"> KDS16</t>
  </si>
  <si>
    <t xml:space="preserve"> KDS19</t>
  </si>
  <si>
    <t>Nguyễn Văn Ninh</t>
  </si>
  <si>
    <t xml:space="preserve"> KDS25</t>
  </si>
  <si>
    <t>Nguyễn Anh Vũ</t>
  </si>
  <si>
    <t xml:space="preserve"> KDS17</t>
  </si>
  <si>
    <t>Huỳnh Ngọc Minh</t>
  </si>
  <si>
    <t xml:space="preserve"> KDS12</t>
  </si>
  <si>
    <t>Nguyễn Quốc Tâm</t>
  </si>
  <si>
    <t xml:space="preserve"> KDS7</t>
  </si>
  <si>
    <t>Nguyễn Hoàng Khang</t>
  </si>
  <si>
    <t xml:space="preserve"> KDS20</t>
  </si>
  <si>
    <t>Nguyễn Huy Cường</t>
  </si>
  <si>
    <t xml:space="preserve"> KDS21</t>
  </si>
  <si>
    <t>Nguyễn Hóa Giàu</t>
  </si>
  <si>
    <t xml:space="preserve"> KDS24</t>
  </si>
  <si>
    <t>Trần Chí Minh</t>
  </si>
  <si>
    <t>Trưởng Trade Marketing</t>
  </si>
  <si>
    <t xml:space="preserve"> Tổ lái </t>
  </si>
  <si>
    <t xml:space="preserve"> KDX1 </t>
  </si>
  <si>
    <t xml:space="preserve"> Ngô Mạnh Linh trưởng bộ phận </t>
  </si>
  <si>
    <t xml:space="preserve"> KDX2 </t>
  </si>
  <si>
    <t xml:space="preserve"> Nguyễn Cường  </t>
  </si>
  <si>
    <t xml:space="preserve"> KDX3 </t>
  </si>
  <si>
    <t xml:space="preserve"> Nguyễn Văn Chung </t>
  </si>
  <si>
    <t xml:space="preserve"> KDX5 </t>
  </si>
  <si>
    <t xml:space="preserve"> Nguyễn Hoài Thanh </t>
  </si>
  <si>
    <t xml:space="preserve"> KDX6 </t>
  </si>
  <si>
    <t xml:space="preserve"> Nguyễn Đình Hướng </t>
  </si>
  <si>
    <t xml:space="preserve"> KDPX3 </t>
  </si>
  <si>
    <t xml:space="preserve"> Đặng Quốc Cọp </t>
  </si>
  <si>
    <t xml:space="preserve"> KDX7 </t>
  </si>
  <si>
    <t xml:space="preserve"> Châu Kim Lượng </t>
  </si>
  <si>
    <t xml:space="preserve"> KDX8 </t>
  </si>
  <si>
    <t xml:space="preserve"> Huỳnh Trọng Nghĩa </t>
  </si>
  <si>
    <t xml:space="preserve"> KDPX19</t>
  </si>
  <si>
    <t xml:space="preserve">Lê Sỹ Ninh </t>
  </si>
  <si>
    <t xml:space="preserve"> KDX12</t>
  </si>
  <si>
    <t>Nguyễn Hoàng Sơn</t>
  </si>
  <si>
    <t xml:space="preserve"> KDX13</t>
  </si>
  <si>
    <t>Thạch Ngọc Đăng</t>
  </si>
  <si>
    <t xml:space="preserve"> KDX14</t>
  </si>
  <si>
    <t>Nguyễn Thanh Thảo</t>
  </si>
  <si>
    <t xml:space="preserve"> Phụ xe </t>
  </si>
  <si>
    <t xml:space="preserve"> KDPX5 </t>
  </si>
  <si>
    <t xml:space="preserve"> Lê Tấn Dũng </t>
  </si>
  <si>
    <t xml:space="preserve"> KDPX7 </t>
  </si>
  <si>
    <t xml:space="preserve"> Danh Thừa </t>
  </si>
  <si>
    <t xml:space="preserve"> KDPX9 </t>
  </si>
  <si>
    <t xml:space="preserve"> Triệu Minh Thắng </t>
  </si>
  <si>
    <t xml:space="preserve"> KDPX12 </t>
  </si>
  <si>
    <t xml:space="preserve"> Nguyễn Hữu Hưng </t>
  </si>
  <si>
    <t xml:space="preserve"> KDPX15 </t>
  </si>
  <si>
    <t xml:space="preserve"> Châu Văn Hữu </t>
  </si>
  <si>
    <t xml:space="preserve"> KDPX17</t>
  </si>
  <si>
    <t xml:space="preserve"> Danh Mới </t>
  </si>
  <si>
    <t xml:space="preserve"> KDPX18</t>
  </si>
  <si>
    <t>Đặng Văn Thi</t>
  </si>
  <si>
    <t xml:space="preserve"> KDPX20</t>
  </si>
  <si>
    <t>Nguyễn Hoàng Đức</t>
  </si>
  <si>
    <t xml:space="preserve"> KDPX21</t>
  </si>
  <si>
    <t>Phan Văn Thừa</t>
  </si>
  <si>
    <t xml:space="preserve"> KDPX23</t>
  </si>
  <si>
    <t>Trần Ngọc Bảo</t>
  </si>
  <si>
    <t xml:space="preserve"> KDPX25</t>
  </si>
  <si>
    <t>Cai Ngọc Hòa</t>
  </si>
  <si>
    <t xml:space="preserve"> KDPX26</t>
  </si>
  <si>
    <t>Nguyễn Hữu Long</t>
  </si>
  <si>
    <t>NV Bốc Bùn</t>
  </si>
  <si>
    <t xml:space="preserve"> KDPX31</t>
  </si>
  <si>
    <t>Danh Đã</t>
  </si>
  <si>
    <t xml:space="preserve"> KDPX29</t>
  </si>
  <si>
    <t>Nguyễn Tấn Linh</t>
  </si>
  <si>
    <t xml:space="preserve"> KDPX30</t>
  </si>
  <si>
    <t>Trần Minh Tân</t>
  </si>
  <si>
    <t xml:space="preserve"> KDPX34</t>
  </si>
  <si>
    <t>Nguyễn Văn An</t>
  </si>
  <si>
    <t xml:space="preserve"> KDPX32</t>
  </si>
  <si>
    <t>Nguyễn Thanh Tùng</t>
  </si>
  <si>
    <t xml:space="preserve"> KDPX33</t>
  </si>
  <si>
    <t>Nguyễn Tấn Sang</t>
  </si>
  <si>
    <t xml:space="preserve"> Giao nhận </t>
  </si>
  <si>
    <t xml:space="preserve"> KDG1 </t>
  </si>
  <si>
    <t xml:space="preserve"> Nguyễn Hồng Hải (trưởng bộ phận) </t>
  </si>
  <si>
    <t xml:space="preserve"> KDG2 </t>
  </si>
  <si>
    <t xml:space="preserve"> Nguyễn Thành Ngoan </t>
  </si>
  <si>
    <t xml:space="preserve"> KDG6 </t>
  </si>
  <si>
    <t xml:space="preserve"> Trần Thanh Long </t>
  </si>
  <si>
    <t xml:space="preserve"> KDG9 </t>
  </si>
  <si>
    <t xml:space="preserve"> Dương Nguyễn Vũ Bảo </t>
  </si>
  <si>
    <t xml:space="preserve"> KDG11 </t>
  </si>
  <si>
    <t xml:space="preserve"> Phan Thành Phúc </t>
  </si>
  <si>
    <t xml:space="preserve"> KDG12 </t>
  </si>
  <si>
    <t xml:space="preserve"> Lê Hoàng Khang </t>
  </si>
  <si>
    <t xml:space="preserve"> KDPX1 </t>
  </si>
  <si>
    <t xml:space="preserve"> Lê Hoàng Phúc </t>
  </si>
  <si>
    <t xml:space="preserve"> KDG15</t>
  </si>
  <si>
    <t>Lê Hoàng Sơn</t>
  </si>
  <si>
    <t xml:space="preserve"> KDG14</t>
  </si>
  <si>
    <t>Lê Trần Hoàng Dương</t>
  </si>
  <si>
    <t>Tồng Tổ lái + giao nhận:</t>
  </si>
  <si>
    <t>Tổng Kinh doanh:</t>
  </si>
  <si>
    <t>Tổng Giám đốc</t>
  </si>
  <si>
    <t>Giám đốc Tài chính- Kế toán</t>
  </si>
  <si>
    <t>Giám đốc HCNS</t>
  </si>
  <si>
    <t>Ngưởi lập</t>
  </si>
  <si>
    <t>Nguyễn Văn Thảo</t>
  </si>
  <si>
    <t>Nguyễn Văn Bảy</t>
  </si>
  <si>
    <t>Nguyễn Đỗ Quỳnh Phương</t>
  </si>
  <si>
    <t>Nguyễn Thị Hồng Ánh</t>
  </si>
  <si>
    <t>Mã NV:</t>
  </si>
  <si>
    <t>Họ tên</t>
  </si>
  <si>
    <t>Chưc vụ:</t>
  </si>
  <si>
    <t>Bậc lương</t>
  </si>
  <si>
    <t>Tính lương trong tháng</t>
  </si>
  <si>
    <t>Nội dung lương</t>
  </si>
  <si>
    <t>Mức</t>
  </si>
  <si>
    <t>ĐVT</t>
  </si>
  <si>
    <t>SL</t>
  </si>
  <si>
    <t>ký nhận đủ lương</t>
  </si>
  <si>
    <t>Lương theo bậc</t>
  </si>
  <si>
    <t>I</t>
  </si>
  <si>
    <t>Thu nhập</t>
  </si>
  <si>
    <t>Löông Thaùng 10-2017</t>
  </si>
  <si>
    <t>Phụ cấp</t>
  </si>
  <si>
    <t>Số công ngày thường</t>
  </si>
  <si>
    <t>ngày</t>
  </si>
  <si>
    <t xml:space="preserve">    Nặng nhọc độc hại</t>
  </si>
  <si>
    <t>Làm việc ngày Lễ, Tết</t>
  </si>
  <si>
    <t>Ñôn vò</t>
  </si>
  <si>
    <t xml:space="preserve"> Löông</t>
  </si>
  <si>
    <t>Ghi chuù</t>
  </si>
  <si>
    <t xml:space="preserve">    Trách nhiệm</t>
  </si>
  <si>
    <t>Tãng ca ngày thường</t>
  </si>
  <si>
    <t>giờ</t>
  </si>
  <si>
    <t>Löông VP</t>
  </si>
  <si>
    <t xml:space="preserve">    Thâm niên</t>
  </si>
  <si>
    <t>Làm việc ngày CN</t>
  </si>
  <si>
    <t>Löông KD</t>
  </si>
  <si>
    <t xml:space="preserve">    Thu hút</t>
  </si>
  <si>
    <t>Ngày phép hưởng lương</t>
  </si>
  <si>
    <t>Troøn soá</t>
  </si>
  <si>
    <t>Phúc lợi khác</t>
  </si>
  <si>
    <t>Ngày Lễ, Tết hưởng lương</t>
  </si>
  <si>
    <t>Toång VP + KD</t>
  </si>
  <si>
    <t xml:space="preserve">    Xăng</t>
  </si>
  <si>
    <t>Trợ cấp công tác xa</t>
  </si>
  <si>
    <t>Nhaø maùy</t>
  </si>
  <si>
    <t>Cac BP con lai</t>
  </si>
  <si>
    <t xml:space="preserve">    Điện thoại</t>
  </si>
  <si>
    <t>SX - dong goi</t>
  </si>
  <si>
    <t xml:space="preserve">    Cơm</t>
  </si>
  <si>
    <t>II</t>
  </si>
  <si>
    <t>Thu nhập khác</t>
  </si>
  <si>
    <t xml:space="preserve">    Kiêm nhiệm</t>
  </si>
  <si>
    <t>Lương theo hiệu quả</t>
  </si>
  <si>
    <t>Tổng cộng</t>
  </si>
  <si>
    <t xml:space="preserve">    BHYT đặc biệt</t>
  </si>
  <si>
    <t xml:space="preserve">    Vị trí cần KN nhiều năm</t>
  </si>
  <si>
    <t>Thưởng Lễ Tết</t>
  </si>
  <si>
    <t xml:space="preserve">    Vị trí đặc thù</t>
  </si>
  <si>
    <t>Hỗ trợ ngoài</t>
  </si>
  <si>
    <t>III</t>
  </si>
  <si>
    <t>Các khoản giảm trừ</t>
  </si>
  <si>
    <t>Bảo hiểm xã hội phải nộp</t>
  </si>
  <si>
    <t>Thuế TNCN</t>
  </si>
  <si>
    <t>IV</t>
  </si>
  <si>
    <t>làm tròn</t>
  </si>
  <si>
    <t>Công bốc bùn</t>
  </si>
  <si>
    <t>Cty TNHH CNSH Sài Gòn Xanh</t>
  </si>
  <si>
    <t>BẢNG CHẤM CÔNG</t>
  </si>
  <si>
    <t>thang</t>
  </si>
  <si>
    <t>Ngày LV</t>
  </si>
  <si>
    <t>Mẫu số</t>
  </si>
  <si>
    <t>Mẫu số ĐB</t>
  </si>
  <si>
    <t>Từ</t>
  </si>
  <si>
    <t>đến</t>
  </si>
  <si>
    <t>nam</t>
  </si>
  <si>
    <t>So ngay</t>
  </si>
  <si>
    <t>DANH SÁCH ỨNG LƯƠNG</t>
  </si>
  <si>
    <t>Họ &amp; tên</t>
  </si>
  <si>
    <t>Ngày làm việc trong tháng (công)</t>
  </si>
  <si>
    <t>Ngày công</t>
  </si>
  <si>
    <t>Nghỉ hưởng lương</t>
  </si>
  <si>
    <t>Ghi chú</t>
  </si>
  <si>
    <t>Giờ tăng ca trong tháng</t>
  </si>
  <si>
    <t>LT</t>
  </si>
  <si>
    <t>CN</t>
  </si>
  <si>
    <t>Lễ Tết</t>
  </si>
  <si>
    <t>Phép</t>
  </si>
  <si>
    <t>Giờ tăng ca</t>
  </si>
  <si>
    <t>Ngày thường</t>
  </si>
  <si>
    <t>ỨNG LƯƠNG</t>
  </si>
  <si>
    <t>TỔNG CỘNG</t>
  </si>
  <si>
    <t>KÝ NHẬN</t>
  </si>
  <si>
    <t>Ứng 15tr từ tháng 10/2018 trừ dần mỗi tháng 3tr ( T10, 11, 12, T3, T4/2019 hết 15tr)</t>
  </si>
  <si>
    <t>,</t>
  </si>
  <si>
    <t>Ứng tiền sửa nhà 30tr/ trừ dần bắt đầu từ kỳ lương tháng 01/2019</t>
  </si>
  <si>
    <t>Ban Dự án Nghiên Cứu</t>
  </si>
  <si>
    <t>Ung 20tr viec gia dinh, tru hang thang 3tr. Bat dau tru tu 05/03 luong thang 02/2019</t>
  </si>
  <si>
    <t>Hết ứng 10tr từ tháng 02</t>
  </si>
  <si>
    <t>Ung 20tr viec gia dinh, tru hang thang 2tr. Bat dau tru tu 05/03 luong thang 02/2019</t>
  </si>
  <si>
    <t>ĐIỀU ĐỘ NHÂN LỰC</t>
  </si>
  <si>
    <t>ĐIỀU ĐỘ KẾ HOẠCH</t>
  </si>
  <si>
    <t>QUẢN LÝ CHẤT LƯỢNG SẢN PHẨM</t>
  </si>
  <si>
    <t>Hết tháng 12 là trừ ứng 20tr (việc gia đình)</t>
  </si>
  <si>
    <t>Trả tiền sửa cửa cuốn Xưởng Bình Hưng (7.060tr) mỗi tháng trừ 1tr đến hết, bắt đầu từ tháng 01/2019.--&gt; đến kỳ lương tháng 7/2019 hết.</t>
  </si>
  <si>
    <t>Bắt đầu tháng 12 hết trừ ứng</t>
  </si>
  <si>
    <t>dất, phân, nhựa, khác</t>
  </si>
  <si>
    <t>ĐS</t>
  </si>
  <si>
    <t xml:space="preserve">CHỨC VỤ </t>
  </si>
  <si>
    <t>KH MỚI</t>
  </si>
  <si>
    <t>ĐỘ PHỦ</t>
  </si>
  <si>
    <t>NGÀNH HÀNG</t>
  </si>
  <si>
    <t xml:space="preserve">DOANH SỐ </t>
  </si>
  <si>
    <t>DOANH THU</t>
  </si>
  <si>
    <t xml:space="preserve">TOTAL </t>
  </si>
  <si>
    <t>Trên 80%</t>
  </si>
  <si>
    <t xml:space="preserve">Đạt 70%               4 ngành </t>
  </si>
  <si>
    <t>80%-99%</t>
  </si>
  <si>
    <t>Đạt 100%</t>
  </si>
  <si>
    <t xml:space="preserve">Trên 120% </t>
  </si>
  <si>
    <t>ĐDKD HCM</t>
  </si>
  <si>
    <t>TKD HCM</t>
  </si>
  <si>
    <t xml:space="preserve">ĐDKD Tỉnh </t>
  </si>
  <si>
    <t xml:space="preserve">TKD Tỉnh </t>
  </si>
  <si>
    <t xml:space="preserve">Admin </t>
  </si>
  <si>
    <t>BÙN</t>
  </si>
  <si>
    <t>KHỐI LƯỢNG</t>
  </si>
  <si>
    <t>80%-89%</t>
  </si>
  <si>
    <t>90%-99%</t>
  </si>
  <si>
    <t>ĐDKD BÙN</t>
  </si>
  <si>
    <t>TKD BÙN</t>
  </si>
  <si>
    <t>Chỉ tiêu</t>
  </si>
  <si>
    <t>Thực hiện</t>
  </si>
  <si>
    <t>Thực hiện Vs Chỉ tiêu</t>
  </si>
  <si>
    <t>Incentive KPIs</t>
  </si>
  <si>
    <t>Mã</t>
  </si>
  <si>
    <t xml:space="preserve">KH VỰC </t>
  </si>
  <si>
    <t xml:space="preserve">DOANH
SỐ </t>
  </si>
  <si>
    <t xml:space="preserve">DOANH
THU </t>
  </si>
  <si>
    <t xml:space="preserve">ĐỘ
PHỦ </t>
  </si>
  <si>
    <t xml:space="preserve">MỞ
MỚI </t>
  </si>
  <si>
    <t>NGÀNH
HÀNG</t>
  </si>
  <si>
    <t>TOTAL</t>
  </si>
  <si>
    <t xml:space="preserve">ĐDKD Nguyễn Đức Trung </t>
  </si>
  <si>
    <t>ĐDKD Phan Thanh Tùng</t>
  </si>
  <si>
    <t>ĐDKD Nguyễn Minh Đại</t>
  </si>
  <si>
    <t>ĐDKD Đinh Hiệp Thương</t>
  </si>
  <si>
    <t>ĐDKD Phạm Tấn Hưng</t>
  </si>
  <si>
    <t>ĐDKD Mai Hoàng Việt</t>
  </si>
  <si>
    <t>ĐDKD Nguyễn Ngọc Lâm</t>
  </si>
  <si>
    <t>ĐDKD Nguyễn Văn Ninh</t>
  </si>
  <si>
    <t>Nguyễn Hoá Giàu</t>
  </si>
  <si>
    <t>Trịnh Minh Hảo-QL bùn</t>
  </si>
  <si>
    <t>BỘ PHẬN GIAO HÀNG</t>
  </si>
  <si>
    <t>CHỨC VỤ</t>
  </si>
  <si>
    <t>LƯƠNG CĂN BẢN</t>
  </si>
  <si>
    <t>DS Xe</t>
  </si>
  <si>
    <t>Loại xe</t>
  </si>
  <si>
    <t>Nguyễn Thành Ngoan</t>
  </si>
  <si>
    <t>GN</t>
  </si>
  <si>
    <t>51D-08092</t>
  </si>
  <si>
    <t>XL</t>
  </si>
  <si>
    <t>BẢNG CHI TIẾT HỖ TRỢ TIỀN ĂN ĐI TỈNH</t>
  </si>
  <si>
    <t>Nguyễn Phùng Quốc</t>
  </si>
  <si>
    <t>51C-20822</t>
  </si>
  <si>
    <t>1.7 tấn</t>
  </si>
  <si>
    <t>Địa điểm</t>
  </si>
  <si>
    <t>Hỗ trợ cơm</t>
  </si>
  <si>
    <t>hỗ trợ
 chuyến đêm</t>
  </si>
  <si>
    <t>Huỳnh Quốc Hùng</t>
  </si>
  <si>
    <t>51C-60324</t>
  </si>
  <si>
    <t>TUYẾN</t>
  </si>
  <si>
    <t>lương năng suất
 chuyến+ cơm</t>
  </si>
  <si>
    <t>Hỗ trợ tiền cơm tỉnh</t>
  </si>
  <si>
    <t>lương năng suất
 chuyến(trừ cơm)</t>
  </si>
  <si>
    <t>Ch1</t>
  </si>
  <si>
    <t>Ch2</t>
  </si>
  <si>
    <t>Ch3</t>
  </si>
  <si>
    <t>Ch4</t>
  </si>
  <si>
    <t>Ch5</t>
  </si>
  <si>
    <t>Từ tháng 2-2018 áp dụng 
chuyến đêm 90.000/chuyến
 từ chuyến 4/người</t>
  </si>
  <si>
    <t>Trần Văn Tuấn</t>
  </si>
  <si>
    <t>51C-83149</t>
  </si>
  <si>
    <t>BH</t>
  </si>
  <si>
    <t>Biên Hòa</t>
  </si>
  <si>
    <t>TP</t>
  </si>
  <si>
    <t>Ben, 8 tấn</t>
  </si>
  <si>
    <t>Trần Thanh Long</t>
  </si>
  <si>
    <t>54Y-9042</t>
  </si>
  <si>
    <t>Long Thành</t>
  </si>
  <si>
    <t>Huỳnh Minh Hoàng</t>
  </si>
  <si>
    <t>51D-22307</t>
  </si>
  <si>
    <t>VT</t>
  </si>
  <si>
    <t>Vũng Tàu</t>
  </si>
  <si>
    <t>Biên Hòa,Đồng Nai,Bình Dương,Tiền Giang,Long An</t>
  </si>
  <si>
    <t>8 tấn</t>
  </si>
  <si>
    <t>lê hoàng khang</t>
  </si>
  <si>
    <t>51C-79320</t>
  </si>
  <si>
    <t>TN</t>
  </si>
  <si>
    <t>Tây Ninh</t>
  </si>
  <si>
    <t>Dương Nguyễn Vũ Bảo</t>
  </si>
  <si>
    <t>51D-222.97</t>
  </si>
  <si>
    <t>Tân Phú, Định Quán</t>
  </si>
  <si>
    <t>Phan Thành Phúc</t>
  </si>
  <si>
    <t>51C-72917</t>
  </si>
  <si>
    <t>BD</t>
  </si>
  <si>
    <t>Bình Dương</t>
  </si>
  <si>
    <t>BỘ PHẬN PHỤ XE</t>
  </si>
  <si>
    <t>51C-79024</t>
  </si>
  <si>
    <t>LA</t>
  </si>
  <si>
    <t>Long An</t>
  </si>
  <si>
    <t>Phan Thiết,
Bình Thuận</t>
  </si>
  <si>
    <t>Dương Tấn Đạt</t>
  </si>
  <si>
    <t>PX</t>
  </si>
  <si>
    <t>51D-206.70</t>
  </si>
  <si>
    <t>BT</t>
  </si>
  <si>
    <t>Bình Thuận</t>
  </si>
  <si>
    <t>Lê Tấn Dũng</t>
  </si>
  <si>
    <t>51C-845.53</t>
  </si>
  <si>
    <t>PT</t>
  </si>
  <si>
    <t>Phan Thiết</t>
  </si>
  <si>
    <t>TP Vĩnh Long</t>
  </si>
  <si>
    <t>Lê Hoàng Phúc</t>
  </si>
  <si>
    <t>XE NGOÀI</t>
  </si>
  <si>
    <t>DN</t>
  </si>
  <si>
    <t>Đồng Nai</t>
  </si>
  <si>
    <t>TP Cần Thơ</t>
  </si>
  <si>
    <t>Danh Thừa</t>
  </si>
  <si>
    <t>XE THUÊ</t>
  </si>
  <si>
    <t>Nguyễn Văn Huy</t>
  </si>
  <si>
    <t>LD</t>
  </si>
  <si>
    <t>Đức Trọng,Lâm Đồng</t>
  </si>
  <si>
    <t>Nguyễn Hoàng Thoại</t>
  </si>
  <si>
    <t>tung</t>
  </si>
  <si>
    <t>CT</t>
  </si>
  <si>
    <t>Cần Thơ</t>
  </si>
  <si>
    <t>Triệu Minh Thắng</t>
  </si>
  <si>
    <t>trung</t>
  </si>
  <si>
    <t>VL</t>
  </si>
  <si>
    <t>Vĩnh Long</t>
  </si>
  <si>
    <t>Danh Ngòi</t>
  </si>
  <si>
    <t>TG</t>
  </si>
  <si>
    <t>Tiền Giang</t>
  </si>
  <si>
    <t>Nguyễn Hồng Hiệp</t>
  </si>
  <si>
    <t>Châu Văn Hữu</t>
  </si>
  <si>
    <t>Danh Mới</t>
  </si>
  <si>
    <t>Nguyễn Hữu Hưng</t>
  </si>
  <si>
    <t>QUÃNG ĐƯỜNG</t>
  </si>
  <si>
    <t xml:space="preserve">Nguyễn Chánh Tính </t>
  </si>
  <si>
    <t>Nơi đi</t>
  </si>
  <si>
    <t>Nơi đến</t>
  </si>
  <si>
    <t>chiều dài</t>
  </si>
  <si>
    <t>Châu Văn Thanh</t>
  </si>
  <si>
    <t>SGX</t>
  </si>
  <si>
    <t>BỘ PHẬN LÁI XE</t>
  </si>
  <si>
    <t>Nguyễn Ngọc Hiển</t>
  </si>
  <si>
    <t>TX</t>
  </si>
  <si>
    <t>Huyện Lạc Dương Lâm Đồng</t>
  </si>
  <si>
    <t>Nguyễn Văn Tuấn</t>
  </si>
  <si>
    <t>Huyện Đức Trọng,Lâm Đồng</t>
  </si>
  <si>
    <t>Nguyễn Hoài Thanh</t>
  </si>
  <si>
    <t>TP Phan Thiết</t>
  </si>
  <si>
    <t>Nguyễn Cường</t>
  </si>
  <si>
    <t>Phường 11,Vũng Tàu</t>
  </si>
  <si>
    <t>Nguyễn Đình Hướng</t>
  </si>
  <si>
    <t>Gò Công Đông,Tiền Giang</t>
  </si>
  <si>
    <t>Châu Kim Lượng</t>
  </si>
  <si>
    <t>Gò Công Tây,Tiền Giang</t>
  </si>
  <si>
    <t>Lê Văn Mạnh</t>
  </si>
  <si>
    <t>Cai Lậy,Tiền Giang</t>
  </si>
  <si>
    <t>Huỳnh Trọng Nghĩa</t>
  </si>
  <si>
    <t>Mỹ Tho</t>
  </si>
  <si>
    <t>Đỗ Thanh Hào</t>
  </si>
  <si>
    <t>Định Quán,Đồng Nai</t>
  </si>
  <si>
    <t>Đặng Quốc Cọp</t>
  </si>
  <si>
    <t>Tân An,Long An</t>
  </si>
  <si>
    <t>Đức Huệ,Long An</t>
  </si>
  <si>
    <t>TỔNG KẾT THÁNG T1/2018</t>
  </si>
  <si>
    <t>Họ tên nhân viên</t>
  </si>
  <si>
    <t>Doanh Thu</t>
  </si>
  <si>
    <t>Lương theo doanh số/ doanh thu</t>
  </si>
  <si>
    <t>TP.HCM Xe nhỏ 1.7 tấn</t>
  </si>
  <si>
    <t>TP.HCM Xe lớn ben và 8 tấn</t>
  </si>
  <si>
    <t>BÌNH DƯƠNG Xe nhỏ</t>
  </si>
  <si>
    <t>BÌNH DƯƠNG Xe lớn</t>
  </si>
  <si>
    <t>BIÊN HÒA Xe nhỏ</t>
  </si>
  <si>
    <t>BIÊN HÒA Xe lớn</t>
  </si>
  <si>
    <t>Vũng
 Tàu</t>
  </si>
  <si>
    <t>Bình
 Thuận</t>
  </si>
  <si>
    <t>Cần
Thơ</t>
  </si>
  <si>
    <t>Vĩnh
Long</t>
  </si>
  <si>
    <t>Long 
An</t>
  </si>
  <si>
    <t>Tiền 
Giang</t>
  </si>
  <si>
    <t>Tổng số chuyến</t>
  </si>
  <si>
    <t>Tiền chuyến</t>
  </si>
  <si>
    <t>Khối lượng bùn</t>
  </si>
  <si>
    <t>Tiền/ tấn</t>
  </si>
  <si>
    <t>trợ cấp</t>
  </si>
  <si>
    <t>xe nhỏ</t>
  </si>
  <si>
    <t>xe lớn</t>
  </si>
  <si>
    <t>chuyến 1</t>
  </si>
  <si>
    <t>chuyến 2</t>
  </si>
  <si>
    <t>chuyến 3</t>
  </si>
  <si>
    <t>chuyến 4</t>
  </si>
  <si>
    <t>chuyến 5</t>
  </si>
  <si>
    <t>ĐN</t>
  </si>
  <si>
    <t>ĐƠN GIÁ CHUYẾN XE</t>
  </si>
  <si>
    <t>HỖ TRỢ CÔNG TÁC XA</t>
  </si>
  <si>
    <t xml:space="preserve">Nguyễn Sỹ Ninh </t>
  </si>
  <si>
    <t>MÖÙC ÑAÏT</t>
  </si>
  <si>
    <t>ÑVT: 1.000ñ</t>
  </si>
  <si>
    <t>Maõ NV</t>
  </si>
  <si>
    <t>BOÄ PHAÄN TAØI XEÁ</t>
  </si>
  <si>
    <t>Xe nhoû</t>
  </si>
  <si>
    <t>Tieàn</t>
  </si>
  <si>
    <t>xe lôùn</t>
  </si>
  <si>
    <t>soá chuyeán vöôït</t>
  </si>
  <si>
    <t>Coäng soá chuyeán</t>
  </si>
  <si>
    <t>Coäng doanh soá</t>
  </si>
  <si>
    <t>khoâng tinh chuyen (löông thaùng)</t>
  </si>
  <si>
    <t>33 chuyeán T9</t>
  </si>
  <si>
    <t>BOÄ PHAÄN BAÙN HAØNG</t>
  </si>
  <si>
    <t>Möùc ñaït TPHCM</t>
  </si>
  <si>
    <t>Möùc 1: 765tr</t>
  </si>
  <si>
    <t>Möùc 2: 990tr</t>
  </si>
  <si>
    <t>Möùc 3: 1,080tr</t>
  </si>
  <si>
    <t>Ñaït möùc 1</t>
  </si>
  <si>
    <t>Ñaït möùc 2</t>
  </si>
  <si>
    <t>Ñaït möùc 3</t>
  </si>
  <si>
    <t>Coäng</t>
  </si>
  <si>
    <t>Möùc ñaït TỈNH</t>
  </si>
  <si>
    <t>Möùc 1: 495tr</t>
  </si>
  <si>
    <t>Möùc 2: 585tr</t>
  </si>
  <si>
    <t>Möùc 3: 675tr</t>
  </si>
  <si>
    <t xml:space="preserve"> KDS3 </t>
  </si>
  <si>
    <t xml:space="preserve"> KDS5 </t>
  </si>
  <si>
    <t xml:space="preserve"> KDS6 </t>
  </si>
  <si>
    <t xml:space="preserve"> Lê Nho Khánh </t>
  </si>
  <si>
    <t>QUAÛN LYÙ ÑIEÀU XE</t>
  </si>
  <si>
    <t>Möùc ñaït</t>
  </si>
  <si>
    <t>tieàn</t>
  </si>
  <si>
    <t>QUAÛN LYÙ SALE TPHCM</t>
  </si>
  <si>
    <t>Möùc 1: 2,295t</t>
  </si>
  <si>
    <t>Möùc 2: 2,970t</t>
  </si>
  <si>
    <t xml:space="preserve"> Trịnh Minh Hảo (Trưởng BP sale) </t>
  </si>
  <si>
    <t>QUAÛN LYÙ SALE TÆNH</t>
  </si>
  <si>
    <t>Möùc 1: 1,350t</t>
  </si>
  <si>
    <t>Möùc 2: 1,750t</t>
  </si>
  <si>
    <t xml:space="preserve"> KDS1 </t>
  </si>
  <si>
    <t xml:space="preserve"> Nguyễn Tuấn Anh </t>
  </si>
  <si>
    <t>SALE ADMIN</t>
  </si>
  <si>
    <t>Möùc 1: 3,645t</t>
  </si>
  <si>
    <t>Möùc 2: 4,725t</t>
  </si>
  <si>
    <t>QUAÛN LYÙ GIAO NHAÄN</t>
  </si>
  <si>
    <t>Möùc 1: 1,7t</t>
  </si>
  <si>
    <t>Möùc 2: 2,4t</t>
  </si>
  <si>
    <t>Möùc 3: 3t</t>
  </si>
  <si>
    <t>GIAO NHAÄN</t>
  </si>
  <si>
    <t>Vuøng 1</t>
  </si>
  <si>
    <t>Soùng thaàn</t>
  </si>
  <si>
    <t>Tieàn Vuøng 1</t>
  </si>
  <si>
    <t>Tieàn Soùng Thaàn</t>
  </si>
  <si>
    <t>khoái löôïng buøn bia</t>
  </si>
  <si>
    <t>Tieàn /taán</t>
  </si>
  <si>
    <t>TC</t>
  </si>
  <si>
    <t>BAÛNG TOÅNG HÔÏP NGAØY PHEÙP</t>
  </si>
  <si>
    <t xml:space="preserve">Thaùng 1 </t>
  </si>
  <si>
    <t>Thaùng 2</t>
  </si>
  <si>
    <t>Thaùng 3</t>
  </si>
  <si>
    <t>Thaùng 4</t>
  </si>
  <si>
    <t>Thaùng 5</t>
  </si>
  <si>
    <t>Thaùng 6</t>
  </si>
  <si>
    <t>Thaùng 7</t>
  </si>
  <si>
    <t>Thaùng 8</t>
  </si>
  <si>
    <t>Thaùng 9</t>
  </si>
  <si>
    <t>Thaùng 10</t>
  </si>
  <si>
    <t>Thaùng 11</t>
  </si>
  <si>
    <t>Thaùng 12</t>
  </si>
  <si>
    <t>Toång hôïp</t>
  </si>
  <si>
    <t>Nguyeãn Vaên Thaûo</t>
  </si>
  <si>
    <t>Nguyeãn Ngoïc Höng</t>
  </si>
  <si>
    <t>Ngoâ .T. Phan Hieàn</t>
  </si>
  <si>
    <t>Nguyeãn T. Hoàng Aùnh</t>
  </si>
  <si>
    <t>Ninh Phöông Haïnh</t>
  </si>
  <si>
    <t>Leâ Hoaøng Tuaán</t>
  </si>
  <si>
    <t>Phaïm Vieät Nam</t>
  </si>
  <si>
    <t>Ñoàng Anh Tuaán</t>
  </si>
  <si>
    <t>Nguyeãn Hoàng Nam</t>
  </si>
  <si>
    <t>Döông Leâ Hoàng Phieán</t>
  </si>
  <si>
    <t>Leâ Coâng Nhaát Trung</t>
  </si>
  <si>
    <t>Leâ Thanh Huy</t>
  </si>
  <si>
    <t>Ngoâ Theá Giang</t>
  </si>
  <si>
    <t>Traàn Vaên Vò Toaøn</t>
  </si>
  <si>
    <t>Nguyeãn Vaên Baûy</t>
  </si>
  <si>
    <t>Phaïm Thanh Tuøng</t>
  </si>
  <si>
    <t>Huyønh Thanh Lieâm</t>
  </si>
  <si>
    <t>Nguyeãn Ñoã Q. Phöông</t>
  </si>
  <si>
    <t>Hoaøng Giaùng Sinh</t>
  </si>
  <si>
    <t>Cao Hieäp Thöông</t>
  </si>
  <si>
    <t>Ngoâ Maïnh Linh trưởng bộ phận</t>
  </si>
  <si>
    <t xml:space="preserve">Nguyeãn Cöôøng </t>
  </si>
  <si>
    <t>Nguyeãn Troïng Thaùi</t>
  </si>
  <si>
    <t>Nguyeãn Huyønh Coâng Thaêng</t>
  </si>
  <si>
    <t>Buøi Ngoïc Tuaán</t>
  </si>
  <si>
    <t>Ñaëng Duy Phöông</t>
  </si>
  <si>
    <t>Phan Thanh Tuøng (Trưởng bộ phận)</t>
  </si>
  <si>
    <t>Nguyeãn Tuaán Anh</t>
  </si>
  <si>
    <t>Nguyeãn Thò Thô</t>
  </si>
  <si>
    <t>Phaïm Thaønh</t>
  </si>
  <si>
    <t>Phaïm Vaên Phuù</t>
  </si>
  <si>
    <t>Buøi Minh Kieät</t>
  </si>
  <si>
    <t>Phaïm Thò Nhaãn</t>
  </si>
  <si>
    <t>Nguyeãn Hoàng Haûi (trưởng bộ phận)</t>
  </si>
  <si>
    <t>Nguyeãn Vaên Khaùnh</t>
  </si>
  <si>
    <t>Nguyeãn Taán Linh</t>
  </si>
  <si>
    <t>Tröông Quyù Ngoan</t>
  </si>
  <si>
    <t>Nguyeãn Thanh Tuøng</t>
  </si>
  <si>
    <t>Nguyeãn Thaønh Ngoan</t>
  </si>
  <si>
    <t>Nguyeãn Thanh Cöôøng</t>
  </si>
  <si>
    <t>Nguyeãn Ngoïc Hieáu</t>
  </si>
  <si>
    <t>Nguyễn Văn Linh</t>
  </si>
  <si>
    <t>Nguyeãn Vaên Chung</t>
  </si>
  <si>
    <t>Leâ Hoaøng Phuùc</t>
  </si>
  <si>
    <t>Ngaøy pheùp coøn trong naêm tröôùc</t>
  </si>
  <si>
    <t>Nguyễn Thọ Ngọc</t>
  </si>
  <si>
    <t>Phan Thanh Tuøng</t>
  </si>
  <si>
    <t>6/2014</t>
  </si>
  <si>
    <t>06/2014</t>
  </si>
  <si>
    <t>11/2014</t>
  </si>
  <si>
    <t>8/2014</t>
  </si>
  <si>
    <t>3/2012</t>
  </si>
  <si>
    <t>4/2013</t>
  </si>
  <si>
    <t>DANH SAÙCH NGHÆ PHEÙP NAÊM</t>
  </si>
  <si>
    <t>TIME LAØM VIEÄC</t>
  </si>
  <si>
    <t>Dö 2015</t>
  </si>
  <si>
    <t>6 thaùng</t>
  </si>
  <si>
    <t>Dö 2016</t>
  </si>
  <si>
    <t>DS THAM GIA BHXH</t>
  </si>
  <si>
    <t>Ngaøy vaøo laøm</t>
  </si>
  <si>
    <t>Nghæ</t>
  </si>
  <si>
    <t>Ñoùng BH</t>
  </si>
  <si>
    <t>NAÊM</t>
  </si>
  <si>
    <t>THAÙNG</t>
  </si>
  <si>
    <t>NGAØY</t>
  </si>
  <si>
    <t>01/2004</t>
  </si>
  <si>
    <t>Ngoâ Pa Ri</t>
  </si>
  <si>
    <t>Phoøng HCNS - NS</t>
  </si>
  <si>
    <t>06/2010</t>
  </si>
  <si>
    <t>4/2016</t>
  </si>
  <si>
    <t>Traàn Thò Thanh Xuaân</t>
  </si>
  <si>
    <t>Đỗ Ngọc Thien Thanh</t>
  </si>
  <si>
    <t>Leâ Xuaân Kim</t>
  </si>
  <si>
    <t>Nguyeãn Thoï Ngoïc</t>
  </si>
  <si>
    <t>11/2006</t>
  </si>
  <si>
    <t>12 naêm 1 thaùng 20 ngay</t>
  </si>
  <si>
    <t>Nguyeãn Trinh Nguyeân</t>
  </si>
  <si>
    <t>Phoøng TCKT - KT</t>
  </si>
  <si>
    <t>07/2010</t>
  </si>
  <si>
    <t>6/2010</t>
  </si>
  <si>
    <t xml:space="preserve">Nguyeãn Thaùi Ngaân </t>
  </si>
  <si>
    <t>Voõ Thò Hoàng Ñaøo</t>
  </si>
  <si>
    <t>Töø Thò Hoaøng Oanh</t>
  </si>
  <si>
    <t>Nguyeãn Thoáng Nhaát</t>
  </si>
  <si>
    <t>Leâ Minh Trung</t>
  </si>
  <si>
    <t>Giang Coâng Danh</t>
  </si>
  <si>
    <t>Kieàu Thò Thuûy Tieân</t>
  </si>
  <si>
    <t>Huuyønh Ngoïc Giang</t>
  </si>
  <si>
    <t>11/2010</t>
  </si>
  <si>
    <t>Chaâu Phöôùc Thuaàn</t>
  </si>
  <si>
    <t>Ñaøo Ngoïc Long</t>
  </si>
  <si>
    <t>Nguyeãn Duy Long</t>
  </si>
  <si>
    <t>Nguyeãn Traàn Duy Anh</t>
  </si>
  <si>
    <t>Nguyeãn Ngoïc Ñoâng</t>
  </si>
  <si>
    <t>Ban Vaät tö -VT</t>
  </si>
  <si>
    <t>Voõ Thò Haèøng</t>
  </si>
  <si>
    <t>Nguyeãn Vaên Thoâng</t>
  </si>
  <si>
    <t>Nguyeãn Phan Höng</t>
  </si>
  <si>
    <t>Ñoaøn Phan Quoác Anh</t>
  </si>
  <si>
    <t>Ban Döï aùn - DA</t>
  </si>
  <si>
    <t>7/2015</t>
  </si>
  <si>
    <t>Nguyeãn Thò Thuøy Ly</t>
  </si>
  <si>
    <t>Nguyeãn Thò Giang</t>
  </si>
  <si>
    <t>Cao Xuaân Vuõ</t>
  </si>
  <si>
    <t>Trung taâm NC KHCN -TT</t>
  </si>
  <si>
    <t>Traàn Vaên Haø</t>
  </si>
  <si>
    <t>Nguyeãn Nguyeân Nguyeân</t>
  </si>
  <si>
    <t>Nguyeãn Thò Phi Lanh</t>
  </si>
  <si>
    <t>Ñoã Thanh Tuù</t>
  </si>
  <si>
    <t>Nguyeãn Thò Thuùy Dieãm</t>
  </si>
  <si>
    <t>Vuõ Thò Loan</t>
  </si>
  <si>
    <t>Traàn Thò Minh Thöông</t>
  </si>
  <si>
    <t>Nguyeãn Anh Tuaán</t>
  </si>
  <si>
    <t>Kinh doanh</t>
  </si>
  <si>
    <t>Toå laùi</t>
  </si>
  <si>
    <t>04/2008</t>
  </si>
  <si>
    <t>10/2014</t>
  </si>
  <si>
    <t>Leâ Ñöùc Bình</t>
  </si>
  <si>
    <t>Nguyeãn Vaên Tuaán</t>
  </si>
  <si>
    <t>Nguyeãn Hoaøi Thanh</t>
  </si>
  <si>
    <t>Nguyeãn Ñöùc Cöôøng</t>
  </si>
  <si>
    <t>Nguyeãn Ñình Höôùng</t>
  </si>
  <si>
    <t>Chaâu Kim Löôïng</t>
  </si>
  <si>
    <t>Huyønh Troïng Nghóa</t>
  </si>
  <si>
    <t>Thaïch Ngoïc Kieàu</t>
  </si>
  <si>
    <t>Ñoã Thanh Haøo</t>
  </si>
  <si>
    <t>Nguyeãn Ngoïc Hieån</t>
  </si>
  <si>
    <t>Sale</t>
  </si>
  <si>
    <t>01/2010</t>
  </si>
  <si>
    <t>Trịnh Minh Hảo (Trưởng BP sale)</t>
  </si>
  <si>
    <t>Nguyeãn Thò Myõ Haïnh</t>
  </si>
  <si>
    <t>Leâ Nho Khaùnh</t>
  </si>
  <si>
    <t>Ngoâ Quoác Taøi</t>
  </si>
  <si>
    <t>Nguyeãn Ñöùc Trung</t>
  </si>
  <si>
    <t>Nguyeãn Minh Ñaïi</t>
  </si>
  <si>
    <t>Traàn Ngoïc Thaïch</t>
  </si>
  <si>
    <t>Giao nhaän</t>
  </si>
  <si>
    <t>9/2015</t>
  </si>
  <si>
    <t>Khaâu Phöôùc Taøi</t>
  </si>
  <si>
    <t>Huyønh Quoác Huøng</t>
  </si>
  <si>
    <t>Traàn Vaên Tuaán</t>
  </si>
  <si>
    <t>Ngoâ Quoác Huy</t>
  </si>
  <si>
    <t>Traàn Thanh Long</t>
  </si>
  <si>
    <t>Huyønh Minh Hoaøng</t>
  </si>
  <si>
    <t>Haø Thaønh Ñaït</t>
  </si>
  <si>
    <t>Döông Nguyeãn Vuõ Baûo</t>
  </si>
  <si>
    <t>Phan Thaønh Phuùc</t>
  </si>
  <si>
    <t>Leâ Hoaøng Khang</t>
  </si>
  <si>
    <t>Phuï xe</t>
  </si>
  <si>
    <t>Traàn Minh Long</t>
  </si>
  <si>
    <t>Döông Tấn Ñaït</t>
  </si>
  <si>
    <t>Leâ Taán Duõng</t>
  </si>
  <si>
    <t>Ñaëng Quoác Coïp</t>
  </si>
  <si>
    <t>Leâ Ñaéc Cöôøng</t>
  </si>
  <si>
    <t>Leâ Vaên Cöôøng</t>
  </si>
  <si>
    <t>Danh Thöøa</t>
  </si>
  <si>
    <t>Danh Xaø Quaùch</t>
  </si>
  <si>
    <t>Nguyeãn Hoaøng Thoaïi</t>
  </si>
  <si>
    <t>Nguyeãn Vaên Huy</t>
  </si>
  <si>
    <t>Danh Ñaû</t>
  </si>
  <si>
    <t>Trieäu Minh Thaéng</t>
  </si>
  <si>
    <t>Danh Ngoøi</t>
  </si>
  <si>
    <t>Qlyù + Sale Admin</t>
  </si>
  <si>
    <t>Thaïch Minh Chaâu</t>
  </si>
  <si>
    <t>Leâ Thò Anh Thö</t>
  </si>
  <si>
    <t>THEO DÕI PHÉP NĂM 2018</t>
  </si>
  <si>
    <t>Tên</t>
  </si>
  <si>
    <t>Ngày vào</t>
  </si>
  <si>
    <t>Dư 2017</t>
  </si>
  <si>
    <t xml:space="preserve"> NS05 </t>
  </si>
  <si>
    <t xml:space="preserve"> Lê Nguyễn Triều Vương </t>
  </si>
  <si>
    <t xml:space="preserve"> ĐMCC01 </t>
  </si>
  <si>
    <t xml:space="preserve"> Hoàng Giáng Sinh </t>
  </si>
  <si>
    <t xml:space="preserve"> KT10 </t>
  </si>
  <si>
    <t xml:space="preserve"> Nguyễn Anh Phương </t>
  </si>
  <si>
    <t xml:space="preserve"> XD02 </t>
  </si>
  <si>
    <t xml:space="preserve"> Châu Phước Thuần </t>
  </si>
  <si>
    <t>CV giám sát kỹ thuật - ATLĐ</t>
  </si>
  <si>
    <t>Trưởng phòng GS hiện trạng</t>
  </si>
  <si>
    <t>Trưởng phòng thiết kế kỹ thuật</t>
  </si>
  <si>
    <t xml:space="preserve"> VT02 </t>
  </si>
  <si>
    <t xml:space="preserve"> Võ Thị Hằng </t>
  </si>
  <si>
    <t xml:space="preserve"> TT04 </t>
  </si>
  <si>
    <t xml:space="preserve"> TT02 </t>
  </si>
  <si>
    <t>Logistics</t>
  </si>
  <si>
    <t xml:space="preserve"> LG01 </t>
  </si>
  <si>
    <t xml:space="preserve"> Văn Khoa Trường </t>
  </si>
  <si>
    <t>LG04</t>
  </si>
  <si>
    <t>Nguyễn Thị Đầm</t>
  </si>
  <si>
    <t>CĐ06</t>
  </si>
  <si>
    <t xml:space="preserve">Nguyễn Văn Lâm </t>
  </si>
  <si>
    <t>CĐ07</t>
  </si>
  <si>
    <t xml:space="preserve">Phan Văn Bạn </t>
  </si>
  <si>
    <t>NV04</t>
  </si>
  <si>
    <t>Chề A Sắt</t>
  </si>
  <si>
    <t xml:space="preserve"> XD05 </t>
  </si>
  <si>
    <t xml:space="preserve"> KDX4 </t>
  </si>
  <si>
    <t xml:space="preserve"> Nguyễn Văn Tuấn </t>
  </si>
  <si>
    <t xml:space="preserve"> KDX9 </t>
  </si>
  <si>
    <t xml:space="preserve"> Đỗ Thanh Hào </t>
  </si>
  <si>
    <t xml:space="preserve"> KDX10 </t>
  </si>
  <si>
    <t xml:space="preserve"> Nguyễn Ngọc Hiển </t>
  </si>
  <si>
    <t xml:space="preserve"> KDX11 </t>
  </si>
  <si>
    <t xml:space="preserve"> Lê Văn Mạnh </t>
  </si>
  <si>
    <t xml:space="preserve"> KDPX2 </t>
  </si>
  <si>
    <t xml:space="preserve"> Dương Tấn Đạt </t>
  </si>
  <si>
    <t xml:space="preserve"> KDPX6 </t>
  </si>
  <si>
    <t xml:space="preserve"> Nguyễn Văn Huy </t>
  </si>
  <si>
    <t xml:space="preserve"> KDPX10 </t>
  </si>
  <si>
    <t xml:space="preserve"> Danh Ngòi </t>
  </si>
  <si>
    <t xml:space="preserve"> KDPX11 </t>
  </si>
  <si>
    <t xml:space="preserve"> Nguyễn Hồng Hiệp </t>
  </si>
  <si>
    <t xml:space="preserve"> KDPX14 </t>
  </si>
  <si>
    <t xml:space="preserve"> Châu Văn Thanh </t>
  </si>
  <si>
    <t xml:space="preserve"> KDPX16 </t>
  </si>
  <si>
    <t xml:space="preserve"> Lê Hoàng Sơn </t>
  </si>
  <si>
    <t xml:space="preserve"> KDG4 </t>
  </si>
  <si>
    <t xml:space="preserve"> Khâu Phước Tài </t>
  </si>
  <si>
    <t xml:space="preserve"> KDG5 </t>
  </si>
  <si>
    <t xml:space="preserve"> Huỳnh Quốc Hùng </t>
  </si>
  <si>
    <t xml:space="preserve"> KDG7 </t>
  </si>
  <si>
    <t xml:space="preserve"> Huỳnh Minh Hoàng </t>
  </si>
  <si>
    <t xml:space="preserve"> KDG10 </t>
  </si>
  <si>
    <t xml:space="preserve"> Trần Văn Tuấn </t>
  </si>
  <si>
    <t xml:space="preserve">BẢNG KPIs THÁNG 6 - 2018 </t>
  </si>
  <si>
    <t xml:space="preserve">KPIs </t>
  </si>
  <si>
    <t>Thử Việc</t>
  </si>
  <si>
    <t xml:space="preserve"> KDS22</t>
  </si>
  <si>
    <t>Nguyễn Bá Phúc</t>
  </si>
  <si>
    <t xml:space="preserve"> KDS5</t>
  </si>
  <si>
    <t>ĐDKD Phạm Thái Khang</t>
  </si>
  <si>
    <t>HCNS</t>
  </si>
  <si>
    <t>IT</t>
  </si>
  <si>
    <t>Lái xe Cty +BV</t>
  </si>
  <si>
    <t xml:space="preserve"> KDS26</t>
  </si>
  <si>
    <t>Nguyễn Hoàng Luân</t>
  </si>
  <si>
    <t xml:space="preserve"> TT14</t>
  </si>
  <si>
    <t>Tạ Chí Thuận</t>
  </si>
  <si>
    <t>Công nhân Biogas</t>
  </si>
  <si>
    <t xml:space="preserve"> KDS27 </t>
  </si>
  <si>
    <t>Đậu Minh Hùng</t>
  </si>
  <si>
    <t>ĐDKD Nguyễn Hoàng Luân</t>
  </si>
  <si>
    <t>ĐDKD Nguyễn Anh Vũ</t>
  </si>
  <si>
    <t>KPI thử việc</t>
  </si>
  <si>
    <t>Tháng 03 ứng 10tr xin trừ dần 2 tháng (tháng 03 và tháng 05)</t>
  </si>
  <si>
    <t>Ngày 13/05 ứng lương Cty 10tr, Ứng Nhà Máy 5tr, mỗi tháng trừ 2tr. Bắt đầu từ ký lương tháng 05/2019</t>
  </si>
  <si>
    <t>Ngày 08/05 ứng lương Cty 10tr, Ứng Nhà Máy 10tr, mỗi tháng trừ 2tr. Bắt đầu từ ký lương tháng 05/2019</t>
  </si>
  <si>
    <t>NV điều phối đơn hàng</t>
  </si>
  <si>
    <t>x</t>
  </si>
  <si>
    <t>Tổng đưa thoa</t>
  </si>
  <si>
    <t>Lương NM</t>
  </si>
  <si>
    <t>Lương SX</t>
  </si>
  <si>
    <t>Tổng:</t>
  </si>
  <si>
    <t>Đã đưa:</t>
  </si>
  <si>
    <t>Tiền chênh lệch sau khi trừ tiền đã đưa</t>
  </si>
  <si>
    <t>Tổng tiền VHM đóng gói:</t>
  </si>
  <si>
    <t>Còn lại (đưa thêm):</t>
  </si>
  <si>
    <t xml:space="preserve"> TT15</t>
  </si>
  <si>
    <t>Nguyễn Duy Bình</t>
  </si>
  <si>
    <t xml:space="preserve"> VT08</t>
  </si>
  <si>
    <t>Nguyễn Hoàng Phương Thảo</t>
  </si>
  <si>
    <t>KHO3</t>
  </si>
  <si>
    <t>Võ Tấn Đạt</t>
  </si>
  <si>
    <t>TRẠM CÂN</t>
  </si>
  <si>
    <t xml:space="preserve"> XD10</t>
  </si>
  <si>
    <t>Lê Minh Đức Thịnh</t>
  </si>
  <si>
    <t>Trưởng BP Thiết kế Kỹ thuật</t>
  </si>
  <si>
    <t>Trưởng Phòng thiết kế kỹ thuật</t>
  </si>
  <si>
    <t>Võ Quang Tuấn</t>
  </si>
  <si>
    <t xml:space="preserve"> TT16</t>
  </si>
  <si>
    <t>TR04</t>
  </si>
  <si>
    <t>Đỗ Sỹ Long</t>
  </si>
  <si>
    <t>KHO4</t>
  </si>
  <si>
    <t>Đỗ Hoàng Dũng</t>
  </si>
  <si>
    <t xml:space="preserve"> Trừ ứng 15tr (giải quyết việc gia đình) từ kỳ nhận lương tháng 01/2019 đến hết kỳ nhận tháng 09/2019 mỗi tháng trừ 1tr5.</t>
  </si>
  <si>
    <t xml:space="preserve"> Kỳ lương tháng 6 đã trừ lố 500k tiền học nên chuyển thành trừ tiền ứng việc riêng</t>
  </si>
  <si>
    <t>T5 thu 1tr NM</t>
  </si>
  <si>
    <t>T6 k thu</t>
  </si>
  <si>
    <t>T7 thu 1tr</t>
  </si>
  <si>
    <t>Bắt đầu trừ 20tr ứng việc riêng vào kỳ lương tháng 07 (mỗi tháng 2tr đến kỳ lương tháng 04 là 5/2019)</t>
  </si>
  <si>
    <t>Ứng 7tr cho vợ sinh, mỗi tháng trừ 1tr, bắt đầu từ kỳ lương tháng 07/2018</t>
  </si>
  <si>
    <t>Nguyễn Minh Đại</t>
  </si>
  <si>
    <t>BẢNG KPIs THÁNG 06 - 2019</t>
  </si>
  <si>
    <t>DOANH
SỐ Đất Công trình</t>
  </si>
  <si>
    <t xml:space="preserve"> KDS28</t>
  </si>
  <si>
    <t>Nguyễn Lê Thanh Thùy</t>
  </si>
  <si>
    <t>NM</t>
  </si>
  <si>
    <t>SX</t>
  </si>
  <si>
    <t>Trưởng Phòng KHTH</t>
  </si>
  <si>
    <t>Trưởng BP NCUD XLMT</t>
  </si>
  <si>
    <t>Trưởng BP NCUDSP</t>
  </si>
  <si>
    <t xml:space="preserve"> VT09</t>
  </si>
  <si>
    <t>LG12</t>
  </si>
  <si>
    <t>Hà Chí Hào</t>
  </si>
  <si>
    <t>BẢNG LƯƠNG THÁNG 08 - BỘ PHẬN QUẢN LÝ</t>
  </si>
  <si>
    <t xml:space="preserve"> NB04</t>
  </si>
  <si>
    <t>Phan Văn Ninh</t>
  </si>
  <si>
    <t>Trần Thị Bích Hương</t>
  </si>
  <si>
    <t>CV Phân tích Dự Án tiền khả thi</t>
  </si>
  <si>
    <t xml:space="preserve"> TT17</t>
  </si>
  <si>
    <t>Nguyễn Bảo Huy</t>
  </si>
  <si>
    <t xml:space="preserve"> TT18</t>
  </si>
  <si>
    <t>Đặng Toan</t>
  </si>
  <si>
    <t>CV NCUDSP</t>
  </si>
  <si>
    <t xml:space="preserve"> KT14</t>
  </si>
  <si>
    <t>Hồ Thị Tuyết Hoa</t>
  </si>
  <si>
    <t>Tây Nguyên</t>
  </si>
  <si>
    <t>THẺ LƯƠNG THÁNG 08/2019</t>
  </si>
  <si>
    <t>Phạm Hữu Tân</t>
  </si>
  <si>
    <t xml:space="preserve"> KDS29</t>
  </si>
  <si>
    <t>BẢNG CHẤM CÔNG NGOÀI GIỜ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</si>
</sst>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4" formatCode="_(&quot;$&quot;* #,##0.00_);_(&quot;$&quot;* \(#,##0.00\);_(&quot;$&quot;* &quot;-&quot;??_);_(@_)"/>
    <numFmt numFmtId="43" formatCode="_(* #,##0.00_);_(* \(#,##0.00\);_(* &quot;-&quot;??_);_(@_)"/>
    <numFmt numFmtId="164" formatCode="_-* #,##0.00\ _₫_-;\-* #,##0.00\ _₫_-;_-* &quot;-&quot;??\ _₫_-;_-@_-"/>
    <numFmt numFmtId="165" formatCode="_(* #,##0_);_(* \(#,##0\);_(* &quot;-&quot;??_);_(@_)"/>
    <numFmt numFmtId="166" formatCode="_(* #,##0.000_);_(* \(#,##0.000\);_(* &quot;-&quot;???_);_(@_)"/>
    <numFmt numFmtId="167" formatCode="_-* #,##0\ _₫_-;\-* #,##0\ _₫_-;_-* &quot;-&quot;??\ _₫_-;_-@_-"/>
    <numFmt numFmtId="168" formatCode="#,###&quot;ñ&quot;"/>
    <numFmt numFmtId="169" formatCode="0.0%"/>
    <numFmt numFmtId="170" formatCode="#,##0.000_ ;\-#,##0.000\ "/>
    <numFmt numFmtId="171" formatCode="_(* #,##0.0_);_(* \(#,##0.0\);_(* &quot;-&quot;??_);_(@_)"/>
    <numFmt numFmtId="172" formatCode="#,##0_ ;\-#,##0\ "/>
    <numFmt numFmtId="173" formatCode="mm/yy"/>
    <numFmt numFmtId="174" formatCode="_(* #,##0.000_);_(* \(#,##0.000\);_(* &quot;-&quot;??_);_(@_)"/>
    <numFmt numFmtId="175" formatCode="_-* #,##0.000\ _₫_-;\-* #,##0.000\ _₫_-;_-* &quot;-&quot;??\ _₫_-;_-@_-"/>
  </numFmts>
  <fonts count="175">
    <font>
      <sz val="10"/>
      <name val="VNI-Times"/>
      <charset val="134"/>
    </font>
    <font>
      <sz val="8"/>
      <name val="Times New Roman"/>
      <family val="1"/>
    </font>
    <font>
      <b/>
      <sz val="8"/>
      <color rgb="FFFF0000"/>
      <name val="Times New Roman"/>
      <family val="1"/>
    </font>
    <font>
      <b/>
      <sz val="8"/>
      <color rgb="FF2B03BD"/>
      <name val="Times New Roman"/>
      <family val="1"/>
    </font>
    <font>
      <sz val="8"/>
      <name val="Times New Roman"/>
      <family val="1"/>
    </font>
    <font>
      <b/>
      <sz val="8"/>
      <color theme="1"/>
      <name val="Times New Roman"/>
      <family val="1"/>
    </font>
    <font>
      <b/>
      <sz val="8"/>
      <name val="Times New Roman"/>
      <family val="1"/>
    </font>
    <font>
      <sz val="8"/>
      <color theme="1"/>
      <name val="Times New Roman"/>
      <family val="1"/>
    </font>
    <font>
      <sz val="10"/>
      <name val="Times New Roman"/>
      <family val="1"/>
    </font>
    <font>
      <b/>
      <sz val="10"/>
      <name val="Times New Roman"/>
      <family val="1"/>
    </font>
    <font>
      <b/>
      <sz val="8"/>
      <color rgb="FFFF0000"/>
      <name val="Times New Roman"/>
      <family val="1"/>
    </font>
    <font>
      <b/>
      <sz val="8"/>
      <name val="Times New Roman"/>
      <family val="1"/>
    </font>
    <font>
      <sz val="8"/>
      <color rgb="FFFF0000"/>
      <name val="Times New Roman"/>
      <family val="1"/>
    </font>
    <font>
      <sz val="8"/>
      <color theme="5" tint="-0.249977111117893"/>
      <name val="Times New Roman"/>
      <family val="1"/>
    </font>
    <font>
      <sz val="8"/>
      <color rgb="FF0070C0"/>
      <name val="Times New Roman"/>
      <family val="1"/>
    </font>
    <font>
      <sz val="8"/>
      <color theme="9" tint="-0.249977111117893"/>
      <name val="Times New Roman"/>
      <family val="1"/>
    </font>
    <font>
      <sz val="10"/>
      <color theme="7" tint="0.39994506668294322"/>
      <name val="VNI-Times"/>
    </font>
    <font>
      <sz val="9"/>
      <name val="VNI-Times"/>
    </font>
    <font>
      <b/>
      <sz val="10"/>
      <color rgb="FFFF0000"/>
      <name val="VNI-Times"/>
    </font>
    <font>
      <b/>
      <sz val="12"/>
      <name val="VNI-Times"/>
    </font>
    <font>
      <b/>
      <sz val="9"/>
      <name val="VNI-Times"/>
    </font>
    <font>
      <sz val="9"/>
      <color theme="1"/>
      <name val="Times New Roman"/>
      <family val="1"/>
    </font>
    <font>
      <sz val="11"/>
      <color theme="1"/>
      <name val="Times New Roman"/>
      <family val="1"/>
    </font>
    <font>
      <b/>
      <sz val="10"/>
      <name val="VNI-Times"/>
    </font>
    <font>
      <b/>
      <sz val="9"/>
      <color rgb="FFFF0000"/>
      <name val="VNI-Times"/>
    </font>
    <font>
      <sz val="9"/>
      <color rgb="FFFF0000"/>
      <name val="VNI-Times"/>
    </font>
    <font>
      <sz val="10"/>
      <color rgb="FFFF0000"/>
      <name val="VNI-Times"/>
    </font>
    <font>
      <sz val="9"/>
      <color theme="7" tint="0.39994506668294322"/>
      <name val="VNI-Times"/>
    </font>
    <font>
      <sz val="9"/>
      <color theme="8" tint="0.39994506668294322"/>
      <name val="VNI-Times"/>
    </font>
    <font>
      <sz val="10"/>
      <color theme="8" tint="0.39994506668294322"/>
      <name val="VNI-Times"/>
    </font>
    <font>
      <b/>
      <sz val="10"/>
      <color theme="7" tint="0.39994506668294322"/>
      <name val="VNI-Times"/>
    </font>
    <font>
      <b/>
      <sz val="10"/>
      <color theme="8" tint="0.39994506668294322"/>
      <name val="VNI-Times"/>
    </font>
    <font>
      <b/>
      <sz val="16"/>
      <name val="VNI-Times"/>
    </font>
    <font>
      <sz val="11"/>
      <color rgb="FF2B03BD"/>
      <name val="Times New Roman"/>
      <family val="1"/>
    </font>
    <font>
      <sz val="11"/>
      <name val="Times New Roman"/>
      <family val="1"/>
    </font>
    <font>
      <sz val="11"/>
      <color rgb="FF0070C0"/>
      <name val="Times New Roman"/>
      <family val="1"/>
    </font>
    <font>
      <sz val="10"/>
      <color theme="1"/>
      <name val="Times New Roman"/>
      <family val="1"/>
    </font>
    <font>
      <b/>
      <sz val="10"/>
      <color theme="1"/>
      <name val="Times New Roman"/>
      <family val="1"/>
    </font>
    <font>
      <b/>
      <sz val="16"/>
      <color theme="1"/>
      <name val="Times New Roman"/>
      <family val="1"/>
    </font>
    <font>
      <b/>
      <sz val="8"/>
      <color theme="1"/>
      <name val="Times New Roman"/>
      <family val="1"/>
    </font>
    <font>
      <sz val="8"/>
      <color theme="1"/>
      <name val="Times New Roman"/>
      <family val="1"/>
    </font>
    <font>
      <sz val="10"/>
      <color rgb="FF2B03BD"/>
      <name val="Times New Roman"/>
      <family val="1"/>
    </font>
    <font>
      <sz val="8"/>
      <color rgb="FF2B03BD"/>
      <name val="Times New Roman"/>
      <family val="1"/>
    </font>
    <font>
      <sz val="10"/>
      <color rgb="FFFF0000"/>
      <name val="Times New Roman"/>
      <family val="1"/>
    </font>
    <font>
      <sz val="10"/>
      <color rgb="FFC00000"/>
      <name val="Times New Roman"/>
      <family val="1"/>
    </font>
    <font>
      <sz val="10"/>
      <color rgb="FF0070C0"/>
      <name val="Times New Roman"/>
      <family val="1"/>
    </font>
    <font>
      <sz val="11"/>
      <color theme="2" tint="-0.499984740745262"/>
      <name val="Times New Roman"/>
      <family val="1"/>
    </font>
    <font>
      <sz val="11"/>
      <color theme="1"/>
      <name val="Calibri"/>
      <family val="2"/>
      <scheme val="minor"/>
    </font>
    <font>
      <sz val="11"/>
      <name val="Calibri"/>
      <family val="2"/>
      <scheme val="minor"/>
    </font>
    <font>
      <b/>
      <u/>
      <sz val="11"/>
      <name val="Arial"/>
      <family val="2"/>
    </font>
    <font>
      <sz val="11"/>
      <color rgb="FFFF0000"/>
      <name val="Calibri"/>
      <family val="2"/>
      <scheme val="minor"/>
    </font>
    <font>
      <sz val="11"/>
      <name val="Arial"/>
      <family val="2"/>
    </font>
    <font>
      <sz val="11"/>
      <color theme="9" tint="-0.249977111117893"/>
      <name val="Times New Roman"/>
      <family val="1"/>
    </font>
    <font>
      <b/>
      <sz val="11"/>
      <name val="Times New Roman"/>
      <family val="1"/>
    </font>
    <font>
      <b/>
      <sz val="11"/>
      <color theme="1"/>
      <name val="Calibri"/>
      <family val="2"/>
      <scheme val="minor"/>
    </font>
    <font>
      <sz val="11"/>
      <name val="VNI-Helve-Condense"/>
    </font>
    <font>
      <sz val="8"/>
      <color rgb="FFFF0000"/>
      <name val="Times New Roman"/>
      <family val="1"/>
    </font>
    <font>
      <sz val="8"/>
      <color rgb="FF2B03BD"/>
      <name val="Times New Roman"/>
      <family val="1"/>
    </font>
    <font>
      <sz val="10"/>
      <color rgb="FF7030A0"/>
      <name val="Times New Roman"/>
      <family val="1"/>
    </font>
    <font>
      <sz val="10"/>
      <color rgb="FF0D0393"/>
      <name val="Times New Roman"/>
      <family val="1"/>
    </font>
    <font>
      <b/>
      <sz val="10"/>
      <color rgb="FFFF0000"/>
      <name val="Times New Roman"/>
      <family val="1"/>
    </font>
    <font>
      <sz val="10"/>
      <name val="Times New Roman"/>
      <family val="1"/>
    </font>
    <font>
      <b/>
      <sz val="8"/>
      <color rgb="FF2B03BD"/>
      <name val="Times New Roman"/>
      <family val="1"/>
    </font>
    <font>
      <sz val="10"/>
      <color indexed="61"/>
      <name val="Times New Roman"/>
      <family val="1"/>
    </font>
    <font>
      <b/>
      <sz val="18"/>
      <name val="Times New Roman"/>
      <family val="1"/>
    </font>
    <font>
      <sz val="8"/>
      <color rgb="FF0D0393"/>
      <name val="Times New Roman"/>
      <family val="1"/>
    </font>
    <font>
      <b/>
      <sz val="11"/>
      <name val="VNI-Times"/>
    </font>
    <font>
      <sz val="11"/>
      <name val="VNI-Times"/>
    </font>
    <font>
      <b/>
      <sz val="10"/>
      <name val="Times New Roman"/>
      <family val="1"/>
    </font>
    <font>
      <b/>
      <sz val="5"/>
      <name val="Times New Roman"/>
      <family val="1"/>
    </font>
    <font>
      <b/>
      <sz val="7"/>
      <name val="Times New Roman"/>
      <family val="1"/>
    </font>
    <font>
      <b/>
      <sz val="5"/>
      <name val="Times New Roman"/>
      <family val="1"/>
    </font>
    <font>
      <sz val="5"/>
      <name val="Times New Roman"/>
      <family val="1"/>
    </font>
    <font>
      <sz val="5"/>
      <color rgb="FFFF0000"/>
      <name val="Times New Roman"/>
      <family val="1"/>
    </font>
    <font>
      <sz val="5"/>
      <name val="Times New Roman"/>
      <family val="1"/>
    </font>
    <font>
      <b/>
      <i/>
      <sz val="7"/>
      <name val="Times New Roman"/>
      <family val="1"/>
    </font>
    <font>
      <b/>
      <i/>
      <sz val="5"/>
      <name val="Times New Roman"/>
      <family val="1"/>
    </font>
    <font>
      <b/>
      <sz val="5"/>
      <color rgb="FFFF0000"/>
      <name val="Times New Roman"/>
      <family val="1"/>
    </font>
    <font>
      <b/>
      <i/>
      <sz val="7"/>
      <color rgb="FFFF0000"/>
      <name val="Times New Roman"/>
      <family val="1"/>
    </font>
    <font>
      <b/>
      <sz val="7"/>
      <color rgb="FFFF0000"/>
      <name val="Times New Roman"/>
      <family val="1"/>
    </font>
    <font>
      <b/>
      <i/>
      <sz val="5"/>
      <color rgb="FFFF0000"/>
      <name val="Times New Roman"/>
      <family val="1"/>
    </font>
    <font>
      <b/>
      <sz val="7"/>
      <color rgb="FF0070C0"/>
      <name val="Times New Roman"/>
      <family val="1"/>
    </font>
    <font>
      <sz val="8"/>
      <color rgb="FF0D0393"/>
      <name val="Times New Roman"/>
      <family val="1"/>
    </font>
    <font>
      <sz val="7"/>
      <color rgb="FFFF0000"/>
      <name val="Times New Roman"/>
      <family val="1"/>
    </font>
    <font>
      <b/>
      <sz val="9"/>
      <name val="Times New Roman"/>
      <family val="1"/>
    </font>
    <font>
      <sz val="9"/>
      <name val="Times New Roman"/>
      <family val="1"/>
    </font>
    <font>
      <sz val="9"/>
      <color rgb="FF2B03BD"/>
      <name val="Times New Roman"/>
      <family val="1"/>
    </font>
    <font>
      <b/>
      <sz val="9"/>
      <name val="Times New Roman"/>
      <family val="1"/>
    </font>
    <font>
      <sz val="9"/>
      <name val="Times New Roman"/>
      <family val="1"/>
    </font>
    <font>
      <sz val="9"/>
      <color rgb="FFFF0000"/>
      <name val="Times New Roman"/>
      <family val="1"/>
    </font>
    <font>
      <sz val="9"/>
      <color rgb="FF7030A0"/>
      <name val="Times New Roman"/>
      <family val="1"/>
    </font>
    <font>
      <i/>
      <sz val="9"/>
      <name val="Times New Roman"/>
      <family val="1"/>
    </font>
    <font>
      <b/>
      <sz val="9"/>
      <color rgb="FFFF0000"/>
      <name val="Times New Roman"/>
      <family val="1"/>
    </font>
    <font>
      <b/>
      <sz val="8"/>
      <color theme="6" tint="0.39994506668294322"/>
      <name val="Times New Roman"/>
      <family val="1"/>
    </font>
    <font>
      <sz val="8"/>
      <name val="VNI-Times"/>
    </font>
    <font>
      <sz val="8"/>
      <color rgb="FF2B03BD"/>
      <name val="VNI-Times"/>
    </font>
    <font>
      <sz val="8"/>
      <color rgb="FFC00000"/>
      <name val="Times New Roman"/>
      <family val="1"/>
    </font>
    <font>
      <sz val="8"/>
      <color rgb="FF7030A0"/>
      <name val="Times New Roman"/>
      <family val="1"/>
    </font>
    <font>
      <sz val="8"/>
      <color rgb="FF7030A0"/>
      <name val="Times New Roman"/>
      <family val="1"/>
    </font>
    <font>
      <b/>
      <sz val="8"/>
      <name val="VNI-Times"/>
    </font>
    <font>
      <b/>
      <sz val="8"/>
      <color rgb="FF7030A0"/>
      <name val="Times New Roman"/>
      <family val="1"/>
    </font>
    <font>
      <b/>
      <sz val="8"/>
      <name val="Cambria"/>
      <family val="1"/>
      <scheme val="major"/>
    </font>
    <font>
      <b/>
      <sz val="11"/>
      <color theme="1"/>
      <name val="Arial"/>
      <family val="2"/>
    </font>
    <font>
      <sz val="11"/>
      <color theme="1"/>
      <name val="Arial"/>
      <family val="2"/>
    </font>
    <font>
      <sz val="11"/>
      <color rgb="FF00B050"/>
      <name val="Arial"/>
      <family val="2"/>
    </font>
    <font>
      <sz val="11"/>
      <color rgb="FFFF0000"/>
      <name val="Arial"/>
      <family val="2"/>
    </font>
    <font>
      <b/>
      <sz val="20"/>
      <color rgb="FF0070C0"/>
      <name val="Arial"/>
      <family val="2"/>
    </font>
    <font>
      <b/>
      <sz val="11"/>
      <color rgb="FFFFFF00"/>
      <name val="Arial"/>
      <family val="2"/>
    </font>
    <font>
      <b/>
      <sz val="11"/>
      <color rgb="FFFF0000"/>
      <name val="Arial"/>
      <family val="2"/>
    </font>
    <font>
      <b/>
      <sz val="11"/>
      <color rgb="FF0070C0"/>
      <name val="Arial"/>
      <family val="2"/>
    </font>
    <font>
      <b/>
      <sz val="11"/>
      <color theme="3" tint="-0.499984740745262"/>
      <name val="Arial"/>
      <family val="2"/>
    </font>
    <font>
      <b/>
      <sz val="11"/>
      <name val="Arial"/>
      <family val="2"/>
    </font>
    <font>
      <sz val="11"/>
      <color theme="1"/>
      <name val="Calibri"/>
      <family val="2"/>
      <scheme val="minor"/>
    </font>
    <font>
      <sz val="12"/>
      <name val="VNI-Aptima"/>
    </font>
    <font>
      <sz val="12"/>
      <color theme="1"/>
      <name val="Times New Roman"/>
      <family val="1"/>
    </font>
    <font>
      <b/>
      <sz val="11"/>
      <color rgb="FFFA7D00"/>
      <name val="Calibri"/>
      <family val="2"/>
      <scheme val="minor"/>
    </font>
    <font>
      <sz val="11"/>
      <color theme="0"/>
      <name val="Calibri"/>
      <family val="2"/>
      <scheme val="minor"/>
    </font>
    <font>
      <sz val="10"/>
      <name val="Arial"/>
      <family val="2"/>
    </font>
    <font>
      <sz val="11"/>
      <color rgb="FF9C0006"/>
      <name val="Calibri"/>
      <family val="2"/>
      <scheme val="minor"/>
    </font>
    <font>
      <b/>
      <sz val="11"/>
      <color theme="0"/>
      <name val="Calibri"/>
      <family val="2"/>
      <scheme val="minor"/>
    </font>
    <font>
      <sz val="11"/>
      <color indexed="8"/>
      <name val="Calibri"/>
      <family val="2"/>
    </font>
    <font>
      <b/>
      <sz val="11"/>
      <color theme="3"/>
      <name val="Calibri"/>
      <family val="2"/>
      <scheme val="minor"/>
    </font>
    <font>
      <u/>
      <sz val="11"/>
      <color theme="10"/>
      <name val="Calibri"/>
      <family val="2"/>
      <scheme val="minor"/>
    </font>
    <font>
      <b/>
      <sz val="13"/>
      <color theme="3"/>
      <name val="Calibri"/>
      <family val="2"/>
      <scheme val="minor"/>
    </font>
    <font>
      <sz val="11"/>
      <color rgb="FF006100"/>
      <name val="Calibri"/>
      <family val="2"/>
      <scheme val="minor"/>
    </font>
    <font>
      <i/>
      <sz val="11"/>
      <color rgb="FF7F7F7F"/>
      <name val="Calibri"/>
      <family val="2"/>
      <scheme val="minor"/>
    </font>
    <font>
      <b/>
      <sz val="15"/>
      <color theme="3"/>
      <name val="Calibri"/>
      <family val="2"/>
      <scheme val="minor"/>
    </font>
    <font>
      <sz val="11"/>
      <color rgb="FF3F3F76"/>
      <name val="Calibri"/>
      <family val="2"/>
      <scheme val="minor"/>
    </font>
    <font>
      <sz val="12"/>
      <name val="VNI-Times"/>
    </font>
    <font>
      <sz val="11"/>
      <color rgb="FFFA7D00"/>
      <name val="Calibri"/>
      <family val="2"/>
      <scheme val="minor"/>
    </font>
    <font>
      <sz val="11"/>
      <color rgb="FF9C6500"/>
      <name val="Calibri"/>
      <family val="2"/>
      <scheme val="minor"/>
    </font>
    <font>
      <sz val="10"/>
      <name val="Arial"/>
      <family val="2"/>
    </font>
    <font>
      <b/>
      <sz val="11"/>
      <color theme="1"/>
      <name val="Calibri"/>
      <family val="2"/>
      <scheme val="minor"/>
    </font>
    <font>
      <b/>
      <sz val="11"/>
      <color rgb="FF3F3F3F"/>
      <name val="Calibri"/>
      <family val="2"/>
      <scheme val="minor"/>
    </font>
    <font>
      <sz val="10"/>
      <name val="VNI-Times"/>
    </font>
    <font>
      <sz val="9"/>
      <name val="Tahoma"/>
      <family val="2"/>
    </font>
    <font>
      <b/>
      <sz val="9"/>
      <name val="Tahoma"/>
      <family val="2"/>
    </font>
    <font>
      <sz val="8"/>
      <color rgb="FF2B03BD"/>
      <name val="Times New Roman"/>
      <family val="1"/>
    </font>
    <font>
      <b/>
      <sz val="8"/>
      <color rgb="FF2B03BD"/>
      <name val="Times New Roman"/>
      <family val="1"/>
    </font>
    <font>
      <b/>
      <sz val="8"/>
      <name val="Times New Roman"/>
      <family val="1"/>
    </font>
    <font>
      <sz val="9"/>
      <color indexed="81"/>
      <name val="Tahoma"/>
      <family val="2"/>
    </font>
    <font>
      <b/>
      <sz val="9"/>
      <color indexed="81"/>
      <name val="Tahoma"/>
      <family val="2"/>
    </font>
    <font>
      <sz val="10"/>
      <name val="Times New Roman"/>
      <family val="1"/>
    </font>
    <font>
      <sz val="8"/>
      <color rgb="FF2B03BD"/>
      <name val="Times New Roman"/>
      <family val="1"/>
      <charset val="163"/>
    </font>
    <font>
      <sz val="10"/>
      <name val="Times New Roman"/>
      <family val="1"/>
      <charset val="163"/>
    </font>
    <font>
      <sz val="10"/>
      <color rgb="FF2B03BD"/>
      <name val="Times New Roman"/>
      <family val="1"/>
      <charset val="163"/>
    </font>
    <font>
      <sz val="8"/>
      <name val="Times New Roman"/>
      <family val="1"/>
      <charset val="163"/>
    </font>
    <font>
      <b/>
      <sz val="9"/>
      <color indexed="81"/>
      <name val="Tahoma"/>
      <family val="2"/>
      <charset val="163"/>
    </font>
    <font>
      <sz val="9"/>
      <color indexed="81"/>
      <name val="Tahoma"/>
      <family val="2"/>
      <charset val="163"/>
    </font>
    <font>
      <sz val="8"/>
      <color rgb="FFFF0000"/>
      <name val="Times New Roman"/>
      <family val="1"/>
    </font>
    <font>
      <sz val="10"/>
      <color rgb="FFFF0000"/>
      <name val="Times New Roman"/>
      <family val="1"/>
    </font>
    <font>
      <sz val="10"/>
      <color rgb="FF2B03BD"/>
      <name val="Times New Roman"/>
      <family val="1"/>
    </font>
    <font>
      <sz val="8"/>
      <name val="Times New Roman"/>
      <family val="1"/>
    </font>
    <font>
      <sz val="8"/>
      <name val="VNI-Times"/>
    </font>
    <font>
      <sz val="9"/>
      <name val="Times New Roman"/>
      <family val="1"/>
    </font>
    <font>
      <b/>
      <sz val="8"/>
      <name val="VNI-Times"/>
    </font>
    <font>
      <b/>
      <sz val="9"/>
      <name val="Times New Roman"/>
      <family val="1"/>
    </font>
    <font>
      <sz val="10"/>
      <color rgb="FFFF0000"/>
      <name val="Times New Roman"/>
      <family val="1"/>
      <charset val="163"/>
    </font>
    <font>
      <sz val="9"/>
      <color rgb="FFFF0000"/>
      <name val="Times New Roman"/>
      <family val="1"/>
    </font>
    <font>
      <b/>
      <sz val="10"/>
      <name val="Times New Roman"/>
      <family val="1"/>
    </font>
    <font>
      <b/>
      <sz val="10"/>
      <color rgb="FFFF0000"/>
      <name val="Times New Roman"/>
      <family val="1"/>
    </font>
    <font>
      <b/>
      <sz val="10"/>
      <color rgb="FF2B03BD"/>
      <name val="Times New Roman"/>
      <family val="1"/>
    </font>
    <font>
      <b/>
      <sz val="8"/>
      <color rgb="FFFF0000"/>
      <name val="Times New Roman"/>
      <family val="1"/>
    </font>
    <font>
      <b/>
      <sz val="8"/>
      <color rgb="FF0D0393"/>
      <name val="Times New Roman"/>
      <family val="1"/>
    </font>
    <font>
      <b/>
      <sz val="8"/>
      <name val="Times New Roman"/>
      <family val="1"/>
      <charset val="163"/>
    </font>
    <font>
      <sz val="9"/>
      <name val="Times New Roman"/>
      <family val="1"/>
      <charset val="163"/>
    </font>
    <font>
      <sz val="11"/>
      <color rgb="FFFF0000"/>
      <name val="Times New Roman"/>
      <family val="1"/>
    </font>
    <font>
      <sz val="9"/>
      <color indexed="61"/>
      <name val="Times New Roman"/>
      <family val="1"/>
    </font>
    <font>
      <b/>
      <sz val="9"/>
      <color rgb="FF2B03BD"/>
      <name val="Times New Roman"/>
      <family val="1"/>
    </font>
    <font>
      <sz val="9"/>
      <color rgb="FF0D0393"/>
      <name val="Times New Roman"/>
      <family val="1"/>
    </font>
    <font>
      <sz val="9"/>
      <color indexed="81"/>
      <name val="Tahoma"/>
      <charset val="1"/>
    </font>
    <font>
      <b/>
      <sz val="9"/>
      <color indexed="81"/>
      <name val="Tahoma"/>
      <charset val="1"/>
    </font>
    <font>
      <sz val="9"/>
      <color indexed="81"/>
      <name val="Tahoma"/>
    </font>
    <font>
      <b/>
      <sz val="9"/>
      <color indexed="81"/>
      <name val="Tahoma"/>
    </font>
    <font>
      <sz val="8"/>
      <color rgb="FF0D0393"/>
      <name val="VNI-Times"/>
    </font>
  </fonts>
  <fills count="62">
    <fill>
      <patternFill patternType="none"/>
    </fill>
    <fill>
      <patternFill patternType="gray125"/>
    </fill>
    <fill>
      <patternFill patternType="solid">
        <fgColor theme="0"/>
        <bgColor indexed="64"/>
      </patternFill>
    </fill>
    <fill>
      <patternFill patternType="solid">
        <fgColor theme="9" tint="0.79995117038483843"/>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tint="0.79995117038483843"/>
        <bgColor indexed="64"/>
      </patternFill>
    </fill>
    <fill>
      <patternFill patternType="solid">
        <fgColor rgb="FFFFFF00"/>
        <bgColor indexed="64"/>
      </patternFill>
    </fill>
    <fill>
      <patternFill patternType="solid">
        <fgColor theme="2"/>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00B0F0"/>
        <bgColor indexed="64"/>
      </patternFill>
    </fill>
    <fill>
      <patternFill patternType="solid">
        <fgColor rgb="FFC00000"/>
        <bgColor indexed="64"/>
      </patternFill>
    </fill>
    <fill>
      <patternFill patternType="solid">
        <fgColor theme="3" tint="0.39994506668294322"/>
        <bgColor indexed="64"/>
      </patternFill>
    </fill>
    <fill>
      <patternFill patternType="solid">
        <fgColor theme="8" tint="-0.499984740745262"/>
        <bgColor indexed="64"/>
      </patternFill>
    </fill>
    <fill>
      <patternFill patternType="solid">
        <fgColor theme="9" tint="-0.249977111117893"/>
        <bgColor indexed="64"/>
      </patternFill>
    </fill>
    <fill>
      <patternFill patternType="solid">
        <fgColor rgb="FFFF0000"/>
        <bgColor indexed="64"/>
      </patternFill>
    </fill>
    <fill>
      <patternFill patternType="solid">
        <fgColor theme="3" tint="-0.499984740745262"/>
        <bgColor indexed="64"/>
      </patternFill>
    </fill>
    <fill>
      <patternFill patternType="solid">
        <fgColor rgb="FF002060"/>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9" tint="0.39994506668294322"/>
        <bgColor indexed="64"/>
      </patternFill>
    </fill>
    <fill>
      <patternFill patternType="solid">
        <fgColor rgb="FF0070C0"/>
        <bgColor indexed="64"/>
      </patternFill>
    </fill>
    <fill>
      <patternFill patternType="solid">
        <fgColor theme="8" tint="0.59999389629810485"/>
        <bgColor indexed="64"/>
      </patternFill>
    </fill>
    <fill>
      <patternFill patternType="solid">
        <fgColor theme="6" tint="0.79995117038483843"/>
        <bgColor indexed="64"/>
      </patternFill>
    </fill>
    <fill>
      <patternFill patternType="solid">
        <fgColor theme="4" tint="0.59999389629810485"/>
        <bgColor indexed="64"/>
      </patternFill>
    </fill>
    <fill>
      <patternFill patternType="solid">
        <fgColor theme="0" tint="-0.14996795556505021"/>
        <bgColor indexed="64"/>
      </patternFill>
    </fill>
    <fill>
      <patternFill patternType="solid">
        <fgColor theme="2" tint="-9.9978637043366805E-2"/>
        <bgColor indexed="64"/>
      </patternFill>
    </fill>
    <fill>
      <patternFill patternType="solid">
        <fgColor theme="4" tint="0.79995117038483843"/>
        <bgColor indexed="64"/>
      </patternFill>
    </fill>
    <fill>
      <patternFill patternType="solid">
        <fgColor theme="3" tint="0.79995117038483843"/>
        <bgColor indexed="64"/>
      </patternFill>
    </fill>
    <fill>
      <patternFill patternType="solid">
        <fgColor theme="4" tint="0.39994506668294322"/>
        <bgColor indexed="64"/>
      </patternFill>
    </fill>
    <fill>
      <patternFill patternType="solid">
        <fgColor theme="6" tint="-0.499984740745262"/>
        <bgColor indexed="64"/>
      </patternFill>
    </fill>
    <fill>
      <patternFill patternType="solid">
        <fgColor theme="7" tint="-0.249977111117893"/>
        <bgColor indexed="64"/>
      </patternFill>
    </fill>
    <fill>
      <patternFill patternType="solid">
        <fgColor theme="6" tint="0.39994506668294322"/>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39994506668294322"/>
        <bgColor indexed="64"/>
      </patternFill>
    </fill>
    <fill>
      <patternFill patternType="solid">
        <fgColor theme="5" tint="0.59999389629810485"/>
        <bgColor indexed="64"/>
      </patternFill>
    </fill>
    <fill>
      <patternFill patternType="solid">
        <fgColor rgb="FF00B050"/>
        <bgColor indexed="64"/>
      </patternFill>
    </fill>
    <fill>
      <patternFill patternType="solid">
        <fgColor theme="7" tint="0.39994506668294322"/>
        <bgColor indexed="64"/>
      </patternFill>
    </fill>
    <fill>
      <patternFill patternType="solid">
        <fgColor theme="9" tint="-0.499984740745262"/>
        <bgColor indexed="64"/>
      </patternFill>
    </fill>
    <fill>
      <patternFill patternType="solid">
        <fgColor rgb="FF66CCFF"/>
        <bgColor indexed="64"/>
      </patternFill>
    </fill>
    <fill>
      <patternFill patternType="solid">
        <fgColor theme="7" tint="0.79995117038483843"/>
        <bgColor indexed="64"/>
      </patternFill>
    </fill>
    <fill>
      <patternFill patternType="solid">
        <fgColor rgb="FFF2F2F2"/>
        <bgColor indexed="64"/>
      </patternFill>
    </fill>
    <fill>
      <patternFill patternType="solid">
        <fgColor theme="7"/>
        <bgColor indexed="64"/>
      </patternFill>
    </fill>
    <fill>
      <patternFill patternType="solid">
        <fgColor theme="4"/>
        <bgColor indexed="64"/>
      </patternFill>
    </fill>
    <fill>
      <patternFill patternType="solid">
        <fgColor theme="8" tint="0.79995117038483843"/>
        <bgColor indexed="64"/>
      </patternFill>
    </fill>
    <fill>
      <patternFill patternType="solid">
        <fgColor theme="5" tint="0.39994506668294322"/>
        <bgColor indexed="64"/>
      </patternFill>
    </fill>
    <fill>
      <patternFill patternType="solid">
        <fgColor theme="6" tint="0.59999389629810485"/>
        <bgColor indexed="64"/>
      </patternFill>
    </fill>
    <fill>
      <patternFill patternType="solid">
        <fgColor theme="5"/>
        <bgColor indexed="64"/>
      </patternFill>
    </fill>
    <fill>
      <patternFill patternType="solid">
        <fgColor theme="6"/>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FFFCC"/>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theme="0" tint="-0.14999847407452621"/>
        <bgColor indexed="64"/>
      </patternFill>
    </fill>
  </fills>
  <borders count="41">
    <border>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right/>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right style="thin">
        <color auto="1"/>
      </right>
      <top/>
      <bottom/>
      <diagonal/>
    </border>
    <border>
      <left style="medium">
        <color auto="1"/>
      </left>
      <right/>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bottom/>
      <diagonal/>
    </border>
    <border>
      <left/>
      <right style="medium">
        <color auto="1"/>
      </right>
      <top/>
      <bottom/>
      <diagonal/>
    </border>
    <border>
      <left/>
      <right/>
      <top style="thin">
        <color auto="1"/>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39994506668294322"/>
      </bottom>
      <diagonal/>
    </border>
    <border>
      <left/>
      <right/>
      <top/>
      <bottom style="thick">
        <color theme="4" tint="0.499984740745262"/>
      </bottom>
      <diagonal/>
    </border>
    <border>
      <left/>
      <right/>
      <top/>
      <bottom style="thick">
        <color theme="4"/>
      </bottom>
      <diagonal/>
    </border>
  </borders>
  <cellStyleXfs count="149">
    <xf numFmtId="0" fontId="0" fillId="0" borderId="0"/>
    <xf numFmtId="43" fontId="134" fillId="0" borderId="0" applyFont="0" applyFill="0" applyBorder="0" applyAlignment="0" applyProtection="0"/>
    <xf numFmtId="9" fontId="47" fillId="0" borderId="0" applyFont="0" applyFill="0" applyBorder="0" applyAlignment="0" applyProtection="0"/>
    <xf numFmtId="9" fontId="134" fillId="0" borderId="0" applyFont="0" applyFill="0" applyBorder="0" applyAlignment="0" applyProtection="0"/>
    <xf numFmtId="0" fontId="112" fillId="0" borderId="0"/>
    <xf numFmtId="0" fontId="113" fillId="0" borderId="0"/>
    <xf numFmtId="0" fontId="47" fillId="26" borderId="0" applyNumberFormat="0" applyBorder="0" applyAlignment="0" applyProtection="0"/>
    <xf numFmtId="164" fontId="47" fillId="0" borderId="0" applyFont="0" applyFill="0" applyBorder="0" applyAlignment="0" applyProtection="0"/>
    <xf numFmtId="0" fontId="116" fillId="35" borderId="0" applyNumberFormat="0" applyBorder="0" applyAlignment="0" applyProtection="0"/>
    <xf numFmtId="0" fontId="47" fillId="39" borderId="0" applyNumberFormat="0" applyBorder="0" applyAlignment="0" applyProtection="0"/>
    <xf numFmtId="43" fontId="112" fillId="0" borderId="0" applyFont="0" applyFill="0" applyBorder="0" applyAlignment="0" applyProtection="0"/>
    <xf numFmtId="0" fontId="47" fillId="36" borderId="0" applyNumberFormat="0" applyBorder="0" applyAlignment="0" applyProtection="0"/>
    <xf numFmtId="43" fontId="112" fillId="0" borderId="0" applyFont="0" applyFill="0" applyBorder="0" applyAlignment="0" applyProtection="0"/>
    <xf numFmtId="0" fontId="47" fillId="44" borderId="0" applyNumberFormat="0" applyBorder="0" applyAlignment="0" applyProtection="0"/>
    <xf numFmtId="0" fontId="116" fillId="46" borderId="0" applyNumberFormat="0" applyBorder="0" applyAlignment="0" applyProtection="0"/>
    <xf numFmtId="0" fontId="116" fillId="41" borderId="0" applyNumberFormat="0" applyBorder="0" applyAlignment="0" applyProtection="0"/>
    <xf numFmtId="0" fontId="47" fillId="30" borderId="0" applyNumberFormat="0" applyBorder="0" applyAlignment="0" applyProtection="0"/>
    <xf numFmtId="0" fontId="112" fillId="0" borderId="0"/>
    <xf numFmtId="0" fontId="47" fillId="6" borderId="0" applyNumberFormat="0" applyBorder="0" applyAlignment="0" applyProtection="0"/>
    <xf numFmtId="0" fontId="116" fillId="32" borderId="0" applyNumberFormat="0" applyBorder="0" applyAlignment="0" applyProtection="0"/>
    <xf numFmtId="0" fontId="47" fillId="48" borderId="0" applyNumberFormat="0" applyBorder="0" applyAlignment="0" applyProtection="0"/>
    <xf numFmtId="0" fontId="116" fillId="49" borderId="0" applyNumberFormat="0" applyBorder="0" applyAlignment="0" applyProtection="0"/>
    <xf numFmtId="0" fontId="47" fillId="3" borderId="0" applyNumberFormat="0" applyBorder="0" applyAlignment="0" applyProtection="0"/>
    <xf numFmtId="0" fontId="47" fillId="27" borderId="0" applyNumberFormat="0" applyBorder="0" applyAlignment="0" applyProtection="0"/>
    <xf numFmtId="0" fontId="47" fillId="50" borderId="0" applyNumberFormat="0" applyBorder="0" applyAlignment="0" applyProtection="0"/>
    <xf numFmtId="0" fontId="47" fillId="25" borderId="0" applyNumberFormat="0" applyBorder="0" applyAlignment="0" applyProtection="0"/>
    <xf numFmtId="0" fontId="47" fillId="5" borderId="0" applyNumberFormat="0" applyBorder="0" applyAlignment="0" applyProtection="0"/>
    <xf numFmtId="0" fontId="116" fillId="38" borderId="0" applyNumberFormat="0" applyBorder="0" applyAlignment="0" applyProtection="0"/>
    <xf numFmtId="0" fontId="116" fillId="23" borderId="0" applyNumberFormat="0" applyBorder="0" applyAlignment="0" applyProtection="0"/>
    <xf numFmtId="0" fontId="116" fillId="47" borderId="0" applyNumberFormat="0" applyBorder="0" applyAlignment="0" applyProtection="0"/>
    <xf numFmtId="0" fontId="116" fillId="51" borderId="0" applyNumberFormat="0" applyBorder="0" applyAlignment="0" applyProtection="0"/>
    <xf numFmtId="43" fontId="112" fillId="0" borderId="0" applyFont="0" applyFill="0" applyBorder="0" applyAlignment="0" applyProtection="0"/>
    <xf numFmtId="0" fontId="116" fillId="52" borderId="0" applyNumberFormat="0" applyBorder="0" applyAlignment="0" applyProtection="0"/>
    <xf numFmtId="0" fontId="116" fillId="53" borderId="0" applyNumberFormat="0" applyBorder="0" applyAlignment="0" applyProtection="0"/>
    <xf numFmtId="0" fontId="116" fillId="54" borderId="0" applyNumberFormat="0" applyBorder="0" applyAlignment="0" applyProtection="0"/>
    <xf numFmtId="0" fontId="118" fillId="55" borderId="0" applyNumberFormat="0" applyBorder="0" applyAlignment="0" applyProtection="0"/>
    <xf numFmtId="0" fontId="115" fillId="45" borderId="34" applyNumberFormat="0" applyAlignment="0" applyProtection="0"/>
    <xf numFmtId="0" fontId="114" fillId="0" borderId="0"/>
    <xf numFmtId="0" fontId="119" fillId="57" borderId="32" applyNumberFormat="0" applyAlignment="0" applyProtection="0"/>
    <xf numFmtId="43" fontId="134" fillId="0" borderId="0" applyFont="0" applyFill="0" applyBorder="0" applyAlignment="0" applyProtection="0"/>
    <xf numFmtId="43" fontId="112" fillId="0" borderId="0" applyFont="0" applyFill="0" applyBorder="0" applyAlignment="0" applyProtection="0"/>
    <xf numFmtId="164" fontId="114" fillId="0" borderId="0" applyFont="0" applyFill="0" applyBorder="0" applyAlignment="0" applyProtection="0"/>
    <xf numFmtId="164" fontId="114" fillId="0" borderId="0" applyFont="0" applyFill="0" applyBorder="0" applyAlignment="0" applyProtection="0"/>
    <xf numFmtId="164" fontId="114" fillId="0" borderId="0" applyFont="0" applyFill="0" applyBorder="0" applyAlignment="0" applyProtection="0"/>
    <xf numFmtId="164" fontId="114" fillId="0" borderId="0" applyFont="0" applyFill="0" applyBorder="0" applyAlignment="0" applyProtection="0"/>
    <xf numFmtId="164" fontId="114" fillId="0" borderId="0" applyFont="0" applyFill="0" applyBorder="0" applyAlignment="0" applyProtection="0"/>
    <xf numFmtId="164" fontId="114" fillId="0" borderId="0" applyFont="0" applyFill="0" applyBorder="0" applyAlignment="0" applyProtection="0"/>
    <xf numFmtId="164" fontId="112" fillId="0" borderId="0" applyFont="0" applyFill="0" applyBorder="0" applyAlignment="0" applyProtection="0"/>
    <xf numFmtId="43" fontId="134"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3" fillId="0" borderId="0" applyFont="0" applyFill="0" applyBorder="0" applyAlignment="0" applyProtection="0"/>
    <xf numFmtId="43" fontId="112" fillId="0" borderId="0" applyFont="0" applyFill="0" applyBorder="0" applyAlignment="0" applyProtection="0"/>
    <xf numFmtId="43" fontId="134" fillId="0" borderId="0" applyFont="0" applyFill="0" applyBorder="0" applyAlignment="0" applyProtection="0"/>
    <xf numFmtId="43" fontId="117" fillId="0" borderId="0" applyFont="0" applyFill="0" applyBorder="0" applyAlignment="0" applyProtection="0"/>
    <xf numFmtId="164" fontId="47" fillId="0" borderId="0" applyFont="0" applyFill="0" applyBorder="0" applyAlignment="0" applyProtection="0"/>
    <xf numFmtId="43" fontId="113" fillId="0" borderId="0" applyFont="0" applyFill="0" applyBorder="0" applyAlignment="0" applyProtection="0"/>
    <xf numFmtId="164" fontId="112" fillId="0" borderId="0" applyFont="0" applyFill="0" applyBorder="0" applyAlignment="0" applyProtection="0"/>
    <xf numFmtId="164" fontId="112" fillId="0" borderId="0" applyFont="0" applyFill="0" applyBorder="0" applyAlignment="0" applyProtection="0"/>
    <xf numFmtId="0" fontId="47" fillId="56" borderId="35" applyNumberFormat="0" applyFont="0" applyAlignment="0" applyProtection="0"/>
    <xf numFmtId="164" fontId="120" fillId="0" borderId="0" applyFont="0" applyFill="0" applyBorder="0" applyAlignment="0" applyProtection="0"/>
    <xf numFmtId="164" fontId="47" fillId="0" borderId="0" applyFont="0" applyFill="0" applyBorder="0" applyAlignment="0" applyProtection="0"/>
    <xf numFmtId="43" fontId="113"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43" fontId="113"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0" fontId="124" fillId="58" borderId="0" applyNumberFormat="0" applyBorder="0" applyAlignment="0" applyProtection="0"/>
    <xf numFmtId="43" fontId="117"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0" fontId="47" fillId="0" borderId="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0" fontId="112" fillId="0" borderId="0"/>
    <xf numFmtId="43" fontId="112" fillId="0" borderId="0" applyFont="0" applyFill="0" applyBorder="0" applyAlignment="0" applyProtection="0"/>
    <xf numFmtId="43" fontId="112" fillId="0" borderId="0" applyFont="0" applyFill="0" applyBorder="0" applyAlignment="0" applyProtection="0"/>
    <xf numFmtId="164" fontId="112" fillId="0" borderId="0" applyFont="0" applyFill="0" applyBorder="0" applyAlignment="0" applyProtection="0"/>
    <xf numFmtId="164" fontId="112" fillId="0" borderId="0" applyFont="0" applyFill="0" applyBorder="0" applyAlignment="0" applyProtection="0"/>
    <xf numFmtId="164" fontId="112" fillId="0" borderId="0" applyFont="0" applyFill="0" applyBorder="0" applyAlignment="0" applyProtection="0"/>
    <xf numFmtId="164" fontId="112" fillId="0" borderId="0" applyFont="0" applyFill="0" applyBorder="0" applyAlignment="0" applyProtection="0"/>
    <xf numFmtId="44" fontId="113" fillId="0" borderId="0" applyFont="0" applyFill="0" applyBorder="0" applyAlignment="0" applyProtection="0"/>
    <xf numFmtId="44" fontId="113" fillId="0" borderId="0" applyFont="0" applyFill="0" applyBorder="0" applyAlignment="0" applyProtection="0"/>
    <xf numFmtId="0" fontId="125" fillId="0" borderId="0" applyNumberFormat="0" applyFill="0" applyBorder="0" applyAlignment="0" applyProtection="0"/>
    <xf numFmtId="0" fontId="126" fillId="0" borderId="40" applyNumberFormat="0" applyFill="0" applyAlignment="0" applyProtection="0"/>
    <xf numFmtId="0" fontId="123" fillId="0" borderId="39" applyNumberFormat="0" applyFill="0" applyAlignment="0" applyProtection="0"/>
    <xf numFmtId="0" fontId="121" fillId="0" borderId="38" applyNumberFormat="0" applyFill="0" applyAlignment="0" applyProtection="0"/>
    <xf numFmtId="0" fontId="121" fillId="0" borderId="0" applyNumberFormat="0" applyFill="0" applyBorder="0" applyAlignment="0" applyProtection="0"/>
    <xf numFmtId="0" fontId="112" fillId="0" borderId="0"/>
    <xf numFmtId="0" fontId="122" fillId="0" borderId="0" applyNumberFormat="0" applyFill="0" applyBorder="0" applyAlignment="0" applyProtection="0"/>
    <xf numFmtId="0" fontId="127" fillId="59" borderId="34" applyNumberFormat="0" applyAlignment="0" applyProtection="0"/>
    <xf numFmtId="0" fontId="129" fillId="0" borderId="37" applyNumberFormat="0" applyFill="0" applyAlignment="0" applyProtection="0"/>
    <xf numFmtId="0" fontId="130" fillId="60" borderId="0" applyNumberFormat="0" applyBorder="0" applyAlignment="0" applyProtection="0"/>
    <xf numFmtId="0" fontId="112" fillId="0" borderId="0"/>
    <xf numFmtId="0" fontId="134" fillId="0" borderId="0"/>
    <xf numFmtId="0" fontId="112" fillId="0" borderId="0"/>
    <xf numFmtId="0" fontId="114" fillId="0" borderId="0"/>
    <xf numFmtId="0" fontId="114" fillId="0" borderId="0"/>
    <xf numFmtId="0" fontId="114" fillId="0" borderId="0"/>
    <xf numFmtId="0" fontId="114" fillId="0" borderId="0"/>
    <xf numFmtId="0" fontId="114" fillId="0" borderId="0"/>
    <xf numFmtId="0" fontId="134" fillId="0" borderId="0"/>
    <xf numFmtId="0" fontId="134" fillId="0" borderId="0"/>
    <xf numFmtId="0" fontId="113" fillId="0" borderId="0"/>
    <xf numFmtId="0" fontId="113" fillId="0" borderId="0"/>
    <xf numFmtId="0" fontId="47" fillId="0" borderId="0"/>
    <xf numFmtId="0" fontId="113" fillId="0" borderId="0"/>
    <xf numFmtId="0" fontId="131" fillId="0" borderId="0"/>
    <xf numFmtId="0" fontId="112" fillId="0" borderId="0"/>
    <xf numFmtId="0" fontId="47" fillId="0" borderId="0"/>
    <xf numFmtId="0" fontId="112" fillId="0" borderId="0"/>
    <xf numFmtId="0" fontId="112" fillId="0" borderId="0"/>
    <xf numFmtId="0" fontId="128" fillId="0" borderId="0"/>
    <xf numFmtId="0" fontId="47" fillId="0" borderId="0"/>
    <xf numFmtId="0" fontId="47" fillId="0" borderId="0"/>
    <xf numFmtId="0" fontId="131" fillId="0" borderId="0"/>
    <xf numFmtId="0" fontId="113"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33" fillId="45" borderId="36" applyNumberFormat="0" applyAlignment="0" applyProtection="0"/>
    <xf numFmtId="9" fontId="134" fillId="0" borderId="0" applyFont="0" applyFill="0" applyBorder="0" applyAlignment="0" applyProtection="0"/>
    <xf numFmtId="9" fontId="134" fillId="0" borderId="0" applyFont="0" applyFill="0" applyBorder="0" applyAlignment="0" applyProtection="0"/>
    <xf numFmtId="9" fontId="47" fillId="0" borderId="0" applyFont="0" applyFill="0" applyBorder="0" applyAlignment="0" applyProtection="0"/>
    <xf numFmtId="9" fontId="112"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112" fillId="0" borderId="0" applyFont="0" applyFill="0" applyBorder="0" applyAlignment="0" applyProtection="0"/>
    <xf numFmtId="9" fontId="112" fillId="0" borderId="0" applyFont="0" applyFill="0" applyBorder="0" applyAlignment="0" applyProtection="0"/>
    <xf numFmtId="0" fontId="132" fillId="0" borderId="33" applyNumberFormat="0" applyFill="0" applyAlignment="0" applyProtection="0"/>
    <xf numFmtId="0" fontId="50" fillId="0" borderId="0" applyNumberFormat="0" applyFill="0" applyBorder="0" applyAlignment="0" applyProtection="0"/>
  </cellStyleXfs>
  <cellXfs count="1716">
    <xf numFmtId="0" fontId="0" fillId="0" borderId="0" xfId="0"/>
    <xf numFmtId="0" fontId="1" fillId="0" borderId="0" xfId="0" applyFont="1" applyAlignment="1">
      <alignment horizontal="center"/>
    </xf>
    <xf numFmtId="0" fontId="2" fillId="2" borderId="0" xfId="0" applyFont="1" applyFill="1" applyAlignment="1">
      <alignment horizontal="center"/>
    </xf>
    <xf numFmtId="0" fontId="1" fillId="2"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1" fillId="0" borderId="0" xfId="0" applyFont="1"/>
    <xf numFmtId="165" fontId="1" fillId="0" borderId="0" xfId="1" applyNumberFormat="1" applyFont="1"/>
    <xf numFmtId="0" fontId="5" fillId="0" borderId="0" xfId="0" applyFont="1"/>
    <xf numFmtId="0" fontId="1" fillId="3" borderId="1" xfId="0" applyFont="1" applyFill="1" applyBorder="1"/>
    <xf numFmtId="0" fontId="1" fillId="3" borderId="2" xfId="0" applyFont="1" applyFill="1" applyBorder="1"/>
    <xf numFmtId="0" fontId="1" fillId="0" borderId="3" xfId="0" applyFont="1" applyBorder="1" applyAlignment="1">
      <alignment horizontal="center"/>
    </xf>
    <xf numFmtId="165" fontId="1" fillId="0" borderId="3" xfId="1" applyNumberFormat="1" applyFont="1" applyFill="1" applyBorder="1" applyAlignment="1" applyProtection="1">
      <alignment horizontal="center" vertical="center"/>
    </xf>
    <xf numFmtId="0" fontId="1" fillId="0" borderId="3" xfId="0" applyFont="1" applyBorder="1" applyAlignment="1">
      <alignment horizontal="left"/>
    </xf>
    <xf numFmtId="167" fontId="7" fillId="5" borderId="3" xfId="86" applyNumberFormat="1" applyFont="1" applyFill="1" applyBorder="1"/>
    <xf numFmtId="167" fontId="7" fillId="5" borderId="3" xfId="86" applyNumberFormat="1" applyFont="1" applyFill="1" applyBorder="1" applyAlignment="1">
      <alignment horizontal="center"/>
    </xf>
    <xf numFmtId="9" fontId="7" fillId="5" borderId="3" xfId="3" applyFont="1" applyFill="1" applyBorder="1"/>
    <xf numFmtId="165" fontId="4" fillId="0" borderId="3" xfId="1" applyNumberFormat="1" applyFont="1" applyFill="1" applyBorder="1" applyAlignment="1" applyProtection="1">
      <alignment vertical="center"/>
    </xf>
    <xf numFmtId="0" fontId="2" fillId="6" borderId="3" xfId="0" applyFont="1" applyFill="1" applyBorder="1" applyAlignment="1">
      <alignment horizontal="center"/>
    </xf>
    <xf numFmtId="165" fontId="2" fillId="6" borderId="3" xfId="1" applyNumberFormat="1" applyFont="1" applyFill="1" applyBorder="1" applyAlignment="1" applyProtection="1">
      <alignment horizontal="center" vertical="center"/>
    </xf>
    <xf numFmtId="0" fontId="2" fillId="6" borderId="3" xfId="0" applyFont="1" applyFill="1" applyBorder="1" applyAlignment="1">
      <alignment horizontal="left"/>
    </xf>
    <xf numFmtId="167" fontId="2" fillId="6" borderId="3" xfId="86" applyNumberFormat="1" applyFont="1" applyFill="1" applyBorder="1"/>
    <xf numFmtId="167" fontId="2" fillId="6" borderId="3" xfId="86" applyNumberFormat="1" applyFont="1" applyFill="1" applyBorder="1" applyAlignment="1">
      <alignment horizontal="center"/>
    </xf>
    <xf numFmtId="9" fontId="5" fillId="6" borderId="3" xfId="3" applyFont="1" applyFill="1" applyBorder="1"/>
    <xf numFmtId="167" fontId="2" fillId="6" borderId="3" xfId="86" applyNumberFormat="1" applyFont="1" applyFill="1" applyBorder="1" applyAlignment="1">
      <alignment vertical="center"/>
    </xf>
    <xf numFmtId="167" fontId="2" fillId="6" borderId="3" xfId="86" applyNumberFormat="1" applyFont="1" applyFill="1" applyBorder="1" applyAlignment="1">
      <alignment horizontal="center" vertical="center"/>
    </xf>
    <xf numFmtId="0" fontId="1" fillId="2" borderId="3" xfId="0" applyFont="1" applyFill="1" applyBorder="1" applyAlignment="1">
      <alignment horizontal="left"/>
    </xf>
    <xf numFmtId="167" fontId="7" fillId="5" borderId="3" xfId="86" applyNumberFormat="1" applyFont="1" applyFill="1" applyBorder="1" applyAlignment="1">
      <alignment vertical="center"/>
    </xf>
    <xf numFmtId="0" fontId="1" fillId="5" borderId="3" xfId="0" applyFont="1" applyFill="1" applyBorder="1" applyAlignment="1">
      <alignment horizontal="center" vertical="center"/>
    </xf>
    <xf numFmtId="165" fontId="1" fillId="2" borderId="3" xfId="1" applyNumberFormat="1" applyFont="1" applyFill="1" applyBorder="1" applyAlignment="1" applyProtection="1">
      <alignment horizontal="center" vertical="center"/>
    </xf>
    <xf numFmtId="167" fontId="2" fillId="6" borderId="3" xfId="48" applyNumberFormat="1" applyFont="1" applyFill="1" applyBorder="1" applyAlignment="1">
      <alignment vertical="center"/>
    </xf>
    <xf numFmtId="167" fontId="2" fillId="6" borderId="3" xfId="48" applyNumberFormat="1" applyFont="1" applyFill="1" applyBorder="1" applyAlignment="1">
      <alignment horizontal="center" vertical="center"/>
    </xf>
    <xf numFmtId="167" fontId="7" fillId="5" borderId="3" xfId="48" applyNumberFormat="1" applyFont="1" applyFill="1" applyBorder="1" applyAlignment="1">
      <alignment vertical="center"/>
    </xf>
    <xf numFmtId="0" fontId="6" fillId="6" borderId="3" xfId="0" applyFont="1" applyFill="1" applyBorder="1" applyAlignment="1">
      <alignment horizontal="center"/>
    </xf>
    <xf numFmtId="165" fontId="6" fillId="6" borderId="3" xfId="1" applyNumberFormat="1" applyFont="1" applyFill="1" applyBorder="1" applyAlignment="1" applyProtection="1">
      <alignment horizontal="center" vertical="center"/>
    </xf>
    <xf numFmtId="0" fontId="6" fillId="6" borderId="3" xfId="0" applyFont="1" applyFill="1" applyBorder="1" applyAlignment="1">
      <alignment horizontal="left"/>
    </xf>
    <xf numFmtId="167" fontId="6" fillId="6" borderId="3" xfId="86" applyNumberFormat="1" applyFont="1" applyFill="1" applyBorder="1"/>
    <xf numFmtId="9" fontId="6" fillId="6" borderId="3" xfId="3" applyFont="1" applyFill="1" applyBorder="1"/>
    <xf numFmtId="0" fontId="4" fillId="0" borderId="3" xfId="0" applyFont="1" applyBorder="1" applyAlignment="1">
      <alignment horizontal="center"/>
    </xf>
    <xf numFmtId="165" fontId="4" fillId="2" borderId="3" xfId="1" applyNumberFormat="1" applyFont="1" applyFill="1" applyBorder="1" applyAlignment="1" applyProtection="1">
      <alignment horizontal="center" vertical="center"/>
    </xf>
    <xf numFmtId="0" fontId="4" fillId="2" borderId="3" xfId="0" applyFont="1" applyFill="1" applyBorder="1" applyAlignment="1">
      <alignment horizontal="left"/>
    </xf>
    <xf numFmtId="167" fontId="4" fillId="5" borderId="3" xfId="86" applyNumberFormat="1" applyFont="1" applyFill="1" applyBorder="1"/>
    <xf numFmtId="167" fontId="4" fillId="5" borderId="3" xfId="86" applyNumberFormat="1" applyFont="1" applyFill="1" applyBorder="1" applyAlignment="1">
      <alignment horizontal="center"/>
    </xf>
    <xf numFmtId="0" fontId="1" fillId="0" borderId="0" xfId="0" applyFont="1" applyBorder="1" applyAlignment="1">
      <alignment horizontal="center"/>
    </xf>
    <xf numFmtId="165" fontId="1" fillId="2" borderId="0" xfId="1" applyNumberFormat="1" applyFont="1" applyFill="1" applyBorder="1" applyAlignment="1" applyProtection="1">
      <alignment horizontal="center" vertical="center"/>
    </xf>
    <xf numFmtId="0" fontId="1" fillId="2" borderId="0" xfId="0" applyFont="1" applyFill="1" applyBorder="1" applyAlignment="1">
      <alignment horizontal="left"/>
    </xf>
    <xf numFmtId="167" fontId="7" fillId="0" borderId="0" xfId="86" applyNumberFormat="1" applyFont="1" applyFill="1" applyBorder="1"/>
    <xf numFmtId="167" fontId="7" fillId="0" borderId="0" xfId="86" applyNumberFormat="1" applyFont="1" applyFill="1" applyBorder="1" applyAlignment="1">
      <alignment horizontal="center"/>
    </xf>
    <xf numFmtId="167" fontId="7" fillId="0" borderId="3" xfId="86" applyNumberFormat="1" applyFont="1" applyFill="1" applyBorder="1"/>
    <xf numFmtId="167" fontId="7" fillId="0" borderId="3" xfId="86" applyNumberFormat="1" applyFont="1" applyFill="1" applyBorder="1" applyAlignment="1">
      <alignment horizontal="center"/>
    </xf>
    <xf numFmtId="9" fontId="7" fillId="0" borderId="3" xfId="3" applyFont="1" applyFill="1" applyBorder="1"/>
    <xf numFmtId="9" fontId="2" fillId="6" borderId="3" xfId="3" applyFont="1" applyFill="1" applyBorder="1"/>
    <xf numFmtId="9" fontId="2" fillId="6" borderId="3" xfId="3" applyFont="1" applyFill="1" applyBorder="1" applyAlignment="1">
      <alignment vertical="center"/>
    </xf>
    <xf numFmtId="167" fontId="1" fillId="0" borderId="3" xfId="86" applyNumberFormat="1" applyFont="1" applyFill="1" applyBorder="1" applyAlignment="1">
      <alignment vertical="center"/>
    </xf>
    <xf numFmtId="167" fontId="1" fillId="0" borderId="3" xfId="86" applyNumberFormat="1" applyFont="1" applyFill="1" applyBorder="1" applyAlignment="1">
      <alignment horizontal="center" vertical="center"/>
    </xf>
    <xf numFmtId="0" fontId="1" fillId="0" borderId="3" xfId="0" applyFont="1" applyFill="1" applyBorder="1" applyAlignment="1">
      <alignment vertical="center"/>
    </xf>
    <xf numFmtId="165" fontId="1" fillId="0" borderId="3" xfId="1" applyNumberFormat="1" applyFont="1" applyFill="1" applyBorder="1" applyAlignment="1">
      <alignment vertical="center"/>
    </xf>
    <xf numFmtId="9" fontId="1" fillId="0" borderId="3" xfId="3" applyFont="1" applyFill="1" applyBorder="1" applyAlignment="1">
      <alignment vertical="center"/>
    </xf>
    <xf numFmtId="9" fontId="7" fillId="0" borderId="3" xfId="3" applyFont="1" applyFill="1" applyBorder="1" applyAlignment="1">
      <alignment vertical="center"/>
    </xf>
    <xf numFmtId="165" fontId="7" fillId="0" borderId="3" xfId="1" applyNumberFormat="1" applyFont="1" applyFill="1" applyBorder="1" applyAlignment="1">
      <alignment vertical="center"/>
    </xf>
    <xf numFmtId="167" fontId="7" fillId="0" borderId="3" xfId="86" applyNumberFormat="1" applyFont="1" applyFill="1" applyBorder="1" applyAlignment="1">
      <alignment vertical="center"/>
    </xf>
    <xf numFmtId="167" fontId="7" fillId="0" borderId="3" xfId="86" applyNumberFormat="1" applyFont="1" applyFill="1" applyBorder="1" applyAlignment="1">
      <alignment horizontal="center" vertical="center"/>
    </xf>
    <xf numFmtId="167" fontId="1" fillId="0" borderId="3" xfId="48" applyNumberFormat="1" applyFont="1" applyFill="1" applyBorder="1" applyAlignment="1">
      <alignment vertical="center"/>
    </xf>
    <xf numFmtId="167" fontId="1" fillId="0" borderId="3" xfId="48" applyNumberFormat="1" applyFont="1" applyFill="1" applyBorder="1" applyAlignment="1">
      <alignment horizontal="center" vertical="center"/>
    </xf>
    <xf numFmtId="167" fontId="7" fillId="0" borderId="3" xfId="48" applyNumberFormat="1" applyFont="1" applyFill="1" applyBorder="1" applyAlignment="1">
      <alignment vertical="center"/>
    </xf>
    <xf numFmtId="167" fontId="4" fillId="0" borderId="3" xfId="86" applyNumberFormat="1" applyFont="1" applyFill="1" applyBorder="1"/>
    <xf numFmtId="167" fontId="4" fillId="0" borderId="3" xfId="86" applyNumberFormat="1" applyFont="1" applyFill="1" applyBorder="1" applyAlignment="1">
      <alignment horizontal="center"/>
    </xf>
    <xf numFmtId="9" fontId="4" fillId="0" borderId="3" xfId="3" applyFont="1" applyFill="1" applyBorder="1"/>
    <xf numFmtId="169" fontId="7" fillId="0" borderId="0" xfId="142" applyNumberFormat="1" applyFont="1" applyFill="1" applyBorder="1"/>
    <xf numFmtId="167" fontId="7" fillId="7" borderId="3" xfId="86" applyNumberFormat="1" applyFont="1" applyFill="1" applyBorder="1"/>
    <xf numFmtId="167" fontId="5" fillId="6" borderId="3" xfId="86" applyNumberFormat="1" applyFont="1" applyFill="1" applyBorder="1"/>
    <xf numFmtId="9" fontId="3" fillId="6" borderId="3" xfId="3" applyFont="1" applyFill="1" applyBorder="1"/>
    <xf numFmtId="167" fontId="4" fillId="7" borderId="3" xfId="86" applyNumberFormat="1" applyFont="1" applyFill="1" applyBorder="1"/>
    <xf numFmtId="165" fontId="1" fillId="8" borderId="3" xfId="1" applyNumberFormat="1" applyFont="1" applyFill="1" applyBorder="1" applyAlignment="1">
      <alignment horizontal="center" vertical="center"/>
    </xf>
    <xf numFmtId="165" fontId="1" fillId="7" borderId="3" xfId="1" applyNumberFormat="1" applyFont="1" applyFill="1" applyBorder="1"/>
    <xf numFmtId="165" fontId="2" fillId="6" borderId="3" xfId="1" applyNumberFormat="1" applyFont="1" applyFill="1" applyBorder="1"/>
    <xf numFmtId="165" fontId="2" fillId="6" borderId="3" xfId="1" applyNumberFormat="1" applyFont="1" applyFill="1" applyBorder="1" applyAlignment="1">
      <alignment vertical="center"/>
    </xf>
    <xf numFmtId="165" fontId="7" fillId="7" borderId="3" xfId="1" applyNumberFormat="1" applyFont="1" applyFill="1" applyBorder="1" applyAlignment="1">
      <alignment vertical="center"/>
    </xf>
    <xf numFmtId="165" fontId="6" fillId="6" borderId="3" xfId="1" applyNumberFormat="1" applyFont="1" applyFill="1" applyBorder="1"/>
    <xf numFmtId="165" fontId="4" fillId="7" borderId="3" xfId="1" applyNumberFormat="1" applyFont="1" applyFill="1" applyBorder="1"/>
    <xf numFmtId="165" fontId="1" fillId="0" borderId="0" xfId="1" applyNumberFormat="1" applyFont="1" applyFill="1" applyBorder="1"/>
    <xf numFmtId="0" fontId="8" fillId="0" borderId="0" xfId="0" applyFont="1"/>
    <xf numFmtId="165" fontId="8" fillId="0" borderId="0" xfId="1" applyNumberFormat="1" applyFont="1" applyAlignment="1"/>
    <xf numFmtId="165" fontId="8" fillId="0" borderId="0" xfId="1" applyNumberFormat="1" applyFont="1"/>
    <xf numFmtId="0" fontId="9" fillId="9" borderId="3" xfId="0" applyFont="1" applyFill="1" applyBorder="1" applyAlignment="1">
      <alignment horizontal="center"/>
    </xf>
    <xf numFmtId="0" fontId="10" fillId="0" borderId="6" xfId="110" applyFont="1" applyFill="1" applyBorder="1" applyAlignment="1" applyProtection="1">
      <alignment horizontal="left" vertical="center" wrapText="1"/>
    </xf>
    <xf numFmtId="165" fontId="10" fillId="0" borderId="6" xfId="1" applyNumberFormat="1" applyFont="1" applyFill="1" applyBorder="1" applyAlignment="1" applyProtection="1">
      <alignment horizontal="left" vertical="center" wrapText="1"/>
    </xf>
    <xf numFmtId="0" fontId="10" fillId="0" borderId="6" xfId="0" applyFont="1" applyFill="1" applyBorder="1" applyAlignment="1" applyProtection="1">
      <alignment horizontal="center" vertical="center" wrapText="1"/>
    </xf>
    <xf numFmtId="14" fontId="4" fillId="0" borderId="7" xfId="0" applyNumberFormat="1" applyFont="1" applyFill="1" applyBorder="1" applyAlignment="1" applyProtection="1">
      <alignment horizontal="center" vertical="center" wrapText="1"/>
    </xf>
    <xf numFmtId="0" fontId="8" fillId="0" borderId="3" xfId="0" applyFont="1" applyBorder="1"/>
    <xf numFmtId="0" fontId="8" fillId="10" borderId="3" xfId="0" applyFont="1" applyFill="1" applyBorder="1"/>
    <xf numFmtId="0" fontId="4" fillId="0" borderId="3" xfId="110" applyFont="1" applyFill="1" applyBorder="1" applyAlignment="1" applyProtection="1">
      <alignment horizontal="left" vertical="center" wrapText="1"/>
    </xf>
    <xf numFmtId="165" fontId="10" fillId="0" borderId="3" xfId="1" applyNumberFormat="1" applyFont="1" applyFill="1" applyBorder="1" applyAlignment="1" applyProtection="1">
      <alignment horizontal="left" vertical="center"/>
    </xf>
    <xf numFmtId="165" fontId="10" fillId="0" borderId="3" xfId="1" applyNumberFormat="1" applyFont="1" applyFill="1" applyBorder="1" applyAlignment="1" applyProtection="1">
      <alignment horizontal="center" vertical="center"/>
    </xf>
    <xf numFmtId="14" fontId="4" fillId="0" borderId="8" xfId="0" applyNumberFormat="1" applyFont="1" applyFill="1" applyBorder="1" applyAlignment="1" applyProtection="1">
      <alignment horizontal="center" vertical="center" wrapText="1"/>
    </xf>
    <xf numFmtId="0" fontId="11" fillId="11" borderId="3" xfId="0" applyFont="1" applyFill="1" applyBorder="1" applyAlignment="1" applyProtection="1">
      <alignment horizontal="left" vertical="center"/>
    </xf>
    <xf numFmtId="0" fontId="11" fillId="11" borderId="3" xfId="0" applyFont="1" applyFill="1" applyBorder="1" applyAlignment="1" applyProtection="1">
      <alignment horizontal="center" vertical="center"/>
    </xf>
    <xf numFmtId="0" fontId="4" fillId="11" borderId="8" xfId="110" applyFont="1" applyFill="1" applyBorder="1" applyProtection="1"/>
    <xf numFmtId="0" fontId="10" fillId="0" borderId="3" xfId="110" applyFont="1" applyFill="1" applyBorder="1" applyAlignment="1" applyProtection="1">
      <alignment horizontal="left" vertical="center" wrapText="1"/>
    </xf>
    <xf numFmtId="0" fontId="12" fillId="0" borderId="3" xfId="0" applyFont="1" applyFill="1" applyBorder="1" applyProtection="1"/>
    <xf numFmtId="165" fontId="12" fillId="0" borderId="3" xfId="1" applyNumberFormat="1" applyFont="1" applyFill="1" applyBorder="1" applyAlignment="1" applyProtection="1">
      <alignment horizontal="center" vertical="center"/>
    </xf>
    <xf numFmtId="0" fontId="4" fillId="12" borderId="3" xfId="110" applyFont="1" applyFill="1" applyBorder="1" applyAlignment="1" applyProtection="1">
      <alignment horizontal="left" vertical="center" wrapText="1"/>
    </xf>
    <xf numFmtId="165" fontId="4" fillId="12" borderId="3" xfId="1" applyNumberFormat="1" applyFont="1" applyFill="1" applyBorder="1" applyAlignment="1" applyProtection="1">
      <alignment horizontal="left" vertical="center"/>
    </xf>
    <xf numFmtId="165" fontId="4" fillId="12" borderId="3" xfId="1" applyNumberFormat="1" applyFont="1" applyFill="1" applyBorder="1" applyAlignment="1" applyProtection="1">
      <alignment horizontal="center" vertical="center"/>
    </xf>
    <xf numFmtId="14" fontId="4" fillId="12" borderId="8" xfId="0" applyNumberFormat="1" applyFont="1" applyFill="1" applyBorder="1" applyAlignment="1" applyProtection="1">
      <alignment horizontal="center" vertical="center" wrapText="1"/>
    </xf>
    <xf numFmtId="165" fontId="4" fillId="0" borderId="3" xfId="1" applyNumberFormat="1" applyFont="1" applyFill="1" applyBorder="1" applyAlignment="1" applyProtection="1">
      <alignment horizontal="left" vertical="center"/>
    </xf>
    <xf numFmtId="165" fontId="4" fillId="0" borderId="3" xfId="1" applyNumberFormat="1" applyFont="1" applyFill="1" applyBorder="1" applyAlignment="1" applyProtection="1">
      <alignment horizontal="center" vertical="center"/>
    </xf>
    <xf numFmtId="165" fontId="13" fillId="0" borderId="3" xfId="1" applyNumberFormat="1" applyFont="1" applyFill="1" applyBorder="1" applyAlignment="1" applyProtection="1">
      <alignment horizontal="center" vertical="center"/>
    </xf>
    <xf numFmtId="165" fontId="4" fillId="0" borderId="3" xfId="1" applyNumberFormat="1" applyFont="1" applyFill="1" applyBorder="1" applyAlignment="1" applyProtection="1">
      <alignment vertical="center" wrapText="1"/>
    </xf>
    <xf numFmtId="0" fontId="11" fillId="11" borderId="3" xfId="0" applyFont="1" applyFill="1" applyBorder="1" applyAlignment="1" applyProtection="1">
      <alignment horizontal="left" vertical="center" wrapText="1"/>
    </xf>
    <xf numFmtId="165" fontId="4" fillId="0" borderId="4" xfId="1" applyNumberFormat="1" applyFont="1" applyFill="1" applyBorder="1" applyAlignment="1" applyProtection="1">
      <alignment horizontal="left" vertical="center"/>
    </xf>
    <xf numFmtId="165" fontId="4" fillId="0" borderId="4" xfId="1" applyNumberFormat="1" applyFont="1" applyFill="1" applyBorder="1" applyAlignment="1" applyProtection="1">
      <alignment horizontal="center" vertical="center"/>
    </xf>
    <xf numFmtId="0" fontId="14" fillId="0" borderId="8" xfId="110" applyFont="1" applyFill="1" applyBorder="1" applyAlignment="1" applyProtection="1">
      <alignment horizontal="left" vertical="center" wrapText="1"/>
    </xf>
    <xf numFmtId="0" fontId="14" fillId="0" borderId="3" xfId="0" applyFont="1" applyFill="1" applyBorder="1" applyAlignment="1">
      <alignment vertical="center"/>
    </xf>
    <xf numFmtId="14" fontId="14" fillId="0" borderId="8" xfId="0" applyNumberFormat="1" applyFont="1" applyFill="1" applyBorder="1" applyAlignment="1" applyProtection="1">
      <alignment horizontal="center" vertical="center" wrapText="1"/>
    </xf>
    <xf numFmtId="0" fontId="11" fillId="11" borderId="6" xfId="0" applyFont="1" applyFill="1" applyBorder="1" applyAlignment="1" applyProtection="1">
      <alignment horizontal="left" vertical="center"/>
    </xf>
    <xf numFmtId="0" fontId="11" fillId="11" borderId="6" xfId="0" applyFont="1" applyFill="1" applyBorder="1" applyAlignment="1" applyProtection="1">
      <alignment horizontal="center" vertical="center"/>
    </xf>
    <xf numFmtId="0" fontId="14" fillId="0" borderId="3" xfId="110" applyFont="1" applyFill="1" applyBorder="1" applyAlignment="1" applyProtection="1">
      <alignment horizontal="left" vertical="center" wrapText="1"/>
    </xf>
    <xf numFmtId="165" fontId="14" fillId="0" borderId="3" xfId="1" applyNumberFormat="1" applyFont="1" applyFill="1" applyBorder="1" applyAlignment="1" applyProtection="1">
      <alignment horizontal="left" vertical="center"/>
    </xf>
    <xf numFmtId="165" fontId="14" fillId="0" borderId="3" xfId="1" applyNumberFormat="1" applyFont="1" applyFill="1" applyBorder="1" applyAlignment="1" applyProtection="1">
      <alignment horizontal="center" vertical="center"/>
    </xf>
    <xf numFmtId="0" fontId="4" fillId="11" borderId="3" xfId="0" applyFont="1" applyFill="1" applyBorder="1" applyAlignment="1" applyProtection="1">
      <alignment horizontal="left" vertical="center"/>
    </xf>
    <xf numFmtId="165" fontId="11" fillId="13" borderId="3" xfId="1" applyNumberFormat="1" applyFont="1" applyFill="1" applyBorder="1" applyAlignment="1" applyProtection="1">
      <alignment horizontal="left" vertical="center"/>
    </xf>
    <xf numFmtId="165" fontId="11" fillId="13" borderId="3" xfId="1" applyNumberFormat="1" applyFont="1" applyFill="1" applyBorder="1" applyAlignment="1" applyProtection="1">
      <alignment vertical="center"/>
    </xf>
    <xf numFmtId="165" fontId="11" fillId="13" borderId="8" xfId="1" applyNumberFormat="1" applyFont="1" applyFill="1" applyBorder="1" applyAlignment="1" applyProtection="1">
      <alignment vertical="center"/>
    </xf>
    <xf numFmtId="165" fontId="4" fillId="2" borderId="3" xfId="1" applyNumberFormat="1" applyFont="1" applyFill="1" applyBorder="1" applyAlignment="1" applyProtection="1">
      <alignment vertical="center" wrapText="1"/>
    </xf>
    <xf numFmtId="0" fontId="4" fillId="0" borderId="3" xfId="110" applyFont="1" applyFill="1" applyBorder="1" applyAlignment="1" applyProtection="1">
      <alignment vertical="center" wrapText="1"/>
    </xf>
    <xf numFmtId="0" fontId="14" fillId="0" borderId="3" xfId="110" applyFont="1" applyFill="1" applyBorder="1" applyAlignment="1" applyProtection="1">
      <alignment vertical="center" wrapText="1"/>
    </xf>
    <xf numFmtId="165" fontId="9" fillId="9" borderId="3" xfId="1" applyNumberFormat="1" applyFont="1" applyFill="1" applyBorder="1" applyAlignment="1"/>
    <xf numFmtId="165" fontId="9" fillId="9" borderId="3" xfId="1" applyNumberFormat="1" applyFont="1" applyFill="1" applyBorder="1" applyAlignment="1">
      <alignment horizontal="center"/>
    </xf>
    <xf numFmtId="165" fontId="8" fillId="10" borderId="3" xfId="1" applyNumberFormat="1" applyFont="1" applyFill="1" applyBorder="1" applyAlignment="1"/>
    <xf numFmtId="165" fontId="8" fillId="0" borderId="3" xfId="1" applyNumberFormat="1" applyFont="1" applyBorder="1" applyAlignment="1">
      <alignment horizontal="center"/>
    </xf>
    <xf numFmtId="165" fontId="8" fillId="0" borderId="3" xfId="1" applyNumberFormat="1" applyFont="1" applyBorder="1"/>
    <xf numFmtId="165" fontId="4" fillId="0" borderId="3" xfId="1" applyNumberFormat="1" applyFont="1" applyFill="1" applyBorder="1" applyAlignment="1">
      <alignment horizontal="center"/>
    </xf>
    <xf numFmtId="0" fontId="4" fillId="2" borderId="3" xfId="110" applyFont="1" applyFill="1" applyBorder="1" applyAlignment="1" applyProtection="1">
      <alignment horizontal="left" vertical="center" wrapText="1"/>
    </xf>
    <xf numFmtId="165" fontId="15" fillId="0" borderId="3" xfId="1" applyNumberFormat="1" applyFont="1" applyBorder="1" applyAlignment="1">
      <alignment horizontal="center"/>
    </xf>
    <xf numFmtId="165" fontId="11" fillId="13" borderId="9" xfId="1" applyNumberFormat="1" applyFont="1" applyFill="1" applyBorder="1" applyAlignment="1" applyProtection="1">
      <alignment vertical="center"/>
    </xf>
    <xf numFmtId="165" fontId="11" fillId="13" borderId="0" xfId="1" applyNumberFormat="1" applyFont="1" applyFill="1" applyBorder="1" applyAlignment="1" applyProtection="1">
      <alignment vertical="center"/>
    </xf>
    <xf numFmtId="0" fontId="11" fillId="11" borderId="6" xfId="110" applyFont="1" applyFill="1" applyBorder="1" applyAlignment="1" applyProtection="1">
      <alignment horizontal="center" vertical="center" wrapText="1"/>
    </xf>
    <xf numFmtId="165" fontId="11" fillId="11" borderId="6" xfId="1" applyNumberFormat="1" applyFont="1" applyFill="1" applyBorder="1" applyAlignment="1" applyProtection="1">
      <alignment horizontal="left" vertical="center" wrapText="1"/>
    </xf>
    <xf numFmtId="165" fontId="4" fillId="0" borderId="3" xfId="1" applyNumberFormat="1" applyFont="1" applyBorder="1" applyAlignment="1">
      <alignment horizontal="center"/>
    </xf>
    <xf numFmtId="0" fontId="4" fillId="11" borderId="3" xfId="110" applyFont="1" applyFill="1" applyBorder="1" applyProtection="1"/>
    <xf numFmtId="165" fontId="11" fillId="11" borderId="3" xfId="1" applyNumberFormat="1" applyFont="1" applyFill="1" applyBorder="1" applyAlignment="1" applyProtection="1">
      <alignment horizontal="left" vertical="center"/>
    </xf>
    <xf numFmtId="165" fontId="11" fillId="11" borderId="3" xfId="1" applyNumberFormat="1" applyFont="1" applyFill="1" applyBorder="1" applyAlignment="1" applyProtection="1">
      <alignment horizontal="left" vertical="center" wrapText="1"/>
    </xf>
    <xf numFmtId="165" fontId="12" fillId="0" borderId="3" xfId="1" applyNumberFormat="1" applyFont="1" applyFill="1" applyBorder="1" applyAlignment="1" applyProtection="1">
      <alignment horizontal="left" vertical="center"/>
    </xf>
    <xf numFmtId="165" fontId="4" fillId="7" borderId="3" xfId="1" applyNumberFormat="1" applyFont="1" applyFill="1" applyBorder="1" applyAlignment="1" applyProtection="1">
      <alignment horizontal="center" vertical="center"/>
    </xf>
    <xf numFmtId="0" fontId="0" fillId="0" borderId="0" xfId="0" applyFont="1" applyFill="1"/>
    <xf numFmtId="0" fontId="0" fillId="14" borderId="0" xfId="0" applyFont="1" applyFill="1"/>
    <xf numFmtId="0" fontId="16" fillId="0" borderId="0" xfId="0" applyFont="1"/>
    <xf numFmtId="0" fontId="0" fillId="0" borderId="0" xfId="0" applyFont="1"/>
    <xf numFmtId="0" fontId="17" fillId="0" borderId="0" xfId="0" applyFont="1" applyAlignment="1">
      <alignment horizontal="right"/>
    </xf>
    <xf numFmtId="0" fontId="0" fillId="15" borderId="0" xfId="0" applyFont="1" applyFill="1"/>
    <xf numFmtId="0" fontId="0" fillId="7" borderId="0" xfId="0" applyFont="1" applyFill="1"/>
    <xf numFmtId="0" fontId="18" fillId="0" borderId="0" xfId="0" applyFont="1"/>
    <xf numFmtId="0" fontId="0" fillId="16" borderId="0" xfId="0" applyFont="1" applyFill="1"/>
    <xf numFmtId="0" fontId="0" fillId="0" borderId="0" xfId="0" applyFont="1" applyAlignment="1">
      <alignment horizontal="center" vertical="center"/>
    </xf>
    <xf numFmtId="0" fontId="20" fillId="16" borderId="3" xfId="0" applyFont="1" applyFill="1" applyBorder="1" applyAlignment="1" applyProtection="1">
      <alignment horizontal="left" vertical="center"/>
    </xf>
    <xf numFmtId="0" fontId="20" fillId="16" borderId="8" xfId="0" applyFont="1" applyFill="1" applyBorder="1" applyAlignment="1" applyProtection="1">
      <alignment horizontal="left" vertical="center"/>
    </xf>
    <xf numFmtId="0" fontId="20" fillId="16" borderId="8" xfId="0" applyFont="1" applyFill="1" applyBorder="1" applyAlignment="1" applyProtection="1">
      <alignment horizontal="right" vertical="center" wrapText="1"/>
    </xf>
    <xf numFmtId="0" fontId="20" fillId="16" borderId="8" xfId="0" applyFont="1" applyFill="1" applyBorder="1" applyAlignment="1" applyProtection="1">
      <alignment horizontal="center" vertical="center"/>
    </xf>
    <xf numFmtId="0" fontId="17" fillId="0" borderId="3" xfId="0" applyFont="1" applyFill="1" applyBorder="1" applyAlignment="1" applyProtection="1">
      <alignment horizontal="left" vertical="center"/>
    </xf>
    <xf numFmtId="14" fontId="17" fillId="0" borderId="8" xfId="1" applyNumberFormat="1" applyFont="1" applyFill="1" applyBorder="1" applyAlignment="1" applyProtection="1">
      <alignment horizontal="center" vertical="center"/>
    </xf>
    <xf numFmtId="14" fontId="17" fillId="0" borderId="0" xfId="1" applyNumberFormat="1" applyFont="1" applyFill="1" applyBorder="1" applyAlignment="1" applyProtection="1">
      <alignment horizontal="center" vertical="center"/>
    </xf>
    <xf numFmtId="0" fontId="17" fillId="0" borderId="8" xfId="1" applyNumberFormat="1" applyFont="1" applyFill="1" applyBorder="1" applyAlignment="1" applyProtection="1">
      <alignment horizontal="center" vertical="center"/>
    </xf>
    <xf numFmtId="0" fontId="17" fillId="0" borderId="3" xfId="0" applyFont="1" applyFill="1" applyBorder="1" applyAlignment="1" applyProtection="1">
      <alignment horizontal="left" vertical="center" wrapText="1"/>
    </xf>
    <xf numFmtId="14" fontId="17" fillId="0" borderId="8" xfId="0" applyNumberFormat="1" applyFont="1" applyFill="1" applyBorder="1" applyAlignment="1" applyProtection="1">
      <alignment horizontal="center" vertical="center" wrapText="1"/>
    </xf>
    <xf numFmtId="14" fontId="17" fillId="0" borderId="8" xfId="0" applyNumberFormat="1" applyFont="1" applyFill="1" applyBorder="1" applyAlignment="1" applyProtection="1">
      <alignment horizontal="right" vertical="center" wrapText="1"/>
    </xf>
    <xf numFmtId="0" fontId="20" fillId="11" borderId="3" xfId="0" applyFont="1" applyFill="1" applyBorder="1" applyAlignment="1" applyProtection="1">
      <alignment horizontal="left" vertical="center"/>
    </xf>
    <xf numFmtId="14" fontId="20" fillId="11" borderId="8" xfId="1" applyNumberFormat="1" applyFont="1" applyFill="1" applyBorder="1" applyAlignment="1" applyProtection="1">
      <alignment horizontal="center" vertical="center"/>
    </xf>
    <xf numFmtId="14" fontId="20" fillId="11" borderId="8" xfId="1" applyNumberFormat="1" applyFont="1" applyFill="1" applyBorder="1" applyAlignment="1" applyProtection="1">
      <alignment horizontal="right" vertical="center"/>
    </xf>
    <xf numFmtId="14" fontId="17" fillId="0" borderId="8" xfId="1" applyNumberFormat="1" applyFont="1" applyFill="1" applyBorder="1" applyAlignment="1" applyProtection="1">
      <alignment horizontal="right" vertical="center"/>
    </xf>
    <xf numFmtId="14" fontId="17" fillId="0" borderId="8" xfId="48" applyNumberFormat="1" applyFont="1" applyFill="1" applyBorder="1" applyAlignment="1" applyProtection="1">
      <alignment horizontal="center" vertical="center"/>
    </xf>
    <xf numFmtId="14" fontId="17" fillId="0" borderId="0" xfId="48" applyNumberFormat="1" applyFont="1" applyFill="1" applyBorder="1" applyAlignment="1" applyProtection="1">
      <alignment horizontal="center" vertical="center"/>
    </xf>
    <xf numFmtId="14" fontId="21" fillId="0" borderId="0" xfId="76" applyNumberFormat="1" applyFont="1" applyAlignment="1">
      <alignment horizontal="right"/>
    </xf>
    <xf numFmtId="14" fontId="17" fillId="0" borderId="10" xfId="1" applyNumberFormat="1" applyFont="1" applyFill="1" applyBorder="1" applyAlignment="1" applyProtection="1">
      <alignment horizontal="center" vertical="center"/>
    </xf>
    <xf numFmtId="14" fontId="17" fillId="0" borderId="8" xfId="48" applyNumberFormat="1" applyFont="1" applyFill="1" applyBorder="1" applyAlignment="1" applyProtection="1">
      <alignment horizontal="right" vertical="center"/>
    </xf>
    <xf numFmtId="14" fontId="17" fillId="0" borderId="3" xfId="48" applyNumberFormat="1" applyFont="1" applyFill="1" applyBorder="1" applyAlignment="1" applyProtection="1">
      <alignment horizontal="center" vertical="center"/>
    </xf>
    <xf numFmtId="14" fontId="17" fillId="0" borderId="3" xfId="48" applyNumberFormat="1" applyFont="1" applyFill="1" applyBorder="1" applyAlignment="1" applyProtection="1">
      <alignment horizontal="right" vertical="center"/>
    </xf>
    <xf numFmtId="0" fontId="17" fillId="0" borderId="3" xfId="1" applyNumberFormat="1" applyFont="1" applyFill="1" applyBorder="1" applyAlignment="1" applyProtection="1">
      <alignment horizontal="center" vertical="center"/>
    </xf>
    <xf numFmtId="0" fontId="17" fillId="14" borderId="0" xfId="0" applyFont="1" applyFill="1" applyAlignment="1">
      <alignment horizontal="right"/>
    </xf>
    <xf numFmtId="0" fontId="20" fillId="17" borderId="6" xfId="109" applyFont="1" applyFill="1" applyBorder="1" applyAlignment="1" applyProtection="1">
      <alignment horizontal="left" vertical="center" wrapText="1"/>
    </xf>
    <xf numFmtId="14" fontId="17" fillId="17" borderId="3" xfId="109" applyNumberFormat="1" applyFont="1" applyFill="1" applyBorder="1" applyProtection="1"/>
    <xf numFmtId="14" fontId="17" fillId="17" borderId="3" xfId="109" applyNumberFormat="1" applyFont="1" applyFill="1" applyBorder="1" applyAlignment="1" applyProtection="1">
      <alignment horizontal="right"/>
    </xf>
    <xf numFmtId="0" fontId="20" fillId="11" borderId="6" xfId="109" applyFont="1" applyFill="1" applyBorder="1" applyAlignment="1" applyProtection="1">
      <alignment horizontal="left" vertical="center" wrapText="1"/>
    </xf>
    <xf numFmtId="14" fontId="17" fillId="11" borderId="3" xfId="109" applyNumberFormat="1" applyFont="1" applyFill="1" applyBorder="1" applyProtection="1"/>
    <xf numFmtId="14" fontId="17" fillId="11" borderId="3" xfId="109" applyNumberFormat="1" applyFont="1" applyFill="1" applyBorder="1" applyAlignment="1" applyProtection="1">
      <alignment horizontal="right"/>
    </xf>
    <xf numFmtId="0" fontId="17" fillId="0" borderId="3" xfId="109" applyFont="1" applyFill="1" applyBorder="1" applyAlignment="1" applyProtection="1">
      <alignment horizontal="left" vertical="center"/>
    </xf>
    <xf numFmtId="14" fontId="17" fillId="0" borderId="3" xfId="109" applyNumberFormat="1" applyFont="1" applyFill="1" applyBorder="1" applyProtection="1"/>
    <xf numFmtId="14" fontId="17" fillId="0" borderId="0" xfId="109" applyNumberFormat="1" applyFont="1" applyFill="1" applyBorder="1" applyProtection="1"/>
    <xf numFmtId="14" fontId="17" fillId="0" borderId="8" xfId="109" applyNumberFormat="1" applyFont="1" applyFill="1" applyBorder="1" applyProtection="1"/>
    <xf numFmtId="14" fontId="17" fillId="0" borderId="8" xfId="109" applyNumberFormat="1" applyFont="1" applyFill="1" applyBorder="1" applyAlignment="1" applyProtection="1">
      <alignment horizontal="right"/>
    </xf>
    <xf numFmtId="0" fontId="0" fillId="7" borderId="3" xfId="0" applyFont="1" applyFill="1" applyBorder="1"/>
    <xf numFmtId="0" fontId="0" fillId="0" borderId="3" xfId="0" applyFont="1" applyBorder="1"/>
    <xf numFmtId="0" fontId="0" fillId="18" borderId="3" xfId="0" applyFont="1" applyFill="1" applyBorder="1"/>
    <xf numFmtId="0" fontId="0" fillId="0" borderId="8" xfId="0" applyFont="1" applyFill="1" applyBorder="1"/>
    <xf numFmtId="0" fontId="23" fillId="15" borderId="1" xfId="0" applyFont="1" applyFill="1" applyBorder="1" applyAlignment="1">
      <alignment horizontal="center"/>
    </xf>
    <xf numFmtId="0" fontId="0" fillId="15" borderId="3" xfId="0" applyFont="1" applyFill="1" applyBorder="1"/>
    <xf numFmtId="0" fontId="0" fillId="16" borderId="3" xfId="0" applyFont="1" applyFill="1" applyBorder="1"/>
    <xf numFmtId="14" fontId="20" fillId="15" borderId="8" xfId="1" applyNumberFormat="1" applyFont="1" applyFill="1" applyBorder="1" applyAlignment="1" applyProtection="1">
      <alignment horizontal="center" vertical="center"/>
    </xf>
    <xf numFmtId="0" fontId="0" fillId="15" borderId="8" xfId="0" applyFont="1" applyFill="1" applyBorder="1"/>
    <xf numFmtId="0" fontId="0" fillId="0" borderId="8" xfId="0" applyFont="1" applyBorder="1"/>
    <xf numFmtId="14" fontId="17" fillId="15" borderId="3" xfId="109" applyNumberFormat="1" applyFont="1" applyFill="1" applyBorder="1" applyProtection="1"/>
    <xf numFmtId="14" fontId="20" fillId="7" borderId="8" xfId="1" applyNumberFormat="1" applyFont="1" applyFill="1" applyBorder="1" applyAlignment="1" applyProtection="1">
      <alignment horizontal="center" vertical="center"/>
    </xf>
    <xf numFmtId="0" fontId="0" fillId="7" borderId="8" xfId="0" applyFont="1" applyFill="1" applyBorder="1"/>
    <xf numFmtId="14" fontId="17" fillId="7" borderId="3" xfId="109" applyNumberFormat="1" applyFont="1" applyFill="1" applyBorder="1" applyProtection="1"/>
    <xf numFmtId="0" fontId="19" fillId="16" borderId="0" xfId="0" applyFont="1" applyFill="1" applyAlignment="1">
      <alignment horizontal="center"/>
    </xf>
    <xf numFmtId="0" fontId="18" fillId="16" borderId="11" xfId="0" applyFont="1" applyFill="1" applyBorder="1" applyAlignment="1">
      <alignment horizontal="center"/>
    </xf>
    <xf numFmtId="0" fontId="23" fillId="16" borderId="10" xfId="0" applyFont="1" applyFill="1" applyBorder="1" applyAlignment="1">
      <alignment horizontal="center" vertical="center"/>
    </xf>
    <xf numFmtId="0" fontId="18" fillId="16" borderId="6" xfId="0" applyFont="1" applyFill="1" applyBorder="1"/>
    <xf numFmtId="0" fontId="23" fillId="16" borderId="6" xfId="0" applyFont="1" applyFill="1" applyBorder="1" applyAlignment="1">
      <alignment horizontal="center" vertical="center"/>
    </xf>
    <xf numFmtId="0" fontId="0" fillId="14" borderId="3" xfId="0" applyFont="1" applyFill="1" applyBorder="1"/>
    <xf numFmtId="0" fontId="18" fillId="0" borderId="3" xfId="0" applyFont="1" applyBorder="1"/>
    <xf numFmtId="0" fontId="0" fillId="0" borderId="3" xfId="0" applyFont="1" applyFill="1" applyBorder="1"/>
    <xf numFmtId="14" fontId="24" fillId="11" borderId="8" xfId="1" applyNumberFormat="1" applyFont="1" applyFill="1" applyBorder="1" applyAlignment="1" applyProtection="1">
      <alignment horizontal="center" vertical="center"/>
    </xf>
    <xf numFmtId="14" fontId="20" fillId="16" borderId="8" xfId="1" applyNumberFormat="1" applyFont="1" applyFill="1" applyBorder="1" applyAlignment="1" applyProtection="1">
      <alignment horizontal="center" vertical="center"/>
    </xf>
    <xf numFmtId="14" fontId="20" fillId="0" borderId="8" xfId="1" applyNumberFormat="1" applyFont="1" applyFill="1" applyBorder="1" applyAlignment="1" applyProtection="1">
      <alignment horizontal="center" vertical="center"/>
    </xf>
    <xf numFmtId="14" fontId="25" fillId="0" borderId="8" xfId="1" applyNumberFormat="1" applyFont="1" applyFill="1" applyBorder="1" applyAlignment="1" applyProtection="1">
      <alignment horizontal="center" vertical="center"/>
    </xf>
    <xf numFmtId="0" fontId="18" fillId="18" borderId="3" xfId="0" applyFont="1" applyFill="1" applyBorder="1"/>
    <xf numFmtId="0" fontId="0" fillId="16" borderId="8" xfId="0" applyFont="1" applyFill="1" applyBorder="1"/>
    <xf numFmtId="0" fontId="18" fillId="0" borderId="8" xfId="0" applyFont="1" applyBorder="1"/>
    <xf numFmtId="0" fontId="18" fillId="14" borderId="0" xfId="0" applyFont="1" applyFill="1"/>
    <xf numFmtId="14" fontId="24" fillId="17" borderId="3" xfId="109" applyNumberFormat="1" applyFont="1" applyFill="1" applyBorder="1" applyProtection="1"/>
    <xf numFmtId="14" fontId="17" fillId="16" borderId="3" xfId="109" applyNumberFormat="1" applyFont="1" applyFill="1" applyBorder="1" applyProtection="1"/>
    <xf numFmtId="14" fontId="24" fillId="11" borderId="3" xfId="109" applyNumberFormat="1" applyFont="1" applyFill="1" applyBorder="1" applyProtection="1"/>
    <xf numFmtId="0" fontId="0" fillId="19" borderId="3" xfId="0" applyFont="1" applyFill="1" applyBorder="1"/>
    <xf numFmtId="0" fontId="0" fillId="20" borderId="3" xfId="0" applyFont="1" applyFill="1" applyBorder="1"/>
    <xf numFmtId="0" fontId="26" fillId="0" borderId="3" xfId="0" applyFont="1" applyBorder="1"/>
    <xf numFmtId="0" fontId="18" fillId="19" borderId="3" xfId="0" applyFont="1" applyFill="1" applyBorder="1"/>
    <xf numFmtId="0" fontId="18" fillId="0" borderId="6" xfId="0" applyFont="1" applyBorder="1"/>
    <xf numFmtId="0" fontId="18" fillId="21" borderId="3" xfId="0" applyFont="1" applyFill="1" applyBorder="1"/>
    <xf numFmtId="0" fontId="20" fillId="11" borderId="3" xfId="109" applyFont="1" applyFill="1" applyBorder="1" applyAlignment="1" applyProtection="1">
      <alignment horizontal="left" vertical="center"/>
    </xf>
    <xf numFmtId="0" fontId="27" fillId="0" borderId="3" xfId="109" applyFont="1" applyFill="1" applyBorder="1" applyAlignment="1" applyProtection="1">
      <alignment horizontal="left" vertical="center"/>
    </xf>
    <xf numFmtId="14" fontId="27" fillId="0" borderId="3" xfId="109" applyNumberFormat="1" applyFont="1" applyFill="1" applyBorder="1" applyProtection="1"/>
    <xf numFmtId="14" fontId="27" fillId="0" borderId="8" xfId="109" applyNumberFormat="1" applyFont="1" applyFill="1" applyBorder="1" applyProtection="1"/>
    <xf numFmtId="14" fontId="27" fillId="0" borderId="8" xfId="109" applyNumberFormat="1" applyFont="1" applyFill="1" applyBorder="1" applyAlignment="1" applyProtection="1">
      <alignment horizontal="right"/>
    </xf>
    <xf numFmtId="0" fontId="27" fillId="0" borderId="8" xfId="1" applyNumberFormat="1" applyFont="1" applyFill="1" applyBorder="1" applyAlignment="1" applyProtection="1">
      <alignment horizontal="center" vertical="center"/>
    </xf>
    <xf numFmtId="0" fontId="28" fillId="0" borderId="3" xfId="109" applyFont="1" applyFill="1" applyBorder="1" applyAlignment="1" applyProtection="1">
      <alignment horizontal="left" vertical="center"/>
    </xf>
    <xf numFmtId="14" fontId="28" fillId="0" borderId="3" xfId="109" applyNumberFormat="1" applyFont="1" applyFill="1" applyBorder="1" applyProtection="1"/>
    <xf numFmtId="14" fontId="28" fillId="0" borderId="8" xfId="109" applyNumberFormat="1" applyFont="1" applyFill="1" applyBorder="1" applyProtection="1"/>
    <xf numFmtId="14" fontId="28" fillId="0" borderId="8" xfId="109" applyNumberFormat="1" applyFont="1" applyFill="1" applyBorder="1" applyAlignment="1" applyProtection="1">
      <alignment horizontal="right"/>
    </xf>
    <xf numFmtId="0" fontId="28" fillId="0" borderId="8" xfId="1" applyNumberFormat="1" applyFont="1" applyFill="1" applyBorder="1" applyAlignment="1" applyProtection="1">
      <alignment horizontal="center" vertical="center"/>
    </xf>
    <xf numFmtId="14" fontId="17" fillId="0" borderId="4" xfId="109" applyNumberFormat="1" applyFont="1" applyFill="1" applyBorder="1" applyProtection="1"/>
    <xf numFmtId="14" fontId="17" fillId="0" borderId="10" xfId="109" applyNumberFormat="1" applyFont="1" applyFill="1" applyBorder="1" applyProtection="1"/>
    <xf numFmtId="14" fontId="17" fillId="0" borderId="10" xfId="109" applyNumberFormat="1" applyFont="1" applyFill="1" applyBorder="1" applyAlignment="1" applyProtection="1">
      <alignment horizontal="right"/>
    </xf>
    <xf numFmtId="0" fontId="17" fillId="0" borderId="3" xfId="0" applyFont="1" applyBorder="1" applyAlignment="1">
      <alignment horizontal="right"/>
    </xf>
    <xf numFmtId="0" fontId="0" fillId="0" borderId="6" xfId="0" applyFont="1" applyBorder="1"/>
    <xf numFmtId="14" fontId="17" fillId="0" borderId="5" xfId="109" applyNumberFormat="1" applyFont="1" applyFill="1" applyBorder="1" applyProtection="1"/>
    <xf numFmtId="0" fontId="16" fillId="0" borderId="3" xfId="0" applyFont="1" applyBorder="1"/>
    <xf numFmtId="0" fontId="29" fillId="0" borderId="3" xfId="0" applyFont="1" applyBorder="1"/>
    <xf numFmtId="0" fontId="16" fillId="15" borderId="3" xfId="0" applyFont="1" applyFill="1" applyBorder="1"/>
    <xf numFmtId="0" fontId="29" fillId="15" borderId="3" xfId="0" applyFont="1" applyFill="1" applyBorder="1"/>
    <xf numFmtId="0" fontId="16" fillId="7" borderId="3" xfId="0" applyFont="1" applyFill="1" applyBorder="1"/>
    <xf numFmtId="0" fontId="0" fillId="17" borderId="3" xfId="0" applyFont="1" applyFill="1" applyBorder="1"/>
    <xf numFmtId="0" fontId="29" fillId="7" borderId="3" xfId="0" applyFont="1" applyFill="1" applyBorder="1"/>
    <xf numFmtId="0" fontId="30" fillId="0" borderId="3" xfId="0" applyFont="1" applyBorder="1"/>
    <xf numFmtId="0" fontId="16" fillId="16" borderId="3" xfId="0" applyFont="1" applyFill="1" applyBorder="1"/>
    <xf numFmtId="0" fontId="16" fillId="0" borderId="3" xfId="0" applyFont="1" applyFill="1" applyBorder="1"/>
    <xf numFmtId="0" fontId="31" fillId="0" borderId="3" xfId="0" applyFont="1" applyBorder="1"/>
    <xf numFmtId="0" fontId="29" fillId="16" borderId="3" xfId="0" applyFont="1" applyFill="1" applyBorder="1"/>
    <xf numFmtId="0" fontId="29" fillId="0" borderId="3" xfId="0" applyFont="1" applyFill="1" applyBorder="1"/>
    <xf numFmtId="0" fontId="0" fillId="0" borderId="0" xfId="0" applyFill="1"/>
    <xf numFmtId="0" fontId="26" fillId="0" borderId="0" xfId="0" applyFont="1" applyFill="1"/>
    <xf numFmtId="0" fontId="26" fillId="0" borderId="0" xfId="0" applyFont="1"/>
    <xf numFmtId="0" fontId="23" fillId="0" borderId="0" xfId="0" applyFont="1"/>
    <xf numFmtId="165" fontId="0" fillId="0" borderId="0" xfId="1" applyNumberFormat="1" applyFont="1"/>
    <xf numFmtId="0" fontId="32" fillId="0" borderId="0" xfId="0" applyFont="1"/>
    <xf numFmtId="0" fontId="0" fillId="0" borderId="12" xfId="0" applyBorder="1"/>
    <xf numFmtId="0" fontId="0" fillId="0" borderId="13" xfId="0" applyBorder="1"/>
    <xf numFmtId="0" fontId="0" fillId="0" borderId="14" xfId="0" applyFill="1" applyBorder="1"/>
    <xf numFmtId="0" fontId="0" fillId="0" borderId="15" xfId="0" applyFill="1" applyBorder="1"/>
    <xf numFmtId="0" fontId="26" fillId="0" borderId="14" xfId="0" applyFont="1" applyFill="1" applyBorder="1"/>
    <xf numFmtId="0" fontId="26" fillId="0" borderId="15" xfId="0" applyFont="1" applyFill="1" applyBorder="1"/>
    <xf numFmtId="0" fontId="0" fillId="0" borderId="14" xfId="0" applyBorder="1"/>
    <xf numFmtId="0" fontId="0" fillId="0" borderId="15" xfId="0" applyBorder="1"/>
    <xf numFmtId="0" fontId="26" fillId="0" borderId="14" xfId="0" applyFont="1" applyBorder="1"/>
    <xf numFmtId="0" fontId="26" fillId="0" borderId="15" xfId="0" applyFont="1" applyBorder="1"/>
    <xf numFmtId="0" fontId="23" fillId="0" borderId="16" xfId="0" applyFont="1" applyBorder="1"/>
    <xf numFmtId="0" fontId="23" fillId="0" borderId="17" xfId="0" applyFont="1" applyBorder="1"/>
    <xf numFmtId="165" fontId="0" fillId="0" borderId="15" xfId="48" applyNumberFormat="1" applyFont="1" applyFill="1" applyBorder="1"/>
    <xf numFmtId="165" fontId="26" fillId="0" borderId="15" xfId="48" applyNumberFormat="1" applyFont="1" applyFill="1" applyBorder="1"/>
    <xf numFmtId="165" fontId="23" fillId="0" borderId="17" xfId="48" applyNumberFormat="1" applyFont="1" applyBorder="1"/>
    <xf numFmtId="165" fontId="0" fillId="0" borderId="13" xfId="1" applyNumberFormat="1" applyFont="1" applyBorder="1"/>
    <xf numFmtId="0" fontId="0" fillId="0" borderId="18" xfId="0" applyBorder="1"/>
    <xf numFmtId="165" fontId="0" fillId="0" borderId="15" xfId="1" applyNumberFormat="1" applyFont="1" applyFill="1" applyBorder="1"/>
    <xf numFmtId="0" fontId="0" fillId="0" borderId="19" xfId="0" applyFill="1" applyBorder="1"/>
    <xf numFmtId="165" fontId="0" fillId="0" borderId="19" xfId="0" applyNumberFormat="1" applyFill="1" applyBorder="1"/>
    <xf numFmtId="165" fontId="26" fillId="0" borderId="15" xfId="1" applyNumberFormat="1" applyFont="1" applyFill="1" applyBorder="1"/>
    <xf numFmtId="0" fontId="26" fillId="0" borderId="19" xfId="0" applyFont="1" applyFill="1" applyBorder="1"/>
    <xf numFmtId="165" fontId="26" fillId="0" borderId="19" xfId="0" applyNumberFormat="1" applyFont="1" applyFill="1" applyBorder="1"/>
    <xf numFmtId="165" fontId="0" fillId="0" borderId="19" xfId="0" applyNumberFormat="1" applyBorder="1"/>
    <xf numFmtId="165" fontId="26" fillId="0" borderId="19" xfId="0" applyNumberFormat="1" applyFont="1" applyBorder="1"/>
    <xf numFmtId="165" fontId="23" fillId="0" borderId="17" xfId="1" applyNumberFormat="1" applyFont="1" applyBorder="1"/>
    <xf numFmtId="0" fontId="23" fillId="0" borderId="20" xfId="0" applyFont="1" applyBorder="1"/>
    <xf numFmtId="0" fontId="0" fillId="22" borderId="0" xfId="0" applyFill="1"/>
    <xf numFmtId="0" fontId="0" fillId="22" borderId="14" xfId="0" applyFill="1" applyBorder="1"/>
    <xf numFmtId="0" fontId="0" fillId="22" borderId="15" xfId="0" applyFill="1" applyBorder="1"/>
    <xf numFmtId="165" fontId="0" fillId="22" borderId="15" xfId="1" applyNumberFormat="1" applyFont="1" applyFill="1" applyBorder="1"/>
    <xf numFmtId="0" fontId="0" fillId="22" borderId="19" xfId="0" applyFill="1" applyBorder="1"/>
    <xf numFmtId="165" fontId="0" fillId="22" borderId="19" xfId="0" applyNumberFormat="1" applyFill="1" applyBorder="1"/>
    <xf numFmtId="0" fontId="0" fillId="7" borderId="0" xfId="0" applyFill="1"/>
    <xf numFmtId="0" fontId="0" fillId="2" borderId="0" xfId="0" applyFill="1"/>
    <xf numFmtId="165" fontId="23" fillId="0" borderId="3" xfId="1" applyNumberFormat="1" applyFont="1" applyBorder="1" applyAlignment="1">
      <alignment horizontal="center" vertical="center"/>
    </xf>
    <xf numFmtId="0" fontId="0" fillId="0" borderId="3" xfId="0" applyBorder="1"/>
    <xf numFmtId="0" fontId="26" fillId="23" borderId="3" xfId="0" applyFont="1" applyFill="1" applyBorder="1"/>
    <xf numFmtId="165" fontId="0" fillId="0" borderId="3" xfId="1" applyNumberFormat="1" applyFont="1" applyBorder="1"/>
    <xf numFmtId="165" fontId="26" fillId="0" borderId="3" xfId="1" applyNumberFormat="1" applyFont="1" applyBorder="1"/>
    <xf numFmtId="0" fontId="0" fillId="7" borderId="3" xfId="0" applyFill="1" applyBorder="1"/>
    <xf numFmtId="0" fontId="26" fillId="7" borderId="3" xfId="0" applyFont="1" applyFill="1" applyBorder="1"/>
    <xf numFmtId="165" fontId="0" fillId="7" borderId="3" xfId="1" applyNumberFormat="1" applyFont="1" applyFill="1" applyBorder="1"/>
    <xf numFmtId="0" fontId="0" fillId="23" borderId="3" xfId="0" applyFont="1" applyFill="1" applyBorder="1"/>
    <xf numFmtId="0" fontId="23" fillId="0" borderId="3" xfId="0" applyFont="1" applyBorder="1" applyAlignment="1">
      <alignment horizontal="center" vertical="center"/>
    </xf>
    <xf numFmtId="165" fontId="23" fillId="21" borderId="3" xfId="1" applyNumberFormat="1" applyFont="1" applyFill="1" applyBorder="1" applyAlignment="1">
      <alignment horizontal="center" vertical="center"/>
    </xf>
    <xf numFmtId="165" fontId="23" fillId="0" borderId="3" xfId="1" applyNumberFormat="1" applyFont="1" applyFill="1" applyBorder="1" applyAlignment="1">
      <alignment horizontal="center" vertical="center"/>
    </xf>
    <xf numFmtId="0" fontId="18" fillId="0" borderId="3" xfId="0" applyFont="1" applyBorder="1" applyAlignment="1">
      <alignment horizontal="center" vertical="center"/>
    </xf>
    <xf numFmtId="0" fontId="18" fillId="0" borderId="6" xfId="0" applyFont="1" applyBorder="1" applyAlignment="1">
      <alignment horizontal="center" vertical="center"/>
    </xf>
    <xf numFmtId="165" fontId="18" fillId="0" borderId="3" xfId="1" applyNumberFormat="1" applyFont="1" applyBorder="1" applyAlignment="1">
      <alignment horizontal="center" vertical="center"/>
    </xf>
    <xf numFmtId="165" fontId="18" fillId="0" borderId="3" xfId="1" applyNumberFormat="1" applyFont="1" applyFill="1" applyBorder="1" applyAlignment="1">
      <alignment horizontal="center" vertical="center"/>
    </xf>
    <xf numFmtId="165" fontId="26" fillId="23" borderId="3" xfId="57" applyNumberFormat="1" applyFont="1" applyFill="1" applyBorder="1"/>
    <xf numFmtId="165" fontId="0" fillId="7" borderId="3" xfId="0" applyNumberFormat="1" applyFill="1" applyBorder="1"/>
    <xf numFmtId="165" fontId="4" fillId="2" borderId="3" xfId="1" applyNumberFormat="1" applyFont="1" applyFill="1" applyBorder="1" applyAlignment="1" applyProtection="1">
      <alignment horizontal="left" vertical="center"/>
    </xf>
    <xf numFmtId="165" fontId="0" fillId="0" borderId="3" xfId="0" applyNumberFormat="1" applyBorder="1"/>
    <xf numFmtId="165" fontId="0" fillId="0" borderId="3" xfId="1" applyNumberFormat="1" applyFont="1" applyBorder="1" applyAlignment="1">
      <alignment vertical="center"/>
    </xf>
    <xf numFmtId="165" fontId="26" fillId="23" borderId="4" xfId="1" applyNumberFormat="1" applyFont="1" applyFill="1" applyBorder="1"/>
    <xf numFmtId="165" fontId="0" fillId="7" borderId="4" xfId="1" applyNumberFormat="1" applyFont="1" applyFill="1" applyBorder="1"/>
    <xf numFmtId="165" fontId="0" fillId="7" borderId="4" xfId="0" applyNumberFormat="1" applyFill="1" applyBorder="1"/>
    <xf numFmtId="165" fontId="0" fillId="0" borderId="4" xfId="1" applyNumberFormat="1" applyFont="1" applyBorder="1"/>
    <xf numFmtId="0" fontId="0" fillId="0" borderId="8" xfId="0" applyBorder="1"/>
    <xf numFmtId="0" fontId="0" fillId="0" borderId="1" xfId="0" applyBorder="1"/>
    <xf numFmtId="165" fontId="0" fillId="0" borderId="1" xfId="1" applyNumberFormat="1" applyFont="1" applyBorder="1"/>
    <xf numFmtId="165" fontId="0" fillId="0" borderId="1" xfId="0" applyNumberFormat="1" applyBorder="1"/>
    <xf numFmtId="43" fontId="0" fillId="0" borderId="1" xfId="1" applyNumberFormat="1" applyFont="1" applyBorder="1"/>
    <xf numFmtId="165" fontId="23" fillId="0" borderId="6" xfId="1" applyNumberFormat="1" applyFont="1" applyBorder="1" applyAlignment="1">
      <alignment horizontal="center" vertical="center"/>
    </xf>
    <xf numFmtId="165" fontId="8" fillId="0" borderId="1" xfId="1" applyNumberFormat="1" applyFont="1" applyBorder="1"/>
    <xf numFmtId="165" fontId="26" fillId="23" borderId="3" xfId="1" applyNumberFormat="1" applyFont="1" applyFill="1" applyBorder="1"/>
    <xf numFmtId="165" fontId="0" fillId="21" borderId="3" xfId="0" applyNumberFormat="1" applyFill="1" applyBorder="1"/>
    <xf numFmtId="165" fontId="23" fillId="0" borderId="3" xfId="1" applyNumberFormat="1" applyFont="1" applyBorder="1" applyAlignment="1">
      <alignment vertical="center"/>
    </xf>
    <xf numFmtId="0" fontId="23" fillId="0" borderId="3" xfId="0" applyFont="1" applyBorder="1" applyAlignment="1">
      <alignment vertical="center"/>
    </xf>
    <xf numFmtId="169" fontId="23" fillId="0" borderId="3" xfId="0" applyNumberFormat="1" applyFont="1" applyBorder="1" applyAlignment="1">
      <alignment vertical="center"/>
    </xf>
    <xf numFmtId="10" fontId="23" fillId="0" borderId="3" xfId="0" applyNumberFormat="1" applyFont="1" applyBorder="1" applyAlignment="1">
      <alignment vertical="center"/>
    </xf>
    <xf numFmtId="0" fontId="0" fillId="11" borderId="3" xfId="0" applyFill="1" applyBorder="1"/>
    <xf numFmtId="165" fontId="0" fillId="11" borderId="3" xfId="1" applyNumberFormat="1" applyFont="1" applyFill="1" applyBorder="1"/>
    <xf numFmtId="43" fontId="0" fillId="0" borderId="3" xfId="0" applyNumberFormat="1" applyBorder="1"/>
    <xf numFmtId="165" fontId="23" fillId="0" borderId="0" xfId="1" applyNumberFormat="1" applyFont="1"/>
    <xf numFmtId="165" fontId="26" fillId="0" borderId="3" xfId="0" applyNumberFormat="1" applyFont="1" applyBorder="1"/>
    <xf numFmtId="165" fontId="0" fillId="0" borderId="3" xfId="0" applyNumberFormat="1" applyFont="1" applyBorder="1"/>
    <xf numFmtId="43" fontId="0" fillId="0" borderId="4" xfId="0" applyNumberFormat="1" applyBorder="1"/>
    <xf numFmtId="43" fontId="0" fillId="0" borderId="1" xfId="0" applyNumberFormat="1" applyBorder="1"/>
    <xf numFmtId="165" fontId="0" fillId="21" borderId="3" xfId="1" applyNumberFormat="1" applyFont="1" applyFill="1" applyBorder="1"/>
    <xf numFmtId="0" fontId="23" fillId="0" borderId="3" xfId="0" applyFont="1" applyBorder="1"/>
    <xf numFmtId="171" fontId="23" fillId="0" borderId="3" xfId="1" applyNumberFormat="1" applyFont="1" applyBorder="1"/>
    <xf numFmtId="165" fontId="0" fillId="5" borderId="3" xfId="1" applyNumberFormat="1" applyFont="1" applyFill="1" applyBorder="1"/>
    <xf numFmtId="0" fontId="0" fillId="24" borderId="3" xfId="0" applyFill="1" applyBorder="1"/>
    <xf numFmtId="165" fontId="0" fillId="24" borderId="3" xfId="1" applyNumberFormat="1" applyFont="1" applyFill="1" applyBorder="1"/>
    <xf numFmtId="165" fontId="0" fillId="0" borderId="3" xfId="1" applyNumberFormat="1" applyFont="1" applyFill="1" applyBorder="1"/>
    <xf numFmtId="165" fontId="0" fillId="0" borderId="0" xfId="0" applyNumberFormat="1"/>
    <xf numFmtId="165" fontId="0" fillId="2" borderId="3" xfId="1" applyNumberFormat="1" applyFont="1" applyFill="1" applyBorder="1"/>
    <xf numFmtId="165" fontId="23" fillId="0" borderId="0" xfId="0" applyNumberFormat="1" applyFont="1"/>
    <xf numFmtId="0" fontId="33" fillId="0" borderId="0" xfId="113" applyFont="1"/>
    <xf numFmtId="0" fontId="34" fillId="0" borderId="0" xfId="113" applyFont="1"/>
    <xf numFmtId="0" fontId="34" fillId="0" borderId="0" xfId="113" applyFont="1" applyFill="1"/>
    <xf numFmtId="0" fontId="35" fillId="0" borderId="0" xfId="113" applyFont="1"/>
    <xf numFmtId="0" fontId="36" fillId="0" borderId="0" xfId="113" applyFont="1"/>
    <xf numFmtId="0" fontId="22" fillId="0" borderId="0" xfId="113" applyFont="1"/>
    <xf numFmtId="0" fontId="36" fillId="0" borderId="0" xfId="117" applyFont="1"/>
    <xf numFmtId="0" fontId="37" fillId="0" borderId="0" xfId="117" applyFont="1" applyAlignment="1"/>
    <xf numFmtId="0" fontId="38" fillId="0" borderId="0" xfId="117" applyFont="1" applyAlignment="1"/>
    <xf numFmtId="0" fontId="36" fillId="0" borderId="0" xfId="117" applyFont="1" applyAlignment="1">
      <alignment vertical="center"/>
    </xf>
    <xf numFmtId="0" fontId="37" fillId="0" borderId="21" xfId="117" applyFont="1" applyBorder="1" applyAlignment="1"/>
    <xf numFmtId="0" fontId="38" fillId="0" borderId="21" xfId="117" applyFont="1" applyBorder="1" applyAlignment="1"/>
    <xf numFmtId="167" fontId="39" fillId="25" borderId="3" xfId="7" applyNumberFormat="1" applyFont="1" applyFill="1" applyBorder="1" applyAlignment="1">
      <alignment horizontal="center" vertical="center" wrapText="1"/>
    </xf>
    <xf numFmtId="170" fontId="39" fillId="25" borderId="3" xfId="7" applyNumberFormat="1" applyFont="1" applyFill="1" applyBorder="1" applyAlignment="1">
      <alignment horizontal="center" vertical="center" wrapText="1"/>
    </xf>
    <xf numFmtId="165" fontId="8" fillId="0" borderId="6" xfId="1" applyNumberFormat="1" applyFont="1" applyFill="1" applyBorder="1" applyAlignment="1" applyProtection="1">
      <alignment horizontal="left" vertical="center"/>
    </xf>
    <xf numFmtId="165" fontId="8" fillId="0" borderId="6" xfId="1" applyNumberFormat="1" applyFont="1" applyBorder="1" applyAlignment="1">
      <alignment horizontal="center"/>
    </xf>
    <xf numFmtId="167" fontId="12" fillId="26" borderId="6" xfId="117" applyNumberFormat="1" applyFont="1" applyFill="1" applyBorder="1" applyAlignment="1">
      <alignment vertical="center"/>
    </xf>
    <xf numFmtId="167" fontId="40" fillId="26" borderId="3" xfId="117" applyNumberFormat="1" applyFont="1" applyFill="1" applyBorder="1" applyAlignment="1">
      <alignment vertical="center"/>
    </xf>
    <xf numFmtId="167" fontId="40" fillId="0" borderId="22" xfId="7" applyNumberFormat="1" applyFont="1" applyBorder="1" applyAlignment="1">
      <alignment vertical="center"/>
    </xf>
    <xf numFmtId="165" fontId="41" fillId="0" borderId="3" xfId="1" applyNumberFormat="1" applyFont="1" applyFill="1" applyBorder="1" applyAlignment="1" applyProtection="1">
      <alignment horizontal="left" vertical="center"/>
    </xf>
    <xf numFmtId="165" fontId="41" fillId="0" borderId="6" xfId="1" applyNumberFormat="1" applyFont="1" applyBorder="1" applyAlignment="1">
      <alignment horizontal="center"/>
    </xf>
    <xf numFmtId="167" fontId="42" fillId="26" borderId="3" xfId="117" applyNumberFormat="1" applyFont="1" applyFill="1" applyBorder="1" applyAlignment="1">
      <alignment vertical="center"/>
    </xf>
    <xf numFmtId="167" fontId="42" fillId="0" borderId="23" xfId="7" applyNumberFormat="1" applyFont="1" applyBorder="1" applyAlignment="1">
      <alignment vertical="center"/>
    </xf>
    <xf numFmtId="165" fontId="8" fillId="0" borderId="3" xfId="1" applyNumberFormat="1" applyFont="1" applyFill="1" applyBorder="1" applyAlignment="1" applyProtection="1">
      <alignment horizontal="left" vertical="center"/>
    </xf>
    <xf numFmtId="167" fontId="12" fillId="26" borderId="3" xfId="117" applyNumberFormat="1" applyFont="1" applyFill="1" applyBorder="1" applyAlignment="1">
      <alignment vertical="center"/>
    </xf>
    <xf numFmtId="167" fontId="40" fillId="0" borderId="23" xfId="7" applyNumberFormat="1" applyFont="1" applyBorder="1" applyAlignment="1">
      <alignment vertical="center"/>
    </xf>
    <xf numFmtId="165" fontId="43" fillId="0" borderId="6" xfId="1" applyNumberFormat="1" applyFont="1" applyBorder="1" applyAlignment="1">
      <alignment horizontal="center"/>
    </xf>
    <xf numFmtId="167" fontId="12" fillId="0" borderId="23" xfId="7" applyNumberFormat="1" applyFont="1" applyBorder="1" applyAlignment="1">
      <alignment vertical="center"/>
    </xf>
    <xf numFmtId="167" fontId="4" fillId="26" borderId="3" xfId="117" applyNumberFormat="1" applyFont="1" applyFill="1" applyBorder="1" applyAlignment="1">
      <alignment vertical="center"/>
    </xf>
    <xf numFmtId="167" fontId="4" fillId="0" borderId="23" xfId="7" applyNumberFormat="1" applyFont="1" applyBorder="1" applyAlignment="1">
      <alignment vertical="center"/>
    </xf>
    <xf numFmtId="165" fontId="8" fillId="0" borderId="3" xfId="1" applyNumberFormat="1" applyFont="1" applyFill="1" applyBorder="1" applyAlignment="1" applyProtection="1">
      <alignment vertical="center"/>
    </xf>
    <xf numFmtId="165" fontId="8" fillId="0" borderId="6" xfId="1" applyNumberFormat="1" applyFont="1" applyFill="1" applyBorder="1" applyAlignment="1">
      <alignment horizontal="center"/>
    </xf>
    <xf numFmtId="167" fontId="4" fillId="0" borderId="3" xfId="117" applyNumberFormat="1" applyFont="1" applyFill="1" applyBorder="1" applyAlignment="1">
      <alignment vertical="center"/>
    </xf>
    <xf numFmtId="165" fontId="41" fillId="0" borderId="3" xfId="1" applyNumberFormat="1" applyFont="1" applyFill="1" applyBorder="1" applyAlignment="1" applyProtection="1">
      <alignment vertical="center"/>
    </xf>
    <xf numFmtId="165" fontId="41" fillId="0" borderId="6" xfId="1" applyNumberFormat="1" applyFont="1" applyFill="1" applyBorder="1" applyAlignment="1">
      <alignment horizontal="center"/>
    </xf>
    <xf numFmtId="167" fontId="4" fillId="0" borderId="23" xfId="7" applyNumberFormat="1" applyFont="1" applyFill="1" applyBorder="1" applyAlignment="1">
      <alignment vertical="center"/>
    </xf>
    <xf numFmtId="165" fontId="44" fillId="0" borderId="3" xfId="1" applyNumberFormat="1" applyFont="1" applyFill="1" applyBorder="1" applyAlignment="1" applyProtection="1">
      <alignment horizontal="left" vertical="center"/>
    </xf>
    <xf numFmtId="165" fontId="45" fillId="0" borderId="3" xfId="1" applyNumberFormat="1" applyFont="1" applyFill="1" applyBorder="1" applyAlignment="1" applyProtection="1">
      <alignment horizontal="left" vertical="center"/>
    </xf>
    <xf numFmtId="165" fontId="45" fillId="0" borderId="6" xfId="1" applyNumberFormat="1" applyFont="1" applyBorder="1" applyAlignment="1">
      <alignment horizontal="center"/>
    </xf>
    <xf numFmtId="167" fontId="14" fillId="0" borderId="23" xfId="7" applyNumberFormat="1" applyFont="1" applyBorder="1" applyAlignment="1">
      <alignment vertical="center"/>
    </xf>
    <xf numFmtId="0" fontId="40" fillId="0" borderId="0" xfId="117" applyFont="1" applyAlignment="1">
      <alignment vertical="center"/>
    </xf>
    <xf numFmtId="167" fontId="40" fillId="27" borderId="22" xfId="7" applyNumberFormat="1" applyFont="1" applyFill="1" applyBorder="1" applyAlignment="1">
      <alignment vertical="center"/>
    </xf>
    <xf numFmtId="167" fontId="42" fillId="27" borderId="23" xfId="7" applyNumberFormat="1" applyFont="1" applyFill="1" applyBorder="1" applyAlignment="1">
      <alignment vertical="center"/>
    </xf>
    <xf numFmtId="167" fontId="40" fillId="27" borderId="23" xfId="7" applyNumberFormat="1" applyFont="1" applyFill="1" applyBorder="1" applyAlignment="1">
      <alignment vertical="center"/>
    </xf>
    <xf numFmtId="167" fontId="4" fillId="27" borderId="23" xfId="7" applyNumberFormat="1" applyFont="1" applyFill="1" applyBorder="1" applyAlignment="1">
      <alignment vertical="center"/>
    </xf>
    <xf numFmtId="167" fontId="4" fillId="2" borderId="23" xfId="7" applyNumberFormat="1" applyFont="1" applyFill="1" applyBorder="1" applyAlignment="1">
      <alignment vertical="center"/>
    </xf>
    <xf numFmtId="167" fontId="40" fillId="0" borderId="0" xfId="7" applyNumberFormat="1" applyFont="1" applyAlignment="1">
      <alignment horizontal="centerContinuous" vertical="center"/>
    </xf>
    <xf numFmtId="167" fontId="40" fillId="3" borderId="22" xfId="7" applyNumberFormat="1" applyFont="1" applyFill="1" applyBorder="1" applyAlignment="1">
      <alignment vertical="center"/>
    </xf>
    <xf numFmtId="167" fontId="42" fillId="3" borderId="23" xfId="7" applyNumberFormat="1" applyFont="1" applyFill="1" applyBorder="1" applyAlignment="1">
      <alignment vertical="center"/>
    </xf>
    <xf numFmtId="167" fontId="40" fillId="3" borderId="23" xfId="7" applyNumberFormat="1" applyFont="1" applyFill="1" applyBorder="1" applyAlignment="1">
      <alignment vertical="center"/>
    </xf>
    <xf numFmtId="167" fontId="40" fillId="6" borderId="23" xfId="7" applyNumberFormat="1" applyFont="1" applyFill="1" applyBorder="1" applyAlignment="1">
      <alignment vertical="center"/>
    </xf>
    <xf numFmtId="167" fontId="4" fillId="6" borderId="23" xfId="7" applyNumberFormat="1" applyFont="1" applyFill="1" applyBorder="1" applyAlignment="1">
      <alignment vertical="center"/>
    </xf>
    <xf numFmtId="167" fontId="42" fillId="6" borderId="23" xfId="7" applyNumberFormat="1" applyFont="1" applyFill="1" applyBorder="1" applyAlignment="1">
      <alignment vertical="center"/>
    </xf>
    <xf numFmtId="167" fontId="14" fillId="2" borderId="23" xfId="7" applyNumberFormat="1" applyFont="1" applyFill="1" applyBorder="1" applyAlignment="1">
      <alignment vertical="center"/>
    </xf>
    <xf numFmtId="167" fontId="39" fillId="25" borderId="8" xfId="7" applyNumberFormat="1" applyFont="1" applyFill="1" applyBorder="1" applyAlignment="1">
      <alignment vertical="center" wrapText="1"/>
    </xf>
    <xf numFmtId="167" fontId="39" fillId="25" borderId="3" xfId="7" applyNumberFormat="1" applyFont="1" applyFill="1" applyBorder="1" applyAlignment="1">
      <alignment vertical="center" wrapText="1"/>
    </xf>
    <xf numFmtId="167" fontId="39" fillId="25" borderId="2" xfId="7" applyNumberFormat="1" applyFont="1" applyFill="1" applyBorder="1" applyAlignment="1">
      <alignment vertical="center" wrapText="1"/>
    </xf>
    <xf numFmtId="172" fontId="39" fillId="25" borderId="5" xfId="7" applyNumberFormat="1" applyFont="1" applyFill="1" applyBorder="1" applyAlignment="1">
      <alignment horizontal="center" vertical="center" wrapText="1"/>
    </xf>
    <xf numFmtId="172" fontId="39" fillId="25" borderId="3" xfId="7" applyNumberFormat="1" applyFont="1" applyFill="1" applyBorder="1" applyAlignment="1">
      <alignment horizontal="center" vertical="center" wrapText="1"/>
    </xf>
    <xf numFmtId="167" fontId="42" fillId="0" borderId="22" xfId="7" applyNumberFormat="1" applyFont="1" applyBorder="1" applyAlignment="1">
      <alignment vertical="center"/>
    </xf>
    <xf numFmtId="167" fontId="4" fillId="0" borderId="22" xfId="7" applyNumberFormat="1" applyFont="1" applyBorder="1" applyAlignment="1">
      <alignment vertical="center"/>
    </xf>
    <xf numFmtId="167" fontId="40" fillId="2" borderId="23" xfId="7" applyNumberFormat="1" applyFont="1" applyFill="1" applyBorder="1" applyAlignment="1">
      <alignment vertical="center"/>
    </xf>
    <xf numFmtId="167" fontId="14" fillId="0" borderId="22" xfId="7" applyNumberFormat="1" applyFont="1" applyBorder="1" applyAlignment="1">
      <alignment vertical="center"/>
    </xf>
    <xf numFmtId="172" fontId="40" fillId="0" borderId="0" xfId="7" applyNumberFormat="1" applyFont="1" applyAlignment="1">
      <alignment horizontal="centerContinuous" vertical="center"/>
    </xf>
    <xf numFmtId="170" fontId="39" fillId="25" borderId="5" xfId="7" applyNumberFormat="1" applyFont="1" applyFill="1" applyBorder="1" applyAlignment="1">
      <alignment horizontal="center" vertical="center" wrapText="1"/>
    </xf>
    <xf numFmtId="167" fontId="46" fillId="0" borderId="0" xfId="113" applyNumberFormat="1" applyFont="1"/>
    <xf numFmtId="166" fontId="34" fillId="0" borderId="0" xfId="113" applyNumberFormat="1" applyFont="1"/>
    <xf numFmtId="167" fontId="34" fillId="28" borderId="0" xfId="113" applyNumberFormat="1" applyFont="1" applyFill="1"/>
    <xf numFmtId="0" fontId="47" fillId="0" borderId="0" xfId="113"/>
    <xf numFmtId="0" fontId="47" fillId="0" borderId="0" xfId="113" applyBorder="1"/>
    <xf numFmtId="0" fontId="47" fillId="0" borderId="0" xfId="113" applyAlignment="1">
      <alignment horizontal="center"/>
    </xf>
    <xf numFmtId="0" fontId="48" fillId="0" borderId="3" xfId="113" applyFont="1" applyBorder="1"/>
    <xf numFmtId="0" fontId="49" fillId="0" borderId="3" xfId="117" applyFont="1" applyFill="1" applyBorder="1" applyAlignment="1">
      <alignment vertical="center"/>
    </xf>
    <xf numFmtId="0" fontId="48" fillId="0" borderId="3" xfId="113" applyFont="1" applyBorder="1" applyAlignment="1">
      <alignment horizontal="center"/>
    </xf>
    <xf numFmtId="0" fontId="47" fillId="0" borderId="0" xfId="113" applyFont="1" applyBorder="1" applyAlignment="1">
      <alignment horizontal="center"/>
    </xf>
    <xf numFmtId="0" fontId="50" fillId="0" borderId="0" xfId="113" applyFont="1" applyAlignment="1">
      <alignment horizontal="center"/>
    </xf>
    <xf numFmtId="0" fontId="51" fillId="0" borderId="3" xfId="117" applyFont="1" applyFill="1" applyBorder="1" applyAlignment="1">
      <alignment vertical="center"/>
    </xf>
    <xf numFmtId="165" fontId="34" fillId="0" borderId="3" xfId="7" applyNumberFormat="1" applyFont="1" applyFill="1" applyBorder="1" applyProtection="1"/>
    <xf numFmtId="165" fontId="34" fillId="0" borderId="24" xfId="7" applyNumberFormat="1" applyFont="1" applyFill="1" applyBorder="1" applyProtection="1"/>
    <xf numFmtId="49" fontId="51" fillId="0" borderId="3" xfId="117" applyNumberFormat="1" applyFont="1" applyFill="1" applyBorder="1" applyAlignment="1">
      <alignment horizontal="center" vertical="center"/>
    </xf>
    <xf numFmtId="0" fontId="47" fillId="0" borderId="3" xfId="113" applyBorder="1" applyAlignment="1">
      <alignment horizontal="center" vertical="center"/>
    </xf>
    <xf numFmtId="0" fontId="51" fillId="0" borderId="3" xfId="117" applyFont="1" applyFill="1" applyBorder="1" applyAlignment="1">
      <alignment horizontal="center" vertical="center"/>
    </xf>
    <xf numFmtId="165" fontId="52" fillId="0" borderId="24" xfId="7" applyNumberFormat="1" applyFont="1" applyFill="1" applyBorder="1" applyProtection="1"/>
    <xf numFmtId="165" fontId="34" fillId="0" borderId="0" xfId="7" applyNumberFormat="1" applyFont="1" applyFill="1" applyBorder="1" applyProtection="1"/>
    <xf numFmtId="0" fontId="51" fillId="0" borderId="5" xfId="117" applyFont="1" applyFill="1" applyBorder="1" applyAlignment="1">
      <alignment horizontal="center" vertical="center"/>
    </xf>
    <xf numFmtId="0" fontId="47" fillId="0" borderId="5" xfId="113" applyFill="1" applyBorder="1" applyAlignment="1">
      <alignment horizontal="center" vertical="center"/>
    </xf>
    <xf numFmtId="0" fontId="51" fillId="0" borderId="0" xfId="117" applyFont="1" applyFill="1" applyBorder="1" applyAlignment="1">
      <alignment horizontal="center" vertical="center"/>
    </xf>
    <xf numFmtId="0" fontId="49" fillId="0" borderId="3" xfId="117" applyFont="1" applyFill="1" applyBorder="1" applyAlignment="1">
      <alignment horizontal="center" vertical="center"/>
    </xf>
    <xf numFmtId="165" fontId="48" fillId="0" borderId="3" xfId="113" applyNumberFormat="1" applyFont="1" applyBorder="1"/>
    <xf numFmtId="0" fontId="47" fillId="0" borderId="0" xfId="113" applyFont="1" applyBorder="1"/>
    <xf numFmtId="0" fontId="51" fillId="0" borderId="3" xfId="117" applyFont="1" applyBorder="1" applyAlignment="1">
      <alignment vertical="center"/>
    </xf>
    <xf numFmtId="0" fontId="51" fillId="0" borderId="3" xfId="117" applyFont="1" applyBorder="1" applyAlignment="1">
      <alignment horizontal="left" vertical="center"/>
    </xf>
    <xf numFmtId="0" fontId="53" fillId="0" borderId="25" xfId="113" applyFont="1" applyBorder="1" applyAlignment="1">
      <alignment vertical="center"/>
    </xf>
    <xf numFmtId="0" fontId="53" fillId="0" borderId="0" xfId="113" applyFont="1" applyBorder="1" applyAlignment="1">
      <alignment vertical="center"/>
    </xf>
    <xf numFmtId="0" fontId="53" fillId="0" borderId="0" xfId="113" applyFont="1" applyBorder="1" applyAlignment="1">
      <alignment horizontal="center" vertical="center"/>
    </xf>
    <xf numFmtId="0" fontId="54" fillId="0" borderId="10" xfId="113" applyFont="1" applyBorder="1" applyAlignment="1">
      <alignment horizontal="center" vertical="center" wrapText="1"/>
    </xf>
    <xf numFmtId="0" fontId="54" fillId="0" borderId="7" xfId="113" applyFont="1" applyBorder="1" applyAlignment="1">
      <alignment horizontal="center" vertical="center" wrapText="1"/>
    </xf>
    <xf numFmtId="0" fontId="54" fillId="14" borderId="3" xfId="113" applyFont="1" applyFill="1" applyBorder="1" applyAlignment="1">
      <alignment horizontal="center" vertical="center"/>
    </xf>
    <xf numFmtId="3" fontId="54" fillId="0" borderId="3" xfId="113" applyNumberFormat="1" applyFont="1" applyFill="1" applyBorder="1" applyAlignment="1">
      <alignment horizontal="center" vertical="center" wrapText="1"/>
    </xf>
    <xf numFmtId="0" fontId="34" fillId="0" borderId="26" xfId="113" applyFont="1" applyBorder="1" applyAlignment="1">
      <alignment horizontal="center" vertical="center"/>
    </xf>
    <xf numFmtId="0" fontId="34" fillId="0" borderId="27" xfId="113" applyFont="1" applyBorder="1" applyAlignment="1">
      <alignment vertical="center"/>
    </xf>
    <xf numFmtId="1" fontId="55" fillId="0" borderId="28" xfId="113" applyNumberFormat="1" applyFont="1" applyBorder="1" applyAlignment="1">
      <alignment horizontal="center" vertical="center"/>
    </xf>
    <xf numFmtId="1" fontId="47" fillId="0" borderId="3" xfId="113" applyNumberFormat="1" applyBorder="1"/>
    <xf numFmtId="0" fontId="47" fillId="0" borderId="8" xfId="113" applyBorder="1"/>
    <xf numFmtId="0" fontId="47" fillId="0" borderId="4" xfId="113" applyFill="1" applyBorder="1" applyAlignment="1">
      <alignment horizontal="center" vertical="center"/>
    </xf>
    <xf numFmtId="0" fontId="54" fillId="0" borderId="3" xfId="113" applyFont="1" applyFill="1" applyBorder="1" applyAlignment="1">
      <alignment horizontal="center" vertical="center"/>
    </xf>
    <xf numFmtId="3" fontId="47" fillId="0" borderId="3" xfId="113" applyNumberFormat="1" applyFill="1" applyBorder="1" applyAlignment="1">
      <alignment horizontal="center" vertical="center"/>
    </xf>
    <xf numFmtId="0" fontId="47" fillId="0" borderId="3" xfId="113" applyFill="1" applyBorder="1" applyAlignment="1">
      <alignment horizontal="center" vertical="center"/>
    </xf>
    <xf numFmtId="0" fontId="47" fillId="0" borderId="3" xfId="113" applyFill="1" applyBorder="1" applyAlignment="1">
      <alignment horizontal="center" vertical="center" wrapText="1"/>
    </xf>
    <xf numFmtId="0" fontId="34" fillId="0" borderId="29" xfId="113" applyFont="1" applyBorder="1" applyAlignment="1">
      <alignment horizontal="center" vertical="center"/>
    </xf>
    <xf numFmtId="0" fontId="34" fillId="0" borderId="30" xfId="113" applyFont="1" applyBorder="1" applyAlignment="1">
      <alignment vertical="center"/>
    </xf>
    <xf numFmtId="1" fontId="55" fillId="0" borderId="0" xfId="113" applyNumberFormat="1" applyFont="1" applyBorder="1" applyAlignment="1">
      <alignment horizontal="center" vertical="center"/>
    </xf>
    <xf numFmtId="1" fontId="47" fillId="0" borderId="4" xfId="113" applyNumberFormat="1" applyBorder="1"/>
    <xf numFmtId="0" fontId="34" fillId="0" borderId="3" xfId="113" applyFont="1" applyFill="1" applyBorder="1" applyAlignment="1">
      <alignment horizontal="center" vertical="center"/>
    </xf>
    <xf numFmtId="0" fontId="34" fillId="0" borderId="3" xfId="113" applyFont="1" applyFill="1" applyBorder="1" applyAlignment="1">
      <alignment vertical="center"/>
    </xf>
    <xf numFmtId="1" fontId="55" fillId="0" borderId="3" xfId="113" applyNumberFormat="1" applyFont="1" applyFill="1" applyBorder="1" applyAlignment="1">
      <alignment horizontal="center" vertical="center"/>
    </xf>
    <xf numFmtId="0" fontId="47" fillId="0" borderId="3" xfId="113" applyBorder="1" applyAlignment="1">
      <alignment horizontal="center"/>
    </xf>
    <xf numFmtId="0" fontId="47" fillId="0" borderId="3" xfId="113" applyBorder="1"/>
    <xf numFmtId="0" fontId="54" fillId="0" borderId="3" xfId="113" applyFont="1" applyBorder="1" applyAlignment="1">
      <alignment horizontal="center"/>
    </xf>
    <xf numFmtId="0" fontId="47" fillId="0" borderId="3" xfId="113" applyFill="1" applyBorder="1"/>
    <xf numFmtId="0" fontId="54" fillId="0" borderId="3" xfId="113" applyFont="1" applyFill="1" applyBorder="1" applyAlignment="1">
      <alignment horizontal="center" vertical="center" wrapText="1"/>
    </xf>
    <xf numFmtId="3" fontId="47" fillId="7" borderId="3" xfId="113" applyNumberFormat="1" applyFill="1" applyBorder="1" applyAlignment="1">
      <alignment horizontal="center" vertical="center"/>
    </xf>
    <xf numFmtId="43" fontId="47" fillId="0" borderId="0" xfId="1" applyFont="1"/>
    <xf numFmtId="0" fontId="1" fillId="0" borderId="0" xfId="0" applyFont="1" applyAlignment="1">
      <alignment wrapText="1"/>
    </xf>
    <xf numFmtId="0" fontId="2" fillId="0" borderId="0" xfId="0" applyFont="1" applyFill="1" applyAlignment="1">
      <alignment horizontal="center"/>
    </xf>
    <xf numFmtId="0" fontId="1" fillId="0" borderId="0" xfId="0" applyFont="1" applyFill="1" applyAlignment="1">
      <alignment horizontal="center"/>
    </xf>
    <xf numFmtId="0" fontId="3" fillId="0" borderId="0" xfId="0" applyFont="1" applyFill="1" applyAlignment="1">
      <alignment horizontal="center"/>
    </xf>
    <xf numFmtId="0" fontId="4" fillId="0" borderId="0" xfId="0" applyFont="1" applyFill="1" applyAlignment="1">
      <alignment horizontal="center"/>
    </xf>
    <xf numFmtId="0" fontId="1" fillId="0" borderId="0" xfId="0" applyFont="1" applyFill="1"/>
    <xf numFmtId="165" fontId="6" fillId="21" borderId="3" xfId="1" applyNumberFormat="1" applyFont="1" applyFill="1" applyBorder="1" applyAlignment="1">
      <alignment horizontal="center" wrapText="1"/>
    </xf>
    <xf numFmtId="165" fontId="6" fillId="0" borderId="3" xfId="1" applyNumberFormat="1" applyFont="1" applyBorder="1" applyAlignment="1">
      <alignment horizontal="center" wrapText="1"/>
    </xf>
    <xf numFmtId="165" fontId="6" fillId="0" borderId="3" xfId="1" applyNumberFormat="1" applyFont="1" applyFill="1" applyBorder="1" applyAlignment="1">
      <alignment horizontal="center" wrapText="1"/>
    </xf>
    <xf numFmtId="165" fontId="1" fillId="0" borderId="3" xfId="1" applyNumberFormat="1" applyFont="1" applyBorder="1"/>
    <xf numFmtId="165" fontId="1" fillId="0" borderId="3" xfId="1" applyNumberFormat="1" applyFont="1" applyBorder="1" applyAlignment="1">
      <alignment horizontal="center"/>
    </xf>
    <xf numFmtId="165" fontId="56" fillId="0" borderId="3" xfId="1" applyNumberFormat="1" applyFont="1" applyBorder="1"/>
    <xf numFmtId="165" fontId="56" fillId="0" borderId="3" xfId="1" applyNumberFormat="1" applyFont="1" applyBorder="1" applyAlignment="1">
      <alignment horizontal="center"/>
    </xf>
    <xf numFmtId="165" fontId="6" fillId="21" borderId="3" xfId="1" applyNumberFormat="1" applyFont="1" applyFill="1" applyBorder="1" applyAlignment="1">
      <alignment horizontal="center"/>
    </xf>
    <xf numFmtId="165" fontId="6" fillId="0" borderId="3" xfId="1" applyNumberFormat="1" applyFont="1" applyBorder="1" applyAlignment="1">
      <alignment wrapText="1"/>
    </xf>
    <xf numFmtId="167" fontId="7" fillId="29" borderId="3" xfId="86" applyNumberFormat="1" applyFont="1" applyFill="1" applyBorder="1"/>
    <xf numFmtId="167" fontId="7" fillId="29" borderId="3" xfId="86" applyNumberFormat="1" applyFont="1" applyFill="1" applyBorder="1" applyAlignment="1">
      <alignment horizontal="center"/>
    </xf>
    <xf numFmtId="9" fontId="7" fillId="29" borderId="3" xfId="3" applyFont="1" applyFill="1" applyBorder="1"/>
    <xf numFmtId="0" fontId="2" fillId="0" borderId="3" xfId="0" applyFont="1" applyFill="1" applyBorder="1" applyAlignment="1">
      <alignment horizontal="center"/>
    </xf>
    <xf numFmtId="165" fontId="2" fillId="0" borderId="3" xfId="1" applyNumberFormat="1" applyFont="1" applyFill="1" applyBorder="1" applyAlignment="1" applyProtection="1">
      <alignment horizontal="center" vertical="center"/>
    </xf>
    <xf numFmtId="0" fontId="2" fillId="0" borderId="3" xfId="0" applyFont="1" applyFill="1" applyBorder="1" applyAlignment="1">
      <alignment horizontal="left"/>
    </xf>
    <xf numFmtId="167" fontId="2" fillId="29" borderId="3" xfId="86" applyNumberFormat="1" applyFont="1" applyFill="1" applyBorder="1"/>
    <xf numFmtId="167" fontId="2" fillId="29" borderId="3" xfId="86" applyNumberFormat="1" applyFont="1" applyFill="1" applyBorder="1" applyAlignment="1">
      <alignment horizontal="center"/>
    </xf>
    <xf numFmtId="9" fontId="5" fillId="29" borderId="3" xfId="3" applyFont="1" applyFill="1" applyBorder="1"/>
    <xf numFmtId="167" fontId="2" fillId="29" borderId="3" xfId="86" applyNumberFormat="1" applyFont="1" applyFill="1" applyBorder="1" applyAlignment="1">
      <alignment vertical="center"/>
    </xf>
    <xf numFmtId="9" fontId="2" fillId="29" borderId="3" xfId="3" applyFont="1" applyFill="1" applyBorder="1"/>
    <xf numFmtId="0" fontId="1" fillId="0" borderId="3" xfId="0" applyFont="1" applyFill="1" applyBorder="1" applyAlignment="1">
      <alignment horizontal="center"/>
    </xf>
    <xf numFmtId="0" fontId="1" fillId="0" borderId="3" xfId="0" applyFont="1" applyFill="1" applyBorder="1" applyAlignment="1">
      <alignment horizontal="left"/>
    </xf>
    <xf numFmtId="167" fontId="7" fillId="29" borderId="3" xfId="86" applyNumberFormat="1" applyFont="1" applyFill="1" applyBorder="1" applyAlignment="1">
      <alignment vertical="center"/>
    </xf>
    <xf numFmtId="0" fontId="1" fillId="29" borderId="3" xfId="0" applyFont="1" applyFill="1" applyBorder="1" applyAlignment="1">
      <alignment horizontal="center" vertical="center"/>
    </xf>
    <xf numFmtId="167" fontId="2" fillId="29" borderId="3" xfId="48" applyNumberFormat="1" applyFont="1" applyFill="1" applyBorder="1" applyAlignment="1">
      <alignment vertical="center"/>
    </xf>
    <xf numFmtId="167" fontId="7" fillId="29" borderId="3" xfId="48" applyNumberFormat="1" applyFont="1" applyFill="1" applyBorder="1" applyAlignment="1">
      <alignment vertical="center"/>
    </xf>
    <xf numFmtId="165" fontId="6" fillId="0" borderId="3" xfId="1" applyNumberFormat="1" applyFont="1" applyFill="1" applyBorder="1" applyAlignment="1" applyProtection="1">
      <alignment horizontal="center" vertical="center"/>
    </xf>
    <xf numFmtId="0" fontId="6" fillId="0" borderId="3" xfId="0" applyFont="1" applyFill="1" applyBorder="1" applyAlignment="1">
      <alignment horizontal="left"/>
    </xf>
    <xf numFmtId="167" fontId="6" fillId="29" borderId="3" xfId="86" applyNumberFormat="1" applyFont="1" applyFill="1" applyBorder="1"/>
    <xf numFmtId="9" fontId="6" fillId="29" borderId="3" xfId="3" applyFont="1" applyFill="1" applyBorder="1"/>
    <xf numFmtId="0" fontId="4" fillId="0" borderId="3" xfId="0" applyFont="1" applyFill="1" applyBorder="1" applyAlignment="1">
      <alignment horizontal="center"/>
    </xf>
    <xf numFmtId="0" fontId="4" fillId="0" borderId="3" xfId="0" applyFont="1" applyFill="1" applyBorder="1" applyAlignment="1">
      <alignment horizontal="left"/>
    </xf>
    <xf numFmtId="167" fontId="4" fillId="29" borderId="3" xfId="86" applyNumberFormat="1" applyFont="1" applyFill="1" applyBorder="1"/>
    <xf numFmtId="167" fontId="4" fillId="29" borderId="3" xfId="86" applyNumberFormat="1" applyFont="1" applyFill="1" applyBorder="1" applyAlignment="1">
      <alignment horizontal="center"/>
    </xf>
    <xf numFmtId="0" fontId="1" fillId="0" borderId="0" xfId="0" applyFont="1" applyFill="1" applyBorder="1" applyAlignment="1">
      <alignment horizontal="center"/>
    </xf>
    <xf numFmtId="165" fontId="1" fillId="0" borderId="0" xfId="1" applyNumberFormat="1" applyFont="1" applyFill="1" applyBorder="1" applyAlignment="1" applyProtection="1">
      <alignment horizontal="center" vertical="center"/>
    </xf>
    <xf numFmtId="0" fontId="1" fillId="0" borderId="0" xfId="0" applyFont="1" applyFill="1" applyBorder="1" applyAlignment="1">
      <alignment horizontal="left"/>
    </xf>
    <xf numFmtId="167" fontId="2" fillId="0" borderId="3" xfId="86" applyNumberFormat="1" applyFont="1" applyFill="1" applyBorder="1"/>
    <xf numFmtId="167" fontId="2" fillId="0" borderId="3" xfId="86" applyNumberFormat="1" applyFont="1" applyFill="1" applyBorder="1" applyAlignment="1">
      <alignment horizontal="center"/>
    </xf>
    <xf numFmtId="9" fontId="2" fillId="0" borderId="3" xfId="3" applyFont="1" applyFill="1" applyBorder="1"/>
    <xf numFmtId="9" fontId="5" fillId="0" borderId="3" xfId="3" applyFont="1" applyFill="1" applyBorder="1"/>
    <xf numFmtId="167" fontId="2" fillId="0" borderId="3" xfId="86" applyNumberFormat="1" applyFont="1" applyFill="1" applyBorder="1" applyAlignment="1">
      <alignment vertical="center"/>
    </xf>
    <xf numFmtId="9" fontId="2" fillId="0" borderId="3" xfId="3" applyFont="1" applyFill="1" applyBorder="1" applyAlignment="1">
      <alignment vertical="center"/>
    </xf>
    <xf numFmtId="9" fontId="56" fillId="0" borderId="3" xfId="3" applyFont="1" applyFill="1" applyBorder="1"/>
    <xf numFmtId="167" fontId="2" fillId="0" borderId="3" xfId="48" applyNumberFormat="1" applyFont="1" applyFill="1" applyBorder="1" applyAlignment="1">
      <alignment vertical="center"/>
    </xf>
    <xf numFmtId="167" fontId="6" fillId="0" borderId="3" xfId="86" applyNumberFormat="1" applyFont="1" applyFill="1" applyBorder="1"/>
    <xf numFmtId="9" fontId="6" fillId="0" borderId="3" xfId="3" applyFont="1" applyFill="1" applyBorder="1"/>
    <xf numFmtId="167" fontId="57" fillId="0" borderId="3" xfId="86" applyNumberFormat="1" applyFont="1" applyFill="1" applyBorder="1"/>
    <xf numFmtId="167" fontId="3" fillId="0" borderId="3" xfId="86" applyNumberFormat="1" applyFont="1" applyFill="1" applyBorder="1"/>
    <xf numFmtId="167" fontId="5" fillId="0" borderId="3" xfId="86" applyNumberFormat="1" applyFont="1" applyFill="1" applyBorder="1"/>
    <xf numFmtId="167" fontId="3" fillId="0" borderId="3" xfId="48" applyNumberFormat="1" applyFont="1" applyFill="1" applyBorder="1" applyAlignment="1">
      <alignment vertical="center"/>
    </xf>
    <xf numFmtId="165" fontId="1" fillId="0" borderId="0" xfId="1" applyNumberFormat="1" applyFont="1" applyAlignment="1">
      <alignment wrapText="1"/>
    </xf>
    <xf numFmtId="165" fontId="1" fillId="0" borderId="3" xfId="1" applyNumberFormat="1" applyFont="1" applyFill="1" applyBorder="1"/>
    <xf numFmtId="165" fontId="2" fillId="0" borderId="3" xfId="1" applyNumberFormat="1" applyFont="1" applyFill="1" applyBorder="1"/>
    <xf numFmtId="165" fontId="2" fillId="0" borderId="3" xfId="1" applyNumberFormat="1" applyFont="1" applyFill="1" applyBorder="1" applyAlignment="1">
      <alignment vertical="center"/>
    </xf>
    <xf numFmtId="165" fontId="6" fillId="0" borderId="3" xfId="1" applyNumberFormat="1" applyFont="1" applyFill="1" applyBorder="1"/>
    <xf numFmtId="165" fontId="4" fillId="0" borderId="3" xfId="1" applyNumberFormat="1" applyFont="1" applyFill="1" applyBorder="1"/>
    <xf numFmtId="165" fontId="1" fillId="0" borderId="0" xfId="1" applyNumberFormat="1" applyFont="1" applyFill="1"/>
    <xf numFmtId="0" fontId="9" fillId="0" borderId="0" xfId="0" applyFont="1" applyFill="1" applyAlignment="1">
      <alignment horizontal="center" vertical="center"/>
    </xf>
    <xf numFmtId="0" fontId="8" fillId="0" borderId="0" xfId="0" applyFont="1" applyFill="1" applyAlignment="1">
      <alignment vertical="center"/>
    </xf>
    <xf numFmtId="0" fontId="43" fillId="0" borderId="0" xfId="0" applyFont="1" applyFill="1" applyAlignment="1">
      <alignment vertical="center"/>
    </xf>
    <xf numFmtId="0" fontId="58" fillId="0" borderId="0" xfId="0" applyFont="1" applyFill="1" applyAlignment="1">
      <alignment vertical="center"/>
    </xf>
    <xf numFmtId="0" fontId="41" fillId="0" borderId="0" xfId="0" applyFont="1" applyFill="1" applyAlignment="1">
      <alignment vertical="center"/>
    </xf>
    <xf numFmtId="0" fontId="59" fillId="0" borderId="0" xfId="0" applyFont="1" applyFill="1" applyAlignment="1">
      <alignment vertical="center"/>
    </xf>
    <xf numFmtId="0" fontId="8" fillId="0" borderId="3" xfId="0" applyFont="1" applyFill="1" applyBorder="1" applyAlignment="1">
      <alignment vertical="center"/>
    </xf>
    <xf numFmtId="0" fontId="8" fillId="0" borderId="0" xfId="0" applyFont="1" applyFill="1" applyAlignment="1">
      <alignment horizontal="center"/>
    </xf>
    <xf numFmtId="0" fontId="8" fillId="0" borderId="0" xfId="0" applyFont="1" applyFill="1" applyAlignment="1">
      <alignment horizontal="left"/>
    </xf>
    <xf numFmtId="0" fontId="8" fillId="0" borderId="0" xfId="0" applyNumberFormat="1" applyFont="1" applyFill="1" applyAlignment="1">
      <alignment horizontal="left"/>
    </xf>
    <xf numFmtId="0" fontId="8" fillId="0" borderId="0" xfId="0" applyFont="1" applyFill="1"/>
    <xf numFmtId="0" fontId="9" fillId="0" borderId="0" xfId="0" applyNumberFormat="1" applyFont="1" applyFill="1" applyAlignment="1">
      <alignment horizontal="center"/>
    </xf>
    <xf numFmtId="0" fontId="8" fillId="0" borderId="0" xfId="0" applyNumberFormat="1" applyFont="1" applyFill="1" applyAlignment="1">
      <alignment horizontal="center"/>
    </xf>
    <xf numFmtId="0" fontId="8" fillId="0" borderId="0" xfId="1" applyNumberFormat="1" applyFont="1" applyFill="1" applyAlignment="1">
      <alignment horizontal="center"/>
    </xf>
    <xf numFmtId="171" fontId="8" fillId="0" borderId="0" xfId="1" applyNumberFormat="1" applyFont="1" applyFill="1"/>
    <xf numFmtId="0" fontId="8" fillId="24" borderId="0" xfId="0" applyFont="1" applyFill="1"/>
    <xf numFmtId="0" fontId="8" fillId="0" borderId="0" xfId="0" applyFont="1" applyFill="1" applyBorder="1" applyAlignment="1">
      <alignment horizontal="center"/>
    </xf>
    <xf numFmtId="0" fontId="8" fillId="0" borderId="0" xfId="0" applyFont="1" applyFill="1" applyBorder="1" applyAlignment="1">
      <alignment horizontal="left"/>
    </xf>
    <xf numFmtId="0" fontId="8" fillId="0" borderId="0" xfId="0" applyNumberFormat="1" applyFont="1" applyFill="1" applyBorder="1" applyAlignment="1">
      <alignment horizontal="left"/>
    </xf>
    <xf numFmtId="0" fontId="8" fillId="0" borderId="0" xfId="0" applyFont="1" applyFill="1" applyBorder="1"/>
    <xf numFmtId="0" fontId="9" fillId="0" borderId="8" xfId="0" applyFont="1" applyFill="1" applyBorder="1" applyAlignment="1">
      <alignment horizontal="center" vertical="center" wrapText="1"/>
    </xf>
    <xf numFmtId="0" fontId="9" fillId="0" borderId="6" xfId="0" applyNumberFormat="1" applyFont="1" applyFill="1" applyBorder="1" applyAlignment="1">
      <alignment horizontal="center" vertical="center"/>
    </xf>
    <xf numFmtId="0" fontId="9" fillId="0" borderId="6" xfId="0" applyFont="1" applyFill="1" applyBorder="1" applyAlignment="1">
      <alignment horizontal="center" vertical="center" wrapText="1"/>
    </xf>
    <xf numFmtId="0" fontId="8" fillId="17" borderId="3" xfId="0" applyFont="1" applyFill="1" applyBorder="1" applyAlignment="1">
      <alignment horizontal="center" vertical="center"/>
    </xf>
    <xf numFmtId="165" fontId="11" fillId="17" borderId="3" xfId="1" applyNumberFormat="1" applyFont="1" applyFill="1" applyBorder="1" applyAlignment="1" applyProtection="1">
      <alignment horizontal="left" vertical="center"/>
    </xf>
    <xf numFmtId="165" fontId="11" fillId="17" borderId="3" xfId="1" applyNumberFormat="1" applyFont="1" applyFill="1" applyBorder="1" applyAlignment="1" applyProtection="1">
      <alignment vertical="center"/>
    </xf>
    <xf numFmtId="0" fontId="60" fillId="17" borderId="3" xfId="0" applyFont="1" applyFill="1" applyBorder="1" applyAlignment="1" applyProtection="1">
      <alignment horizontal="center" vertical="center" wrapText="1"/>
    </xf>
    <xf numFmtId="0" fontId="43" fillId="11" borderId="3" xfId="0" applyFont="1" applyFill="1" applyBorder="1" applyAlignment="1">
      <alignment horizontal="center" vertical="center"/>
    </xf>
    <xf numFmtId="0" fontId="60" fillId="11" borderId="3" xfId="0" applyFont="1" applyFill="1" applyBorder="1" applyAlignment="1" applyProtection="1">
      <alignment horizontal="center" vertical="center" wrapText="1"/>
    </xf>
    <xf numFmtId="0" fontId="43" fillId="0" borderId="3" xfId="0" applyFont="1" applyFill="1" applyBorder="1" applyAlignment="1">
      <alignment horizontal="center" vertical="center"/>
    </xf>
    <xf numFmtId="165" fontId="10" fillId="0" borderId="3" xfId="1" applyNumberFormat="1" applyFont="1" applyFill="1" applyBorder="1" applyAlignment="1" applyProtection="1">
      <alignment horizontal="left" vertical="center" wrapText="1"/>
    </xf>
    <xf numFmtId="0" fontId="10" fillId="0" borderId="3" xfId="0" applyFont="1" applyFill="1" applyBorder="1" applyAlignment="1" applyProtection="1">
      <alignment horizontal="center" vertical="center" wrapText="1"/>
    </xf>
    <xf numFmtId="0" fontId="61" fillId="0" borderId="3" xfId="0" applyFont="1" applyFill="1" applyBorder="1" applyAlignment="1" applyProtection="1">
      <alignment horizontal="center" vertical="center" wrapText="1"/>
    </xf>
    <xf numFmtId="0" fontId="58" fillId="0" borderId="3" xfId="0" applyFont="1" applyFill="1" applyBorder="1" applyAlignment="1">
      <alignment horizontal="center" vertical="center"/>
    </xf>
    <xf numFmtId="165" fontId="4" fillId="0" borderId="3" xfId="1" applyNumberFormat="1" applyFont="1" applyFill="1" applyBorder="1" applyAlignment="1" applyProtection="1">
      <alignment horizontal="left" vertical="center" wrapText="1"/>
    </xf>
    <xf numFmtId="0" fontId="8" fillId="0" borderId="3" xfId="0" applyFont="1" applyFill="1" applyBorder="1" applyAlignment="1">
      <alignment horizontal="center" vertical="center"/>
    </xf>
    <xf numFmtId="0" fontId="41" fillId="0" borderId="3" xfId="0" applyFont="1" applyFill="1" applyBorder="1" applyAlignment="1">
      <alignment horizontal="center" vertical="center"/>
    </xf>
    <xf numFmtId="0" fontId="42" fillId="0" borderId="3" xfId="110" applyFont="1" applyFill="1" applyBorder="1" applyAlignment="1" applyProtection="1">
      <alignment horizontal="left" vertical="center" wrapText="1"/>
    </xf>
    <xf numFmtId="165" fontId="42" fillId="0" borderId="3" xfId="1" applyNumberFormat="1" applyFont="1" applyFill="1" applyBorder="1" applyAlignment="1" applyProtection="1">
      <alignment horizontal="left" vertical="center" wrapText="1"/>
    </xf>
    <xf numFmtId="165" fontId="42" fillId="0" borderId="3" xfId="1" applyNumberFormat="1" applyFont="1" applyFill="1" applyBorder="1" applyAlignment="1" applyProtection="1">
      <alignment horizontal="center" vertical="center"/>
    </xf>
    <xf numFmtId="0" fontId="4" fillId="30" borderId="8" xfId="110" applyFont="1" applyFill="1" applyBorder="1" applyAlignment="1" applyProtection="1">
      <alignment horizontal="left" vertical="center" wrapText="1"/>
    </xf>
    <xf numFmtId="0" fontId="4" fillId="28" borderId="3" xfId="110" applyFont="1" applyFill="1" applyBorder="1" applyAlignment="1" applyProtection="1">
      <alignment horizontal="left" vertical="center" wrapText="1"/>
    </xf>
    <xf numFmtId="0" fontId="62" fillId="0" borderId="3" xfId="110" applyFont="1" applyFill="1" applyBorder="1" applyAlignment="1" applyProtection="1">
      <alignment horizontal="left" vertical="center" wrapText="1"/>
    </xf>
    <xf numFmtId="165" fontId="62" fillId="0" borderId="3" xfId="1" applyNumberFormat="1" applyFont="1" applyFill="1" applyBorder="1" applyAlignment="1" applyProtection="1">
      <alignment horizontal="left" vertical="center" wrapText="1"/>
    </xf>
    <xf numFmtId="165" fontId="62" fillId="0" borderId="3" xfId="1" applyNumberFormat="1" applyFont="1" applyFill="1" applyBorder="1" applyAlignment="1" applyProtection="1">
      <alignment horizontal="center" vertical="center"/>
    </xf>
    <xf numFmtId="0" fontId="9" fillId="0" borderId="0" xfId="0" applyNumberFormat="1" applyFont="1" applyFill="1" applyBorder="1" applyAlignment="1">
      <alignment horizontal="center"/>
    </xf>
    <xf numFmtId="0" fontId="8" fillId="0" borderId="0" xfId="0" applyNumberFormat="1" applyFont="1" applyFill="1" applyBorder="1" applyAlignment="1">
      <alignment horizontal="center"/>
    </xf>
    <xf numFmtId="0" fontId="8" fillId="0" borderId="0" xfId="0" applyNumberFormat="1" applyFont="1" applyFill="1" applyBorder="1" applyAlignment="1">
      <alignment horizontal="center" vertical="center"/>
    </xf>
    <xf numFmtId="0" fontId="9" fillId="0" borderId="0" xfId="0" applyNumberFormat="1" applyFont="1" applyFill="1" applyBorder="1" applyAlignment="1">
      <alignment horizontal="left"/>
    </xf>
    <xf numFmtId="0" fontId="8" fillId="0" borderId="0" xfId="1" applyNumberFormat="1" applyFont="1" applyFill="1" applyBorder="1" applyAlignment="1">
      <alignment horizontal="center"/>
    </xf>
    <xf numFmtId="0" fontId="9" fillId="0" borderId="0" xfId="1" applyNumberFormat="1" applyFont="1" applyFill="1" applyBorder="1" applyAlignment="1">
      <alignment horizontal="center"/>
    </xf>
    <xf numFmtId="14" fontId="9" fillId="0" borderId="0" xfId="0" applyNumberFormat="1" applyFont="1" applyFill="1" applyBorder="1" applyAlignment="1"/>
    <xf numFmtId="171" fontId="8" fillId="0" borderId="0" xfId="1" applyNumberFormat="1" applyFont="1" applyFill="1" applyBorder="1"/>
    <xf numFmtId="165" fontId="8" fillId="0" borderId="0" xfId="1" applyNumberFormat="1" applyFont="1" applyFill="1" applyBorder="1"/>
    <xf numFmtId="0" fontId="8" fillId="24" borderId="0" xfId="0" applyFont="1" applyFill="1" applyBorder="1"/>
    <xf numFmtId="0" fontId="8" fillId="24" borderId="0" xfId="0" applyFont="1" applyFill="1" applyBorder="1" applyAlignment="1">
      <alignment horizontal="left"/>
    </xf>
    <xf numFmtId="171" fontId="8" fillId="17" borderId="3" xfId="1" applyNumberFormat="1" applyFont="1" applyFill="1" applyBorder="1" applyAlignment="1">
      <alignment vertical="center"/>
    </xf>
    <xf numFmtId="171" fontId="43" fillId="17" borderId="3" xfId="1" applyNumberFormat="1" applyFont="1" applyFill="1" applyBorder="1" applyAlignment="1">
      <alignment vertical="center"/>
    </xf>
    <xf numFmtId="0" fontId="8" fillId="24" borderId="3" xfId="0" applyFont="1" applyFill="1" applyBorder="1" applyAlignment="1">
      <alignment vertical="center"/>
    </xf>
    <xf numFmtId="171" fontId="43" fillId="11" borderId="3" xfId="1" applyNumberFormat="1" applyFont="1" applyFill="1" applyBorder="1" applyAlignment="1">
      <alignment vertical="center"/>
    </xf>
    <xf numFmtId="171" fontId="8" fillId="11" borderId="3" xfId="1" applyNumberFormat="1" applyFont="1" applyFill="1" applyBorder="1" applyAlignment="1">
      <alignment vertical="center"/>
    </xf>
    <xf numFmtId="171" fontId="8" fillId="0" borderId="3" xfId="1" applyNumberFormat="1" applyFont="1" applyFill="1" applyBorder="1" applyAlignment="1">
      <alignment vertical="center"/>
    </xf>
    <xf numFmtId="0" fontId="43" fillId="24" borderId="3" xfId="0" applyFont="1" applyFill="1" applyBorder="1" applyAlignment="1">
      <alignment vertical="center"/>
    </xf>
    <xf numFmtId="0" fontId="60" fillId="24" borderId="3" xfId="0" applyFont="1" applyFill="1" applyBorder="1" applyAlignment="1" applyProtection="1">
      <alignment horizontal="center" vertical="center" wrapText="1"/>
    </xf>
    <xf numFmtId="0" fontId="58" fillId="24" borderId="3" xfId="0" applyFont="1" applyFill="1" applyBorder="1" applyAlignment="1">
      <alignment vertical="center"/>
    </xf>
    <xf numFmtId="171" fontId="41" fillId="0" borderId="3" xfId="1" applyNumberFormat="1" applyFont="1" applyFill="1" applyBorder="1" applyAlignment="1">
      <alignment vertical="center"/>
    </xf>
    <xf numFmtId="0" fontId="41" fillId="24" borderId="3" xfId="0" applyFont="1" applyFill="1" applyBorder="1" applyAlignment="1">
      <alignment vertical="center"/>
    </xf>
    <xf numFmtId="0" fontId="8" fillId="0" borderId="3" xfId="0" applyFont="1" applyFill="1" applyBorder="1"/>
    <xf numFmtId="0" fontId="63" fillId="0" borderId="3" xfId="0" applyFont="1" applyFill="1" applyBorder="1" applyAlignment="1">
      <alignment horizontal="center" vertical="center"/>
    </xf>
    <xf numFmtId="0" fontId="8" fillId="0" borderId="8" xfId="0" applyFont="1" applyFill="1" applyBorder="1"/>
    <xf numFmtId="165" fontId="8" fillId="0" borderId="3" xfId="1" applyNumberFormat="1" applyFont="1" applyFill="1" applyBorder="1" applyAlignment="1">
      <alignment horizontal="center"/>
    </xf>
    <xf numFmtId="0" fontId="8" fillId="7" borderId="3" xfId="0" applyFont="1" applyFill="1" applyBorder="1"/>
    <xf numFmtId="0" fontId="8" fillId="7" borderId="3" xfId="0" applyFont="1" applyFill="1" applyBorder="1" applyAlignment="1">
      <alignment horizontal="center"/>
    </xf>
    <xf numFmtId="0" fontId="64" fillId="2" borderId="8" xfId="0" applyFont="1" applyFill="1" applyBorder="1" applyAlignment="1">
      <alignment vertical="center"/>
    </xf>
    <xf numFmtId="0" fontId="9" fillId="0" borderId="3" xfId="0" applyFont="1" applyFill="1" applyBorder="1" applyAlignment="1">
      <alignment horizontal="center" vertical="center"/>
    </xf>
    <xf numFmtId="0" fontId="43" fillId="17" borderId="3" xfId="0" applyNumberFormat="1" applyFont="1" applyFill="1" applyBorder="1" applyAlignment="1">
      <alignment horizontal="center" vertical="center"/>
    </xf>
    <xf numFmtId="0" fontId="43"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43" fillId="0" borderId="3" xfId="0" applyNumberFormat="1" applyFont="1" applyFill="1" applyBorder="1" applyAlignment="1">
      <alignment horizontal="center" vertical="center"/>
    </xf>
    <xf numFmtId="0" fontId="8" fillId="0" borderId="3" xfId="0" applyNumberFormat="1" applyFont="1" applyFill="1" applyBorder="1" applyAlignment="1">
      <alignment horizontal="center" vertical="center"/>
    </xf>
    <xf numFmtId="0" fontId="9" fillId="11" borderId="3" xfId="0" applyFont="1" applyFill="1" applyBorder="1" applyAlignment="1" applyProtection="1">
      <alignment horizontal="center" vertical="center" wrapText="1"/>
    </xf>
    <xf numFmtId="0" fontId="41" fillId="0" borderId="3" xfId="0" applyNumberFormat="1" applyFont="1" applyFill="1" applyBorder="1" applyAlignment="1">
      <alignment horizontal="center" vertical="center"/>
    </xf>
    <xf numFmtId="0" fontId="8" fillId="0" borderId="3" xfId="1" applyNumberFormat="1" applyFont="1" applyFill="1" applyBorder="1" applyAlignment="1">
      <alignment horizontal="center" vertical="center"/>
    </xf>
    <xf numFmtId="0" fontId="64" fillId="2" borderId="1" xfId="0" applyFont="1" applyFill="1" applyBorder="1" applyAlignment="1">
      <alignment vertical="center"/>
    </xf>
    <xf numFmtId="0" fontId="11" fillId="0" borderId="3" xfId="104" applyFont="1" applyBorder="1" applyAlignment="1">
      <alignment horizontal="center" vertical="center" wrapText="1"/>
    </xf>
    <xf numFmtId="171" fontId="9" fillId="0" borderId="3" xfId="1" applyNumberFormat="1" applyFont="1" applyFill="1" applyBorder="1" applyAlignment="1">
      <alignment vertical="center" wrapText="1"/>
    </xf>
    <xf numFmtId="0" fontId="8" fillId="17" borderId="3" xfId="0" applyNumberFormat="1" applyFont="1" applyFill="1" applyBorder="1" applyAlignment="1">
      <alignment horizontal="center" vertical="center"/>
    </xf>
    <xf numFmtId="0" fontId="64" fillId="24" borderId="0" xfId="0" applyFont="1" applyFill="1" applyBorder="1" applyAlignment="1">
      <alignment vertical="center"/>
    </xf>
    <xf numFmtId="0" fontId="64" fillId="2" borderId="0" xfId="0" applyFont="1" applyFill="1" applyBorder="1" applyAlignment="1">
      <alignment vertical="center"/>
    </xf>
    <xf numFmtId="0" fontId="9" fillId="24" borderId="0" xfId="0" applyFont="1" applyFill="1" applyAlignment="1">
      <alignment horizontal="center" vertical="center"/>
    </xf>
    <xf numFmtId="0" fontId="8" fillId="24" borderId="0" xfId="0" applyFont="1" applyFill="1" applyAlignment="1">
      <alignment vertical="center"/>
    </xf>
    <xf numFmtId="165" fontId="8" fillId="17" borderId="3" xfId="1" applyNumberFormat="1" applyFont="1" applyFill="1" applyBorder="1" applyAlignment="1">
      <alignment vertical="center"/>
    </xf>
    <xf numFmtId="165" fontId="8" fillId="11" borderId="3" xfId="1" applyNumberFormat="1" applyFont="1" applyFill="1" applyBorder="1" applyAlignment="1">
      <alignment vertical="center"/>
    </xf>
    <xf numFmtId="0" fontId="43" fillId="24" borderId="0" xfId="0" applyFont="1" applyFill="1" applyAlignment="1">
      <alignment vertical="center"/>
    </xf>
    <xf numFmtId="165" fontId="8" fillId="2" borderId="3" xfId="1" applyNumberFormat="1" applyFont="1" applyFill="1" applyBorder="1" applyAlignment="1">
      <alignment vertical="center"/>
    </xf>
    <xf numFmtId="165" fontId="8" fillId="0" borderId="3" xfId="1" applyNumberFormat="1" applyFont="1" applyFill="1" applyBorder="1" applyAlignment="1">
      <alignment vertical="center"/>
    </xf>
    <xf numFmtId="0" fontId="58" fillId="24" borderId="0" xfId="0" applyFont="1" applyFill="1" applyAlignment="1">
      <alignment vertical="center"/>
    </xf>
    <xf numFmtId="0" fontId="41" fillId="24" borderId="0" xfId="0" applyFont="1" applyFill="1" applyAlignment="1">
      <alignment vertical="center"/>
    </xf>
    <xf numFmtId="165" fontId="41" fillId="2" borderId="3" xfId="1" applyNumberFormat="1" applyFont="1" applyFill="1" applyBorder="1" applyAlignment="1">
      <alignment vertical="center"/>
    </xf>
    <xf numFmtId="165" fontId="41" fillId="0" borderId="3" xfId="1" applyNumberFormat="1" applyFont="1" applyFill="1" applyBorder="1" applyAlignment="1">
      <alignment vertical="center"/>
    </xf>
    <xf numFmtId="165" fontId="44" fillId="2" borderId="3" xfId="1" applyNumberFormat="1" applyFont="1" applyFill="1" applyBorder="1" applyAlignment="1">
      <alignment vertical="center"/>
    </xf>
    <xf numFmtId="165" fontId="44" fillId="0" borderId="3" xfId="1" applyNumberFormat="1" applyFont="1" applyFill="1" applyBorder="1" applyAlignment="1">
      <alignment vertical="center"/>
    </xf>
    <xf numFmtId="165" fontId="8" fillId="31" borderId="3" xfId="1" applyNumberFormat="1" applyFont="1" applyFill="1" applyBorder="1" applyAlignment="1">
      <alignment vertical="center"/>
    </xf>
    <xf numFmtId="0" fontId="12" fillId="30" borderId="8" xfId="110" applyFont="1" applyFill="1" applyBorder="1" applyAlignment="1" applyProtection="1">
      <alignment horizontal="left" vertical="center" wrapText="1"/>
    </xf>
    <xf numFmtId="165" fontId="4" fillId="28" borderId="3" xfId="1" applyNumberFormat="1" applyFont="1" applyFill="1" applyBorder="1" applyAlignment="1" applyProtection="1">
      <alignment horizontal="left" vertical="center" wrapText="1"/>
    </xf>
    <xf numFmtId="165" fontId="4" fillId="28" borderId="3" xfId="1" applyNumberFormat="1" applyFont="1" applyFill="1" applyBorder="1" applyAlignment="1" applyProtection="1">
      <alignment horizontal="center" vertical="center"/>
    </xf>
    <xf numFmtId="0" fontId="43" fillId="2" borderId="3" xfId="0" applyFont="1" applyFill="1" applyBorder="1" applyAlignment="1">
      <alignment horizontal="center" vertical="center"/>
    </xf>
    <xf numFmtId="0" fontId="11" fillId="2" borderId="3" xfId="0" applyFont="1" applyFill="1" applyBorder="1" applyAlignment="1" applyProtection="1">
      <alignment horizontal="left" vertical="center" wrapText="1"/>
    </xf>
    <xf numFmtId="171" fontId="43" fillId="0" borderId="3" xfId="1" applyNumberFormat="1" applyFont="1" applyFill="1" applyBorder="1" applyAlignment="1">
      <alignment vertical="center"/>
    </xf>
    <xf numFmtId="0" fontId="9" fillId="24" borderId="3" xfId="0" applyFont="1" applyFill="1" applyBorder="1" applyAlignment="1" applyProtection="1">
      <alignment horizontal="center" vertical="center" wrapText="1"/>
    </xf>
    <xf numFmtId="0" fontId="9" fillId="2" borderId="3" xfId="0" applyFont="1" applyFill="1" applyBorder="1" applyAlignment="1" applyProtection="1">
      <alignment horizontal="center" vertical="center" wrapText="1"/>
    </xf>
    <xf numFmtId="165" fontId="43" fillId="0" borderId="3" xfId="1" applyNumberFormat="1" applyFont="1" applyFill="1" applyBorder="1" applyAlignment="1">
      <alignment vertical="center"/>
    </xf>
    <xf numFmtId="0" fontId="4" fillId="32" borderId="3" xfId="110" applyFont="1" applyFill="1" applyBorder="1" applyAlignment="1" applyProtection="1">
      <alignment horizontal="left" vertical="center" wrapText="1"/>
    </xf>
    <xf numFmtId="165" fontId="4" fillId="32" borderId="3" xfId="1" applyNumberFormat="1" applyFont="1" applyFill="1" applyBorder="1" applyAlignment="1" applyProtection="1">
      <alignment horizontal="center" vertical="center"/>
    </xf>
    <xf numFmtId="165" fontId="42" fillId="0" borderId="3" xfId="1" applyNumberFormat="1" applyFont="1" applyFill="1" applyBorder="1" applyAlignment="1" applyProtection="1">
      <alignment horizontal="left" vertical="center"/>
    </xf>
    <xf numFmtId="0" fontId="59" fillId="0" borderId="3" xfId="0" applyFont="1" applyFill="1" applyBorder="1" applyAlignment="1">
      <alignment horizontal="center" vertical="center"/>
    </xf>
    <xf numFmtId="165" fontId="59" fillId="0" borderId="3" xfId="1" applyNumberFormat="1" applyFont="1" applyFill="1" applyBorder="1" applyAlignment="1" applyProtection="1">
      <alignment horizontal="left" vertical="center"/>
    </xf>
    <xf numFmtId="165" fontId="65" fillId="0" borderId="3" xfId="1" applyNumberFormat="1" applyFont="1" applyFill="1" applyBorder="1" applyAlignment="1" applyProtection="1">
      <alignment horizontal="left" vertical="center" wrapText="1"/>
    </xf>
    <xf numFmtId="165" fontId="65" fillId="0" borderId="3" xfId="1" applyNumberFormat="1" applyFont="1" applyFill="1" applyBorder="1" applyAlignment="1" applyProtection="1">
      <alignment horizontal="center" vertical="center"/>
    </xf>
    <xf numFmtId="171" fontId="59" fillId="0" borderId="3" xfId="1" applyNumberFormat="1" applyFont="1" applyFill="1" applyBorder="1" applyAlignment="1">
      <alignment vertical="center"/>
    </xf>
    <xf numFmtId="0" fontId="59" fillId="24" borderId="3" xfId="0" applyFont="1" applyFill="1" applyBorder="1" applyAlignment="1">
      <alignment vertical="center"/>
    </xf>
    <xf numFmtId="0" fontId="59" fillId="0" borderId="3" xfId="0" applyNumberFormat="1" applyFont="1" applyFill="1" applyBorder="1" applyAlignment="1">
      <alignment horizontal="center" vertical="center"/>
    </xf>
    <xf numFmtId="0" fontId="59" fillId="24" borderId="0" xfId="0" applyFont="1" applyFill="1" applyAlignment="1">
      <alignment vertical="center"/>
    </xf>
    <xf numFmtId="165" fontId="59" fillId="0" borderId="3" xfId="1" applyNumberFormat="1" applyFont="1" applyFill="1" applyBorder="1" applyAlignment="1">
      <alignment vertical="center"/>
    </xf>
    <xf numFmtId="165" fontId="59" fillId="2" borderId="3" xfId="1" applyNumberFormat="1" applyFont="1" applyFill="1" applyBorder="1" applyAlignment="1">
      <alignment vertical="center"/>
    </xf>
    <xf numFmtId="0" fontId="41" fillId="0" borderId="4" xfId="0" applyFont="1" applyFill="1" applyBorder="1" applyAlignment="1">
      <alignment horizontal="center" vertical="center"/>
    </xf>
    <xf numFmtId="165" fontId="41" fillId="0" borderId="4" xfId="1" applyNumberFormat="1" applyFont="1" applyFill="1" applyBorder="1" applyAlignment="1" applyProtection="1">
      <alignment horizontal="left" vertical="center"/>
    </xf>
    <xf numFmtId="165" fontId="42" fillId="0" borderId="4" xfId="1" applyNumberFormat="1" applyFont="1" applyFill="1" applyBorder="1" applyAlignment="1" applyProtection="1">
      <alignment horizontal="left" vertical="center" wrapText="1"/>
    </xf>
    <xf numFmtId="165" fontId="42" fillId="0" borderId="4" xfId="1" applyNumberFormat="1" applyFont="1" applyFill="1" applyBorder="1" applyAlignment="1" applyProtection="1">
      <alignment horizontal="center" vertical="center"/>
    </xf>
    <xf numFmtId="0" fontId="8" fillId="0" borderId="0" xfId="0" applyFont="1" applyFill="1" applyBorder="1" applyAlignment="1">
      <alignment horizontal="center" vertical="center"/>
    </xf>
    <xf numFmtId="165" fontId="8" fillId="0" borderId="0" xfId="1" applyNumberFormat="1" applyFont="1" applyFill="1" applyBorder="1" applyAlignment="1" applyProtection="1">
      <alignment horizontal="left" vertical="center"/>
    </xf>
    <xf numFmtId="165" fontId="8" fillId="0" borderId="0" xfId="1" applyNumberFormat="1" applyFont="1" applyBorder="1" applyAlignment="1">
      <alignment horizontal="center"/>
    </xf>
    <xf numFmtId="0" fontId="66" fillId="0" borderId="0" xfId="0" applyNumberFormat="1" applyFont="1" applyFill="1" applyBorder="1" applyAlignment="1">
      <alignment horizontal="center" vertical="center"/>
    </xf>
    <xf numFmtId="0" fontId="67" fillId="0" borderId="0" xfId="0" applyNumberFormat="1" applyFont="1" applyFill="1" applyBorder="1" applyAlignment="1">
      <alignment horizontal="center" vertical="center"/>
    </xf>
    <xf numFmtId="0" fontId="9" fillId="0" borderId="0" xfId="0" applyNumberFormat="1" applyFont="1" applyFill="1" applyAlignment="1">
      <alignment horizontal="left"/>
    </xf>
    <xf numFmtId="0" fontId="67" fillId="2" borderId="0" xfId="0" applyNumberFormat="1" applyFont="1" applyFill="1" applyBorder="1" applyAlignment="1">
      <alignment horizontal="center" vertical="center"/>
    </xf>
    <xf numFmtId="0" fontId="41" fillId="24" borderId="4" xfId="0" applyFont="1" applyFill="1" applyBorder="1" applyAlignment="1">
      <alignment vertical="center"/>
    </xf>
    <xf numFmtId="171" fontId="8" fillId="0" borderId="0" xfId="1" applyNumberFormat="1" applyFont="1" applyFill="1" applyBorder="1" applyAlignment="1">
      <alignment vertical="center"/>
    </xf>
    <xf numFmtId="171" fontId="43" fillId="0" borderId="0" xfId="1" applyNumberFormat="1" applyFont="1" applyFill="1" applyBorder="1" applyAlignment="1">
      <alignment vertical="center"/>
    </xf>
    <xf numFmtId="0" fontId="8" fillId="24" borderId="0" xfId="0" applyFont="1" applyFill="1" applyBorder="1" applyAlignment="1">
      <alignment vertical="center"/>
    </xf>
    <xf numFmtId="0" fontId="8" fillId="24" borderId="0" xfId="0" applyFont="1" applyFill="1" applyAlignment="1">
      <alignment horizontal="left"/>
    </xf>
    <xf numFmtId="0" fontId="41" fillId="0" borderId="4" xfId="0" applyNumberFormat="1" applyFont="1" applyFill="1" applyBorder="1" applyAlignment="1">
      <alignment horizontal="center" vertical="center"/>
    </xf>
    <xf numFmtId="165" fontId="41" fillId="0" borderId="4" xfId="1" applyNumberFormat="1" applyFont="1" applyFill="1" applyBorder="1" applyAlignment="1">
      <alignment vertical="center"/>
    </xf>
    <xf numFmtId="165" fontId="68" fillId="0" borderId="0" xfId="1" applyNumberFormat="1" applyFont="1" applyFill="1" applyBorder="1" applyAlignment="1">
      <alignment vertical="center"/>
    </xf>
    <xf numFmtId="165" fontId="8" fillId="0" borderId="0" xfId="1" applyNumberFormat="1" applyFont="1" applyFill="1" applyBorder="1" applyAlignment="1">
      <alignment vertical="center"/>
    </xf>
    <xf numFmtId="0" fontId="69" fillId="0" borderId="0" xfId="0" applyFont="1"/>
    <xf numFmtId="0" fontId="70" fillId="0" borderId="0" xfId="0" applyFont="1"/>
    <xf numFmtId="0" fontId="71" fillId="0" borderId="0" xfId="0" applyFont="1"/>
    <xf numFmtId="0" fontId="72" fillId="0" borderId="0" xfId="0" applyFont="1"/>
    <xf numFmtId="0" fontId="73" fillId="0" borderId="0" xfId="0" applyFont="1"/>
    <xf numFmtId="0" fontId="74" fillId="23" borderId="0" xfId="0" applyFont="1" applyFill="1"/>
    <xf numFmtId="0" fontId="70" fillId="0" borderId="0" xfId="0" applyFont="1" applyAlignment="1">
      <alignment horizontal="center"/>
    </xf>
    <xf numFmtId="0" fontId="74" fillId="0" borderId="0" xfId="0" applyFont="1"/>
    <xf numFmtId="0" fontId="75" fillId="0" borderId="0" xfId="0" applyFont="1" applyAlignment="1">
      <alignment horizontal="center"/>
    </xf>
    <xf numFmtId="16" fontId="70" fillId="0" borderId="0" xfId="0" applyNumberFormat="1" applyFont="1" applyAlignment="1">
      <alignment horizontal="center"/>
    </xf>
    <xf numFmtId="16" fontId="70" fillId="0" borderId="0" xfId="0" applyNumberFormat="1" applyFont="1"/>
    <xf numFmtId="0" fontId="71" fillId="0" borderId="0" xfId="0" applyFont="1" applyAlignment="1">
      <alignment horizontal="right"/>
    </xf>
    <xf numFmtId="0" fontId="70" fillId="0" borderId="0" xfId="0" applyFont="1" applyFill="1" applyBorder="1" applyAlignment="1" applyProtection="1">
      <alignment horizontal="center" vertical="center"/>
    </xf>
    <xf numFmtId="0" fontId="70" fillId="0" borderId="0" xfId="0" applyFont="1" applyAlignment="1">
      <alignment horizontal="left"/>
    </xf>
    <xf numFmtId="0" fontId="70" fillId="0" borderId="0" xfId="0" applyFont="1" applyAlignment="1">
      <alignment horizontal="right"/>
    </xf>
    <xf numFmtId="0" fontId="76" fillId="0" borderId="0" xfId="0" applyFont="1" applyAlignment="1">
      <alignment horizontal="right"/>
    </xf>
    <xf numFmtId="168" fontId="75" fillId="0" borderId="0" xfId="1" applyNumberFormat="1" applyFont="1" applyAlignment="1"/>
    <xf numFmtId="168" fontId="75" fillId="0" borderId="0" xfId="1" applyNumberFormat="1" applyFont="1" applyBorder="1" applyAlignment="1"/>
    <xf numFmtId="165" fontId="75" fillId="0" borderId="0" xfId="1" applyNumberFormat="1" applyFont="1"/>
    <xf numFmtId="0" fontId="71" fillId="0" borderId="3" xfId="0" applyFont="1" applyBorder="1" applyAlignment="1">
      <alignment horizontal="center"/>
    </xf>
    <xf numFmtId="168" fontId="70" fillId="0" borderId="3" xfId="1" applyNumberFormat="1" applyFont="1" applyBorder="1" applyAlignment="1">
      <alignment horizontal="center"/>
    </xf>
    <xf numFmtId="168" fontId="70" fillId="0" borderId="5" xfId="1" applyNumberFormat="1" applyFont="1" applyBorder="1" applyAlignment="1">
      <alignment horizontal="center"/>
    </xf>
    <xf numFmtId="0" fontId="70" fillId="0" borderId="3" xfId="0" applyFont="1" applyBorder="1" applyAlignment="1">
      <alignment horizontal="center"/>
    </xf>
    <xf numFmtId="0" fontId="70" fillId="0" borderId="3" xfId="0" applyFont="1" applyBorder="1" applyAlignment="1">
      <alignment horizontal="left"/>
    </xf>
    <xf numFmtId="0" fontId="71" fillId="0" borderId="3" xfId="0" applyFont="1" applyBorder="1"/>
    <xf numFmtId="0" fontId="76" fillId="0" borderId="3" xfId="0" applyFont="1" applyBorder="1"/>
    <xf numFmtId="165" fontId="70" fillId="0" borderId="3" xfId="1" applyNumberFormat="1" applyFont="1" applyBorder="1" applyAlignment="1">
      <alignment horizontal="center"/>
    </xf>
    <xf numFmtId="0" fontId="70" fillId="0" borderId="0" xfId="0" applyFont="1" applyBorder="1" applyAlignment="1">
      <alignment horizontal="center"/>
    </xf>
    <xf numFmtId="0" fontId="70" fillId="0" borderId="3" xfId="0" applyFont="1" applyFill="1" applyBorder="1" applyAlignment="1">
      <alignment horizontal="left"/>
    </xf>
    <xf numFmtId="165" fontId="70" fillId="0" borderId="0" xfId="1" applyNumberFormat="1" applyFont="1" applyBorder="1" applyAlignment="1">
      <alignment horizontal="center"/>
    </xf>
    <xf numFmtId="0" fontId="70" fillId="0" borderId="3" xfId="0" applyFont="1" applyBorder="1"/>
    <xf numFmtId="0" fontId="70" fillId="0" borderId="3" xfId="0" applyFont="1" applyFill="1" applyBorder="1" applyAlignment="1">
      <alignment horizontal="center"/>
    </xf>
    <xf numFmtId="0" fontId="71" fillId="0" borderId="0" xfId="0" applyFont="1" applyBorder="1" applyAlignment="1">
      <alignment horizontal="center"/>
    </xf>
    <xf numFmtId="165" fontId="70" fillId="0" borderId="0" xfId="1" applyNumberFormat="1" applyFont="1"/>
    <xf numFmtId="165" fontId="70" fillId="0" borderId="0" xfId="1" applyNumberFormat="1" applyFont="1" applyAlignment="1">
      <alignment horizontal="center"/>
    </xf>
    <xf numFmtId="165" fontId="70" fillId="0" borderId="0" xfId="0" applyNumberFormat="1" applyFont="1"/>
    <xf numFmtId="165" fontId="70" fillId="0" borderId="0" xfId="0" applyNumberFormat="1" applyFont="1" applyAlignment="1">
      <alignment horizontal="center"/>
    </xf>
    <xf numFmtId="168" fontId="75" fillId="0" borderId="0" xfId="1" applyNumberFormat="1" applyFont="1" applyAlignment="1">
      <alignment horizontal="right"/>
    </xf>
    <xf numFmtId="43" fontId="70" fillId="0" borderId="0" xfId="1" applyFont="1"/>
    <xf numFmtId="43" fontId="70" fillId="0" borderId="3" xfId="1" applyFont="1" applyBorder="1" applyAlignment="1">
      <alignment horizontal="center"/>
    </xf>
    <xf numFmtId="165" fontId="70" fillId="0" borderId="3" xfId="1" applyNumberFormat="1" applyFont="1" applyBorder="1"/>
    <xf numFmtId="43" fontId="70" fillId="0" borderId="3" xfId="1" applyFont="1" applyBorder="1"/>
    <xf numFmtId="165" fontId="70" fillId="0" borderId="3" xfId="0" applyNumberFormat="1" applyFont="1" applyBorder="1"/>
    <xf numFmtId="0" fontId="70" fillId="0" borderId="9" xfId="0" applyFont="1" applyBorder="1"/>
    <xf numFmtId="165" fontId="70" fillId="0" borderId="9" xfId="1" applyNumberFormat="1" applyFont="1" applyBorder="1" applyAlignment="1">
      <alignment horizontal="center"/>
    </xf>
    <xf numFmtId="43" fontId="70" fillId="0" borderId="3" xfId="1" applyFont="1" applyBorder="1" applyAlignment="1">
      <alignment horizontal="left" vertical="center" wrapText="1"/>
    </xf>
    <xf numFmtId="0" fontId="70" fillId="0" borderId="9" xfId="0" applyNumberFormat="1" applyFont="1" applyBorder="1" applyAlignment="1">
      <alignment horizontal="center"/>
    </xf>
    <xf numFmtId="165" fontId="70" fillId="0" borderId="0" xfId="0" applyNumberFormat="1" applyFont="1" applyBorder="1" applyAlignment="1">
      <alignment horizontal="center"/>
    </xf>
    <xf numFmtId="165" fontId="70" fillId="0" borderId="3" xfId="0" applyNumberFormat="1" applyFont="1" applyBorder="1" applyAlignment="1">
      <alignment horizontal="center"/>
    </xf>
    <xf numFmtId="165" fontId="70" fillId="0" borderId="0" xfId="1" applyNumberFormat="1" applyFont="1" applyBorder="1"/>
    <xf numFmtId="0" fontId="11" fillId="0" borderId="0" xfId="0" applyFont="1" applyBorder="1"/>
    <xf numFmtId="0" fontId="69" fillId="0" borderId="3" xfId="0" applyFont="1" applyBorder="1"/>
    <xf numFmtId="0" fontId="69" fillId="0" borderId="3" xfId="0" applyFont="1" applyBorder="1" applyAlignment="1">
      <alignment horizontal="center"/>
    </xf>
    <xf numFmtId="0" fontId="74" fillId="0" borderId="3" xfId="0" applyFont="1" applyBorder="1"/>
    <xf numFmtId="165" fontId="74" fillId="0" borderId="3" xfId="1" applyNumberFormat="1" applyFont="1" applyBorder="1"/>
    <xf numFmtId="0" fontId="74" fillId="0" borderId="3" xfId="0" applyFont="1" applyBorder="1" applyAlignment="1">
      <alignment wrapText="1"/>
    </xf>
    <xf numFmtId="165" fontId="69" fillId="0" borderId="3" xfId="0" applyNumberFormat="1" applyFont="1" applyBorder="1"/>
    <xf numFmtId="165" fontId="74" fillId="0" borderId="3" xfId="0" applyNumberFormat="1" applyFont="1" applyBorder="1"/>
    <xf numFmtId="165" fontId="11" fillId="0" borderId="0" xfId="0" applyNumberFormat="1" applyFont="1"/>
    <xf numFmtId="0" fontId="69" fillId="0" borderId="0" xfId="0" applyFont="1" applyBorder="1"/>
    <xf numFmtId="165" fontId="74" fillId="0" borderId="0" xfId="0" applyNumberFormat="1" applyFont="1" applyBorder="1"/>
    <xf numFmtId="0" fontId="74" fillId="0" borderId="0" xfId="0" applyFont="1" applyBorder="1"/>
    <xf numFmtId="0" fontId="69" fillId="0" borderId="0" xfId="0" applyFont="1" applyBorder="1" applyAlignment="1">
      <alignment horizontal="right" vertical="center"/>
    </xf>
    <xf numFmtId="165" fontId="69" fillId="0" borderId="0" xfId="0" applyNumberFormat="1" applyFont="1" applyBorder="1"/>
    <xf numFmtId="165" fontId="69" fillId="0" borderId="0" xfId="0" applyNumberFormat="1" applyFont="1" applyBorder="1" applyAlignment="1">
      <alignment horizontal="center" vertical="center"/>
    </xf>
    <xf numFmtId="165" fontId="74" fillId="0" borderId="0" xfId="0" applyNumberFormat="1" applyFont="1"/>
    <xf numFmtId="165" fontId="69" fillId="0" borderId="0" xfId="1" applyNumberFormat="1" applyFont="1" applyBorder="1"/>
    <xf numFmtId="0" fontId="77" fillId="0" borderId="0" xfId="0" applyFont="1"/>
    <xf numFmtId="0" fontId="78" fillId="0" borderId="0" xfId="0" applyFont="1" applyAlignment="1">
      <alignment horizontal="center"/>
    </xf>
    <xf numFmtId="16" fontId="79" fillId="0" borderId="0" xfId="0" applyNumberFormat="1" applyFont="1" applyAlignment="1">
      <alignment horizontal="center"/>
    </xf>
    <xf numFmtId="16" fontId="79" fillId="0" borderId="0" xfId="0" applyNumberFormat="1" applyFont="1"/>
    <xf numFmtId="0" fontId="77" fillId="0" borderId="0" xfId="0" applyFont="1" applyAlignment="1">
      <alignment horizontal="right"/>
    </xf>
    <xf numFmtId="0" fontId="79" fillId="0" borderId="0" xfId="0" applyFont="1" applyFill="1" applyBorder="1" applyAlignment="1" applyProtection="1">
      <alignment horizontal="center" vertical="center"/>
    </xf>
    <xf numFmtId="0" fontId="79" fillId="0" borderId="0" xfId="0" applyFont="1" applyAlignment="1">
      <alignment horizontal="left"/>
    </xf>
    <xf numFmtId="0" fontId="79" fillId="0" borderId="0" xfId="0" applyFont="1"/>
    <xf numFmtId="0" fontId="79" fillId="0" borderId="0" xfId="0" applyFont="1" applyAlignment="1">
      <alignment horizontal="right"/>
    </xf>
    <xf numFmtId="0" fontId="80" fillId="0" borderId="0" xfId="0" applyFont="1" applyAlignment="1">
      <alignment horizontal="right"/>
    </xf>
    <xf numFmtId="168" fontId="78" fillId="0" borderId="0" xfId="1" applyNumberFormat="1" applyFont="1" applyAlignment="1"/>
    <xf numFmtId="168" fontId="78" fillId="0" borderId="0" xfId="1" applyNumberFormat="1" applyFont="1" applyBorder="1" applyAlignment="1"/>
    <xf numFmtId="165" fontId="78" fillId="0" borderId="0" xfId="1" applyNumberFormat="1" applyFont="1"/>
    <xf numFmtId="0" fontId="77" fillId="0" borderId="3" xfId="0" applyFont="1" applyBorder="1" applyAlignment="1">
      <alignment horizontal="center"/>
    </xf>
    <xf numFmtId="168" fontId="79" fillId="0" borderId="3" xfId="1" applyNumberFormat="1" applyFont="1" applyBorder="1" applyAlignment="1">
      <alignment horizontal="center"/>
    </xf>
    <xf numFmtId="168" fontId="79" fillId="0" borderId="5" xfId="1" applyNumberFormat="1" applyFont="1" applyBorder="1" applyAlignment="1">
      <alignment horizontal="center"/>
    </xf>
    <xf numFmtId="0" fontId="79" fillId="0" borderId="3" xfId="0" applyFont="1" applyBorder="1" applyAlignment="1">
      <alignment horizontal="center"/>
    </xf>
    <xf numFmtId="0" fontId="79" fillId="0" borderId="3" xfId="0" applyFont="1" applyBorder="1" applyAlignment="1">
      <alignment horizontal="left"/>
    </xf>
    <xf numFmtId="0" fontId="77" fillId="0" borderId="3" xfId="0" applyFont="1" applyBorder="1"/>
    <xf numFmtId="0" fontId="80" fillId="0" borderId="3" xfId="0" applyFont="1" applyBorder="1"/>
    <xf numFmtId="165" fontId="79" fillId="0" borderId="3" xfId="1" applyNumberFormat="1" applyFont="1" applyBorder="1" applyAlignment="1">
      <alignment horizontal="center"/>
    </xf>
    <xf numFmtId="0" fontId="79" fillId="0" borderId="0" xfId="0" applyFont="1" applyBorder="1" applyAlignment="1">
      <alignment horizontal="center"/>
    </xf>
    <xf numFmtId="0" fontId="79" fillId="0" borderId="3" xfId="0" applyFont="1" applyFill="1" applyBorder="1" applyAlignment="1">
      <alignment horizontal="left"/>
    </xf>
    <xf numFmtId="165" fontId="79" fillId="0" borderId="0" xfId="1" applyNumberFormat="1" applyFont="1" applyBorder="1" applyAlignment="1">
      <alignment horizontal="center"/>
    </xf>
    <xf numFmtId="0" fontId="79" fillId="0" borderId="3" xfId="0" applyFont="1" applyBorder="1"/>
    <xf numFmtId="0" fontId="79" fillId="0" borderId="3" xfId="0" applyFont="1" applyFill="1" applyBorder="1" applyAlignment="1">
      <alignment horizontal="center"/>
    </xf>
    <xf numFmtId="0" fontId="77" fillId="0" borderId="0" xfId="0" applyFont="1" applyBorder="1" applyAlignment="1">
      <alignment horizontal="center"/>
    </xf>
    <xf numFmtId="0" fontId="79" fillId="0" borderId="0" xfId="0" applyFont="1" applyAlignment="1">
      <alignment horizontal="center"/>
    </xf>
    <xf numFmtId="168" fontId="78" fillId="0" borderId="0" xfId="1" applyNumberFormat="1" applyFont="1" applyAlignment="1">
      <alignment horizontal="right"/>
    </xf>
    <xf numFmtId="43" fontId="79" fillId="0" borderId="0" xfId="1" applyFont="1"/>
    <xf numFmtId="43" fontId="79" fillId="0" borderId="3" xfId="1" applyFont="1" applyBorder="1" applyAlignment="1">
      <alignment horizontal="center"/>
    </xf>
    <xf numFmtId="165" fontId="79" fillId="0" borderId="3" xfId="1" applyNumberFormat="1" applyFont="1" applyBorder="1"/>
    <xf numFmtId="43" fontId="79" fillId="0" borderId="3" xfId="1" applyFont="1" applyBorder="1"/>
    <xf numFmtId="165" fontId="79" fillId="0" borderId="3" xfId="0" applyNumberFormat="1" applyFont="1" applyBorder="1"/>
    <xf numFmtId="0" fontId="79" fillId="0" borderId="9" xfId="0" applyFont="1" applyBorder="1"/>
    <xf numFmtId="165" fontId="79" fillId="0" borderId="9" xfId="1" applyNumberFormat="1" applyFont="1" applyBorder="1" applyAlignment="1">
      <alignment horizontal="center"/>
    </xf>
    <xf numFmtId="43" fontId="79" fillId="0" borderId="3" xfId="1" applyFont="1" applyBorder="1" applyAlignment="1">
      <alignment horizontal="left" vertical="center" wrapText="1"/>
    </xf>
    <xf numFmtId="0" fontId="79" fillId="0" borderId="9" xfId="0" applyNumberFormat="1" applyFont="1" applyBorder="1" applyAlignment="1">
      <alignment horizontal="center"/>
    </xf>
    <xf numFmtId="165" fontId="79" fillId="0" borderId="0" xfId="0" applyNumberFormat="1" applyFont="1" applyBorder="1" applyAlignment="1">
      <alignment horizontal="center"/>
    </xf>
    <xf numFmtId="165" fontId="79" fillId="0" borderId="3" xfId="0" applyNumberFormat="1" applyFont="1" applyBorder="1" applyAlignment="1">
      <alignment horizontal="center"/>
    </xf>
    <xf numFmtId="165" fontId="79" fillId="0" borderId="0" xfId="1" applyNumberFormat="1" applyFont="1" applyBorder="1"/>
    <xf numFmtId="0" fontId="81" fillId="0" borderId="3" xfId="110" applyFont="1" applyFill="1" applyBorder="1" applyAlignment="1" applyProtection="1">
      <alignment vertical="center" wrapText="1"/>
    </xf>
    <xf numFmtId="0" fontId="82" fillId="0" borderId="3" xfId="110" applyFont="1" applyFill="1" applyBorder="1" applyAlignment="1" applyProtection="1">
      <alignment vertical="center" wrapText="1"/>
    </xf>
    <xf numFmtId="0" fontId="79" fillId="7" borderId="3" xfId="0" applyFont="1" applyFill="1" applyBorder="1" applyAlignment="1">
      <alignment horizontal="center"/>
    </xf>
    <xf numFmtId="43" fontId="79" fillId="7" borderId="3" xfId="1" applyFont="1" applyFill="1" applyBorder="1"/>
    <xf numFmtId="165" fontId="79" fillId="7" borderId="3" xfId="1" applyNumberFormat="1" applyFont="1" applyFill="1" applyBorder="1" applyAlignment="1">
      <alignment horizontal="center"/>
    </xf>
    <xf numFmtId="0" fontId="75" fillId="0" borderId="0" xfId="0" applyFont="1"/>
    <xf numFmtId="43" fontId="70" fillId="0" borderId="3" xfId="1" applyFont="1" applyFill="1" applyBorder="1"/>
    <xf numFmtId="43" fontId="79" fillId="0" borderId="3" xfId="1" applyFont="1" applyFill="1" applyBorder="1"/>
    <xf numFmtId="165" fontId="79" fillId="0" borderId="3" xfId="1" applyNumberFormat="1" applyFont="1" applyFill="1" applyBorder="1" applyAlignment="1">
      <alignment horizontal="center"/>
    </xf>
    <xf numFmtId="0" fontId="77" fillId="2" borderId="0" xfId="0" applyFont="1" applyFill="1"/>
    <xf numFmtId="0" fontId="78" fillId="2" borderId="0" xfId="0" applyFont="1" applyFill="1" applyAlignment="1">
      <alignment horizontal="center"/>
    </xf>
    <xf numFmtId="16" fontId="70" fillId="2" borderId="0" xfId="0" applyNumberFormat="1" applyFont="1" applyFill="1" applyAlignment="1">
      <alignment horizontal="center"/>
    </xf>
    <xf numFmtId="16" fontId="79" fillId="2" borderId="0" xfId="0" applyNumberFormat="1" applyFont="1" applyFill="1"/>
    <xf numFmtId="0" fontId="77" fillId="2" borderId="0" xfId="0" applyFont="1" applyFill="1" applyAlignment="1">
      <alignment horizontal="right"/>
    </xf>
    <xf numFmtId="0" fontId="79" fillId="2" borderId="0" xfId="0" applyFont="1" applyFill="1" applyBorder="1" applyAlignment="1" applyProtection="1">
      <alignment horizontal="center" vertical="center"/>
    </xf>
    <xf numFmtId="0" fontId="79" fillId="2" borderId="0" xfId="0" applyFont="1" applyFill="1" applyAlignment="1">
      <alignment horizontal="left"/>
    </xf>
    <xf numFmtId="0" fontId="79" fillId="2" borderId="0" xfId="0" applyFont="1" applyFill="1"/>
    <xf numFmtId="0" fontId="79" fillId="2" borderId="0" xfId="0" applyFont="1" applyFill="1" applyAlignment="1">
      <alignment horizontal="right"/>
    </xf>
    <xf numFmtId="0" fontId="80" fillId="2" borderId="0" xfId="0" applyFont="1" applyFill="1" applyAlignment="1">
      <alignment horizontal="right"/>
    </xf>
    <xf numFmtId="168" fontId="78" fillId="2" borderId="0" xfId="1" applyNumberFormat="1" applyFont="1" applyFill="1" applyAlignment="1"/>
    <xf numFmtId="168" fontId="78" fillId="2" borderId="0" xfId="1" applyNumberFormat="1" applyFont="1" applyFill="1" applyBorder="1" applyAlignment="1"/>
    <xf numFmtId="165" fontId="78" fillId="2" borderId="0" xfId="1" applyNumberFormat="1" applyFont="1" applyFill="1"/>
    <xf numFmtId="0" fontId="71" fillId="2" borderId="3" xfId="0" applyFont="1" applyFill="1" applyBorder="1" applyAlignment="1">
      <alignment horizontal="center"/>
    </xf>
    <xf numFmtId="168" fontId="70" fillId="2" borderId="3" xfId="1" applyNumberFormat="1" applyFont="1" applyFill="1" applyBorder="1" applyAlignment="1">
      <alignment horizontal="center"/>
    </xf>
    <xf numFmtId="168" fontId="70" fillId="2" borderId="5" xfId="1" applyNumberFormat="1" applyFont="1" applyFill="1" applyBorder="1" applyAlignment="1">
      <alignment horizontal="center"/>
    </xf>
    <xf numFmtId="0" fontId="70" fillId="2" borderId="3" xfId="0" applyFont="1" applyFill="1" applyBorder="1" applyAlignment="1">
      <alignment horizontal="center"/>
    </xf>
    <xf numFmtId="0" fontId="70" fillId="2" borderId="3" xfId="0" applyFont="1" applyFill="1" applyBorder="1" applyAlignment="1">
      <alignment horizontal="left"/>
    </xf>
    <xf numFmtId="0" fontId="71" fillId="2" borderId="3" xfId="0" applyFont="1" applyFill="1" applyBorder="1"/>
    <xf numFmtId="0" fontId="76" fillId="2" borderId="3" xfId="0" applyFont="1" applyFill="1" applyBorder="1"/>
    <xf numFmtId="165" fontId="70" fillId="2" borderId="3" xfId="1" applyNumberFormat="1" applyFont="1" applyFill="1" applyBorder="1" applyAlignment="1">
      <alignment horizontal="center"/>
    </xf>
    <xf numFmtId="0" fontId="70" fillId="2" borderId="0" xfId="0" applyFont="1" applyFill="1" applyBorder="1" applyAlignment="1">
      <alignment horizontal="center"/>
    </xf>
    <xf numFmtId="165" fontId="70" fillId="2" borderId="0" xfId="1" applyNumberFormat="1" applyFont="1" applyFill="1" applyBorder="1" applyAlignment="1">
      <alignment horizontal="center"/>
    </xf>
    <xf numFmtId="0" fontId="70" fillId="2" borderId="3" xfId="0" applyFont="1" applyFill="1" applyBorder="1"/>
    <xf numFmtId="0" fontId="71" fillId="2" borderId="0" xfId="0" applyFont="1" applyFill="1"/>
    <xf numFmtId="0" fontId="71" fillId="2" borderId="0" xfId="0" applyFont="1" applyFill="1" applyBorder="1" applyAlignment="1">
      <alignment horizontal="center"/>
    </xf>
    <xf numFmtId="0" fontId="79" fillId="2" borderId="0" xfId="0" applyFont="1" applyFill="1" applyAlignment="1">
      <alignment horizontal="center"/>
    </xf>
    <xf numFmtId="168" fontId="78" fillId="2" borderId="0" xfId="1" applyNumberFormat="1" applyFont="1" applyFill="1" applyAlignment="1">
      <alignment horizontal="right"/>
    </xf>
    <xf numFmtId="43" fontId="79" fillId="2" borderId="0" xfId="1" applyFont="1" applyFill="1"/>
    <xf numFmtId="43" fontId="70" fillId="2" borderId="3" xfId="1" applyFont="1" applyFill="1" applyBorder="1" applyAlignment="1">
      <alignment horizontal="center"/>
    </xf>
    <xf numFmtId="0" fontId="70" fillId="2" borderId="0" xfId="0" applyFont="1" applyFill="1"/>
    <xf numFmtId="165" fontId="70" fillId="2" borderId="3" xfId="1" applyNumberFormat="1" applyFont="1" applyFill="1" applyBorder="1"/>
    <xf numFmtId="43" fontId="70" fillId="2" borderId="3" xfId="1" applyFont="1" applyFill="1" applyBorder="1"/>
    <xf numFmtId="165" fontId="70" fillId="2" borderId="3" xfId="0" applyNumberFormat="1" applyFont="1" applyFill="1" applyBorder="1"/>
    <xf numFmtId="0" fontId="70" fillId="2" borderId="9" xfId="0" applyFont="1" applyFill="1" applyBorder="1"/>
    <xf numFmtId="0" fontId="79" fillId="2" borderId="0" xfId="0" applyFont="1" applyFill="1" applyBorder="1" applyAlignment="1">
      <alignment horizontal="center"/>
    </xf>
    <xf numFmtId="165" fontId="70" fillId="2" borderId="9" xfId="1" applyNumberFormat="1" applyFont="1" applyFill="1" applyBorder="1" applyAlignment="1">
      <alignment horizontal="center"/>
    </xf>
    <xf numFmtId="0" fontId="70" fillId="2" borderId="9" xfId="0" applyNumberFormat="1" applyFont="1" applyFill="1" applyBorder="1" applyAlignment="1">
      <alignment horizontal="center"/>
    </xf>
    <xf numFmtId="165" fontId="79" fillId="2" borderId="0" xfId="0" applyNumberFormat="1" applyFont="1" applyFill="1" applyBorder="1" applyAlignment="1">
      <alignment horizontal="center"/>
    </xf>
    <xf numFmtId="43" fontId="70" fillId="2" borderId="3" xfId="1" applyFont="1" applyFill="1" applyBorder="1" applyAlignment="1">
      <alignment horizontal="left" vertical="center" wrapText="1"/>
    </xf>
    <xf numFmtId="165" fontId="79" fillId="2" borderId="3" xfId="0" applyNumberFormat="1" applyFont="1" applyFill="1" applyBorder="1" applyAlignment="1">
      <alignment horizontal="center"/>
    </xf>
    <xf numFmtId="0" fontId="79" fillId="2" borderId="3" xfId="0" applyFont="1" applyFill="1" applyBorder="1" applyAlignment="1">
      <alignment horizontal="center"/>
    </xf>
    <xf numFmtId="165" fontId="79" fillId="0" borderId="0" xfId="0" applyNumberFormat="1" applyFont="1"/>
    <xf numFmtId="165" fontId="81" fillId="0" borderId="0" xfId="1" applyNumberFormat="1" applyFont="1" applyFill="1" applyBorder="1" applyAlignment="1" applyProtection="1">
      <alignment vertical="center"/>
    </xf>
    <xf numFmtId="43" fontId="70" fillId="0" borderId="0" xfId="1" applyFont="1" applyBorder="1"/>
    <xf numFmtId="0" fontId="71" fillId="23" borderId="0" xfId="0" applyFont="1" applyFill="1"/>
    <xf numFmtId="0" fontId="70" fillId="23" borderId="0" xfId="0" applyFont="1" applyFill="1"/>
    <xf numFmtId="0" fontId="70" fillId="23" borderId="0" xfId="0" applyFont="1" applyFill="1" applyBorder="1" applyAlignment="1">
      <alignment horizontal="center"/>
    </xf>
    <xf numFmtId="165" fontId="70" fillId="23" borderId="0" xfId="1" applyNumberFormat="1" applyFont="1" applyFill="1" applyBorder="1"/>
    <xf numFmtId="0" fontId="70" fillId="23" borderId="0" xfId="0" applyFont="1" applyFill="1" applyAlignment="1">
      <alignment horizontal="center"/>
    </xf>
    <xf numFmtId="0" fontId="84" fillId="0" borderId="0" xfId="0" applyFont="1" applyFill="1" applyAlignment="1" applyProtection="1">
      <alignment horizontal="center" vertical="center" wrapText="1"/>
    </xf>
    <xf numFmtId="0" fontId="85" fillId="0" borderId="0" xfId="0" applyFont="1" applyFill="1" applyAlignment="1" applyProtection="1">
      <alignment vertical="center"/>
    </xf>
    <xf numFmtId="0" fontId="84" fillId="0" borderId="0" xfId="0" applyFont="1" applyFill="1" applyAlignment="1" applyProtection="1">
      <alignment vertical="center"/>
    </xf>
    <xf numFmtId="0" fontId="85" fillId="2" borderId="0" xfId="0" applyFont="1" applyFill="1" applyProtection="1"/>
    <xf numFmtId="0" fontId="85" fillId="2" borderId="0" xfId="0" applyFont="1" applyFill="1" applyAlignment="1" applyProtection="1">
      <alignment vertical="center"/>
    </xf>
    <xf numFmtId="0" fontId="87" fillId="0" borderId="0" xfId="0" applyFont="1" applyFill="1" applyAlignment="1" applyProtection="1">
      <alignment vertical="center"/>
    </xf>
    <xf numFmtId="0" fontId="88" fillId="0" borderId="0" xfId="0" applyFont="1" applyFill="1" applyAlignment="1" applyProtection="1">
      <alignment vertical="center"/>
    </xf>
    <xf numFmtId="0" fontId="86" fillId="0" borderId="0" xfId="0" applyFont="1" applyFill="1" applyAlignment="1" applyProtection="1">
      <alignment vertical="center"/>
    </xf>
    <xf numFmtId="0" fontId="89" fillId="0" borderId="0" xfId="0" applyFont="1" applyFill="1" applyAlignment="1" applyProtection="1">
      <alignment vertical="center"/>
    </xf>
    <xf numFmtId="0" fontId="21" fillId="0" borderId="0" xfId="0" applyFont="1" applyFill="1" applyAlignment="1" applyProtection="1">
      <alignment vertical="center"/>
    </xf>
    <xf numFmtId="0" fontId="84" fillId="0" borderId="0" xfId="0" applyFont="1" applyFill="1" applyProtection="1"/>
    <xf numFmtId="0" fontId="90" fillId="0" borderId="0" xfId="0" applyFont="1" applyFill="1" applyAlignment="1" applyProtection="1">
      <alignment vertical="center"/>
    </xf>
    <xf numFmtId="0" fontId="91" fillId="0" borderId="0" xfId="0" applyFont="1" applyFill="1" applyProtection="1"/>
    <xf numFmtId="0" fontId="88" fillId="0" borderId="0" xfId="0" applyFont="1" applyFill="1" applyProtection="1"/>
    <xf numFmtId="0" fontId="92" fillId="0" borderId="0" xfId="0" applyFont="1" applyFill="1" applyProtection="1"/>
    <xf numFmtId="0" fontId="85" fillId="0" borderId="21" xfId="0" applyFont="1" applyFill="1" applyBorder="1" applyProtection="1"/>
    <xf numFmtId="0" fontId="87" fillId="0" borderId="0" xfId="0" applyFont="1" applyFill="1" applyProtection="1"/>
    <xf numFmtId="0" fontId="88" fillId="0" borderId="0" xfId="0" applyFont="1" applyFill="1" applyAlignment="1" applyProtection="1">
      <alignment horizontal="center"/>
    </xf>
    <xf numFmtId="0" fontId="85" fillId="0" borderId="0" xfId="0" applyFont="1" applyFill="1" applyProtection="1"/>
    <xf numFmtId="14" fontId="85" fillId="0" borderId="0" xfId="0" applyNumberFormat="1" applyFont="1" applyFill="1" applyProtection="1"/>
    <xf numFmtId="165" fontId="85" fillId="0" borderId="0" xfId="1" applyNumberFormat="1" applyFont="1" applyFill="1" applyProtection="1"/>
    <xf numFmtId="171" fontId="85" fillId="0" borderId="0" xfId="1" applyNumberFormat="1" applyFont="1" applyFill="1" applyProtection="1"/>
    <xf numFmtId="165" fontId="84" fillId="0" borderId="0" xfId="1" applyNumberFormat="1" applyFont="1" applyFill="1" applyProtection="1"/>
    <xf numFmtId="0" fontId="85" fillId="0" borderId="0" xfId="0" applyFont="1" applyFill="1" applyAlignment="1" applyProtection="1">
      <alignment horizontal="center"/>
    </xf>
    <xf numFmtId="0" fontId="85" fillId="0" borderId="0" xfId="0" applyNumberFormat="1" applyFont="1" applyFill="1" applyProtection="1"/>
    <xf numFmtId="0" fontId="4" fillId="0" borderId="0" xfId="0" applyFont="1" applyFill="1" applyProtection="1"/>
    <xf numFmtId="14" fontId="4" fillId="0" borderId="0" xfId="0" applyNumberFormat="1" applyFont="1" applyFill="1" applyProtection="1"/>
    <xf numFmtId="0" fontId="1" fillId="0" borderId="0" xfId="0" applyFont="1" applyFill="1" applyAlignment="1" applyProtection="1">
      <alignment horizontal="center"/>
    </xf>
    <xf numFmtId="171" fontId="11" fillId="0" borderId="0" xfId="1" applyNumberFormat="1" applyFont="1" applyFill="1" applyAlignment="1" applyProtection="1"/>
    <xf numFmtId="14" fontId="11" fillId="0" borderId="0" xfId="1" applyNumberFormat="1" applyFont="1" applyFill="1" applyAlignment="1" applyProtection="1"/>
    <xf numFmtId="0" fontId="11" fillId="0" borderId="0" xfId="0" applyFont="1" applyFill="1" applyProtection="1"/>
    <xf numFmtId="14" fontId="11" fillId="0" borderId="3" xfId="0" applyNumberFormat="1" applyFont="1" applyFill="1" applyBorder="1" applyAlignment="1" applyProtection="1">
      <alignment horizontal="center" vertical="center" wrapText="1"/>
    </xf>
    <xf numFmtId="165" fontId="11" fillId="7" borderId="4" xfId="1" applyNumberFormat="1" applyFont="1" applyFill="1" applyBorder="1" applyAlignment="1" applyProtection="1">
      <alignment vertical="center" wrapText="1"/>
    </xf>
    <xf numFmtId="165" fontId="1" fillId="13" borderId="9" xfId="1" applyNumberFormat="1" applyFont="1" applyFill="1" applyBorder="1" applyAlignment="1" applyProtection="1">
      <alignment horizontal="center" vertical="center"/>
    </xf>
    <xf numFmtId="14" fontId="11" fillId="13" borderId="0" xfId="1" applyNumberFormat="1" applyFont="1" applyFill="1" applyBorder="1" applyAlignment="1" applyProtection="1">
      <alignment vertical="center"/>
    </xf>
    <xf numFmtId="0" fontId="7" fillId="11" borderId="3" xfId="0" applyFont="1" applyFill="1" applyBorder="1" applyAlignment="1">
      <alignment horizontal="center"/>
    </xf>
    <xf numFmtId="0" fontId="39" fillId="11" borderId="3" xfId="0" applyFont="1" applyFill="1" applyBorder="1"/>
    <xf numFmtId="0" fontId="40" fillId="11" borderId="3" xfId="0" applyFont="1" applyFill="1" applyBorder="1"/>
    <xf numFmtId="14" fontId="40" fillId="11" borderId="3" xfId="0" applyNumberFormat="1" applyFont="1" applyFill="1" applyBorder="1"/>
    <xf numFmtId="165" fontId="4" fillId="11" borderId="3" xfId="1" applyNumberFormat="1" applyFont="1" applyFill="1" applyBorder="1" applyAlignment="1" applyProtection="1">
      <alignment horizontal="center" vertical="center"/>
    </xf>
    <xf numFmtId="0" fontId="1" fillId="0" borderId="3" xfId="110" applyFont="1" applyFill="1" applyBorder="1" applyAlignment="1" applyProtection="1">
      <alignment horizontal="center" vertical="center" wrapText="1"/>
    </xf>
    <xf numFmtId="14" fontId="4" fillId="0" borderId="3" xfId="0" applyNumberFormat="1" applyFont="1" applyFill="1" applyBorder="1" applyAlignment="1" applyProtection="1">
      <alignment horizontal="center" vertical="center" wrapText="1"/>
    </xf>
    <xf numFmtId="0" fontId="4" fillId="0" borderId="3" xfId="0" applyFont="1" applyFill="1" applyBorder="1" applyAlignment="1" applyProtection="1">
      <alignment horizontal="center" vertical="center"/>
    </xf>
    <xf numFmtId="0" fontId="1" fillId="11" borderId="3" xfId="0" applyFont="1" applyFill="1" applyBorder="1" applyAlignment="1" applyProtection="1">
      <alignment horizontal="center" vertical="center"/>
    </xf>
    <xf numFmtId="14" fontId="4" fillId="11" borderId="3" xfId="110" applyNumberFormat="1" applyFont="1" applyFill="1" applyBorder="1" applyProtection="1"/>
    <xf numFmtId="0" fontId="10" fillId="0" borderId="3" xfId="0" applyFont="1" applyFill="1" applyBorder="1" applyProtection="1"/>
    <xf numFmtId="0" fontId="1" fillId="12" borderId="3" xfId="110" applyFont="1" applyFill="1" applyBorder="1" applyAlignment="1" applyProtection="1">
      <alignment horizontal="center" vertical="center" wrapText="1"/>
    </xf>
    <xf numFmtId="14" fontId="4" fillId="12" borderId="3" xfId="0" applyNumberFormat="1" applyFont="1" applyFill="1" applyBorder="1" applyAlignment="1" applyProtection="1">
      <alignment horizontal="center" vertical="center" wrapText="1"/>
    </xf>
    <xf numFmtId="0" fontId="4" fillId="12" borderId="3" xfId="0" applyFont="1" applyFill="1" applyBorder="1" applyAlignment="1" applyProtection="1">
      <alignment horizontal="center" vertical="center"/>
    </xf>
    <xf numFmtId="14" fontId="4" fillId="2" borderId="3" xfId="0" applyNumberFormat="1" applyFont="1" applyFill="1" applyBorder="1" applyAlignment="1" applyProtection="1">
      <alignment horizontal="center" vertical="center" wrapText="1"/>
    </xf>
    <xf numFmtId="0" fontId="4" fillId="2" borderId="3" xfId="0" applyFont="1" applyFill="1" applyBorder="1" applyAlignment="1" applyProtection="1">
      <alignment horizontal="center" vertical="center"/>
    </xf>
    <xf numFmtId="0" fontId="1" fillId="0" borderId="3" xfId="110" applyFont="1" applyFill="1" applyBorder="1" applyAlignment="1" applyProtection="1">
      <alignment vertical="center" wrapText="1"/>
    </xf>
    <xf numFmtId="165" fontId="1" fillId="0" borderId="3" xfId="1" applyNumberFormat="1" applyFont="1" applyFill="1" applyBorder="1" applyAlignment="1" applyProtection="1">
      <alignment horizontal="left" vertical="center"/>
    </xf>
    <xf numFmtId="14" fontId="1" fillId="0" borderId="3" xfId="0" applyNumberFormat="1" applyFont="1" applyFill="1" applyBorder="1" applyAlignment="1" applyProtection="1">
      <alignment horizontal="center" vertical="center" wrapText="1"/>
    </xf>
    <xf numFmtId="0" fontId="1" fillId="0" borderId="3" xfId="0" applyFont="1" applyFill="1" applyBorder="1" applyAlignment="1" applyProtection="1">
      <alignment horizontal="center" vertical="center"/>
    </xf>
    <xf numFmtId="0" fontId="1" fillId="11" borderId="3" xfId="0" applyFont="1" applyFill="1" applyBorder="1" applyAlignment="1" applyProtection="1">
      <alignment horizontal="center" vertical="center" wrapText="1"/>
    </xf>
    <xf numFmtId="0" fontId="1" fillId="11" borderId="3" xfId="110" applyFont="1" applyFill="1" applyBorder="1" applyAlignment="1" applyProtection="1">
      <alignment horizontal="center" vertical="center" wrapText="1"/>
    </xf>
    <xf numFmtId="14" fontId="4" fillId="11" borderId="3" xfId="0" applyNumberFormat="1" applyFont="1" applyFill="1" applyBorder="1" applyAlignment="1" applyProtection="1">
      <alignment horizontal="center" vertical="center" wrapText="1"/>
    </xf>
    <xf numFmtId="0" fontId="4" fillId="11" borderId="3" xfId="0" applyFont="1" applyFill="1" applyBorder="1" applyAlignment="1" applyProtection="1">
      <alignment horizontal="center" vertical="center"/>
    </xf>
    <xf numFmtId="0" fontId="4" fillId="0" borderId="3" xfId="0" applyFont="1" applyFill="1" applyBorder="1" applyAlignment="1">
      <alignment vertical="center"/>
    </xf>
    <xf numFmtId="14" fontId="42" fillId="0" borderId="3" xfId="0" applyNumberFormat="1" applyFont="1" applyFill="1" applyBorder="1" applyAlignment="1" applyProtection="1">
      <alignment horizontal="center" vertical="center" wrapText="1"/>
    </xf>
    <xf numFmtId="0" fontId="42" fillId="0" borderId="3" xfId="0" applyFont="1" applyFill="1" applyBorder="1" applyAlignment="1" applyProtection="1">
      <alignment horizontal="center" vertical="center"/>
    </xf>
    <xf numFmtId="165" fontId="4" fillId="0" borderId="0" xfId="1" applyNumberFormat="1" applyFont="1" applyFill="1" applyProtection="1"/>
    <xf numFmtId="165" fontId="4" fillId="11" borderId="3" xfId="1" applyNumberFormat="1" applyFont="1" applyFill="1" applyBorder="1" applyAlignment="1" applyProtection="1">
      <alignment vertical="center"/>
    </xf>
    <xf numFmtId="165" fontId="4" fillId="12" borderId="3" xfId="1" applyNumberFormat="1" applyFont="1" applyFill="1" applyBorder="1" applyAlignment="1" applyProtection="1">
      <alignment vertical="center"/>
    </xf>
    <xf numFmtId="165" fontId="4" fillId="2" borderId="3" xfId="1" applyNumberFormat="1" applyFont="1" applyFill="1" applyBorder="1" applyAlignment="1" applyProtection="1">
      <alignment vertical="center"/>
    </xf>
    <xf numFmtId="165" fontId="1" fillId="0" borderId="3" xfId="1" applyNumberFormat="1" applyFont="1" applyFill="1" applyBorder="1" applyAlignment="1" applyProtection="1">
      <alignment vertical="center"/>
    </xf>
    <xf numFmtId="165" fontId="42" fillId="0" borderId="3" xfId="1" applyNumberFormat="1" applyFont="1" applyFill="1" applyBorder="1" applyAlignment="1" applyProtection="1">
      <alignment vertical="center"/>
    </xf>
    <xf numFmtId="171" fontId="4" fillId="0" borderId="0" xfId="1" applyNumberFormat="1" applyFont="1" applyFill="1" applyProtection="1"/>
    <xf numFmtId="171" fontId="11" fillId="0" borderId="0" xfId="1" applyNumberFormat="1" applyFont="1" applyFill="1" applyAlignment="1" applyProtection="1">
      <alignment horizontal="right"/>
    </xf>
    <xf numFmtId="165" fontId="11" fillId="11" borderId="3" xfId="1" applyNumberFormat="1" applyFont="1" applyFill="1" applyBorder="1" applyAlignment="1" applyProtection="1">
      <alignment vertical="center"/>
    </xf>
    <xf numFmtId="171" fontId="4" fillId="11" borderId="3" xfId="1" applyNumberFormat="1" applyFont="1" applyFill="1" applyBorder="1" applyAlignment="1" applyProtection="1">
      <alignment vertical="center"/>
    </xf>
    <xf numFmtId="165" fontId="11" fillId="0" borderId="3" xfId="1" applyNumberFormat="1" applyFont="1" applyFill="1" applyBorder="1" applyAlignment="1" applyProtection="1">
      <alignment vertical="center"/>
    </xf>
    <xf numFmtId="171" fontId="4" fillId="0" borderId="3" xfId="1" applyNumberFormat="1" applyFont="1" applyFill="1" applyBorder="1" applyAlignment="1" applyProtection="1">
      <alignment vertical="center"/>
    </xf>
    <xf numFmtId="165" fontId="11" fillId="12" borderId="3" xfId="1" applyNumberFormat="1" applyFont="1" applyFill="1" applyBorder="1" applyAlignment="1" applyProtection="1">
      <alignment vertical="center"/>
    </xf>
    <xf numFmtId="171" fontId="4" fillId="12" borderId="3" xfId="1" applyNumberFormat="1" applyFont="1" applyFill="1" applyBorder="1" applyAlignment="1" applyProtection="1">
      <alignment vertical="center"/>
    </xf>
    <xf numFmtId="171" fontId="42" fillId="0" borderId="3" xfId="1" applyNumberFormat="1" applyFont="1" applyFill="1" applyBorder="1" applyAlignment="1" applyProtection="1">
      <alignment vertical="center"/>
    </xf>
    <xf numFmtId="165" fontId="6" fillId="0" borderId="3" xfId="1" applyNumberFormat="1" applyFont="1" applyFill="1" applyBorder="1" applyAlignment="1" applyProtection="1">
      <alignment vertical="center"/>
    </xf>
    <xf numFmtId="173" fontId="11" fillId="0" borderId="0" xfId="1" applyNumberFormat="1" applyFont="1" applyFill="1" applyAlignment="1" applyProtection="1">
      <alignment horizontal="left"/>
    </xf>
    <xf numFmtId="165" fontId="11" fillId="0" borderId="0" xfId="1" applyNumberFormat="1" applyFont="1" applyFill="1" applyProtection="1"/>
    <xf numFmtId="165" fontId="10" fillId="0" borderId="0" xfId="1" applyNumberFormat="1" applyFont="1" applyFill="1" applyAlignment="1" applyProtection="1"/>
    <xf numFmtId="174" fontId="10" fillId="0" borderId="0" xfId="1" applyNumberFormat="1" applyFont="1" applyFill="1" applyAlignment="1" applyProtection="1"/>
    <xf numFmtId="165" fontId="11" fillId="11" borderId="3" xfId="1" applyNumberFormat="1" applyFont="1" applyFill="1" applyBorder="1" applyAlignment="1" applyProtection="1">
      <alignment vertical="center"/>
      <protection hidden="1"/>
    </xf>
    <xf numFmtId="165" fontId="4" fillId="0" borderId="3" xfId="1" applyNumberFormat="1" applyFont="1" applyFill="1" applyBorder="1" applyAlignment="1" applyProtection="1">
      <alignment vertical="center"/>
      <protection hidden="1"/>
    </xf>
    <xf numFmtId="165" fontId="4" fillId="12" borderId="3" xfId="1" applyNumberFormat="1" applyFont="1" applyFill="1" applyBorder="1" applyAlignment="1" applyProtection="1">
      <alignment vertical="center"/>
      <protection hidden="1"/>
    </xf>
    <xf numFmtId="165" fontId="94" fillId="2" borderId="3" xfId="1" applyNumberFormat="1" applyFont="1" applyFill="1" applyBorder="1" applyAlignment="1" applyProtection="1">
      <alignment vertical="center"/>
    </xf>
    <xf numFmtId="165" fontId="11" fillId="2" borderId="3" xfId="1" applyNumberFormat="1" applyFont="1" applyFill="1" applyBorder="1" applyAlignment="1" applyProtection="1">
      <alignment vertical="center"/>
    </xf>
    <xf numFmtId="165" fontId="42" fillId="0" borderId="3" xfId="1" applyNumberFormat="1" applyFont="1" applyFill="1" applyBorder="1" applyAlignment="1" applyProtection="1">
      <alignment vertical="center"/>
      <protection hidden="1"/>
    </xf>
    <xf numFmtId="165" fontId="1" fillId="2" borderId="3" xfId="1" applyNumberFormat="1" applyFont="1" applyFill="1" applyBorder="1" applyAlignment="1" applyProtection="1">
      <alignment vertical="center"/>
    </xf>
    <xf numFmtId="165" fontId="1" fillId="0" borderId="3" xfId="1" applyNumberFormat="1" applyFont="1" applyFill="1" applyBorder="1" applyAlignment="1" applyProtection="1">
      <alignment vertical="center"/>
      <protection hidden="1"/>
    </xf>
    <xf numFmtId="165" fontId="96" fillId="0" borderId="3" xfId="1" applyNumberFormat="1" applyFont="1" applyFill="1" applyBorder="1" applyAlignment="1" applyProtection="1">
      <alignment vertical="center"/>
    </xf>
    <xf numFmtId="165" fontId="94" fillId="0" borderId="3" xfId="1" applyNumberFormat="1" applyFont="1" applyFill="1" applyBorder="1" applyAlignment="1" applyProtection="1">
      <alignment vertical="center"/>
    </xf>
    <xf numFmtId="174" fontId="92" fillId="0" borderId="0" xfId="1" applyNumberFormat="1" applyFont="1" applyFill="1" applyAlignment="1" applyProtection="1"/>
    <xf numFmtId="165" fontId="84" fillId="0" borderId="0" xfId="1" applyNumberFormat="1" applyFont="1" applyFill="1" applyAlignment="1" applyProtection="1">
      <alignment horizontal="center" vertical="center" wrapText="1"/>
    </xf>
    <xf numFmtId="165" fontId="85" fillId="0" borderId="0" xfId="1" applyNumberFormat="1" applyFont="1" applyFill="1" applyAlignment="1" applyProtection="1">
      <alignment vertical="center"/>
    </xf>
    <xf numFmtId="165" fontId="11" fillId="0" borderId="3" xfId="1" applyNumberFormat="1" applyFont="1" applyFill="1" applyBorder="1" applyAlignment="1" applyProtection="1">
      <alignment vertical="center"/>
      <protection hidden="1"/>
    </xf>
    <xf numFmtId="165" fontId="85" fillId="0" borderId="0" xfId="0" applyNumberFormat="1" applyFont="1" applyFill="1" applyAlignment="1" applyProtection="1">
      <alignment horizontal="center" vertical="center"/>
    </xf>
    <xf numFmtId="165" fontId="84" fillId="0" borderId="0" xfId="1" applyNumberFormat="1" applyFont="1" applyFill="1" applyAlignment="1" applyProtection="1">
      <alignment vertical="center"/>
    </xf>
    <xf numFmtId="165" fontId="85" fillId="0" borderId="0" xfId="0" applyNumberFormat="1" applyFont="1" applyFill="1" applyAlignment="1" applyProtection="1">
      <alignment vertical="center"/>
    </xf>
    <xf numFmtId="165" fontId="84" fillId="0" borderId="0" xfId="0" applyNumberFormat="1" applyFont="1" applyFill="1" applyAlignment="1" applyProtection="1">
      <alignment horizontal="center" vertical="center"/>
    </xf>
    <xf numFmtId="0" fontId="85" fillId="29" borderId="0" xfId="0" applyFont="1" applyFill="1" applyAlignment="1" applyProtection="1">
      <alignment vertical="center"/>
    </xf>
    <xf numFmtId="165" fontId="11" fillId="12" borderId="3" xfId="1" applyNumberFormat="1" applyFont="1" applyFill="1" applyBorder="1" applyAlignment="1" applyProtection="1">
      <alignment vertical="center"/>
      <protection hidden="1"/>
    </xf>
    <xf numFmtId="165" fontId="85" fillId="29" borderId="0" xfId="0" applyNumberFormat="1" applyFont="1" applyFill="1" applyAlignment="1" applyProtection="1">
      <alignment vertical="center"/>
    </xf>
    <xf numFmtId="165" fontId="84" fillId="0" borderId="0" xfId="0" applyNumberFormat="1" applyFont="1" applyFill="1" applyAlignment="1" applyProtection="1">
      <alignment vertical="center"/>
    </xf>
    <xf numFmtId="165" fontId="85" fillId="37" borderId="0" xfId="0" applyNumberFormat="1" applyFont="1" applyFill="1" applyAlignment="1" applyProtection="1">
      <alignment vertical="center"/>
    </xf>
    <xf numFmtId="0" fontId="85" fillId="37" borderId="0" xfId="0" applyFont="1" applyFill="1" applyAlignment="1" applyProtection="1">
      <alignment vertical="center"/>
    </xf>
    <xf numFmtId="0" fontId="85" fillId="38" borderId="0" xfId="0" applyFont="1" applyFill="1" applyAlignment="1" applyProtection="1">
      <alignment vertical="center"/>
    </xf>
    <xf numFmtId="165" fontId="11" fillId="2" borderId="3" xfId="1" applyNumberFormat="1" applyFont="1" applyFill="1" applyBorder="1" applyAlignment="1" applyProtection="1">
      <alignment vertical="center"/>
      <protection hidden="1"/>
    </xf>
    <xf numFmtId="165" fontId="85" fillId="39" borderId="0" xfId="0" applyNumberFormat="1" applyFont="1" applyFill="1" applyProtection="1"/>
    <xf numFmtId="0" fontId="85" fillId="39" borderId="0" xfId="0" applyFont="1" applyFill="1" applyAlignment="1" applyProtection="1">
      <alignment vertical="center"/>
    </xf>
    <xf numFmtId="165" fontId="85" fillId="2" borderId="0" xfId="1" applyNumberFormat="1" applyFont="1" applyFill="1" applyProtection="1"/>
    <xf numFmtId="165" fontId="86" fillId="0" borderId="0" xfId="0" applyNumberFormat="1" applyFont="1" applyFill="1" applyAlignment="1" applyProtection="1">
      <alignment horizontal="center" vertical="center"/>
    </xf>
    <xf numFmtId="165" fontId="85" fillId="38" borderId="0" xfId="0" applyNumberFormat="1" applyFont="1" applyFill="1" applyAlignment="1" applyProtection="1">
      <alignment vertical="center"/>
    </xf>
    <xf numFmtId="165" fontId="85" fillId="2" borderId="0" xfId="1" applyNumberFormat="1" applyFont="1" applyFill="1" applyAlignment="1" applyProtection="1">
      <alignment vertical="center"/>
    </xf>
    <xf numFmtId="165" fontId="6" fillId="0" borderId="3" xfId="1" applyNumberFormat="1" applyFont="1" applyFill="1" applyBorder="1" applyAlignment="1" applyProtection="1">
      <alignment vertical="center"/>
      <protection hidden="1"/>
    </xf>
    <xf numFmtId="0" fontId="88" fillId="38" borderId="0" xfId="0" applyFont="1" applyFill="1" applyAlignment="1" applyProtection="1">
      <alignment vertical="center"/>
    </xf>
    <xf numFmtId="165" fontId="87" fillId="0" borderId="0" xfId="1" applyNumberFormat="1" applyFont="1" applyFill="1" applyAlignment="1" applyProtection="1">
      <alignment vertical="center"/>
    </xf>
    <xf numFmtId="165" fontId="87" fillId="0" borderId="0" xfId="0" applyNumberFormat="1" applyFont="1" applyFill="1" applyAlignment="1" applyProtection="1">
      <alignment vertical="center"/>
    </xf>
    <xf numFmtId="43" fontId="85" fillId="0" borderId="0" xfId="0" applyNumberFormat="1" applyFont="1" applyFill="1" applyAlignment="1" applyProtection="1">
      <alignment horizontal="center" vertical="center"/>
    </xf>
    <xf numFmtId="165" fontId="85" fillId="7" borderId="0" xfId="0" applyNumberFormat="1" applyFont="1" applyFill="1" applyAlignment="1" applyProtection="1">
      <alignment horizontal="center" vertical="center"/>
    </xf>
    <xf numFmtId="165" fontId="88" fillId="0" borderId="0" xfId="0" applyNumberFormat="1" applyFont="1" applyFill="1" applyAlignment="1" applyProtection="1">
      <alignment horizontal="center" vertical="center"/>
    </xf>
    <xf numFmtId="165" fontId="88" fillId="0" borderId="0" xfId="1" applyNumberFormat="1" applyFont="1" applyFill="1" applyAlignment="1" applyProtection="1">
      <alignment vertical="center"/>
    </xf>
    <xf numFmtId="165" fontId="85" fillId="14" borderId="0" xfId="0" applyNumberFormat="1" applyFont="1" applyFill="1" applyAlignment="1" applyProtection="1">
      <alignment horizontal="center" vertical="center"/>
    </xf>
    <xf numFmtId="165" fontId="85" fillId="2" borderId="0" xfId="0" applyNumberFormat="1" applyFont="1" applyFill="1" applyProtection="1"/>
    <xf numFmtId="165" fontId="85" fillId="7" borderId="0" xfId="0" applyNumberFormat="1" applyFont="1" applyFill="1" applyAlignment="1" applyProtection="1">
      <alignment vertical="center"/>
    </xf>
    <xf numFmtId="0" fontId="56" fillId="0" borderId="3" xfId="110" applyFont="1" applyFill="1" applyBorder="1" applyAlignment="1" applyProtection="1">
      <alignment horizontal="center" vertical="center" wrapText="1"/>
    </xf>
    <xf numFmtId="14" fontId="12" fillId="0" borderId="3" xfId="0" applyNumberFormat="1" applyFont="1" applyFill="1" applyBorder="1" applyAlignment="1" applyProtection="1">
      <alignment horizontal="center" vertical="center" wrapText="1"/>
    </xf>
    <xf numFmtId="0" fontId="12" fillId="0" borderId="3" xfId="0" applyFont="1" applyFill="1" applyBorder="1" applyAlignment="1" applyProtection="1">
      <alignment horizontal="center" vertical="center"/>
    </xf>
    <xf numFmtId="165" fontId="1" fillId="13" borderId="3" xfId="1" applyNumberFormat="1" applyFont="1" applyFill="1" applyBorder="1" applyAlignment="1" applyProtection="1">
      <alignment horizontal="center" vertical="center"/>
    </xf>
    <xf numFmtId="14" fontId="11" fillId="13" borderId="3" xfId="1" applyNumberFormat="1" applyFont="1" applyFill="1" applyBorder="1" applyAlignment="1" applyProtection="1">
      <alignment vertical="center"/>
    </xf>
    <xf numFmtId="0" fontId="6" fillId="0" borderId="3" xfId="110" applyFont="1" applyFill="1" applyBorder="1" applyAlignment="1" applyProtection="1">
      <alignment horizontal="center" vertical="center" wrapText="1"/>
    </xf>
    <xf numFmtId="165" fontId="11" fillId="0" borderId="3" xfId="1" applyNumberFormat="1" applyFont="1" applyFill="1" applyBorder="1" applyAlignment="1" applyProtection="1">
      <alignment vertical="center" wrapText="1"/>
    </xf>
    <xf numFmtId="165" fontId="11" fillId="0" borderId="3" xfId="1" applyNumberFormat="1" applyFont="1" applyFill="1" applyBorder="1" applyAlignment="1" applyProtection="1">
      <alignment horizontal="center" vertical="center"/>
    </xf>
    <xf numFmtId="0" fontId="11" fillId="0" borderId="3" xfId="0" applyFont="1" applyFill="1" applyBorder="1" applyAlignment="1" applyProtection="1">
      <alignment horizontal="center" vertical="center"/>
    </xf>
    <xf numFmtId="0" fontId="7" fillId="0" borderId="3" xfId="110" applyFont="1" applyFill="1" applyBorder="1" applyAlignment="1" applyProtection="1">
      <alignment horizontal="center" vertical="center" wrapText="1"/>
    </xf>
    <xf numFmtId="165" fontId="40" fillId="0" borderId="3" xfId="1" applyNumberFormat="1" applyFont="1" applyFill="1" applyBorder="1" applyAlignment="1" applyProtection="1">
      <alignment vertical="center" wrapText="1"/>
    </xf>
    <xf numFmtId="165" fontId="40" fillId="0" borderId="3" xfId="1" applyNumberFormat="1" applyFont="1" applyFill="1" applyBorder="1" applyAlignment="1">
      <alignment horizontal="center"/>
    </xf>
    <xf numFmtId="14" fontId="40" fillId="0" borderId="3" xfId="0" applyNumberFormat="1" applyFont="1" applyFill="1" applyBorder="1" applyAlignment="1" applyProtection="1">
      <alignment horizontal="center" vertical="center" wrapText="1"/>
    </xf>
    <xf numFmtId="0" fontId="40" fillId="0" borderId="3" xfId="0" applyFont="1" applyFill="1" applyBorder="1" applyAlignment="1" applyProtection="1">
      <alignment horizontal="center" vertical="center"/>
    </xf>
    <xf numFmtId="165" fontId="40" fillId="0" borderId="3" xfId="1" applyNumberFormat="1" applyFont="1" applyFill="1" applyBorder="1" applyAlignment="1" applyProtection="1">
      <alignment horizontal="center" vertical="center"/>
    </xf>
    <xf numFmtId="0" fontId="11" fillId="0" borderId="3" xfId="110" applyFont="1" applyFill="1" applyBorder="1" applyAlignment="1" applyProtection="1">
      <alignment horizontal="center" vertical="center" wrapText="1"/>
    </xf>
    <xf numFmtId="165" fontId="11" fillId="2" borderId="3" xfId="1" applyNumberFormat="1" applyFont="1" applyFill="1" applyBorder="1" applyAlignment="1" applyProtection="1">
      <alignment vertical="center" wrapText="1"/>
    </xf>
    <xf numFmtId="165" fontId="11" fillId="0" borderId="3" xfId="1" applyNumberFormat="1" applyFont="1" applyFill="1" applyBorder="1" applyAlignment="1" applyProtection="1">
      <alignment horizontal="left" vertical="center"/>
    </xf>
    <xf numFmtId="0" fontId="6" fillId="2" borderId="3" xfId="110" applyFont="1" applyFill="1" applyBorder="1" applyAlignment="1" applyProtection="1">
      <alignment horizontal="center" vertical="center" wrapText="1"/>
    </xf>
    <xf numFmtId="0" fontId="97" fillId="2" borderId="3" xfId="110" applyFont="1" applyFill="1" applyBorder="1" applyAlignment="1" applyProtection="1">
      <alignment horizontal="center" vertical="center" wrapText="1"/>
    </xf>
    <xf numFmtId="165" fontId="98" fillId="2" borderId="3" xfId="1" applyNumberFormat="1" applyFont="1" applyFill="1" applyBorder="1" applyAlignment="1" applyProtection="1">
      <alignment vertical="center" wrapText="1"/>
    </xf>
    <xf numFmtId="165" fontId="98" fillId="2" borderId="3" xfId="1" applyNumberFormat="1" applyFont="1" applyFill="1" applyBorder="1" applyAlignment="1">
      <alignment horizontal="center"/>
    </xf>
    <xf numFmtId="14" fontId="98" fillId="2" borderId="3" xfId="0" applyNumberFormat="1" applyFont="1" applyFill="1" applyBorder="1" applyAlignment="1" applyProtection="1">
      <alignment horizontal="center" vertical="center" wrapText="1"/>
    </xf>
    <xf numFmtId="0" fontId="98" fillId="0" borderId="3" xfId="0" applyFont="1" applyFill="1" applyBorder="1" applyAlignment="1" applyProtection="1">
      <alignment horizontal="center" vertical="center"/>
    </xf>
    <xf numFmtId="165" fontId="98" fillId="0" borderId="3" xfId="1" applyNumberFormat="1" applyFont="1" applyFill="1" applyBorder="1" applyAlignment="1" applyProtection="1">
      <alignment horizontal="center" vertical="center"/>
    </xf>
    <xf numFmtId="165" fontId="4" fillId="2" borderId="3" xfId="1" applyNumberFormat="1" applyFont="1" applyFill="1" applyBorder="1" applyAlignment="1">
      <alignment horizontal="center"/>
    </xf>
    <xf numFmtId="0" fontId="1" fillId="2" borderId="3" xfId="110" applyFont="1" applyFill="1" applyBorder="1" applyAlignment="1" applyProtection="1">
      <alignment horizontal="center" vertical="center" wrapText="1"/>
    </xf>
    <xf numFmtId="165" fontId="4" fillId="0" borderId="3" xfId="39" applyNumberFormat="1" applyFont="1" applyFill="1" applyBorder="1" applyAlignment="1" applyProtection="1">
      <alignment horizontal="left" vertical="center" wrapText="1"/>
    </xf>
    <xf numFmtId="165" fontId="40" fillId="2" borderId="3" xfId="1" applyNumberFormat="1" applyFont="1" applyFill="1" applyBorder="1" applyAlignment="1" applyProtection="1">
      <alignment vertical="center" wrapText="1"/>
    </xf>
    <xf numFmtId="165" fontId="40" fillId="2" borderId="3" xfId="1" applyNumberFormat="1" applyFont="1" applyFill="1" applyBorder="1" applyAlignment="1">
      <alignment horizontal="center"/>
    </xf>
    <xf numFmtId="14" fontId="40" fillId="2" borderId="3" xfId="0" applyNumberFormat="1" applyFont="1" applyFill="1" applyBorder="1" applyAlignment="1" applyProtection="1">
      <alignment horizontal="center" vertical="center" wrapText="1"/>
    </xf>
    <xf numFmtId="165" fontId="12" fillId="0" borderId="3" xfId="1" applyNumberFormat="1" applyFont="1" applyFill="1" applyBorder="1" applyAlignment="1" applyProtection="1">
      <alignment vertical="center"/>
    </xf>
    <xf numFmtId="14" fontId="4" fillId="13" borderId="3" xfId="0" applyNumberFormat="1" applyFont="1" applyFill="1" applyBorder="1" applyAlignment="1" applyProtection="1">
      <alignment horizontal="center" vertical="center" wrapText="1"/>
    </xf>
    <xf numFmtId="165" fontId="40" fillId="0" borderId="3" xfId="1" applyNumberFormat="1" applyFont="1" applyFill="1" applyBorder="1" applyAlignment="1" applyProtection="1">
      <alignment vertical="center"/>
    </xf>
    <xf numFmtId="165" fontId="98" fillId="0" borderId="3" xfId="1" applyNumberFormat="1" applyFont="1" applyFill="1" applyBorder="1" applyAlignment="1" applyProtection="1">
      <alignment vertical="center"/>
    </xf>
    <xf numFmtId="165" fontId="10" fillId="0" borderId="3" xfId="1" applyNumberFormat="1" applyFont="1" applyFill="1" applyBorder="1" applyAlignment="1" applyProtection="1">
      <alignment vertical="center"/>
    </xf>
    <xf numFmtId="171" fontId="1" fillId="0" borderId="3" xfId="1" applyNumberFormat="1" applyFont="1" applyFill="1" applyBorder="1" applyAlignment="1" applyProtection="1">
      <alignment vertical="center"/>
    </xf>
    <xf numFmtId="171" fontId="4" fillId="40" borderId="3" xfId="1" applyNumberFormat="1" applyFont="1" applyFill="1" applyBorder="1" applyAlignment="1" applyProtection="1">
      <alignment vertical="center"/>
    </xf>
    <xf numFmtId="171" fontId="6" fillId="0" borderId="3" xfId="1" applyNumberFormat="1" applyFont="1" applyFill="1" applyBorder="1" applyAlignment="1" applyProtection="1">
      <alignment vertical="center"/>
    </xf>
    <xf numFmtId="171" fontId="11" fillId="0" borderId="3" xfId="1" applyNumberFormat="1" applyFont="1" applyFill="1" applyBorder="1" applyAlignment="1" applyProtection="1">
      <alignment vertical="center"/>
    </xf>
    <xf numFmtId="171" fontId="97" fillId="0" borderId="3" xfId="1" applyNumberFormat="1" applyFont="1" applyFill="1" applyBorder="1" applyAlignment="1" applyProtection="1">
      <alignment vertical="center"/>
    </xf>
    <xf numFmtId="0" fontId="1" fillId="11" borderId="3" xfId="110" applyFont="1" applyFill="1" applyBorder="1" applyProtection="1"/>
    <xf numFmtId="165" fontId="99" fillId="2" borderId="3" xfId="1" applyNumberFormat="1" applyFont="1" applyFill="1" applyBorder="1" applyAlignment="1" applyProtection="1">
      <alignment vertical="center"/>
    </xf>
    <xf numFmtId="165" fontId="96" fillId="12" borderId="3" xfId="1" applyNumberFormat="1" applyFont="1" applyFill="1" applyBorder="1" applyAlignment="1" applyProtection="1">
      <alignment vertical="center"/>
    </xf>
    <xf numFmtId="165" fontId="39" fillId="0" borderId="3" xfId="1" applyNumberFormat="1" applyFont="1" applyFill="1" applyBorder="1" applyAlignment="1" applyProtection="1">
      <alignment vertical="center"/>
    </xf>
    <xf numFmtId="165" fontId="100" fillId="0" borderId="3" xfId="1" applyNumberFormat="1" applyFont="1" applyFill="1" applyBorder="1" applyAlignment="1" applyProtection="1">
      <alignment vertical="center"/>
    </xf>
    <xf numFmtId="165" fontId="98" fillId="2" borderId="3" xfId="1" applyNumberFormat="1" applyFont="1" applyFill="1" applyBorder="1" applyAlignment="1" applyProtection="1">
      <alignment vertical="center"/>
    </xf>
    <xf numFmtId="165" fontId="98" fillId="0" borderId="3" xfId="1" applyNumberFormat="1" applyFont="1" applyFill="1" applyBorder="1" applyAlignment="1" applyProtection="1">
      <alignment vertical="center"/>
      <protection hidden="1"/>
    </xf>
    <xf numFmtId="165" fontId="40" fillId="2" borderId="3" xfId="1" applyNumberFormat="1" applyFont="1" applyFill="1" applyBorder="1" applyAlignment="1" applyProtection="1">
      <alignment vertical="center"/>
    </xf>
    <xf numFmtId="165" fontId="12" fillId="0" borderId="3" xfId="1" applyNumberFormat="1" applyFont="1" applyFill="1" applyBorder="1" applyAlignment="1" applyProtection="1">
      <alignment vertical="center"/>
      <protection hidden="1"/>
    </xf>
    <xf numFmtId="165" fontId="10" fillId="0" borderId="3" xfId="1" applyNumberFormat="1" applyFont="1" applyFill="1" applyBorder="1" applyAlignment="1" applyProtection="1">
      <alignment vertical="center"/>
      <protection hidden="1"/>
    </xf>
    <xf numFmtId="165" fontId="89" fillId="0" borderId="0" xfId="0" applyNumberFormat="1" applyFont="1" applyFill="1" applyAlignment="1" applyProtection="1">
      <alignment vertical="center"/>
    </xf>
    <xf numFmtId="165" fontId="89" fillId="36" borderId="0" xfId="0" applyNumberFormat="1" applyFont="1" applyFill="1" applyAlignment="1" applyProtection="1">
      <alignment horizontal="center" vertical="center"/>
    </xf>
    <xf numFmtId="165" fontId="89" fillId="0" borderId="0" xfId="1" applyNumberFormat="1" applyFont="1" applyFill="1" applyAlignment="1" applyProtection="1">
      <alignment vertical="center"/>
    </xf>
    <xf numFmtId="165" fontId="85" fillId="36" borderId="0" xfId="0" applyNumberFormat="1" applyFont="1" applyFill="1" applyAlignment="1" applyProtection="1">
      <alignment horizontal="center" vertical="center"/>
    </xf>
    <xf numFmtId="165" fontId="84" fillId="11" borderId="3" xfId="1" applyNumberFormat="1" applyFont="1" applyFill="1" applyBorder="1" applyAlignment="1" applyProtection="1">
      <alignment vertical="center"/>
      <protection hidden="1"/>
    </xf>
    <xf numFmtId="0" fontId="85" fillId="23" borderId="0" xfId="0" applyFont="1" applyFill="1" applyAlignment="1" applyProtection="1">
      <alignment vertical="center"/>
    </xf>
    <xf numFmtId="165" fontId="85" fillId="24" borderId="0" xfId="0" applyNumberFormat="1" applyFont="1" applyFill="1" applyAlignment="1" applyProtection="1">
      <alignment horizontal="center" vertical="center"/>
    </xf>
    <xf numFmtId="0" fontId="85" fillId="24" borderId="0" xfId="0" applyFont="1" applyFill="1" applyAlignment="1" applyProtection="1">
      <alignment vertical="center"/>
    </xf>
    <xf numFmtId="165" fontId="88" fillId="0" borderId="0" xfId="0" applyNumberFormat="1" applyFont="1" applyFill="1" applyAlignment="1" applyProtection="1">
      <alignment vertical="center"/>
    </xf>
    <xf numFmtId="165" fontId="84" fillId="7" borderId="0" xfId="0" applyNumberFormat="1" applyFont="1" applyFill="1" applyAlignment="1" applyProtection="1">
      <alignment horizontal="center" vertical="center"/>
    </xf>
    <xf numFmtId="0" fontId="84" fillId="23" borderId="0" xfId="0" applyFont="1" applyFill="1" applyAlignment="1" applyProtection="1">
      <alignment vertical="center"/>
    </xf>
    <xf numFmtId="165" fontId="39" fillId="2" borderId="3" xfId="1" applyNumberFormat="1" applyFont="1" applyFill="1" applyBorder="1" applyAlignment="1" applyProtection="1">
      <alignment vertical="center"/>
      <protection hidden="1"/>
    </xf>
    <xf numFmtId="165" fontId="21" fillId="7" borderId="0" xfId="0" applyNumberFormat="1" applyFont="1" applyFill="1" applyAlignment="1" applyProtection="1">
      <alignment horizontal="center" vertical="center"/>
    </xf>
    <xf numFmtId="165" fontId="21" fillId="0" borderId="0" xfId="1" applyNumberFormat="1" applyFont="1" applyFill="1" applyAlignment="1" applyProtection="1">
      <alignment vertical="center"/>
    </xf>
    <xf numFmtId="165" fontId="86" fillId="0" borderId="0" xfId="0" applyNumberFormat="1" applyFont="1" applyFill="1" applyAlignment="1" applyProtection="1">
      <alignment vertical="center"/>
    </xf>
    <xf numFmtId="165" fontId="21" fillId="0" borderId="0" xfId="0" applyNumberFormat="1" applyFont="1" applyFill="1" applyAlignment="1" applyProtection="1">
      <alignment horizontal="center" vertical="center"/>
    </xf>
    <xf numFmtId="165" fontId="21" fillId="24" borderId="0" xfId="0" applyNumberFormat="1" applyFont="1" applyFill="1" applyAlignment="1" applyProtection="1">
      <alignment horizontal="center" vertical="center"/>
    </xf>
    <xf numFmtId="0" fontId="21" fillId="24" borderId="0" xfId="0" applyFont="1" applyFill="1" applyAlignment="1" applyProtection="1">
      <alignment vertical="center"/>
    </xf>
    <xf numFmtId="165" fontId="100" fillId="2" borderId="3" xfId="1" applyNumberFormat="1" applyFont="1" applyFill="1" applyBorder="1" applyAlignment="1" applyProtection="1">
      <alignment vertical="center"/>
      <protection hidden="1"/>
    </xf>
    <xf numFmtId="165" fontId="90" fillId="41" borderId="0" xfId="0" applyNumberFormat="1" applyFont="1" applyFill="1" applyAlignment="1" applyProtection="1">
      <alignment horizontal="center" vertical="center"/>
    </xf>
    <xf numFmtId="0" fontId="90" fillId="41" borderId="0" xfId="0" applyFont="1" applyFill="1" applyAlignment="1" applyProtection="1">
      <alignment vertical="center"/>
    </xf>
    <xf numFmtId="165" fontId="90" fillId="0" borderId="0" xfId="1" applyNumberFormat="1" applyFont="1" applyFill="1" applyAlignment="1" applyProtection="1">
      <alignment vertical="center"/>
    </xf>
    <xf numFmtId="43" fontId="85" fillId="37" borderId="0" xfId="0" applyNumberFormat="1" applyFont="1" applyFill="1" applyAlignment="1" applyProtection="1">
      <alignment horizontal="center" vertical="center"/>
    </xf>
    <xf numFmtId="165" fontId="85" fillId="24" borderId="0" xfId="0" applyNumberFormat="1" applyFont="1" applyFill="1" applyAlignment="1" applyProtection="1">
      <alignment vertical="center"/>
    </xf>
    <xf numFmtId="165" fontId="1" fillId="0" borderId="3" xfId="1" applyNumberFormat="1" applyFont="1" applyFill="1" applyBorder="1" applyAlignment="1" applyProtection="1">
      <alignment vertical="center" wrapText="1"/>
    </xf>
    <xf numFmtId="165" fontId="1" fillId="2" borderId="3" xfId="1" applyNumberFormat="1" applyFont="1" applyFill="1" applyBorder="1" applyAlignment="1" applyProtection="1">
      <alignment horizontal="left" vertical="center"/>
    </xf>
    <xf numFmtId="165" fontId="1" fillId="2" borderId="3" xfId="1" applyNumberFormat="1" applyFont="1" applyFill="1" applyBorder="1" applyAlignment="1">
      <alignment horizontal="center"/>
    </xf>
    <xf numFmtId="14" fontId="1" fillId="2" borderId="3" xfId="0" applyNumberFormat="1" applyFont="1" applyFill="1" applyBorder="1" applyAlignment="1" applyProtection="1">
      <alignment horizontal="center" vertical="center" wrapText="1"/>
    </xf>
    <xf numFmtId="0" fontId="10" fillId="0" borderId="3" xfId="110" applyFont="1" applyFill="1" applyBorder="1" applyAlignment="1" applyProtection="1">
      <alignment horizontal="center" vertical="center" wrapText="1"/>
    </xf>
    <xf numFmtId="165" fontId="10" fillId="0" borderId="3" xfId="1" applyNumberFormat="1" applyFont="1" applyFill="1" applyBorder="1" applyAlignment="1">
      <alignment horizontal="center"/>
    </xf>
    <xf numFmtId="14" fontId="10" fillId="0" borderId="3" xfId="0" applyNumberFormat="1" applyFont="1" applyFill="1" applyBorder="1" applyAlignment="1" applyProtection="1">
      <alignment horizontal="center" vertical="center" wrapText="1"/>
    </xf>
    <xf numFmtId="0" fontId="10" fillId="0" borderId="3" xfId="0" applyFont="1" applyFill="1" applyBorder="1" applyAlignment="1" applyProtection="1">
      <alignment horizontal="center" vertical="center"/>
    </xf>
    <xf numFmtId="0" fontId="1" fillId="11" borderId="3" xfId="109" applyFont="1" applyFill="1" applyBorder="1" applyAlignment="1" applyProtection="1">
      <alignment horizontal="center" vertical="center"/>
    </xf>
    <xf numFmtId="0" fontId="1" fillId="0" borderId="3" xfId="109" applyFont="1" applyFill="1" applyBorder="1" applyAlignment="1" applyProtection="1">
      <alignment horizontal="center" vertical="center"/>
    </xf>
    <xf numFmtId="165" fontId="11" fillId="0" borderId="3" xfId="1" applyNumberFormat="1" applyFont="1" applyBorder="1" applyAlignment="1">
      <alignment horizontal="center"/>
    </xf>
    <xf numFmtId="165" fontId="1" fillId="7" borderId="3" xfId="1" applyNumberFormat="1" applyFont="1" applyFill="1" applyBorder="1" applyAlignment="1" applyProtection="1">
      <alignment vertical="center"/>
    </xf>
    <xf numFmtId="171" fontId="10" fillId="0" borderId="3" xfId="1" applyNumberFormat="1" applyFont="1" applyFill="1" applyBorder="1" applyAlignment="1" applyProtection="1">
      <alignment vertical="center"/>
    </xf>
    <xf numFmtId="165" fontId="4" fillId="9" borderId="3" xfId="1" applyNumberFormat="1" applyFont="1" applyFill="1" applyBorder="1" applyAlignment="1" applyProtection="1">
      <alignment vertical="center"/>
    </xf>
    <xf numFmtId="165" fontId="4" fillId="7" borderId="3" xfId="1" applyNumberFormat="1" applyFont="1" applyFill="1" applyBorder="1" applyAlignment="1" applyProtection="1">
      <alignment vertical="center"/>
    </xf>
    <xf numFmtId="165" fontId="42" fillId="9" borderId="3" xfId="1" applyNumberFormat="1" applyFont="1" applyFill="1" applyBorder="1" applyAlignment="1" applyProtection="1">
      <alignment vertical="center"/>
    </xf>
    <xf numFmtId="165" fontId="11" fillId="11" borderId="3" xfId="1" applyNumberFormat="1" applyFont="1" applyFill="1" applyBorder="1" applyProtection="1"/>
    <xf numFmtId="165" fontId="99" fillId="0" borderId="3" xfId="1" applyNumberFormat="1" applyFont="1" applyFill="1" applyBorder="1" applyAlignment="1" applyProtection="1">
      <alignment vertical="center"/>
    </xf>
    <xf numFmtId="165" fontId="95" fillId="0" borderId="3" xfId="1" applyNumberFormat="1" applyFont="1" applyFill="1" applyBorder="1" applyAlignment="1" applyProtection="1">
      <alignment vertical="center"/>
    </xf>
    <xf numFmtId="165" fontId="91" fillId="0" borderId="0" xfId="1" applyNumberFormat="1" applyFont="1" applyFill="1" applyProtection="1"/>
    <xf numFmtId="165" fontId="88" fillId="0" borderId="0" xfId="1" applyNumberFormat="1" applyFont="1" applyFill="1" applyProtection="1"/>
    <xf numFmtId="165" fontId="85" fillId="36" borderId="3" xfId="1" applyNumberFormat="1" applyFont="1" applyFill="1" applyBorder="1" applyProtection="1"/>
    <xf numFmtId="0" fontId="85" fillId="36" borderId="3" xfId="0" applyFont="1" applyFill="1" applyBorder="1" applyProtection="1"/>
    <xf numFmtId="165" fontId="92" fillId="0" borderId="0" xfId="0" applyNumberFormat="1" applyFont="1" applyFill="1" applyAlignment="1" applyProtection="1">
      <alignment horizontal="center" vertical="center"/>
    </xf>
    <xf numFmtId="165" fontId="92" fillId="0" borderId="0" xfId="0" applyNumberFormat="1" applyFont="1" applyFill="1" applyAlignment="1" applyProtection="1">
      <alignment vertical="center"/>
    </xf>
    <xf numFmtId="0" fontId="92" fillId="0" borderId="0" xfId="0" applyFont="1" applyFill="1" applyAlignment="1" applyProtection="1">
      <alignment vertical="center"/>
    </xf>
    <xf numFmtId="165" fontId="92" fillId="36" borderId="3" xfId="1" applyNumberFormat="1" applyFont="1" applyFill="1" applyBorder="1" applyProtection="1"/>
    <xf numFmtId="0" fontId="92" fillId="36" borderId="3" xfId="0" applyFont="1" applyFill="1" applyBorder="1" applyProtection="1"/>
    <xf numFmtId="165" fontId="84" fillId="8" borderId="0" xfId="0" applyNumberFormat="1" applyFont="1" applyFill="1" applyAlignment="1" applyProtection="1">
      <alignment horizontal="center" vertical="center"/>
    </xf>
    <xf numFmtId="165" fontId="85" fillId="8" borderId="0" xfId="0" applyNumberFormat="1" applyFont="1" applyFill="1" applyAlignment="1" applyProtection="1">
      <alignment horizontal="center" vertical="center"/>
    </xf>
    <xf numFmtId="165" fontId="84" fillId="36" borderId="0" xfId="1" applyNumberFormat="1" applyFont="1" applyFill="1" applyProtection="1"/>
    <xf numFmtId="0" fontId="85" fillId="36" borderId="0" xfId="0" applyFont="1" applyFill="1" applyAlignment="1" applyProtection="1">
      <alignment vertical="center"/>
    </xf>
    <xf numFmtId="165" fontId="89" fillId="0" borderId="0" xfId="0" applyNumberFormat="1" applyFont="1" applyFill="1" applyAlignment="1" applyProtection="1">
      <alignment horizontal="center" vertical="center"/>
    </xf>
    <xf numFmtId="165" fontId="85" fillId="0" borderId="0" xfId="0" applyNumberFormat="1" applyFont="1" applyFill="1" applyProtection="1"/>
    <xf numFmtId="165" fontId="92" fillId="0" borderId="0" xfId="1" applyNumberFormat="1" applyFont="1" applyFill="1" applyProtection="1"/>
    <xf numFmtId="0" fontId="1" fillId="0" borderId="6" xfId="110" applyFont="1" applyFill="1" applyBorder="1" applyAlignment="1" applyProtection="1">
      <alignment horizontal="center" vertical="center" wrapText="1"/>
    </xf>
    <xf numFmtId="165" fontId="4" fillId="0" borderId="6" xfId="1" applyNumberFormat="1" applyFont="1" applyFill="1" applyBorder="1" applyAlignment="1" applyProtection="1">
      <alignment vertical="center"/>
    </xf>
    <xf numFmtId="165" fontId="4" fillId="0" borderId="6" xfId="1" applyNumberFormat="1" applyFont="1" applyFill="1" applyBorder="1" applyAlignment="1" applyProtection="1">
      <alignment horizontal="left" vertical="center"/>
    </xf>
    <xf numFmtId="165" fontId="4" fillId="0" borderId="6" xfId="1" applyNumberFormat="1" applyFont="1" applyBorder="1" applyAlignment="1">
      <alignment horizontal="center"/>
    </xf>
    <xf numFmtId="14" fontId="4" fillId="0" borderId="6" xfId="0" applyNumberFormat="1" applyFont="1" applyFill="1" applyBorder="1" applyAlignment="1" applyProtection="1">
      <alignment horizontal="center" vertical="center" wrapText="1"/>
    </xf>
    <xf numFmtId="0" fontId="4" fillId="0" borderId="6" xfId="0" applyFont="1" applyFill="1" applyBorder="1" applyAlignment="1" applyProtection="1">
      <alignment horizontal="center" vertical="center"/>
    </xf>
    <xf numFmtId="165" fontId="4" fillId="0" borderId="6" xfId="1" applyNumberFormat="1" applyFont="1" applyFill="1" applyBorder="1" applyAlignment="1" applyProtection="1">
      <alignment horizontal="center" vertical="center"/>
    </xf>
    <xf numFmtId="0" fontId="1" fillId="0" borderId="0" xfId="110" applyFont="1" applyFill="1" applyBorder="1" applyAlignment="1" applyProtection="1">
      <alignment horizontal="center" vertical="center" wrapText="1"/>
    </xf>
    <xf numFmtId="165" fontId="4" fillId="0" borderId="0" xfId="1" applyNumberFormat="1" applyFont="1" applyFill="1" applyBorder="1" applyAlignment="1" applyProtection="1">
      <alignment vertical="center"/>
    </xf>
    <xf numFmtId="165" fontId="4" fillId="0" borderId="0" xfId="1" applyNumberFormat="1" applyFont="1" applyFill="1" applyBorder="1" applyAlignment="1" applyProtection="1">
      <alignment horizontal="left" vertical="center"/>
    </xf>
    <xf numFmtId="165" fontId="4" fillId="0" borderId="0" xfId="1" applyNumberFormat="1" applyFont="1" applyBorder="1" applyAlignment="1">
      <alignment horizontal="center"/>
    </xf>
    <xf numFmtId="14" fontId="4" fillId="0" borderId="0" xfId="0" applyNumberFormat="1" applyFont="1" applyFill="1" applyBorder="1" applyAlignment="1" applyProtection="1">
      <alignment horizontal="center" vertical="center" wrapText="1"/>
    </xf>
    <xf numFmtId="0" fontId="4" fillId="0" borderId="0" xfId="0" applyFont="1" applyFill="1" applyBorder="1" applyAlignment="1" applyProtection="1">
      <alignment horizontal="center" vertical="center"/>
    </xf>
    <xf numFmtId="165" fontId="4" fillId="0" borderId="0" xfId="1" applyNumberFormat="1" applyFont="1" applyFill="1" applyBorder="1" applyAlignment="1" applyProtection="1">
      <alignment horizontal="center" vertical="center"/>
    </xf>
    <xf numFmtId="14" fontId="4" fillId="0" borderId="0" xfId="1" applyNumberFormat="1" applyFont="1" applyFill="1" applyProtection="1"/>
    <xf numFmtId="165" fontId="6" fillId="0" borderId="0" xfId="1" applyNumberFormat="1" applyFont="1" applyFill="1" applyProtection="1"/>
    <xf numFmtId="14" fontId="6" fillId="0" borderId="0" xfId="1" applyNumberFormat="1" applyFont="1" applyFill="1" applyProtection="1"/>
    <xf numFmtId="14" fontId="85" fillId="0" borderId="0" xfId="1" applyNumberFormat="1" applyFont="1" applyFill="1" applyProtection="1"/>
    <xf numFmtId="171" fontId="4" fillId="0" borderId="6" xfId="1" applyNumberFormat="1" applyFont="1" applyFill="1" applyBorder="1" applyAlignment="1" applyProtection="1">
      <alignment vertical="center"/>
    </xf>
    <xf numFmtId="165" fontId="11" fillId="0" borderId="0" xfId="1" applyNumberFormat="1" applyFont="1" applyFill="1" applyBorder="1" applyAlignment="1" applyProtection="1">
      <alignment vertical="center"/>
    </xf>
    <xf numFmtId="171" fontId="4" fillId="0" borderId="0" xfId="1" applyNumberFormat="1" applyFont="1" applyFill="1" applyBorder="1" applyAlignment="1" applyProtection="1">
      <alignment vertical="center"/>
    </xf>
    <xf numFmtId="165" fontId="6" fillId="0" borderId="0" xfId="1" applyNumberFormat="1" applyFont="1" applyFill="1" applyAlignment="1" applyProtection="1"/>
    <xf numFmtId="165" fontId="11" fillId="0" borderId="6" xfId="1" applyNumberFormat="1" applyFont="1" applyFill="1" applyBorder="1" applyAlignment="1" applyProtection="1">
      <alignment vertical="center"/>
    </xf>
    <xf numFmtId="165" fontId="94" fillId="2" borderId="6" xfId="1" applyNumberFormat="1" applyFont="1" applyFill="1" applyBorder="1" applyAlignment="1" applyProtection="1">
      <alignment vertical="center"/>
    </xf>
    <xf numFmtId="165" fontId="4" fillId="0" borderId="6" xfId="1" applyNumberFormat="1" applyFont="1" applyFill="1" applyBorder="1" applyAlignment="1" applyProtection="1">
      <alignment vertical="center"/>
      <protection hidden="1"/>
    </xf>
    <xf numFmtId="165" fontId="101" fillId="0" borderId="0" xfId="1" applyNumberFormat="1" applyFont="1" applyFill="1" applyBorder="1" applyAlignment="1" applyProtection="1">
      <alignment vertical="center"/>
    </xf>
    <xf numFmtId="165" fontId="11" fillId="0" borderId="0" xfId="1" applyNumberFormat="1" applyFont="1" applyFill="1" applyBorder="1" applyAlignment="1" applyProtection="1">
      <alignment vertical="center"/>
      <protection hidden="1"/>
    </xf>
    <xf numFmtId="43" fontId="85" fillId="7" borderId="21" xfId="0" applyNumberFormat="1" applyFont="1" applyFill="1" applyBorder="1" applyAlignment="1" applyProtection="1">
      <alignment horizontal="center" vertical="center"/>
    </xf>
    <xf numFmtId="165" fontId="85" fillId="7" borderId="21" xfId="0" applyNumberFormat="1" applyFont="1" applyFill="1" applyBorder="1" applyAlignment="1" applyProtection="1">
      <alignment vertical="center"/>
    </xf>
    <xf numFmtId="165" fontId="85" fillId="0" borderId="21" xfId="1" applyNumberFormat="1" applyFont="1" applyFill="1" applyBorder="1" applyProtection="1"/>
    <xf numFmtId="165" fontId="11" fillId="2" borderId="6" xfId="1" applyNumberFormat="1" applyFont="1" applyFill="1" applyBorder="1" applyAlignment="1" applyProtection="1">
      <alignment vertical="center"/>
      <protection hidden="1"/>
    </xf>
    <xf numFmtId="165" fontId="17" fillId="0" borderId="0" xfId="1" applyNumberFormat="1" applyFont="1" applyFill="1" applyBorder="1" applyAlignment="1" applyProtection="1">
      <alignment vertical="center"/>
    </xf>
    <xf numFmtId="165" fontId="11" fillId="0" borderId="0" xfId="0" applyNumberFormat="1" applyFont="1" applyFill="1" applyProtection="1"/>
    <xf numFmtId="0" fontId="6" fillId="0" borderId="0" xfId="0" applyFont="1" applyFill="1" applyProtection="1"/>
    <xf numFmtId="0" fontId="87" fillId="0" borderId="0" xfId="0" applyFont="1" applyFill="1" applyAlignment="1" applyProtection="1">
      <alignment horizontal="center"/>
    </xf>
    <xf numFmtId="165" fontId="87" fillId="0" borderId="0" xfId="1" applyNumberFormat="1" applyFont="1" applyFill="1" applyProtection="1"/>
    <xf numFmtId="0" fontId="89" fillId="0" borderId="0" xfId="0" applyFont="1" applyFill="1" applyProtection="1"/>
    <xf numFmtId="165" fontId="87" fillId="0" borderId="0" xfId="0" applyNumberFormat="1" applyFont="1" applyFill="1" applyProtection="1"/>
    <xf numFmtId="0" fontId="102" fillId="0" borderId="0" xfId="0" applyFont="1"/>
    <xf numFmtId="0" fontId="102" fillId="0" borderId="0" xfId="0" applyFont="1" applyAlignment="1">
      <alignment horizontal="center"/>
    </xf>
    <xf numFmtId="0" fontId="103" fillId="0" borderId="0" xfId="0" applyFont="1" applyFill="1"/>
    <xf numFmtId="0" fontId="104" fillId="0" borderId="0" xfId="0" applyFont="1"/>
    <xf numFmtId="0" fontId="103" fillId="0" borderId="0" xfId="0" applyFont="1" applyAlignment="1">
      <alignment horizontal="center"/>
    </xf>
    <xf numFmtId="0" fontId="103" fillId="0" borderId="0" xfId="0" applyFont="1"/>
    <xf numFmtId="167" fontId="103" fillId="0" borderId="0" xfId="1" applyNumberFormat="1" applyFont="1" applyAlignment="1"/>
    <xf numFmtId="175" fontId="103" fillId="0" borderId="0" xfId="1" applyNumberFormat="1" applyFont="1" applyAlignment="1"/>
    <xf numFmtId="0" fontId="103" fillId="18" borderId="0" xfId="0" applyFont="1" applyFill="1"/>
    <xf numFmtId="164" fontId="103" fillId="0" borderId="0" xfId="1" applyNumberFormat="1" applyFont="1" applyFill="1"/>
    <xf numFmtId="167" fontId="105" fillId="0" borderId="0" xfId="1" applyNumberFormat="1" applyFont="1"/>
    <xf numFmtId="175" fontId="105" fillId="0" borderId="0" xfId="1" applyNumberFormat="1" applyFont="1" applyAlignment="1"/>
    <xf numFmtId="0" fontId="107" fillId="16" borderId="4" xfId="0" applyFont="1" applyFill="1" applyBorder="1" applyAlignment="1">
      <alignment horizontal="center" vertical="center"/>
    </xf>
    <xf numFmtId="0" fontId="107" fillId="16" borderId="6" xfId="0" applyFont="1" applyFill="1" applyBorder="1" applyAlignment="1">
      <alignment horizontal="center" vertical="center"/>
    </xf>
    <xf numFmtId="167" fontId="107" fillId="16" borderId="3" xfId="1" applyNumberFormat="1" applyFont="1" applyFill="1" applyBorder="1" applyAlignment="1">
      <alignment horizontal="center" vertical="center"/>
    </xf>
    <xf numFmtId="0" fontId="103" fillId="12" borderId="3" xfId="0" applyFont="1" applyFill="1" applyBorder="1" applyAlignment="1">
      <alignment horizontal="center"/>
    </xf>
    <xf numFmtId="0" fontId="108" fillId="12" borderId="3" xfId="0" applyFont="1" applyFill="1" applyBorder="1"/>
    <xf numFmtId="167" fontId="103" fillId="12" borderId="3" xfId="1" applyNumberFormat="1" applyFont="1" applyFill="1" applyBorder="1" applyAlignment="1"/>
    <xf numFmtId="167" fontId="51" fillId="12" borderId="3" xfId="1" applyNumberFormat="1" applyFont="1" applyFill="1" applyBorder="1" applyAlignment="1"/>
    <xf numFmtId="167" fontId="105" fillId="12" borderId="3" xfId="1" applyNumberFormat="1" applyFont="1" applyFill="1" applyBorder="1" applyAlignment="1"/>
    <xf numFmtId="0" fontId="103" fillId="0" borderId="3" xfId="0" applyFont="1" applyBorder="1" applyAlignment="1">
      <alignment horizontal="center"/>
    </xf>
    <xf numFmtId="0" fontId="103" fillId="0" borderId="3" xfId="0" applyFont="1" applyBorder="1" applyAlignment="1">
      <alignment horizontal="right"/>
    </xf>
    <xf numFmtId="167" fontId="105" fillId="0" borderId="3" xfId="1" applyNumberFormat="1" applyFont="1" applyBorder="1" applyAlignment="1"/>
    <xf numFmtId="167" fontId="51" fillId="0" borderId="3" xfId="1" applyNumberFormat="1" applyFont="1" applyBorder="1" applyAlignment="1"/>
    <xf numFmtId="167" fontId="103" fillId="0" borderId="3" xfId="1" applyNumberFormat="1" applyFont="1" applyBorder="1" applyAlignment="1"/>
    <xf numFmtId="0" fontId="103" fillId="42" borderId="3" xfId="0" applyFont="1" applyFill="1" applyBorder="1" applyAlignment="1">
      <alignment horizontal="center"/>
    </xf>
    <xf numFmtId="0" fontId="103" fillId="42" borderId="3" xfId="0" applyFont="1" applyFill="1" applyBorder="1" applyAlignment="1">
      <alignment horizontal="right"/>
    </xf>
    <xf numFmtId="167" fontId="103" fillId="42" borderId="3" xfId="1" applyNumberFormat="1" applyFont="1" applyFill="1" applyBorder="1" applyAlignment="1"/>
    <xf numFmtId="167" fontId="51" fillId="42" borderId="3" xfId="1" applyNumberFormat="1" applyFont="1" applyFill="1" applyBorder="1" applyAlignment="1"/>
    <xf numFmtId="0" fontId="103" fillId="0" borderId="3" xfId="0" applyFont="1" applyFill="1" applyBorder="1" applyAlignment="1">
      <alignment horizontal="right"/>
    </xf>
    <xf numFmtId="0" fontId="103" fillId="4" borderId="3" xfId="0" applyFont="1" applyFill="1" applyBorder="1" applyAlignment="1">
      <alignment horizontal="right"/>
    </xf>
    <xf numFmtId="0" fontId="104" fillId="0" borderId="3" xfId="0" applyFont="1" applyBorder="1" applyAlignment="1">
      <alignment horizontal="center"/>
    </xf>
    <xf numFmtId="0" fontId="104" fillId="0" borderId="3" xfId="0" applyFont="1" applyBorder="1" applyAlignment="1">
      <alignment horizontal="right"/>
    </xf>
    <xf numFmtId="167" fontId="104" fillId="0" borderId="3" xfId="1" applyNumberFormat="1" applyFont="1" applyBorder="1" applyAlignment="1"/>
    <xf numFmtId="167" fontId="105" fillId="0" borderId="3" xfId="86" applyNumberFormat="1" applyFont="1" applyBorder="1" applyAlignment="1"/>
    <xf numFmtId="167" fontId="103" fillId="0" borderId="3" xfId="86" applyNumberFormat="1" applyFont="1" applyBorder="1" applyAlignment="1"/>
    <xf numFmtId="0" fontId="102" fillId="18" borderId="0" xfId="0" applyFont="1" applyFill="1"/>
    <xf numFmtId="164" fontId="102" fillId="0" borderId="0" xfId="1" applyNumberFormat="1" applyFont="1" applyFill="1"/>
    <xf numFmtId="167" fontId="108" fillId="0" borderId="0" xfId="1" applyNumberFormat="1" applyFont="1"/>
    <xf numFmtId="43" fontId="110" fillId="18" borderId="21" xfId="1" applyFont="1" applyFill="1" applyBorder="1" applyAlignment="1">
      <alignment horizontal="center" vertical="center"/>
    </xf>
    <xf numFmtId="167" fontId="107" fillId="16" borderId="8" xfId="1" applyNumberFormat="1" applyFont="1" applyFill="1" applyBorder="1" applyAlignment="1">
      <alignment horizontal="center" vertical="center"/>
    </xf>
    <xf numFmtId="167" fontId="110" fillId="18" borderId="8" xfId="1" applyNumberFormat="1" applyFont="1" applyFill="1" applyBorder="1" applyAlignment="1">
      <alignment horizontal="center" vertical="center"/>
    </xf>
    <xf numFmtId="167" fontId="103" fillId="12" borderId="8" xfId="1" applyNumberFormat="1" applyFont="1" applyFill="1" applyBorder="1" applyAlignment="1"/>
    <xf numFmtId="164" fontId="103" fillId="12" borderId="3" xfId="1" applyNumberFormat="1" applyFont="1" applyFill="1" applyBorder="1" applyAlignment="1"/>
    <xf numFmtId="167" fontId="105" fillId="12" borderId="8" xfId="1" applyNumberFormat="1" applyFont="1" applyFill="1" applyBorder="1" applyAlignment="1"/>
    <xf numFmtId="167" fontId="51" fillId="18" borderId="8" xfId="1" applyNumberFormat="1" applyFont="1" applyFill="1" applyBorder="1" applyAlignment="1"/>
    <xf numFmtId="164" fontId="51" fillId="0" borderId="3" xfId="1" applyNumberFormat="1" applyFont="1" applyFill="1" applyBorder="1" applyAlignment="1"/>
    <xf numFmtId="167" fontId="105" fillId="0" borderId="3" xfId="1" applyNumberFormat="1" applyFont="1" applyBorder="1"/>
    <xf numFmtId="167" fontId="103" fillId="18" borderId="8" xfId="1" applyNumberFormat="1" applyFont="1" applyFill="1" applyBorder="1" applyAlignment="1"/>
    <xf numFmtId="164" fontId="103" fillId="0" borderId="3" xfId="1" applyNumberFormat="1" applyFont="1" applyFill="1" applyBorder="1" applyAlignment="1"/>
    <xf numFmtId="175" fontId="103" fillId="18" borderId="8" xfId="1" applyNumberFormat="1" applyFont="1" applyFill="1" applyBorder="1" applyAlignment="1"/>
    <xf numFmtId="167" fontId="103" fillId="42" borderId="8" xfId="1" applyNumberFormat="1" applyFont="1" applyFill="1" applyBorder="1" applyAlignment="1"/>
    <xf numFmtId="164" fontId="103" fillId="42" borderId="3" xfId="1" applyNumberFormat="1" applyFont="1" applyFill="1" applyBorder="1" applyAlignment="1"/>
    <xf numFmtId="167" fontId="105" fillId="42" borderId="3" xfId="1" applyNumberFormat="1" applyFont="1" applyFill="1" applyBorder="1"/>
    <xf numFmtId="167" fontId="51" fillId="42" borderId="8" xfId="1" applyNumberFormat="1" applyFont="1" applyFill="1" applyBorder="1" applyAlignment="1"/>
    <xf numFmtId="164" fontId="51" fillId="42" borderId="3" xfId="1" applyNumberFormat="1" applyFont="1" applyFill="1" applyBorder="1" applyAlignment="1"/>
    <xf numFmtId="167" fontId="105" fillId="0" borderId="3" xfId="1" applyNumberFormat="1" applyFont="1" applyFill="1" applyBorder="1"/>
    <xf numFmtId="167" fontId="105" fillId="0" borderId="8" xfId="1" applyNumberFormat="1" applyFont="1" applyBorder="1"/>
    <xf numFmtId="167" fontId="104" fillId="18" borderId="8" xfId="1" applyNumberFormat="1" applyFont="1" applyFill="1" applyBorder="1" applyAlignment="1"/>
    <xf numFmtId="164" fontId="104" fillId="0" borderId="3" xfId="1" applyNumberFormat="1" applyFont="1" applyFill="1" applyBorder="1" applyAlignment="1"/>
    <xf numFmtId="167" fontId="104" fillId="0" borderId="8" xfId="1" applyNumberFormat="1" applyFont="1" applyBorder="1"/>
    <xf numFmtId="167" fontId="103" fillId="18" borderId="8" xfId="86" applyNumberFormat="1" applyFont="1" applyFill="1" applyBorder="1" applyAlignment="1"/>
    <xf numFmtId="164" fontId="103" fillId="0" borderId="3" xfId="86" applyNumberFormat="1" applyFont="1" applyFill="1" applyBorder="1" applyAlignment="1"/>
    <xf numFmtId="167" fontId="105" fillId="0" borderId="3" xfId="86" applyNumberFormat="1" applyFont="1" applyBorder="1"/>
    <xf numFmtId="167" fontId="51" fillId="0" borderId="3" xfId="86" applyNumberFormat="1" applyFont="1" applyFill="1" applyBorder="1" applyAlignment="1"/>
    <xf numFmtId="0" fontId="103" fillId="27" borderId="3" xfId="0" applyFont="1" applyFill="1" applyBorder="1" applyAlignment="1">
      <alignment horizontal="center"/>
    </xf>
    <xf numFmtId="0" fontId="102" fillId="27" borderId="3" xfId="0" applyFont="1" applyFill="1" applyBorder="1" applyAlignment="1">
      <alignment horizontal="right"/>
    </xf>
    <xf numFmtId="167" fontId="51" fillId="27" borderId="3" xfId="1" applyNumberFormat="1" applyFont="1" applyFill="1" applyBorder="1" applyAlignment="1"/>
    <xf numFmtId="167" fontId="103" fillId="27" borderId="3" xfId="1" applyNumberFormat="1" applyFont="1" applyFill="1" applyBorder="1" applyAlignment="1"/>
    <xf numFmtId="167" fontId="105" fillId="27" borderId="3" xfId="1" applyNumberFormat="1" applyFont="1" applyFill="1" applyBorder="1" applyAlignment="1"/>
    <xf numFmtId="0" fontId="102" fillId="0" borderId="3" xfId="0" applyFont="1" applyBorder="1" applyAlignment="1">
      <alignment horizontal="right"/>
    </xf>
    <xf numFmtId="0" fontId="111" fillId="12" borderId="3" xfId="0" applyFont="1" applyFill="1" applyBorder="1"/>
    <xf numFmtId="167" fontId="103" fillId="7" borderId="3" xfId="1" applyNumberFormat="1" applyFont="1" applyFill="1" applyBorder="1" applyAlignment="1"/>
    <xf numFmtId="0" fontId="51" fillId="12" borderId="3" xfId="0" applyFont="1" applyFill="1" applyBorder="1" applyAlignment="1">
      <alignment horizontal="right"/>
    </xf>
    <xf numFmtId="167" fontId="51" fillId="43" borderId="3" xfId="86" applyNumberFormat="1" applyFont="1" applyFill="1" applyBorder="1" applyAlignment="1"/>
    <xf numFmtId="167" fontId="105" fillId="12" borderId="3" xfId="86" applyNumberFormat="1" applyFont="1" applyFill="1" applyBorder="1" applyAlignment="1"/>
    <xf numFmtId="167" fontId="51" fillId="12" borderId="3" xfId="86" applyNumberFormat="1" applyFont="1" applyFill="1" applyBorder="1" applyAlignment="1"/>
    <xf numFmtId="0" fontId="111" fillId="12" borderId="3" xfId="0" applyFont="1" applyFill="1" applyBorder="1" applyAlignment="1">
      <alignment horizontal="left"/>
    </xf>
    <xf numFmtId="167" fontId="51" fillId="28" borderId="3" xfId="86" applyNumberFormat="1" applyFont="1" applyFill="1" applyBorder="1" applyAlignment="1"/>
    <xf numFmtId="164" fontId="103" fillId="27" borderId="3" xfId="1" applyNumberFormat="1" applyFont="1" applyFill="1" applyBorder="1" applyAlignment="1"/>
    <xf numFmtId="167" fontId="105" fillId="27" borderId="3" xfId="1" applyNumberFormat="1" applyFont="1" applyFill="1" applyBorder="1"/>
    <xf numFmtId="0" fontId="103" fillId="7" borderId="0" xfId="0" applyFont="1" applyFill="1"/>
    <xf numFmtId="164" fontId="103" fillId="12" borderId="3" xfId="86" applyNumberFormat="1" applyFont="1" applyFill="1" applyBorder="1" applyAlignment="1"/>
    <xf numFmtId="167" fontId="105" fillId="12" borderId="8" xfId="86" applyNumberFormat="1" applyFont="1" applyFill="1" applyBorder="1" applyAlignment="1"/>
    <xf numFmtId="0" fontId="103" fillId="0" borderId="3" xfId="0" applyFont="1" applyBorder="1"/>
    <xf numFmtId="0" fontId="103" fillId="4" borderId="3" xfId="0" applyFont="1" applyFill="1" applyBorder="1" applyAlignment="1">
      <alignment horizontal="center"/>
    </xf>
    <xf numFmtId="0" fontId="108" fillId="4" borderId="3" xfId="0" applyFont="1" applyFill="1" applyBorder="1"/>
    <xf numFmtId="167" fontId="51" fillId="4" borderId="3" xfId="47" applyNumberFormat="1" applyFont="1" applyFill="1" applyBorder="1" applyAlignment="1"/>
    <xf numFmtId="167" fontId="105" fillId="4" borderId="3" xfId="47" applyNumberFormat="1" applyFont="1" applyFill="1" applyBorder="1" applyAlignment="1"/>
    <xf numFmtId="0" fontId="111" fillId="4" borderId="3" xfId="0" applyFont="1" applyFill="1" applyBorder="1" applyAlignment="1">
      <alignment horizontal="left"/>
    </xf>
    <xf numFmtId="0" fontId="111" fillId="4" borderId="3" xfId="0" applyFont="1" applyFill="1" applyBorder="1" applyAlignment="1">
      <alignment horizontal="right"/>
    </xf>
    <xf numFmtId="0" fontId="51" fillId="4" borderId="3" xfId="0" applyFont="1" applyFill="1" applyBorder="1" applyAlignment="1">
      <alignment horizontal="right"/>
    </xf>
    <xf numFmtId="167" fontId="103" fillId="4" borderId="8" xfId="47" applyNumberFormat="1" applyFont="1" applyFill="1" applyBorder="1" applyAlignment="1"/>
    <xf numFmtId="164" fontId="103" fillId="4" borderId="3" xfId="47" applyNumberFormat="1" applyFont="1" applyFill="1" applyBorder="1" applyAlignment="1"/>
    <xf numFmtId="167" fontId="105" fillId="4" borderId="8" xfId="47" applyNumberFormat="1" applyFont="1" applyFill="1" applyBorder="1" applyAlignment="1"/>
    <xf numFmtId="167" fontId="103" fillId="0" borderId="0" xfId="0" applyNumberFormat="1" applyFont="1"/>
    <xf numFmtId="0" fontId="111" fillId="4" borderId="3" xfId="0" applyFont="1" applyFill="1" applyBorder="1"/>
    <xf numFmtId="167" fontId="105" fillId="12" borderId="3" xfId="47" applyNumberFormat="1" applyFont="1" applyFill="1" applyBorder="1" applyAlignment="1"/>
    <xf numFmtId="167" fontId="51" fillId="12" borderId="3" xfId="47" applyNumberFormat="1" applyFont="1" applyFill="1" applyBorder="1" applyAlignment="1"/>
    <xf numFmtId="0" fontId="103" fillId="11" borderId="3" xfId="0" applyFont="1" applyFill="1" applyBorder="1" applyAlignment="1">
      <alignment horizontal="center"/>
    </xf>
    <xf numFmtId="0" fontId="51" fillId="11" borderId="3" xfId="0" applyFont="1" applyFill="1" applyBorder="1" applyAlignment="1">
      <alignment horizontal="right"/>
    </xf>
    <xf numFmtId="167" fontId="105" fillId="11" borderId="3" xfId="47" applyNumberFormat="1" applyFont="1" applyFill="1" applyBorder="1" applyAlignment="1"/>
    <xf numFmtId="167" fontId="51" fillId="11" borderId="3" xfId="47" applyNumberFormat="1" applyFont="1" applyFill="1" applyBorder="1" applyAlignment="1"/>
    <xf numFmtId="167" fontId="103" fillId="4" borderId="3" xfId="47" applyNumberFormat="1" applyFont="1" applyFill="1" applyBorder="1" applyAlignment="1"/>
    <xf numFmtId="0" fontId="111" fillId="11" borderId="3" xfId="0" applyFont="1" applyFill="1" applyBorder="1"/>
    <xf numFmtId="0" fontId="103" fillId="4" borderId="3" xfId="119" applyFont="1" applyFill="1" applyBorder="1" applyAlignment="1">
      <alignment horizontal="center"/>
    </xf>
    <xf numFmtId="0" fontId="108" fillId="4" borderId="3" xfId="119" applyFont="1" applyFill="1" applyBorder="1"/>
    <xf numFmtId="167" fontId="103" fillId="18" borderId="8" xfId="47" applyNumberFormat="1" applyFont="1" applyFill="1" applyBorder="1" applyAlignment="1"/>
    <xf numFmtId="164" fontId="103" fillId="12" borderId="3" xfId="47" applyNumberFormat="1" applyFont="1" applyFill="1" applyBorder="1" applyAlignment="1"/>
    <xf numFmtId="167" fontId="105" fillId="12" borderId="8" xfId="47" applyNumberFormat="1" applyFont="1" applyFill="1" applyBorder="1" applyAlignment="1"/>
    <xf numFmtId="167" fontId="103" fillId="11" borderId="8" xfId="47" applyNumberFormat="1" applyFont="1" applyFill="1" applyBorder="1" applyAlignment="1"/>
    <xf numFmtId="164" fontId="103" fillId="11" borderId="3" xfId="47" applyNumberFormat="1" applyFont="1" applyFill="1" applyBorder="1" applyAlignment="1"/>
    <xf numFmtId="167" fontId="105" fillId="11" borderId="8" xfId="47" applyNumberFormat="1" applyFont="1" applyFill="1" applyBorder="1" applyAlignment="1"/>
    <xf numFmtId="167" fontId="105" fillId="4" borderId="3" xfId="47" applyNumberFormat="1" applyFont="1" applyFill="1" applyBorder="1"/>
    <xf numFmtId="17" fontId="0" fillId="0" borderId="0" xfId="0" quotePrefix="1" applyNumberFormat="1"/>
    <xf numFmtId="14" fontId="0" fillId="0" borderId="0" xfId="0" quotePrefix="1" applyNumberFormat="1"/>
    <xf numFmtId="0" fontId="0" fillId="0" borderId="0" xfId="0" quotePrefix="1"/>
    <xf numFmtId="0" fontId="21" fillId="0" borderId="0" xfId="76" quotePrefix="1" applyFont="1" applyAlignment="1">
      <alignment horizontal="right"/>
    </xf>
    <xf numFmtId="0" fontId="21" fillId="0" borderId="4" xfId="0" quotePrefix="1" applyFont="1" applyBorder="1" applyAlignment="1">
      <alignment horizontal="right"/>
    </xf>
    <xf numFmtId="0" fontId="21" fillId="0" borderId="3" xfId="76" quotePrefix="1" applyFont="1" applyBorder="1" applyAlignment="1">
      <alignment horizontal="right"/>
    </xf>
    <xf numFmtId="0" fontId="22" fillId="0" borderId="0" xfId="76" quotePrefix="1" applyFont="1" applyAlignment="1">
      <alignment horizontal="right"/>
    </xf>
    <xf numFmtId="165" fontId="88" fillId="0" borderId="0" xfId="0" applyNumberFormat="1" applyFont="1" applyFill="1" applyProtection="1"/>
    <xf numFmtId="0" fontId="85" fillId="0" borderId="0" xfId="0" applyFont="1" applyFill="1" applyAlignment="1" applyProtection="1">
      <alignment horizontal="left" vertical="center"/>
    </xf>
    <xf numFmtId="0" fontId="4" fillId="0" borderId="0" xfId="0" applyFont="1" applyFill="1" applyAlignment="1" applyProtection="1">
      <alignment horizontal="left" vertical="center"/>
    </xf>
    <xf numFmtId="165" fontId="11" fillId="13" borderId="9" xfId="1" applyNumberFormat="1" applyFont="1" applyFill="1" applyBorder="1" applyAlignment="1" applyProtection="1">
      <alignment horizontal="left" vertical="center"/>
    </xf>
    <xf numFmtId="0" fontId="40" fillId="11" borderId="3" xfId="0" applyFont="1" applyFill="1" applyBorder="1" applyAlignment="1">
      <alignment horizontal="left" vertical="center"/>
    </xf>
    <xf numFmtId="0" fontId="2" fillId="0" borderId="3" xfId="110" applyFont="1" applyFill="1" applyBorder="1" applyAlignment="1" applyProtection="1">
      <alignment horizontal="left" vertical="center" wrapText="1"/>
    </xf>
    <xf numFmtId="0" fontId="1" fillId="0" borderId="3" xfId="110" applyFont="1" applyFill="1" applyBorder="1" applyAlignment="1" applyProtection="1">
      <alignment horizontal="left" vertical="center" wrapText="1"/>
    </xf>
    <xf numFmtId="0" fontId="4" fillId="11" borderId="3" xfId="110" applyFont="1" applyFill="1" applyBorder="1" applyAlignment="1" applyProtection="1">
      <alignment horizontal="left" vertical="center" wrapText="1"/>
    </xf>
    <xf numFmtId="0" fontId="4" fillId="0" borderId="8" xfId="110" applyFont="1" applyFill="1" applyBorder="1" applyAlignment="1" applyProtection="1">
      <alignment horizontal="left" vertical="center" wrapText="1"/>
    </xf>
    <xf numFmtId="0" fontId="1" fillId="0" borderId="8" xfId="110" applyFont="1" applyFill="1" applyBorder="1" applyAlignment="1" applyProtection="1">
      <alignment horizontal="left" vertical="center" wrapText="1"/>
    </xf>
    <xf numFmtId="0" fontId="11" fillId="0" borderId="3" xfId="110" applyFont="1" applyFill="1" applyBorder="1" applyAlignment="1" applyProtection="1">
      <alignment horizontal="left" vertical="center" wrapText="1"/>
    </xf>
    <xf numFmtId="0" fontId="40" fillId="0" borderId="3" xfId="110" applyFont="1" applyFill="1" applyBorder="1" applyAlignment="1" applyProtection="1">
      <alignment horizontal="left" vertical="center" wrapText="1"/>
    </xf>
    <xf numFmtId="0" fontId="98" fillId="2" borderId="3" xfId="110" applyFont="1" applyFill="1" applyBorder="1" applyAlignment="1" applyProtection="1">
      <alignment horizontal="left" vertical="center" wrapText="1"/>
    </xf>
    <xf numFmtId="0" fontId="40" fillId="2" borderId="3" xfId="110" applyFont="1" applyFill="1" applyBorder="1" applyAlignment="1" applyProtection="1">
      <alignment horizontal="left" vertical="center" wrapText="1"/>
    </xf>
    <xf numFmtId="0" fontId="11" fillId="11" borderId="6" xfId="110" applyFont="1" applyFill="1" applyBorder="1" applyAlignment="1" applyProtection="1">
      <alignment horizontal="left" vertical="center" wrapText="1"/>
    </xf>
    <xf numFmtId="0" fontId="4" fillId="11" borderId="3" xfId="110" applyFont="1" applyFill="1" applyBorder="1" applyAlignment="1" applyProtection="1">
      <alignment horizontal="left" vertical="center"/>
    </xf>
    <xf numFmtId="0" fontId="4" fillId="0" borderId="0" xfId="110" applyFont="1" applyFill="1" applyBorder="1" applyAlignment="1" applyProtection="1">
      <alignment horizontal="left" vertical="center" wrapText="1"/>
    </xf>
    <xf numFmtId="43" fontId="85" fillId="36" borderId="3" xfId="1" applyNumberFormat="1" applyFont="1" applyFill="1" applyBorder="1" applyProtection="1"/>
    <xf numFmtId="165" fontId="137" fillId="0" borderId="3" xfId="1" applyNumberFormat="1" applyFont="1" applyFill="1" applyBorder="1" applyAlignment="1" applyProtection="1">
      <alignment horizontal="left" vertical="center"/>
    </xf>
    <xf numFmtId="165" fontId="137" fillId="0" borderId="3" xfId="1" applyNumberFormat="1" applyFont="1" applyFill="1" applyBorder="1" applyAlignment="1" applyProtection="1">
      <alignment horizontal="center" vertical="center"/>
    </xf>
    <xf numFmtId="165" fontId="143" fillId="0" borderId="3" xfId="1" applyNumberFormat="1" applyFont="1" applyFill="1" applyBorder="1" applyAlignment="1" applyProtection="1">
      <alignment horizontal="center" vertical="center"/>
    </xf>
    <xf numFmtId="0" fontId="145" fillId="0" borderId="3" xfId="0" applyFont="1" applyFill="1" applyBorder="1" applyAlignment="1">
      <alignment horizontal="center" vertical="center"/>
    </xf>
    <xf numFmtId="0" fontId="143" fillId="0" borderId="3" xfId="110" applyFont="1" applyFill="1" applyBorder="1" applyAlignment="1" applyProtection="1">
      <alignment horizontal="left" vertical="center" wrapText="1"/>
    </xf>
    <xf numFmtId="165" fontId="143" fillId="0" borderId="3" xfId="1" applyNumberFormat="1" applyFont="1" applyFill="1" applyBorder="1" applyAlignment="1" applyProtection="1">
      <alignment horizontal="left" vertical="center" wrapText="1"/>
    </xf>
    <xf numFmtId="171" fontId="145" fillId="0" borderId="3" xfId="1" applyNumberFormat="1" applyFont="1" applyFill="1" applyBorder="1" applyAlignment="1">
      <alignment vertical="center"/>
    </xf>
    <xf numFmtId="0" fontId="145" fillId="24" borderId="3" xfId="0" applyFont="1" applyFill="1" applyBorder="1" applyAlignment="1">
      <alignment vertical="center"/>
    </xf>
    <xf numFmtId="0" fontId="145" fillId="24" borderId="0" xfId="0" applyFont="1" applyFill="1" applyAlignment="1">
      <alignment vertical="center"/>
    </xf>
    <xf numFmtId="165" fontId="145" fillId="0" borderId="3" xfId="1" applyNumberFormat="1" applyFont="1" applyFill="1" applyBorder="1" applyAlignment="1">
      <alignment vertical="center"/>
    </xf>
    <xf numFmtId="165" fontId="145" fillId="2" borderId="3" xfId="1" applyNumberFormat="1" applyFont="1" applyFill="1" applyBorder="1" applyAlignment="1">
      <alignment vertical="center"/>
    </xf>
    <xf numFmtId="0" fontId="145" fillId="0" borderId="0" xfId="0" applyFont="1" applyFill="1" applyAlignment="1">
      <alignment vertical="center"/>
    </xf>
    <xf numFmtId="0" fontId="144" fillId="0" borderId="3" xfId="0" applyFont="1" applyFill="1" applyBorder="1" applyAlignment="1">
      <alignment horizontal="center" vertical="center"/>
    </xf>
    <xf numFmtId="0" fontId="146" fillId="28" borderId="3" xfId="110" applyFont="1" applyFill="1" applyBorder="1" applyAlignment="1" applyProtection="1">
      <alignment horizontal="left" vertical="center" wrapText="1"/>
    </xf>
    <xf numFmtId="165" fontId="146" fillId="28" borderId="3" xfId="1" applyNumberFormat="1" applyFont="1" applyFill="1" applyBorder="1" applyAlignment="1" applyProtection="1">
      <alignment horizontal="left" vertical="center" wrapText="1"/>
    </xf>
    <xf numFmtId="165" fontId="146" fillId="28" borderId="3" xfId="1" applyNumberFormat="1" applyFont="1" applyFill="1" applyBorder="1" applyAlignment="1" applyProtection="1">
      <alignment horizontal="center" vertical="center"/>
    </xf>
    <xf numFmtId="171" fontId="144" fillId="0" borderId="3" xfId="1" applyNumberFormat="1" applyFont="1" applyFill="1" applyBorder="1" applyAlignment="1">
      <alignment vertical="center"/>
    </xf>
    <xf numFmtId="0" fontId="144" fillId="24" borderId="3" xfId="0" applyFont="1" applyFill="1" applyBorder="1" applyAlignment="1">
      <alignment vertical="center"/>
    </xf>
    <xf numFmtId="0" fontId="144" fillId="24" borderId="0" xfId="0" applyFont="1" applyFill="1" applyAlignment="1">
      <alignment vertical="center"/>
    </xf>
    <xf numFmtId="165" fontId="144" fillId="2" borderId="3" xfId="1" applyNumberFormat="1" applyFont="1" applyFill="1" applyBorder="1" applyAlignment="1">
      <alignment vertical="center"/>
    </xf>
    <xf numFmtId="165" fontId="144" fillId="0" borderId="3" xfId="1" applyNumberFormat="1" applyFont="1" applyFill="1" applyBorder="1" applyAlignment="1">
      <alignment vertical="center"/>
    </xf>
    <xf numFmtId="0" fontId="144" fillId="0" borderId="0" xfId="0" applyFont="1" applyFill="1" applyAlignment="1">
      <alignment vertical="center"/>
    </xf>
    <xf numFmtId="165" fontId="149" fillId="0" borderId="3" xfId="1" applyNumberFormat="1" applyFont="1" applyFill="1" applyBorder="1" applyAlignment="1">
      <alignment vertical="center"/>
    </xf>
    <xf numFmtId="167" fontId="4" fillId="7" borderId="22" xfId="7" applyNumberFormat="1" applyFont="1" applyFill="1" applyBorder="1" applyAlignment="1">
      <alignment vertical="center"/>
    </xf>
    <xf numFmtId="0" fontId="152" fillId="0" borderId="3" xfId="110" applyFont="1" applyFill="1" applyBorder="1" applyAlignment="1" applyProtection="1">
      <alignment horizontal="center" vertical="center" wrapText="1"/>
    </xf>
    <xf numFmtId="0" fontId="152" fillId="0" borderId="3" xfId="110" applyFont="1" applyFill="1" applyBorder="1" applyAlignment="1" applyProtection="1">
      <alignment horizontal="left" vertical="center" wrapText="1"/>
    </xf>
    <xf numFmtId="165" fontId="152" fillId="2" borderId="3" xfId="1" applyNumberFormat="1" applyFont="1" applyFill="1" applyBorder="1" applyAlignment="1" applyProtection="1">
      <alignment horizontal="left" vertical="center"/>
    </xf>
    <xf numFmtId="165" fontId="152" fillId="2" borderId="3" xfId="1" applyNumberFormat="1" applyFont="1" applyFill="1" applyBorder="1" applyAlignment="1" applyProtection="1">
      <alignment horizontal="center" vertical="center"/>
    </xf>
    <xf numFmtId="14" fontId="152" fillId="2" borderId="3" xfId="0" applyNumberFormat="1" applyFont="1" applyFill="1" applyBorder="1" applyAlignment="1" applyProtection="1">
      <alignment horizontal="center" vertical="center" wrapText="1"/>
    </xf>
    <xf numFmtId="0" fontId="152" fillId="2" borderId="3" xfId="0" applyFont="1" applyFill="1" applyBorder="1" applyAlignment="1" applyProtection="1">
      <alignment horizontal="center" vertical="center"/>
    </xf>
    <xf numFmtId="165" fontId="152" fillId="2" borderId="3" xfId="1" applyNumberFormat="1" applyFont="1" applyFill="1" applyBorder="1" applyAlignment="1" applyProtection="1">
      <alignment vertical="center"/>
    </xf>
    <xf numFmtId="165" fontId="139" fillId="0" borderId="3" xfId="1" applyNumberFormat="1" applyFont="1" applyFill="1" applyBorder="1" applyAlignment="1" applyProtection="1">
      <alignment vertical="center"/>
    </xf>
    <xf numFmtId="171" fontId="152" fillId="0" borderId="3" xfId="1" applyNumberFormat="1" applyFont="1" applyFill="1" applyBorder="1" applyAlignment="1" applyProtection="1">
      <alignment vertical="center"/>
    </xf>
    <xf numFmtId="165" fontId="152" fillId="0" borderId="3" xfId="1" applyNumberFormat="1" applyFont="1" applyFill="1" applyBorder="1" applyAlignment="1" applyProtection="1">
      <alignment vertical="center"/>
    </xf>
    <xf numFmtId="165" fontId="139" fillId="2" borderId="3" xfId="1" applyNumberFormat="1" applyFont="1" applyFill="1" applyBorder="1" applyAlignment="1" applyProtection="1">
      <alignment vertical="center"/>
    </xf>
    <xf numFmtId="165" fontId="153" fillId="2" borderId="3" xfId="1" applyNumberFormat="1" applyFont="1" applyFill="1" applyBorder="1" applyAlignment="1" applyProtection="1">
      <alignment vertical="center"/>
    </xf>
    <xf numFmtId="165" fontId="152" fillId="0" borderId="3" xfId="1" applyNumberFormat="1" applyFont="1" applyFill="1" applyBorder="1" applyAlignment="1" applyProtection="1">
      <alignment vertical="center"/>
      <protection hidden="1"/>
    </xf>
    <xf numFmtId="165" fontId="139" fillId="0" borderId="3" xfId="1" applyNumberFormat="1" applyFont="1" applyFill="1" applyBorder="1" applyAlignment="1" applyProtection="1">
      <alignment vertical="center"/>
      <protection hidden="1"/>
    </xf>
    <xf numFmtId="0" fontId="154" fillId="2" borderId="0" xfId="0" applyFont="1" applyFill="1" applyProtection="1"/>
    <xf numFmtId="165" fontId="154" fillId="0" borderId="0" xfId="0" applyNumberFormat="1" applyFont="1" applyFill="1" applyAlignment="1" applyProtection="1">
      <alignment horizontal="center" vertical="center"/>
    </xf>
    <xf numFmtId="0" fontId="154" fillId="38" borderId="0" xfId="0" applyFont="1" applyFill="1" applyAlignment="1" applyProtection="1">
      <alignment vertical="center"/>
    </xf>
    <xf numFmtId="0" fontId="154" fillId="2" borderId="0" xfId="0" applyFont="1" applyFill="1" applyAlignment="1" applyProtection="1">
      <alignment vertical="center"/>
    </xf>
    <xf numFmtId="165" fontId="154" fillId="2" borderId="0" xfId="1" applyNumberFormat="1" applyFont="1" applyFill="1" applyProtection="1"/>
    <xf numFmtId="165" fontId="152" fillId="2" borderId="3" xfId="1" applyNumberFormat="1" applyFont="1" applyFill="1" applyBorder="1" applyAlignment="1" applyProtection="1">
      <alignment vertical="center" wrapText="1"/>
    </xf>
    <xf numFmtId="165" fontId="152" fillId="0" borderId="3" xfId="1" applyNumberFormat="1" applyFont="1" applyFill="1" applyBorder="1" applyAlignment="1" applyProtection="1">
      <alignment horizontal="center" vertical="center"/>
    </xf>
    <xf numFmtId="14" fontId="152" fillId="0" borderId="3" xfId="0" applyNumberFormat="1" applyFont="1" applyFill="1" applyBorder="1" applyAlignment="1" applyProtection="1">
      <alignment horizontal="center" vertical="center" wrapText="1"/>
    </xf>
    <xf numFmtId="0" fontId="152" fillId="0" borderId="3" xfId="0" applyFont="1" applyFill="1" applyBorder="1" applyAlignment="1" applyProtection="1">
      <alignment horizontal="center" vertical="center"/>
    </xf>
    <xf numFmtId="0" fontId="154" fillId="0" borderId="0" xfId="0" applyFont="1" applyFill="1" applyAlignment="1" applyProtection="1">
      <alignment vertical="center"/>
    </xf>
    <xf numFmtId="165" fontId="154" fillId="7" borderId="0" xfId="0" applyNumberFormat="1" applyFont="1" applyFill="1" applyAlignment="1" applyProtection="1">
      <alignment horizontal="center" vertical="center"/>
    </xf>
    <xf numFmtId="165" fontId="154" fillId="0" borderId="0" xfId="0" applyNumberFormat="1" applyFont="1" applyFill="1" applyAlignment="1" applyProtection="1">
      <alignment vertical="center"/>
    </xf>
    <xf numFmtId="0" fontId="154" fillId="23" borderId="0" xfId="0" applyFont="1" applyFill="1" applyAlignment="1" applyProtection="1">
      <alignment vertical="center"/>
    </xf>
    <xf numFmtId="165" fontId="154" fillId="0" borderId="0" xfId="1" applyNumberFormat="1" applyFont="1" applyFill="1" applyAlignment="1" applyProtection="1">
      <alignment vertical="center"/>
    </xf>
    <xf numFmtId="165" fontId="152" fillId="0" borderId="3" xfId="1" applyNumberFormat="1" applyFont="1" applyFill="1" applyBorder="1" applyAlignment="1" applyProtection="1">
      <alignment horizontal="left" vertical="center"/>
    </xf>
    <xf numFmtId="0" fontId="151" fillId="0" borderId="3" xfId="0" applyFont="1" applyFill="1" applyBorder="1" applyAlignment="1">
      <alignment horizontal="center" vertical="center"/>
    </xf>
    <xf numFmtId="165" fontId="137" fillId="0" borderId="3" xfId="1" applyNumberFormat="1" applyFont="1" applyFill="1" applyBorder="1" applyAlignment="1" applyProtection="1">
      <alignment horizontal="left" vertical="center" wrapText="1"/>
    </xf>
    <xf numFmtId="171" fontId="151" fillId="0" borderId="3" xfId="1" applyNumberFormat="1" applyFont="1" applyFill="1" applyBorder="1" applyAlignment="1">
      <alignment vertical="center"/>
    </xf>
    <xf numFmtId="0" fontId="151" fillId="24" borderId="3" xfId="0" applyFont="1" applyFill="1" applyBorder="1" applyAlignment="1">
      <alignment vertical="center"/>
    </xf>
    <xf numFmtId="0" fontId="151" fillId="0" borderId="3" xfId="0" applyNumberFormat="1" applyFont="1" applyFill="1" applyBorder="1" applyAlignment="1">
      <alignment horizontal="center" vertical="center"/>
    </xf>
    <xf numFmtId="0" fontId="151" fillId="24" borderId="0" xfId="0" applyFont="1" applyFill="1" applyAlignment="1">
      <alignment vertical="center"/>
    </xf>
    <xf numFmtId="165" fontId="151" fillId="2" borderId="3" xfId="1" applyNumberFormat="1" applyFont="1" applyFill="1" applyBorder="1" applyAlignment="1">
      <alignment vertical="center"/>
    </xf>
    <xf numFmtId="165" fontId="151" fillId="0" borderId="3" xfId="1" applyNumberFormat="1" applyFont="1" applyFill="1" applyBorder="1" applyAlignment="1">
      <alignment vertical="center"/>
    </xf>
    <xf numFmtId="0" fontId="151" fillId="0" borderId="0" xfId="0" applyFont="1" applyFill="1" applyAlignment="1">
      <alignment vertical="center"/>
    </xf>
    <xf numFmtId="0" fontId="152" fillId="0" borderId="3" xfId="109" applyFont="1" applyFill="1" applyBorder="1" applyAlignment="1" applyProtection="1">
      <alignment horizontal="center" vertical="center"/>
    </xf>
    <xf numFmtId="165" fontId="139" fillId="0" borderId="3" xfId="1" applyNumberFormat="1" applyFont="1" applyFill="1" applyBorder="1" applyAlignment="1" applyProtection="1">
      <alignment horizontal="left" vertical="center"/>
    </xf>
    <xf numFmtId="165" fontId="139" fillId="0" borderId="3" xfId="1" applyNumberFormat="1" applyFont="1" applyBorder="1" applyAlignment="1">
      <alignment horizontal="center"/>
    </xf>
    <xf numFmtId="14" fontId="139" fillId="0" borderId="3" xfId="0" applyNumberFormat="1" applyFont="1" applyFill="1" applyBorder="1" applyAlignment="1" applyProtection="1">
      <alignment horizontal="center" vertical="center" wrapText="1"/>
    </xf>
    <xf numFmtId="0" fontId="139" fillId="0" borderId="3" xfId="0" applyFont="1" applyFill="1" applyBorder="1" applyAlignment="1" applyProtection="1">
      <alignment horizontal="center" vertical="center"/>
    </xf>
    <xf numFmtId="165" fontId="139" fillId="0" borderId="3" xfId="1" applyNumberFormat="1" applyFont="1" applyFill="1" applyBorder="1" applyAlignment="1" applyProtection="1">
      <alignment horizontal="center" vertical="center"/>
    </xf>
    <xf numFmtId="165" fontId="155" fillId="0" borderId="3" xfId="1" applyNumberFormat="1" applyFont="1" applyFill="1" applyBorder="1" applyAlignment="1" applyProtection="1">
      <alignment vertical="center"/>
    </xf>
    <xf numFmtId="0" fontId="154" fillId="0" borderId="0" xfId="0" applyFont="1" applyFill="1" applyProtection="1"/>
    <xf numFmtId="165" fontId="156" fillId="0" borderId="0" xfId="0" applyNumberFormat="1" applyFont="1" applyFill="1" applyAlignment="1" applyProtection="1">
      <alignment horizontal="center" vertical="center"/>
    </xf>
    <xf numFmtId="165" fontId="156" fillId="0" borderId="0" xfId="0" applyNumberFormat="1" applyFont="1" applyFill="1" applyAlignment="1" applyProtection="1">
      <alignment vertical="center"/>
    </xf>
    <xf numFmtId="0" fontId="156" fillId="0" borderId="0" xfId="0" applyFont="1" applyFill="1" applyAlignment="1" applyProtection="1">
      <alignment vertical="center"/>
    </xf>
    <xf numFmtId="165" fontId="156" fillId="0" borderId="0" xfId="1" applyNumberFormat="1" applyFont="1" applyFill="1" applyProtection="1"/>
    <xf numFmtId="0" fontId="156" fillId="0" borderId="0" xfId="0" applyFont="1" applyFill="1" applyProtection="1"/>
    <xf numFmtId="165" fontId="152" fillId="0" borderId="3" xfId="1" applyNumberFormat="1" applyFont="1" applyBorder="1" applyAlignment="1">
      <alignment horizontal="center"/>
    </xf>
    <xf numFmtId="165" fontId="153" fillId="0" borderId="3" xfId="1" applyNumberFormat="1" applyFont="1" applyFill="1" applyBorder="1" applyAlignment="1" applyProtection="1">
      <alignment vertical="center"/>
    </xf>
    <xf numFmtId="165" fontId="154" fillId="0" borderId="0" xfId="0" applyNumberFormat="1" applyFont="1" applyFill="1" applyProtection="1"/>
    <xf numFmtId="165" fontId="154" fillId="0" borderId="0" xfId="1" applyNumberFormat="1" applyFont="1" applyFill="1" applyProtection="1"/>
    <xf numFmtId="0" fontId="150" fillId="0" borderId="0" xfId="0" applyFont="1" applyFill="1" applyAlignment="1">
      <alignment vertical="center"/>
    </xf>
    <xf numFmtId="0" fontId="157" fillId="0" borderId="0" xfId="0" applyFont="1" applyFill="1" applyAlignment="1">
      <alignment vertical="center"/>
    </xf>
    <xf numFmtId="0" fontId="70" fillId="0" borderId="0" xfId="0" applyFont="1" applyAlignment="1">
      <alignment horizontal="right"/>
    </xf>
    <xf numFmtId="165" fontId="158" fillId="0" borderId="0" xfId="1" applyNumberFormat="1" applyFont="1" applyFill="1" applyProtection="1"/>
    <xf numFmtId="165" fontId="85" fillId="7" borderId="0" xfId="1" applyNumberFormat="1" applyFont="1" applyFill="1" applyProtection="1"/>
    <xf numFmtId="165" fontId="85" fillId="8" borderId="0" xfId="1" applyNumberFormat="1" applyFont="1" applyFill="1" applyProtection="1"/>
    <xf numFmtId="0" fontId="154" fillId="8" borderId="0" xfId="0" applyFont="1" applyFill="1" applyProtection="1"/>
    <xf numFmtId="0" fontId="154" fillId="0" borderId="0" xfId="0" applyFont="1" applyFill="1" applyAlignment="1" applyProtection="1">
      <alignment horizontal="right"/>
    </xf>
    <xf numFmtId="165" fontId="156" fillId="0" borderId="0" xfId="0" applyNumberFormat="1" applyFont="1" applyFill="1" applyProtection="1"/>
    <xf numFmtId="0" fontId="137" fillId="0" borderId="3" xfId="110" applyFont="1" applyFill="1" applyBorder="1" applyAlignment="1" applyProtection="1">
      <alignment horizontal="left" vertical="center" wrapText="1"/>
    </xf>
    <xf numFmtId="0" fontId="152" fillId="0" borderId="3" xfId="110" applyFont="1" applyFill="1" applyBorder="1" applyAlignment="1" applyProtection="1">
      <alignment vertical="center" wrapText="1"/>
    </xf>
    <xf numFmtId="165" fontId="138" fillId="0" borderId="3" xfId="1" applyNumberFormat="1" applyFont="1" applyFill="1" applyBorder="1" applyAlignment="1" applyProtection="1">
      <alignment horizontal="center" vertical="center"/>
    </xf>
    <xf numFmtId="0" fontId="159" fillId="0" borderId="3" xfId="0" applyFont="1" applyFill="1" applyBorder="1" applyAlignment="1">
      <alignment horizontal="center" vertical="center"/>
    </xf>
    <xf numFmtId="0" fontId="139" fillId="2" borderId="3" xfId="110" applyFont="1" applyFill="1" applyBorder="1" applyAlignment="1" applyProtection="1">
      <alignment horizontal="left" vertical="center" wrapText="1"/>
    </xf>
    <xf numFmtId="165" fontId="139" fillId="0" borderId="3" xfId="1" applyNumberFormat="1" applyFont="1" applyFill="1" applyBorder="1" applyAlignment="1" applyProtection="1">
      <alignment horizontal="left" vertical="center" wrapText="1"/>
    </xf>
    <xf numFmtId="171" fontId="159" fillId="0" borderId="3" xfId="1" applyNumberFormat="1" applyFont="1" applyFill="1" applyBorder="1" applyAlignment="1">
      <alignment vertical="center"/>
    </xf>
    <xf numFmtId="0" fontId="159" fillId="24" borderId="3" xfId="0" applyFont="1" applyFill="1" applyBorder="1" applyAlignment="1">
      <alignment vertical="center"/>
    </xf>
    <xf numFmtId="0" fontId="159" fillId="0" borderId="3" xfId="0" applyNumberFormat="1" applyFont="1" applyFill="1" applyBorder="1" applyAlignment="1">
      <alignment horizontal="center" vertical="center"/>
    </xf>
    <xf numFmtId="0" fontId="159" fillId="24" borderId="0" xfId="0" applyFont="1" applyFill="1" applyAlignment="1">
      <alignment vertical="center"/>
    </xf>
    <xf numFmtId="165" fontId="159" fillId="2" borderId="3" xfId="1" applyNumberFormat="1" applyFont="1" applyFill="1" applyBorder="1" applyAlignment="1">
      <alignment vertical="center"/>
    </xf>
    <xf numFmtId="165" fontId="159" fillId="0" borderId="3" xfId="1" applyNumberFormat="1" applyFont="1" applyFill="1" applyBorder="1" applyAlignment="1">
      <alignment vertical="center"/>
    </xf>
    <xf numFmtId="0" fontId="159" fillId="0" borderId="0" xfId="0" applyFont="1" applyFill="1" applyAlignment="1">
      <alignment vertical="center"/>
    </xf>
    <xf numFmtId="0" fontId="142" fillId="0" borderId="0" xfId="0" applyFont="1" applyFill="1" applyAlignment="1">
      <alignment vertical="center"/>
    </xf>
    <xf numFmtId="0" fontId="160" fillId="0" borderId="3" xfId="0" applyNumberFormat="1" applyFont="1" applyFill="1" applyBorder="1" applyAlignment="1">
      <alignment horizontal="center" vertical="center"/>
    </xf>
    <xf numFmtId="0" fontId="161" fillId="0" borderId="3" xfId="0" applyFont="1" applyFill="1" applyBorder="1" applyAlignment="1">
      <alignment horizontal="center" vertical="center"/>
    </xf>
    <xf numFmtId="165" fontId="138" fillId="0" borderId="3" xfId="1" applyNumberFormat="1" applyFont="1" applyFill="1" applyBorder="1" applyAlignment="1" applyProtection="1">
      <alignment horizontal="left" vertical="center"/>
    </xf>
    <xf numFmtId="165" fontId="138" fillId="0" borderId="3" xfId="1" applyNumberFormat="1" applyFont="1" applyFill="1" applyBorder="1" applyAlignment="1" applyProtection="1">
      <alignment horizontal="left" vertical="center" wrapText="1"/>
    </xf>
    <xf numFmtId="171" fontId="161" fillId="0" borderId="3" xfId="1" applyNumberFormat="1" applyFont="1" applyFill="1" applyBorder="1" applyAlignment="1">
      <alignment vertical="center"/>
    </xf>
    <xf numFmtId="0" fontId="161" fillId="24" borderId="3" xfId="0" applyFont="1" applyFill="1" applyBorder="1" applyAlignment="1">
      <alignment vertical="center"/>
    </xf>
    <xf numFmtId="0" fontId="161" fillId="0" borderId="3" xfId="0" applyNumberFormat="1" applyFont="1" applyFill="1" applyBorder="1" applyAlignment="1">
      <alignment horizontal="center" vertical="center"/>
    </xf>
    <xf numFmtId="0" fontId="161" fillId="24" borderId="0" xfId="0" applyFont="1" applyFill="1" applyAlignment="1">
      <alignment vertical="center"/>
    </xf>
    <xf numFmtId="165" fontId="161" fillId="2" borderId="3" xfId="1" applyNumberFormat="1" applyFont="1" applyFill="1" applyBorder="1" applyAlignment="1">
      <alignment vertical="center"/>
    </xf>
    <xf numFmtId="165" fontId="161" fillId="0" borderId="3" xfId="1" applyNumberFormat="1" applyFont="1" applyFill="1" applyBorder="1" applyAlignment="1">
      <alignment vertical="center"/>
    </xf>
    <xf numFmtId="0" fontId="161" fillId="0" borderId="0" xfId="0" applyFont="1" applyFill="1" applyAlignment="1">
      <alignment vertical="center"/>
    </xf>
    <xf numFmtId="167" fontId="40" fillId="0" borderId="3" xfId="117" applyNumberFormat="1" applyFont="1" applyFill="1" applyBorder="1" applyAlignment="1">
      <alignment vertical="center"/>
    </xf>
    <xf numFmtId="167" fontId="14" fillId="0" borderId="3" xfId="117" applyNumberFormat="1" applyFont="1" applyFill="1" applyBorder="1" applyAlignment="1">
      <alignment vertical="center"/>
    </xf>
    <xf numFmtId="165" fontId="152" fillId="7" borderId="3" xfId="1" applyNumberFormat="1" applyFont="1" applyFill="1" applyBorder="1" applyAlignment="1" applyProtection="1">
      <alignment vertical="center"/>
    </xf>
    <xf numFmtId="0" fontId="162" fillId="0" borderId="3" xfId="110" applyFont="1" applyFill="1" applyBorder="1" applyAlignment="1" applyProtection="1">
      <alignment horizontal="left" vertical="center" wrapText="1"/>
    </xf>
    <xf numFmtId="165" fontId="162" fillId="0" borderId="3" xfId="1" applyNumberFormat="1" applyFont="1" applyFill="1" applyBorder="1" applyAlignment="1" applyProtection="1">
      <alignment horizontal="left" vertical="center"/>
    </xf>
    <xf numFmtId="165" fontId="162" fillId="0" borderId="3" xfId="1" applyNumberFormat="1" applyFont="1" applyFill="1" applyBorder="1" applyAlignment="1" applyProtection="1">
      <alignment horizontal="center" vertical="center"/>
    </xf>
    <xf numFmtId="165" fontId="154" fillId="14" borderId="0" xfId="0" applyNumberFormat="1" applyFont="1" applyFill="1" applyAlignment="1" applyProtection="1">
      <alignment horizontal="center" vertical="center"/>
    </xf>
    <xf numFmtId="0" fontId="139" fillId="11" borderId="3" xfId="0" applyFont="1" applyFill="1" applyBorder="1" applyAlignment="1" applyProtection="1">
      <alignment horizontal="center" vertical="center"/>
    </xf>
    <xf numFmtId="43" fontId="139" fillId="0" borderId="3" xfId="1" applyNumberFormat="1" applyFont="1" applyFill="1" applyBorder="1" applyAlignment="1" applyProtection="1">
      <alignment vertical="center"/>
    </xf>
    <xf numFmtId="165" fontId="94" fillId="7" borderId="3" xfId="1" applyNumberFormat="1" applyFont="1" applyFill="1" applyBorder="1" applyAlignment="1" applyProtection="1">
      <alignment vertical="center"/>
    </xf>
    <xf numFmtId="0" fontId="70" fillId="0" borderId="0" xfId="0" applyFont="1" applyAlignment="1">
      <alignment horizontal="right"/>
    </xf>
    <xf numFmtId="0" fontId="6" fillId="2" borderId="3" xfId="110" applyFont="1" applyFill="1" applyBorder="1" applyAlignment="1" applyProtection="1">
      <alignment horizontal="left" vertical="center" wrapText="1"/>
    </xf>
    <xf numFmtId="165" fontId="6" fillId="2" borderId="3" xfId="1" applyNumberFormat="1" applyFont="1" applyFill="1" applyBorder="1" applyAlignment="1" applyProtection="1">
      <alignment vertical="center" wrapText="1"/>
    </xf>
    <xf numFmtId="165" fontId="6" fillId="2" borderId="3" xfId="1" applyNumberFormat="1" applyFont="1" applyFill="1" applyBorder="1" applyAlignment="1">
      <alignment horizontal="center" vertical="center"/>
    </xf>
    <xf numFmtId="14" fontId="6" fillId="2" borderId="3" xfId="0" applyNumberFormat="1" applyFont="1" applyFill="1" applyBorder="1" applyAlignment="1" applyProtection="1">
      <alignment horizontal="center" vertical="center" wrapText="1"/>
    </xf>
    <xf numFmtId="0" fontId="6" fillId="0" borderId="3" xfId="0" applyFont="1" applyFill="1" applyBorder="1" applyAlignment="1" applyProtection="1">
      <alignment horizontal="center" vertical="center"/>
    </xf>
    <xf numFmtId="165" fontId="6" fillId="2" borderId="3" xfId="1" applyNumberFormat="1" applyFont="1" applyFill="1" applyBorder="1" applyAlignment="1" applyProtection="1">
      <alignment vertical="center"/>
    </xf>
    <xf numFmtId="0" fontId="42" fillId="0" borderId="3" xfId="110" applyFont="1" applyFill="1" applyBorder="1" applyAlignment="1" applyProtection="1">
      <alignment horizontal="center" vertical="center" wrapText="1"/>
    </xf>
    <xf numFmtId="165" fontId="3" fillId="0" borderId="3" xfId="1" applyNumberFormat="1" applyFont="1" applyFill="1" applyBorder="1" applyAlignment="1" applyProtection="1">
      <alignment vertical="center"/>
    </xf>
    <xf numFmtId="165" fontId="3" fillId="0" borderId="3" xfId="1" applyNumberFormat="1" applyFont="1" applyFill="1" applyBorder="1" applyAlignment="1" applyProtection="1">
      <alignment vertical="center"/>
      <protection hidden="1"/>
    </xf>
    <xf numFmtId="165" fontId="86" fillId="0" borderId="0" xfId="1" applyNumberFormat="1" applyFont="1" applyFill="1" applyAlignment="1" applyProtection="1">
      <alignment vertical="center"/>
    </xf>
    <xf numFmtId="171" fontId="6" fillId="0" borderId="0" xfId="1" applyNumberFormat="1" applyFont="1" applyFill="1" applyAlignment="1" applyProtection="1">
      <alignment horizontal="right"/>
    </xf>
    <xf numFmtId="165" fontId="4" fillId="0" borderId="0" xfId="1" applyNumberFormat="1" applyFont="1" applyFill="1" applyBorder="1" applyAlignment="1" applyProtection="1">
      <alignment horizontal="right" vertical="center"/>
    </xf>
    <xf numFmtId="165" fontId="85" fillId="7" borderId="3" xfId="1" applyNumberFormat="1" applyFont="1" applyFill="1" applyBorder="1" applyProtection="1"/>
    <xf numFmtId="43" fontId="85" fillId="7" borderId="3" xfId="1" applyNumberFormat="1" applyFont="1" applyFill="1" applyBorder="1" applyProtection="1"/>
    <xf numFmtId="165" fontId="92" fillId="7" borderId="3" xfId="1" applyNumberFormat="1" applyFont="1" applyFill="1" applyBorder="1" applyProtection="1"/>
    <xf numFmtId="0" fontId="1" fillId="0" borderId="3" xfId="102" applyFont="1" applyFill="1" applyBorder="1" applyAlignment="1" applyProtection="1">
      <alignment horizontal="center" vertical="center"/>
    </xf>
    <xf numFmtId="165" fontId="42" fillId="0" borderId="3" xfId="39" applyNumberFormat="1" applyFont="1" applyFill="1" applyBorder="1" applyAlignment="1" applyProtection="1">
      <alignment horizontal="center" vertical="center"/>
    </xf>
    <xf numFmtId="165" fontId="42" fillId="2" borderId="3" xfId="1" applyNumberFormat="1" applyFont="1" applyFill="1" applyBorder="1" applyAlignment="1" applyProtection="1">
      <alignment vertical="center"/>
    </xf>
    <xf numFmtId="165" fontId="1" fillId="0" borderId="3" xfId="1" applyNumberFormat="1" applyFont="1" applyFill="1" applyBorder="1" applyAlignment="1" applyProtection="1">
      <alignment horizontal="left" vertical="center" wrapText="1"/>
    </xf>
    <xf numFmtId="0" fontId="42" fillId="12" borderId="3" xfId="110" applyFont="1" applyFill="1" applyBorder="1" applyAlignment="1" applyProtection="1">
      <alignment horizontal="center" vertical="center" wrapText="1"/>
    </xf>
    <xf numFmtId="0" fontId="42" fillId="12" borderId="3" xfId="110" applyFont="1" applyFill="1" applyBorder="1" applyAlignment="1" applyProtection="1">
      <alignment horizontal="left" vertical="center" wrapText="1"/>
    </xf>
    <xf numFmtId="165" fontId="42" fillId="12" borderId="3" xfId="1" applyNumberFormat="1" applyFont="1" applyFill="1" applyBorder="1" applyAlignment="1" applyProtection="1">
      <alignment horizontal="left" vertical="center"/>
    </xf>
    <xf numFmtId="165" fontId="42" fillId="12" borderId="3" xfId="1" applyNumberFormat="1" applyFont="1" applyFill="1" applyBorder="1" applyAlignment="1" applyProtection="1">
      <alignment horizontal="center" vertical="center"/>
    </xf>
    <xf numFmtId="14" fontId="42" fillId="12" borderId="3" xfId="0" applyNumberFormat="1" applyFont="1" applyFill="1" applyBorder="1" applyAlignment="1" applyProtection="1">
      <alignment horizontal="center" vertical="center" wrapText="1"/>
    </xf>
    <xf numFmtId="0" fontId="42" fillId="12" borderId="3" xfId="0" applyFont="1" applyFill="1" applyBorder="1" applyAlignment="1" applyProtection="1">
      <alignment horizontal="center" vertical="center"/>
    </xf>
    <xf numFmtId="165" fontId="42" fillId="12" borderId="3" xfId="1" applyNumberFormat="1" applyFont="1" applyFill="1" applyBorder="1" applyAlignment="1" applyProtection="1">
      <alignment vertical="center"/>
    </xf>
    <xf numFmtId="165" fontId="3" fillId="12" borderId="3" xfId="1" applyNumberFormat="1" applyFont="1" applyFill="1" applyBorder="1" applyAlignment="1" applyProtection="1">
      <alignment vertical="center"/>
    </xf>
    <xf numFmtId="171" fontId="42" fillId="40" borderId="3" xfId="1" applyNumberFormat="1" applyFont="1" applyFill="1" applyBorder="1" applyAlignment="1" applyProtection="1">
      <alignment vertical="center"/>
    </xf>
    <xf numFmtId="165" fontId="42" fillId="12" borderId="3" xfId="1" applyNumberFormat="1" applyFont="1" applyFill="1" applyBorder="1" applyAlignment="1" applyProtection="1">
      <alignment vertical="center"/>
      <protection hidden="1"/>
    </xf>
    <xf numFmtId="165" fontId="3" fillId="12" borderId="3" xfId="1" applyNumberFormat="1" applyFont="1" applyFill="1" applyBorder="1" applyAlignment="1" applyProtection="1">
      <alignment vertical="center"/>
      <protection hidden="1"/>
    </xf>
    <xf numFmtId="0" fontId="42" fillId="0" borderId="3" xfId="0" applyFont="1" applyFill="1" applyBorder="1" applyAlignment="1">
      <alignment vertical="center"/>
    </xf>
    <xf numFmtId="0" fontId="43" fillId="0" borderId="0" xfId="0" applyFont="1" applyFill="1" applyAlignment="1">
      <alignment horizontal="left" vertical="center"/>
    </xf>
    <xf numFmtId="165" fontId="44" fillId="40" borderId="3" xfId="1" applyNumberFormat="1" applyFont="1" applyFill="1" applyBorder="1" applyAlignment="1">
      <alignment vertical="center"/>
    </xf>
    <xf numFmtId="165" fontId="8" fillId="40" borderId="3" xfId="1" applyNumberFormat="1" applyFont="1" applyFill="1" applyBorder="1" applyAlignment="1">
      <alignment vertical="center"/>
    </xf>
    <xf numFmtId="0" fontId="8" fillId="40" borderId="0" xfId="0" applyFont="1" applyFill="1" applyAlignment="1">
      <alignment vertical="center"/>
    </xf>
    <xf numFmtId="0" fontId="9" fillId="0" borderId="3" xfId="0" applyNumberFormat="1" applyFont="1" applyFill="1" applyBorder="1" applyAlignment="1">
      <alignment horizontal="center" vertical="center"/>
    </xf>
    <xf numFmtId="165" fontId="146" fillId="0" borderId="3" xfId="1" applyNumberFormat="1" applyFont="1" applyFill="1" applyBorder="1" applyAlignment="1" applyProtection="1">
      <alignment horizontal="left" vertical="center"/>
    </xf>
    <xf numFmtId="0" fontId="6" fillId="0" borderId="3" xfId="0" applyFont="1" applyFill="1" applyBorder="1" applyAlignment="1">
      <alignment horizontal="center"/>
    </xf>
    <xf numFmtId="167" fontId="6" fillId="29" borderId="3" xfId="48" applyNumberFormat="1" applyFont="1" applyFill="1" applyBorder="1" applyAlignment="1">
      <alignment vertical="center"/>
    </xf>
    <xf numFmtId="165" fontId="6" fillId="0" borderId="3" xfId="1" applyNumberFormat="1" applyFont="1" applyFill="1" applyBorder="1" applyAlignment="1">
      <alignment horizontal="center"/>
    </xf>
    <xf numFmtId="165" fontId="6" fillId="0" borderId="3" xfId="1" applyNumberFormat="1" applyFont="1" applyFill="1" applyBorder="1" applyAlignment="1">
      <alignment vertical="center"/>
    </xf>
    <xf numFmtId="0" fontId="6" fillId="0" borderId="0" xfId="0" applyFont="1" applyFill="1" applyAlignment="1">
      <alignment horizontal="center"/>
    </xf>
    <xf numFmtId="165" fontId="12" fillId="0" borderId="3" xfId="1" applyNumberFormat="1" applyFont="1" applyFill="1" applyBorder="1"/>
    <xf numFmtId="0" fontId="163" fillId="0" borderId="3" xfId="0" applyFont="1" applyFill="1" applyBorder="1" applyAlignment="1">
      <alignment horizontal="center"/>
    </xf>
    <xf numFmtId="165" fontId="163" fillId="0" borderId="3" xfId="1" applyNumberFormat="1" applyFont="1" applyFill="1" applyBorder="1" applyAlignment="1" applyProtection="1">
      <alignment horizontal="center" vertical="center"/>
    </xf>
    <xf numFmtId="0" fontId="163" fillId="0" borderId="3" xfId="0" applyFont="1" applyBorder="1" applyAlignment="1">
      <alignment horizontal="left"/>
    </xf>
    <xf numFmtId="167" fontId="163" fillId="29" borderId="3" xfId="48" applyNumberFormat="1" applyFont="1" applyFill="1" applyBorder="1" applyAlignment="1">
      <alignment vertical="center"/>
    </xf>
    <xf numFmtId="167" fontId="163" fillId="0" borderId="3" xfId="48" applyNumberFormat="1" applyFont="1" applyFill="1" applyBorder="1" applyAlignment="1">
      <alignment vertical="center"/>
    </xf>
    <xf numFmtId="43" fontId="163" fillId="0" borderId="3" xfId="1" applyFont="1" applyFill="1" applyBorder="1"/>
    <xf numFmtId="9" fontId="163" fillId="0" borderId="3" xfId="3" applyFont="1" applyFill="1" applyBorder="1"/>
    <xf numFmtId="167" fontId="163" fillId="0" borderId="3" xfId="1" applyNumberFormat="1" applyFont="1" applyFill="1" applyBorder="1" applyAlignment="1">
      <alignment horizontal="center"/>
    </xf>
    <xf numFmtId="165" fontId="163" fillId="0" borderId="3" xfId="1" applyNumberFormat="1" applyFont="1" applyFill="1" applyBorder="1" applyAlignment="1">
      <alignment vertical="center"/>
    </xf>
    <xf numFmtId="0" fontId="163" fillId="0" borderId="0" xfId="0" applyFont="1" applyFill="1" applyAlignment="1">
      <alignment horizontal="center"/>
    </xf>
    <xf numFmtId="167" fontId="57" fillId="61" borderId="3" xfId="86" applyNumberFormat="1" applyFont="1" applyFill="1" applyBorder="1"/>
    <xf numFmtId="167" fontId="2" fillId="61" borderId="3" xfId="86" applyNumberFormat="1" applyFont="1" applyFill="1" applyBorder="1"/>
    <xf numFmtId="167" fontId="7" fillId="61" borderId="3" xfId="86" applyNumberFormat="1" applyFont="1" applyFill="1" applyBorder="1"/>
    <xf numFmtId="165" fontId="3" fillId="0" borderId="3" xfId="1" applyNumberFormat="1" applyFont="1" applyFill="1" applyBorder="1"/>
    <xf numFmtId="165" fontId="6" fillId="0" borderId="3" xfId="1" applyNumberFormat="1" applyFont="1" applyFill="1" applyBorder="1" applyAlignment="1">
      <alignment horizontal="center" vertical="center"/>
    </xf>
    <xf numFmtId="165" fontId="37" fillId="0" borderId="3" xfId="1" applyNumberFormat="1" applyFont="1" applyFill="1" applyBorder="1" applyAlignment="1">
      <alignment horizontal="center"/>
    </xf>
    <xf numFmtId="167" fontId="163" fillId="0" borderId="3" xfId="1" applyNumberFormat="1" applyFont="1" applyFill="1" applyBorder="1" applyAlignment="1">
      <alignment horizontal="center" vertical="center"/>
    </xf>
    <xf numFmtId="9" fontId="7" fillId="0" borderId="3" xfId="0" applyNumberFormat="1" applyFont="1" applyBorder="1" applyAlignment="1"/>
    <xf numFmtId="9" fontId="7" fillId="0" borderId="3" xfId="0" applyNumberFormat="1" applyFont="1" applyFill="1" applyBorder="1" applyAlignment="1"/>
    <xf numFmtId="9" fontId="5" fillId="0" borderId="3" xfId="0" applyNumberFormat="1" applyFont="1" applyBorder="1" applyAlignment="1"/>
    <xf numFmtId="167" fontId="1" fillId="0" borderId="0" xfId="0" applyNumberFormat="1" applyFont="1" applyFill="1" applyAlignment="1">
      <alignment horizontal="center"/>
    </xf>
    <xf numFmtId="0" fontId="146" fillId="0" borderId="3" xfId="109" applyFont="1" applyFill="1" applyBorder="1" applyAlignment="1" applyProtection="1">
      <alignment horizontal="center" vertical="center"/>
    </xf>
    <xf numFmtId="165" fontId="146" fillId="0" borderId="3" xfId="1" applyNumberFormat="1" applyFont="1" applyBorder="1" applyAlignment="1">
      <alignment horizontal="center"/>
    </xf>
    <xf numFmtId="14" fontId="146" fillId="0" borderId="3" xfId="0" applyNumberFormat="1" applyFont="1" applyFill="1" applyBorder="1" applyAlignment="1" applyProtection="1">
      <alignment horizontal="center" vertical="center" wrapText="1"/>
    </xf>
    <xf numFmtId="0" fontId="146" fillId="0" borderId="3" xfId="0" applyFont="1" applyFill="1" applyBorder="1" applyAlignment="1" applyProtection="1">
      <alignment horizontal="center" vertical="center"/>
    </xf>
    <xf numFmtId="165" fontId="146" fillId="0" borderId="3" xfId="1" applyNumberFormat="1" applyFont="1" applyFill="1" applyBorder="1" applyAlignment="1" applyProtection="1">
      <alignment horizontal="center" vertical="center"/>
    </xf>
    <xf numFmtId="165" fontId="146" fillId="0" borderId="3" xfId="1" applyNumberFormat="1" applyFont="1" applyFill="1" applyBorder="1" applyAlignment="1" applyProtection="1">
      <alignment vertical="center"/>
    </xf>
    <xf numFmtId="0" fontId="165" fillId="0" borderId="0" xfId="0" applyFont="1" applyFill="1" applyProtection="1"/>
    <xf numFmtId="165" fontId="165" fillId="0" borderId="0" xfId="0" applyNumberFormat="1" applyFont="1" applyFill="1" applyAlignment="1" applyProtection="1">
      <alignment horizontal="center" vertical="center"/>
    </xf>
    <xf numFmtId="165" fontId="165" fillId="0" borderId="0" xfId="0" applyNumberFormat="1" applyFont="1" applyFill="1" applyAlignment="1" applyProtection="1">
      <alignment vertical="center"/>
    </xf>
    <xf numFmtId="0" fontId="165" fillId="0" borderId="0" xfId="0" applyFont="1" applyFill="1" applyAlignment="1" applyProtection="1">
      <alignment vertical="center"/>
    </xf>
    <xf numFmtId="165" fontId="165" fillId="36" borderId="3" xfId="1" applyNumberFormat="1" applyFont="1" applyFill="1" applyBorder="1" applyProtection="1"/>
    <xf numFmtId="0" fontId="165" fillId="36" borderId="3" xfId="0" applyFont="1" applyFill="1" applyBorder="1" applyProtection="1"/>
    <xf numFmtId="165" fontId="165" fillId="0" borderId="0" xfId="1" applyNumberFormat="1" applyFont="1" applyFill="1" applyProtection="1"/>
    <xf numFmtId="0" fontId="42" fillId="0" borderId="3" xfId="109" applyFont="1" applyFill="1" applyBorder="1" applyAlignment="1" applyProtection="1">
      <alignment horizontal="center" vertical="center"/>
    </xf>
    <xf numFmtId="165" fontId="42" fillId="0" borderId="3" xfId="1" applyNumberFormat="1" applyFont="1" applyBorder="1" applyAlignment="1">
      <alignment horizontal="center"/>
    </xf>
    <xf numFmtId="0" fontId="86" fillId="0" borderId="0" xfId="0" applyFont="1" applyFill="1" applyProtection="1"/>
    <xf numFmtId="165" fontId="86" fillId="8" borderId="0" xfId="0" applyNumberFormat="1" applyFont="1" applyFill="1" applyAlignment="1" applyProtection="1">
      <alignment horizontal="center" vertical="center"/>
    </xf>
    <xf numFmtId="165" fontId="86" fillId="36" borderId="3" xfId="1" applyNumberFormat="1" applyFont="1" applyFill="1" applyBorder="1" applyProtection="1"/>
    <xf numFmtId="0" fontId="86" fillId="36" borderId="3" xfId="0" applyFont="1" applyFill="1" applyBorder="1" applyProtection="1"/>
    <xf numFmtId="165" fontId="86" fillId="0" borderId="0" xfId="1" applyNumberFormat="1" applyFont="1" applyFill="1" applyProtection="1"/>
    <xf numFmtId="0" fontId="70" fillId="0" borderId="0" xfId="0" applyFont="1" applyAlignment="1">
      <alignment horizontal="right"/>
    </xf>
    <xf numFmtId="165" fontId="164" fillId="0" borderId="3" xfId="1" applyNumberFormat="1" applyFont="1" applyFill="1" applyBorder="1" applyAlignment="1" applyProtection="1">
      <alignment vertical="center"/>
    </xf>
    <xf numFmtId="0" fontId="84" fillId="0" borderId="0" xfId="0" applyFont="1" applyFill="1" applyAlignment="1" applyProtection="1">
      <alignment horizontal="left"/>
    </xf>
    <xf numFmtId="165" fontId="43" fillId="0" borderId="3" xfId="1" applyNumberFormat="1" applyFont="1" applyFill="1" applyBorder="1" applyAlignment="1" applyProtection="1">
      <alignment horizontal="left" vertical="center"/>
    </xf>
    <xf numFmtId="167" fontId="12" fillId="27" borderId="23" xfId="7" applyNumberFormat="1" applyFont="1" applyFill="1" applyBorder="1" applyAlignment="1">
      <alignment vertical="center"/>
    </xf>
    <xf numFmtId="167" fontId="12" fillId="6" borderId="23" xfId="7" applyNumberFormat="1" applyFont="1" applyFill="1" applyBorder="1" applyAlignment="1">
      <alignment vertical="center"/>
    </xf>
    <xf numFmtId="167" fontId="12" fillId="0" borderId="22" xfId="7" applyNumberFormat="1" applyFont="1" applyBorder="1" applyAlignment="1">
      <alignment vertical="center"/>
    </xf>
    <xf numFmtId="0" fontId="166" fillId="0" borderId="0" xfId="113" applyFont="1"/>
    <xf numFmtId="0" fontId="85" fillId="7" borderId="0" xfId="0" applyFont="1" applyFill="1" applyProtection="1"/>
    <xf numFmtId="0" fontId="84" fillId="0" borderId="0" xfId="0" applyFont="1" applyFill="1" applyAlignment="1" applyProtection="1">
      <alignment horizontal="right"/>
    </xf>
    <xf numFmtId="165" fontId="1" fillId="0" borderId="4" xfId="1" applyNumberFormat="1" applyFont="1" applyFill="1" applyBorder="1" applyAlignment="1" applyProtection="1">
      <alignment horizontal="center" vertical="center"/>
    </xf>
    <xf numFmtId="0" fontId="167" fillId="0" borderId="3" xfId="0" applyFont="1" applyFill="1" applyBorder="1" applyAlignment="1">
      <alignment horizontal="center" vertical="center"/>
    </xf>
    <xf numFmtId="0" fontId="8" fillId="0" borderId="3" xfId="102" applyFont="1" applyFill="1" applyBorder="1" applyAlignment="1" applyProtection="1">
      <alignment horizontal="center" vertical="center"/>
    </xf>
    <xf numFmtId="0" fontId="42" fillId="0" borderId="3" xfId="110" applyFont="1" applyFill="1" applyBorder="1" applyAlignment="1" applyProtection="1">
      <alignment vertical="center" wrapText="1"/>
    </xf>
    <xf numFmtId="0" fontId="168" fillId="0" borderId="0" xfId="0" applyFont="1" applyFill="1" applyAlignment="1" applyProtection="1">
      <alignment vertical="center"/>
    </xf>
    <xf numFmtId="165" fontId="168" fillId="0" borderId="0" xfId="1" applyNumberFormat="1" applyFont="1" applyFill="1" applyAlignment="1" applyProtection="1">
      <alignment vertical="center"/>
    </xf>
    <xf numFmtId="165" fontId="42" fillId="2" borderId="3" xfId="1" applyNumberFormat="1" applyFont="1" applyFill="1" applyBorder="1" applyAlignment="1" applyProtection="1">
      <alignment horizontal="left" vertical="center"/>
    </xf>
    <xf numFmtId="165" fontId="42" fillId="2" borderId="3" xfId="1" applyNumberFormat="1" applyFont="1" applyFill="1" applyBorder="1" applyAlignment="1">
      <alignment horizontal="center"/>
    </xf>
    <xf numFmtId="14" fontId="42" fillId="2" borderId="3" xfId="0" applyNumberFormat="1" applyFont="1" applyFill="1" applyBorder="1" applyAlignment="1" applyProtection="1">
      <alignment horizontal="center" vertical="center" wrapText="1"/>
    </xf>
    <xf numFmtId="165" fontId="86" fillId="0" borderId="0" xfId="0" applyNumberFormat="1" applyFont="1" applyFill="1" applyProtection="1"/>
    <xf numFmtId="165" fontId="1" fillId="0" borderId="4" xfId="1" applyNumberFormat="1" applyFont="1" applyFill="1" applyBorder="1" applyAlignment="1" applyProtection="1">
      <alignment horizontal="left" vertical="center"/>
    </xf>
    <xf numFmtId="165" fontId="42" fillId="0" borderId="4" xfId="1" applyNumberFormat="1" applyFont="1" applyFill="1" applyBorder="1" applyAlignment="1" applyProtection="1">
      <alignment horizontal="left" vertical="center"/>
    </xf>
    <xf numFmtId="0" fontId="65" fillId="0" borderId="3" xfId="110" applyFont="1" applyFill="1" applyBorder="1" applyAlignment="1" applyProtection="1">
      <alignment horizontal="center" vertical="center" wrapText="1"/>
    </xf>
    <xf numFmtId="0" fontId="65" fillId="0" borderId="3" xfId="110" applyFont="1" applyFill="1" applyBorder="1" applyAlignment="1" applyProtection="1">
      <alignment horizontal="left" vertical="center" wrapText="1"/>
    </xf>
    <xf numFmtId="165" fontId="65" fillId="0" borderId="3" xfId="1" applyNumberFormat="1" applyFont="1" applyFill="1" applyBorder="1" applyAlignment="1" applyProtection="1">
      <alignment horizontal="left" vertical="center"/>
    </xf>
    <xf numFmtId="14" fontId="65" fillId="0" borderId="3" xfId="0" applyNumberFormat="1" applyFont="1" applyFill="1" applyBorder="1" applyAlignment="1" applyProtection="1">
      <alignment horizontal="center" vertical="center" wrapText="1"/>
    </xf>
    <xf numFmtId="0" fontId="65" fillId="0" borderId="3" xfId="0" applyFont="1" applyFill="1" applyBorder="1" applyAlignment="1" applyProtection="1">
      <alignment horizontal="center" vertical="center"/>
    </xf>
    <xf numFmtId="165" fontId="65" fillId="0" borderId="3" xfId="1" applyNumberFormat="1" applyFont="1" applyFill="1" applyBorder="1" applyAlignment="1" applyProtection="1">
      <alignment vertical="center"/>
    </xf>
    <xf numFmtId="165" fontId="163" fillId="0" borderId="3" xfId="1" applyNumberFormat="1" applyFont="1" applyFill="1" applyBorder="1" applyAlignment="1" applyProtection="1">
      <alignment vertical="center"/>
    </xf>
    <xf numFmtId="171" fontId="65" fillId="0" borderId="3" xfId="1" applyNumberFormat="1" applyFont="1" applyFill="1" applyBorder="1" applyAlignment="1" applyProtection="1">
      <alignment vertical="center"/>
    </xf>
    <xf numFmtId="165" fontId="65" fillId="0" borderId="3" xfId="1" applyNumberFormat="1" applyFont="1" applyFill="1" applyBorder="1" applyAlignment="1" applyProtection="1">
      <alignment vertical="center"/>
      <protection hidden="1"/>
    </xf>
    <xf numFmtId="165" fontId="163" fillId="0" borderId="3" xfId="1" applyNumberFormat="1" applyFont="1" applyFill="1" applyBorder="1" applyAlignment="1" applyProtection="1">
      <alignment vertical="center"/>
      <protection hidden="1"/>
    </xf>
    <xf numFmtId="0" fontId="169" fillId="0" borderId="0" xfId="0" applyFont="1" applyFill="1" applyAlignment="1" applyProtection="1">
      <alignment vertical="center"/>
    </xf>
    <xf numFmtId="165" fontId="169" fillId="14" borderId="0" xfId="0" applyNumberFormat="1" applyFont="1" applyFill="1" applyAlignment="1" applyProtection="1">
      <alignment horizontal="center" vertical="center"/>
    </xf>
    <xf numFmtId="165" fontId="169" fillId="0" borderId="0" xfId="1" applyNumberFormat="1" applyFont="1" applyFill="1" applyAlignment="1" applyProtection="1">
      <alignment vertical="center"/>
    </xf>
    <xf numFmtId="165" fontId="65" fillId="2" borderId="3" xfId="1" applyNumberFormat="1" applyFont="1" applyFill="1" applyBorder="1" applyAlignment="1" applyProtection="1">
      <alignment vertical="center"/>
    </xf>
    <xf numFmtId="165" fontId="169" fillId="36" borderId="0" xfId="0" applyNumberFormat="1" applyFont="1" applyFill="1" applyAlignment="1" applyProtection="1">
      <alignment horizontal="center" vertical="center"/>
    </xf>
    <xf numFmtId="165" fontId="169" fillId="0" borderId="0" xfId="0" applyNumberFormat="1" applyFont="1" applyFill="1" applyAlignment="1" applyProtection="1">
      <alignment horizontal="center" vertical="center"/>
    </xf>
    <xf numFmtId="165" fontId="8" fillId="61" borderId="3" xfId="1" applyNumberFormat="1" applyFont="1" applyFill="1" applyBorder="1" applyAlignment="1">
      <alignment vertical="center"/>
    </xf>
    <xf numFmtId="165" fontId="41" fillId="61" borderId="3" xfId="1" applyNumberFormat="1" applyFont="1" applyFill="1" applyBorder="1" applyAlignment="1">
      <alignment vertical="center"/>
    </xf>
    <xf numFmtId="165" fontId="44" fillId="61" borderId="3" xfId="1" applyNumberFormat="1" applyFont="1" applyFill="1" applyBorder="1" applyAlignment="1">
      <alignment vertical="center"/>
    </xf>
    <xf numFmtId="165" fontId="145" fillId="61" borderId="3" xfId="1" applyNumberFormat="1" applyFont="1" applyFill="1" applyBorder="1" applyAlignment="1">
      <alignment vertical="center"/>
    </xf>
    <xf numFmtId="165" fontId="144" fillId="61" borderId="3" xfId="1" applyNumberFormat="1" applyFont="1" applyFill="1" applyBorder="1" applyAlignment="1">
      <alignment vertical="center"/>
    </xf>
    <xf numFmtId="165" fontId="59" fillId="61" borderId="3" xfId="1" applyNumberFormat="1" applyFont="1" applyFill="1" applyBorder="1" applyAlignment="1">
      <alignment vertical="center"/>
    </xf>
    <xf numFmtId="165" fontId="164" fillId="0" borderId="3" xfId="1" applyNumberFormat="1" applyFont="1" applyFill="1" applyBorder="1" applyAlignment="1" applyProtection="1">
      <alignment vertical="center"/>
      <protection hidden="1"/>
    </xf>
    <xf numFmtId="14" fontId="0" fillId="0" borderId="3" xfId="0" applyNumberFormat="1" applyBorder="1"/>
    <xf numFmtId="14" fontId="0" fillId="0" borderId="0" xfId="0" applyNumberFormat="1"/>
    <xf numFmtId="14" fontId="8" fillId="0" borderId="3" xfId="0" applyNumberFormat="1" applyFont="1" applyBorder="1"/>
    <xf numFmtId="0" fontId="70" fillId="0" borderId="0" xfId="0" applyFont="1" applyAlignment="1">
      <alignment horizontal="right"/>
    </xf>
    <xf numFmtId="0" fontId="8" fillId="0" borderId="3" xfId="0" applyFont="1" applyFill="1" applyBorder="1" applyAlignment="1" applyProtection="1">
      <alignment horizontal="center" vertical="center" wrapText="1"/>
    </xf>
    <xf numFmtId="165" fontId="65" fillId="0" borderId="3" xfId="1" applyNumberFormat="1" applyFont="1" applyFill="1" applyBorder="1" applyAlignment="1" applyProtection="1">
      <alignment vertical="center" wrapText="1"/>
    </xf>
    <xf numFmtId="165" fontId="174" fillId="0" borderId="3" xfId="1" applyNumberFormat="1" applyFont="1" applyFill="1" applyBorder="1" applyAlignment="1" applyProtection="1">
      <alignment vertical="center"/>
    </xf>
    <xf numFmtId="165" fontId="169" fillId="0" borderId="0" xfId="0" applyNumberFormat="1" applyFont="1" applyFill="1" applyAlignment="1" applyProtection="1">
      <alignment vertical="center"/>
    </xf>
    <xf numFmtId="165" fontId="65" fillId="0" borderId="4" xfId="1" applyNumberFormat="1" applyFont="1" applyFill="1" applyBorder="1" applyAlignment="1" applyProtection="1">
      <alignment horizontal="center" vertical="center"/>
    </xf>
    <xf numFmtId="165" fontId="163" fillId="7" borderId="3" xfId="1" applyNumberFormat="1" applyFont="1" applyFill="1" applyBorder="1" applyAlignment="1" applyProtection="1">
      <alignment vertical="center"/>
      <protection hidden="1"/>
    </xf>
    <xf numFmtId="165" fontId="6" fillId="7" borderId="3" xfId="1" applyNumberFormat="1" applyFont="1" applyFill="1" applyBorder="1" applyAlignment="1" applyProtection="1">
      <alignment vertical="center"/>
      <protection hidden="1"/>
    </xf>
    <xf numFmtId="0" fontId="65" fillId="0" borderId="3" xfId="109" applyFont="1" applyFill="1" applyBorder="1" applyAlignment="1" applyProtection="1">
      <alignment horizontal="center" vertical="center"/>
    </xf>
    <xf numFmtId="165" fontId="65" fillId="0" borderId="3" xfId="1" applyNumberFormat="1" applyFont="1" applyBorder="1" applyAlignment="1">
      <alignment horizontal="center"/>
    </xf>
    <xf numFmtId="0" fontId="169" fillId="0" borderId="0" xfId="0" applyFont="1" applyFill="1" applyProtection="1"/>
    <xf numFmtId="165" fontId="169" fillId="0" borderId="0" xfId="1" applyNumberFormat="1" applyFont="1" applyFill="1" applyProtection="1"/>
    <xf numFmtId="0" fontId="65" fillId="0" borderId="3" xfId="0" applyFont="1" applyFill="1" applyBorder="1" applyAlignment="1">
      <alignment horizontal="center"/>
    </xf>
    <xf numFmtId="0" fontId="65" fillId="0" borderId="3" xfId="0" applyFont="1" applyFill="1" applyBorder="1" applyAlignment="1">
      <alignment horizontal="left"/>
    </xf>
    <xf numFmtId="167" fontId="65" fillId="29" borderId="3" xfId="86" applyNumberFormat="1" applyFont="1" applyFill="1" applyBorder="1"/>
    <xf numFmtId="167" fontId="65" fillId="29" borderId="3" xfId="86" applyNumberFormat="1" applyFont="1" applyFill="1" applyBorder="1" applyAlignment="1">
      <alignment horizontal="center"/>
    </xf>
    <xf numFmtId="167" fontId="65" fillId="0" borderId="3" xfId="86" applyNumberFormat="1" applyFont="1" applyFill="1" applyBorder="1"/>
    <xf numFmtId="167" fontId="65" fillId="0" borderId="3" xfId="86" applyNumberFormat="1" applyFont="1" applyFill="1" applyBorder="1" applyAlignment="1">
      <alignment horizontal="center"/>
    </xf>
    <xf numFmtId="9" fontId="65" fillId="0" borderId="3" xfId="0" applyNumberFormat="1" applyFont="1" applyBorder="1" applyAlignment="1"/>
    <xf numFmtId="9" fontId="65" fillId="0" borderId="3" xfId="0" applyNumberFormat="1" applyFont="1" applyFill="1" applyBorder="1" applyAlignment="1"/>
    <xf numFmtId="9" fontId="65" fillId="0" borderId="3" xfId="3" applyFont="1" applyFill="1" applyBorder="1"/>
    <xf numFmtId="167" fontId="163" fillId="0" borderId="3" xfId="86" applyNumberFormat="1" applyFont="1" applyFill="1" applyBorder="1"/>
    <xf numFmtId="0" fontId="65" fillId="0" borderId="0" xfId="0" applyFont="1" applyFill="1" applyAlignment="1">
      <alignment horizontal="center"/>
    </xf>
    <xf numFmtId="165" fontId="163" fillId="0" borderId="3" xfId="1" applyNumberFormat="1" applyFont="1" applyFill="1" applyBorder="1"/>
    <xf numFmtId="0" fontId="8" fillId="2" borderId="3" xfId="0" applyFont="1" applyFill="1" applyBorder="1" applyAlignment="1" applyProtection="1">
      <alignment horizontal="center" vertical="center" wrapText="1"/>
    </xf>
    <xf numFmtId="0" fontId="103" fillId="0" borderId="0" xfId="0" applyFont="1" applyAlignment="1">
      <alignment horizontal="center" wrapText="1"/>
    </xf>
    <xf numFmtId="0" fontId="106" fillId="0" borderId="0" xfId="0" applyFont="1" applyAlignment="1">
      <alignment horizontal="center"/>
    </xf>
    <xf numFmtId="175" fontId="109" fillId="0" borderId="0" xfId="1" applyNumberFormat="1" applyFont="1" applyAlignment="1">
      <alignment horizontal="center"/>
    </xf>
    <xf numFmtId="43" fontId="107" fillId="16" borderId="7" xfId="1" applyFont="1" applyFill="1" applyBorder="1" applyAlignment="1">
      <alignment horizontal="center" vertical="center"/>
    </xf>
    <xf numFmtId="43" fontId="107" fillId="16" borderId="21" xfId="1" applyFont="1" applyFill="1" applyBorder="1" applyAlignment="1">
      <alignment horizontal="center" vertical="center"/>
    </xf>
    <xf numFmtId="164" fontId="107" fillId="16" borderId="4" xfId="1" applyNumberFormat="1" applyFont="1" applyFill="1" applyBorder="1" applyAlignment="1">
      <alignment horizontal="center" vertical="center"/>
    </xf>
    <xf numFmtId="164" fontId="107" fillId="16" borderId="6" xfId="1" applyNumberFormat="1" applyFont="1" applyFill="1" applyBorder="1" applyAlignment="1">
      <alignment horizontal="center" vertical="center"/>
    </xf>
    <xf numFmtId="167" fontId="107" fillId="16" borderId="3" xfId="1" applyNumberFormat="1" applyFont="1" applyFill="1" applyBorder="1" applyAlignment="1">
      <alignment horizontal="center" vertical="center" wrapText="1"/>
    </xf>
    <xf numFmtId="0" fontId="11" fillId="0" borderId="4" xfId="110" applyFont="1" applyFill="1" applyBorder="1" applyAlignment="1" applyProtection="1">
      <alignment horizontal="center" vertical="center" textRotation="90" wrapText="1"/>
    </xf>
    <xf numFmtId="0" fontId="11" fillId="0" borderId="5" xfId="110" applyFont="1" applyFill="1" applyBorder="1" applyAlignment="1" applyProtection="1">
      <alignment horizontal="center" vertical="center" textRotation="90" wrapText="1"/>
    </xf>
    <xf numFmtId="0" fontId="11" fillId="0" borderId="6" xfId="110" applyFont="1" applyFill="1" applyBorder="1" applyAlignment="1" applyProtection="1">
      <alignment horizontal="center" vertical="center" textRotation="90" wrapText="1"/>
    </xf>
    <xf numFmtId="165" fontId="11" fillId="0" borderId="3" xfId="1" applyNumberFormat="1" applyFont="1" applyFill="1" applyBorder="1" applyAlignment="1" applyProtection="1">
      <alignment horizontal="center" vertical="center" wrapText="1"/>
    </xf>
    <xf numFmtId="165" fontId="11" fillId="0" borderId="4" xfId="1" applyNumberFormat="1" applyFont="1" applyFill="1" applyBorder="1" applyAlignment="1" applyProtection="1">
      <alignment horizontal="center" vertical="center" wrapText="1"/>
    </xf>
    <xf numFmtId="165" fontId="11" fillId="0" borderId="5" xfId="1" applyNumberFormat="1" applyFont="1" applyFill="1" applyBorder="1" applyAlignment="1" applyProtection="1">
      <alignment horizontal="center" vertical="center" wrapText="1"/>
    </xf>
    <xf numFmtId="165" fontId="11" fillId="0" borderId="6" xfId="1" applyNumberFormat="1" applyFont="1" applyFill="1" applyBorder="1" applyAlignment="1" applyProtection="1">
      <alignment horizontal="center" vertical="center" wrapText="1"/>
    </xf>
    <xf numFmtId="0" fontId="11" fillId="0" borderId="4" xfId="0" applyFont="1" applyFill="1" applyBorder="1" applyAlignment="1" applyProtection="1">
      <alignment horizontal="center" vertical="center" wrapText="1"/>
    </xf>
    <xf numFmtId="0" fontId="11" fillId="0" borderId="5" xfId="0" applyFont="1" applyFill="1" applyBorder="1" applyAlignment="1" applyProtection="1">
      <alignment horizontal="center" vertical="center" wrapText="1"/>
    </xf>
    <xf numFmtId="0" fontId="11" fillId="0" borderId="6" xfId="0" applyFont="1" applyFill="1" applyBorder="1" applyAlignment="1" applyProtection="1">
      <alignment horizontal="center" vertical="center" wrapText="1"/>
    </xf>
    <xf numFmtId="0" fontId="154" fillId="0" borderId="0" xfId="0" applyFont="1" applyFill="1" applyAlignment="1" applyProtection="1">
      <alignment horizontal="right"/>
    </xf>
    <xf numFmtId="0" fontId="4" fillId="0" borderId="0" xfId="0" applyFont="1" applyFill="1" applyAlignment="1" applyProtection="1">
      <alignment horizontal="center"/>
    </xf>
    <xf numFmtId="0" fontId="6" fillId="0" borderId="0" xfId="0" applyFont="1" applyFill="1" applyAlignment="1" applyProtection="1">
      <alignment horizontal="center"/>
    </xf>
    <xf numFmtId="165" fontId="6" fillId="0" borderId="0" xfId="1" applyNumberFormat="1" applyFont="1" applyFill="1" applyAlignment="1" applyProtection="1">
      <alignment horizontal="center"/>
    </xf>
    <xf numFmtId="0" fontId="1" fillId="0" borderId="4" xfId="0" applyFont="1" applyFill="1" applyBorder="1" applyAlignment="1" applyProtection="1">
      <alignment horizontal="center" vertical="center" wrapText="1"/>
    </xf>
    <xf numFmtId="0" fontId="1" fillId="0" borderId="5" xfId="0" applyFont="1" applyFill="1" applyBorder="1" applyAlignment="1" applyProtection="1">
      <alignment horizontal="center" vertical="center" wrapText="1"/>
    </xf>
    <xf numFmtId="0" fontId="1" fillId="0" borderId="6" xfId="0" applyFont="1" applyFill="1" applyBorder="1" applyAlignment="1" applyProtection="1">
      <alignment horizontal="center" vertical="center" wrapText="1"/>
    </xf>
    <xf numFmtId="0" fontId="11" fillId="0" borderId="3" xfId="0" applyFont="1" applyFill="1" applyBorder="1" applyAlignment="1" applyProtection="1">
      <alignment horizontal="left" vertical="center" wrapText="1"/>
    </xf>
    <xf numFmtId="0" fontId="11" fillId="0" borderId="3" xfId="0" applyFont="1" applyFill="1" applyBorder="1" applyAlignment="1" applyProtection="1">
      <alignment horizontal="center" vertical="center" wrapText="1"/>
    </xf>
    <xf numFmtId="14" fontId="11" fillId="0" borderId="3" xfId="0" applyNumberFormat="1" applyFont="1" applyFill="1" applyBorder="1" applyAlignment="1" applyProtection="1">
      <alignment horizontal="center" vertical="center" wrapText="1"/>
    </xf>
    <xf numFmtId="0" fontId="11" fillId="0" borderId="4" xfId="0" applyFont="1" applyFill="1" applyBorder="1" applyAlignment="1" applyProtection="1">
      <alignment horizontal="center" vertical="center" textRotation="90" wrapText="1"/>
    </xf>
    <xf numFmtId="0" fontId="11" fillId="0" borderId="5" xfId="0" applyFont="1" applyFill="1" applyBorder="1" applyAlignment="1" applyProtection="1">
      <alignment horizontal="center" vertical="center" textRotation="90" wrapText="1"/>
    </xf>
    <xf numFmtId="0" fontId="11" fillId="0" borderId="6" xfId="0" applyFont="1" applyFill="1" applyBorder="1" applyAlignment="1" applyProtection="1">
      <alignment horizontal="center" vertical="center" textRotation="90" wrapText="1"/>
    </xf>
    <xf numFmtId="0" fontId="11" fillId="35" borderId="4" xfId="0" applyFont="1" applyFill="1" applyBorder="1" applyAlignment="1" applyProtection="1">
      <alignment horizontal="center" vertical="center" textRotation="90" wrapText="1"/>
    </xf>
    <xf numFmtId="0" fontId="11" fillId="35" borderId="6" xfId="0" applyFont="1" applyFill="1" applyBorder="1" applyAlignment="1" applyProtection="1">
      <alignment horizontal="center" vertical="center" textRotation="90" wrapText="1"/>
    </xf>
    <xf numFmtId="0" fontId="11" fillId="36" borderId="4" xfId="0" applyFont="1" applyFill="1" applyBorder="1" applyAlignment="1" applyProtection="1">
      <alignment horizontal="center" vertical="center" textRotation="90" wrapText="1"/>
    </xf>
    <xf numFmtId="0" fontId="11" fillId="36" borderId="6" xfId="0" applyFont="1" applyFill="1" applyBorder="1" applyAlignment="1" applyProtection="1">
      <alignment horizontal="center" vertical="center" textRotation="90" wrapText="1"/>
    </xf>
    <xf numFmtId="165" fontId="4" fillId="0" borderId="0" xfId="1" applyNumberFormat="1" applyFont="1" applyFill="1" applyBorder="1" applyAlignment="1" applyProtection="1">
      <alignment horizontal="right" vertical="center"/>
    </xf>
    <xf numFmtId="0" fontId="1" fillId="0" borderId="0" xfId="0" applyFont="1" applyFill="1" applyAlignment="1" applyProtection="1">
      <alignment horizontal="center" vertical="top"/>
    </xf>
    <xf numFmtId="173" fontId="11" fillId="0" borderId="0" xfId="1" applyNumberFormat="1" applyFont="1" applyFill="1" applyAlignment="1" applyProtection="1">
      <alignment horizontal="left"/>
    </xf>
    <xf numFmtId="165" fontId="11" fillId="7" borderId="8" xfId="1" applyNumberFormat="1" applyFont="1" applyFill="1" applyBorder="1" applyAlignment="1" applyProtection="1">
      <alignment horizontal="center" vertical="center" wrapText="1"/>
    </xf>
    <xf numFmtId="165" fontId="11" fillId="7" borderId="1" xfId="1" applyNumberFormat="1" applyFont="1" applyFill="1" applyBorder="1" applyAlignment="1" applyProtection="1">
      <alignment horizontal="center" vertical="center" wrapText="1"/>
    </xf>
    <xf numFmtId="165" fontId="11" fillId="7" borderId="2" xfId="1" applyNumberFormat="1" applyFont="1" applyFill="1" applyBorder="1" applyAlignment="1" applyProtection="1">
      <alignment horizontal="center" vertical="center" wrapText="1"/>
    </xf>
    <xf numFmtId="165" fontId="93" fillId="33" borderId="8" xfId="73" applyNumberFormat="1" applyFont="1" applyFill="1" applyBorder="1" applyAlignment="1" applyProtection="1">
      <alignment horizontal="center" vertical="center" wrapText="1"/>
    </xf>
    <xf numFmtId="165" fontId="93" fillId="33" borderId="1" xfId="73" applyNumberFormat="1" applyFont="1" applyFill="1" applyBorder="1" applyAlignment="1" applyProtection="1">
      <alignment horizontal="center" vertical="center" wrapText="1"/>
    </xf>
    <xf numFmtId="165" fontId="93" fillId="33" borderId="2" xfId="73" applyNumberFormat="1" applyFont="1" applyFill="1" applyBorder="1" applyAlignment="1" applyProtection="1">
      <alignment horizontal="center" vertical="center" wrapText="1"/>
    </xf>
    <xf numFmtId="165" fontId="93" fillId="34" borderId="8" xfId="73" applyNumberFormat="1" applyFont="1" applyFill="1" applyBorder="1" applyAlignment="1" applyProtection="1">
      <alignment horizontal="center" vertical="center" wrapText="1"/>
    </xf>
    <xf numFmtId="165" fontId="93" fillId="34" borderId="1" xfId="73" applyNumberFormat="1" applyFont="1" applyFill="1" applyBorder="1" applyAlignment="1" applyProtection="1">
      <alignment horizontal="center" vertical="center" wrapText="1"/>
    </xf>
    <xf numFmtId="165" fontId="93" fillId="34" borderId="2" xfId="73" applyNumberFormat="1" applyFont="1" applyFill="1" applyBorder="1" applyAlignment="1" applyProtection="1">
      <alignment horizontal="center" vertical="center" wrapText="1"/>
    </xf>
    <xf numFmtId="165" fontId="4" fillId="0" borderId="0" xfId="1" applyNumberFormat="1" applyFont="1" applyFill="1" applyAlignment="1" applyProtection="1">
      <alignment horizontal="center"/>
    </xf>
    <xf numFmtId="0" fontId="70" fillId="0" borderId="31" xfId="0" applyFont="1" applyBorder="1" applyAlignment="1">
      <alignment horizontal="right"/>
    </xf>
    <xf numFmtId="0" fontId="83" fillId="0" borderId="31" xfId="0" applyFont="1" applyBorder="1" applyAlignment="1">
      <alignment horizontal="right"/>
    </xf>
    <xf numFmtId="165" fontId="70" fillId="0" borderId="0" xfId="1" applyNumberFormat="1" applyFont="1" applyBorder="1" applyAlignment="1">
      <alignment horizontal="right"/>
    </xf>
    <xf numFmtId="0" fontId="70" fillId="0" borderId="31" xfId="0" applyFont="1" applyBorder="1" applyAlignment="1">
      <alignment horizontal="center"/>
    </xf>
    <xf numFmtId="0" fontId="70" fillId="0" borderId="0" xfId="0" applyFont="1" applyAlignment="1">
      <alignment horizontal="right"/>
    </xf>
    <xf numFmtId="171" fontId="9" fillId="0" borderId="8" xfId="1" applyNumberFormat="1" applyFont="1" applyFill="1" applyBorder="1" applyAlignment="1">
      <alignment horizontal="center" vertical="center" wrapText="1"/>
    </xf>
    <xf numFmtId="171" fontId="9" fillId="0" borderId="2" xfId="1" applyNumberFormat="1" applyFont="1" applyFill="1" applyBorder="1" applyAlignment="1">
      <alignment horizontal="center" vertical="center" wrapText="1"/>
    </xf>
    <xf numFmtId="171" fontId="9" fillId="0" borderId="3" xfId="1" applyNumberFormat="1" applyFont="1" applyFill="1" applyBorder="1" applyAlignment="1">
      <alignment horizontal="center" vertical="center" wrapText="1"/>
    </xf>
    <xf numFmtId="0" fontId="9" fillId="24" borderId="4" xfId="0" applyFont="1" applyFill="1" applyBorder="1" applyAlignment="1">
      <alignment horizontal="center" vertical="center" wrapText="1"/>
    </xf>
    <xf numFmtId="0" fontId="9" fillId="24" borderId="5" xfId="0" applyFont="1" applyFill="1" applyBorder="1" applyAlignment="1">
      <alignment horizontal="center" vertical="center" wrapText="1"/>
    </xf>
    <xf numFmtId="0" fontId="9" fillId="24" borderId="6" xfId="0" applyFont="1" applyFill="1" applyBorder="1" applyAlignment="1">
      <alignment horizontal="center" vertical="center" wrapText="1"/>
    </xf>
    <xf numFmtId="171" fontId="9" fillId="0" borderId="8" xfId="1" applyNumberFormat="1" applyFont="1" applyFill="1" applyBorder="1" applyAlignment="1">
      <alignment horizontal="center" vertical="center"/>
    </xf>
    <xf numFmtId="171" fontId="9" fillId="0" borderId="2" xfId="1" applyNumberFormat="1" applyFont="1" applyFill="1" applyBorder="1" applyAlignment="1">
      <alignment horizontal="center" vertical="center"/>
    </xf>
    <xf numFmtId="0" fontId="8" fillId="0" borderId="9" xfId="0" applyFont="1" applyFill="1" applyBorder="1" applyAlignment="1">
      <alignment horizontal="center" wrapText="1"/>
    </xf>
    <xf numFmtId="0" fontId="53" fillId="0" borderId="8" xfId="0" applyFont="1" applyFill="1" applyBorder="1" applyAlignment="1">
      <alignment horizontal="center"/>
    </xf>
    <xf numFmtId="0" fontId="53" fillId="0" borderId="1" xfId="0" applyFont="1" applyFill="1" applyBorder="1" applyAlignment="1">
      <alignment horizontal="center"/>
    </xf>
    <xf numFmtId="0" fontId="53" fillId="0" borderId="2" xfId="0" applyFont="1" applyFill="1" applyBorder="1" applyAlignment="1">
      <alignment horizontal="center"/>
    </xf>
    <xf numFmtId="14" fontId="9" fillId="0" borderId="0" xfId="0" applyNumberFormat="1" applyFont="1" applyFill="1" applyBorder="1" applyAlignment="1">
      <alignment horizontal="center"/>
    </xf>
    <xf numFmtId="14" fontId="9" fillId="0" borderId="0" xfId="1" applyNumberFormat="1" applyFont="1" applyFill="1" applyAlignment="1">
      <alignment horizontal="center"/>
    </xf>
    <xf numFmtId="0" fontId="9" fillId="0" borderId="8" xfId="0" applyFont="1" applyFill="1" applyBorder="1" applyAlignment="1">
      <alignment horizontal="center" vertical="center"/>
    </xf>
    <xf numFmtId="0" fontId="9" fillId="0" borderId="1"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6" xfId="0" applyFont="1" applyFill="1" applyBorder="1" applyAlignment="1">
      <alignment horizontal="center" vertical="center"/>
    </xf>
    <xf numFmtId="0" fontId="9" fillId="0" borderId="3" xfId="0" applyFont="1" applyFill="1" applyBorder="1" applyAlignment="1">
      <alignment horizontal="left" vertical="center" wrapText="1"/>
    </xf>
    <xf numFmtId="0" fontId="9" fillId="0" borderId="4" xfId="0" applyNumberFormat="1" applyFont="1" applyFill="1" applyBorder="1" applyAlignment="1">
      <alignment horizontal="left" vertical="center"/>
    </xf>
    <xf numFmtId="0" fontId="9" fillId="0" borderId="5" xfId="0" applyNumberFormat="1" applyFont="1" applyFill="1" applyBorder="1" applyAlignment="1">
      <alignment horizontal="left" vertical="center"/>
    </xf>
    <xf numFmtId="0" fontId="9" fillId="0" borderId="6" xfId="0" applyNumberFormat="1" applyFont="1" applyFill="1" applyBorder="1" applyAlignment="1">
      <alignment horizontal="left" vertical="center"/>
    </xf>
    <xf numFmtId="0" fontId="9" fillId="0" borderId="3" xfId="0" applyFont="1" applyFill="1" applyBorder="1" applyAlignment="1">
      <alignment horizontal="center" vertical="center" wrapText="1"/>
    </xf>
    <xf numFmtId="165" fontId="1" fillId="8" borderId="4" xfId="1" applyNumberFormat="1" applyFont="1" applyFill="1" applyBorder="1" applyAlignment="1">
      <alignment horizontal="center" vertical="center"/>
    </xf>
    <xf numFmtId="165" fontId="1" fillId="8" borderId="6" xfId="1" applyNumberFormat="1" applyFont="1" applyFill="1" applyBorder="1" applyAlignment="1">
      <alignment horizontal="center" vertical="center"/>
    </xf>
    <xf numFmtId="167" fontId="7" fillId="4" borderId="3" xfId="86" applyNumberFormat="1" applyFont="1" applyFill="1" applyBorder="1" applyAlignment="1">
      <alignment horizontal="center" vertical="center" wrapText="1"/>
    </xf>
    <xf numFmtId="167" fontId="7" fillId="4" borderId="4" xfId="86" applyNumberFormat="1" applyFont="1" applyFill="1" applyBorder="1" applyAlignment="1">
      <alignment horizontal="center" vertical="center" wrapText="1"/>
    </xf>
    <xf numFmtId="167" fontId="7" fillId="7" borderId="4" xfId="86" applyNumberFormat="1" applyFont="1" applyFill="1" applyBorder="1" applyAlignment="1">
      <alignment horizontal="center" vertical="center" wrapText="1"/>
    </xf>
    <xf numFmtId="167" fontId="7" fillId="7" borderId="5" xfId="86" applyNumberFormat="1" applyFont="1" applyFill="1" applyBorder="1" applyAlignment="1">
      <alignment horizontal="center" vertical="center"/>
    </xf>
    <xf numFmtId="167" fontId="7" fillId="7" borderId="3" xfId="86" applyNumberFormat="1" applyFont="1" applyFill="1" applyBorder="1" applyAlignment="1">
      <alignment horizontal="center" vertical="center" wrapText="1"/>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167" fontId="1" fillId="4" borderId="4" xfId="86" applyNumberFormat="1" applyFont="1" applyFill="1" applyBorder="1" applyAlignment="1">
      <alignment horizontal="center" vertical="center" wrapText="1"/>
    </xf>
    <xf numFmtId="167" fontId="1" fillId="4" borderId="5" xfId="86" applyNumberFormat="1" applyFont="1" applyFill="1" applyBorder="1" applyAlignment="1">
      <alignment horizontal="center" vertical="center"/>
    </xf>
    <xf numFmtId="167" fontId="1" fillId="4" borderId="3" xfId="86" applyNumberFormat="1" applyFont="1" applyFill="1" applyBorder="1" applyAlignment="1">
      <alignment horizontal="center" vertical="center" wrapText="1"/>
    </xf>
    <xf numFmtId="0" fontId="5" fillId="0" borderId="0" xfId="0" applyFont="1" applyAlignment="1">
      <alignment horizontal="center"/>
    </xf>
    <xf numFmtId="165" fontId="6" fillId="21" borderId="3" xfId="1" applyNumberFormat="1" applyFont="1" applyFill="1" applyBorder="1" applyAlignment="1">
      <alignment horizontal="center" wrapText="1"/>
    </xf>
    <xf numFmtId="165" fontId="6" fillId="21" borderId="8" xfId="1" applyNumberFormat="1" applyFont="1" applyFill="1" applyBorder="1" applyAlignment="1">
      <alignment horizontal="center" wrapText="1"/>
    </xf>
    <xf numFmtId="165" fontId="6" fillId="21" borderId="2" xfId="1" applyNumberFormat="1" applyFont="1" applyFill="1" applyBorder="1" applyAlignment="1">
      <alignment horizontal="center" wrapText="1"/>
    </xf>
    <xf numFmtId="165" fontId="6" fillId="21" borderId="3" xfId="1" applyNumberFormat="1" applyFont="1" applyFill="1" applyBorder="1" applyAlignment="1">
      <alignment horizontal="center"/>
    </xf>
    <xf numFmtId="165" fontId="6" fillId="21" borderId="8" xfId="1" applyNumberFormat="1" applyFont="1" applyFill="1" applyBorder="1" applyAlignment="1">
      <alignment horizontal="center"/>
    </xf>
    <xf numFmtId="165" fontId="6" fillId="21" borderId="2" xfId="1" applyNumberFormat="1" applyFont="1" applyFill="1" applyBorder="1" applyAlignment="1">
      <alignment horizontal="center"/>
    </xf>
    <xf numFmtId="167" fontId="7" fillId="4" borderId="6" xfId="86" applyNumberFormat="1" applyFont="1" applyFill="1" applyBorder="1" applyAlignment="1">
      <alignment horizontal="center" vertical="center" wrapText="1"/>
    </xf>
    <xf numFmtId="167" fontId="7" fillId="7" borderId="4" xfId="86" applyNumberFormat="1" applyFont="1" applyFill="1" applyBorder="1" applyAlignment="1">
      <alignment horizontal="center" wrapText="1"/>
    </xf>
    <xf numFmtId="167" fontId="7" fillId="7" borderId="6" xfId="86" applyNumberFormat="1" applyFont="1" applyFill="1" applyBorder="1" applyAlignment="1">
      <alignment horizontal="center" wrapText="1"/>
    </xf>
    <xf numFmtId="0" fontId="5" fillId="7" borderId="7" xfId="0" applyFont="1" applyFill="1" applyBorder="1" applyAlignment="1">
      <alignment horizontal="center"/>
    </xf>
    <xf numFmtId="0" fontId="5" fillId="7" borderId="21" xfId="0" applyFont="1" applyFill="1" applyBorder="1" applyAlignment="1">
      <alignment horizontal="center"/>
    </xf>
    <xf numFmtId="0" fontId="5" fillId="39" borderId="8" xfId="0" applyFont="1" applyFill="1" applyBorder="1" applyAlignment="1">
      <alignment horizontal="center"/>
    </xf>
    <xf numFmtId="0" fontId="5" fillId="39" borderId="1" xfId="0" applyFont="1" applyFill="1" applyBorder="1" applyAlignment="1">
      <alignment horizontal="center"/>
    </xf>
    <xf numFmtId="0" fontId="5" fillId="39" borderId="2" xfId="0" applyFont="1" applyFill="1" applyBorder="1" applyAlignment="1">
      <alignment horizontal="center"/>
    </xf>
    <xf numFmtId="0" fontId="5" fillId="7" borderId="8" xfId="0" applyFont="1" applyFill="1" applyBorder="1" applyAlignment="1">
      <alignment horizontal="center"/>
    </xf>
    <xf numFmtId="0" fontId="5" fillId="7" borderId="1" xfId="0" applyFont="1" applyFill="1" applyBorder="1" applyAlignment="1">
      <alignment horizontal="center"/>
    </xf>
    <xf numFmtId="0" fontId="5" fillId="7" borderId="2" xfId="0" applyFont="1" applyFill="1" applyBorder="1" applyAlignment="1">
      <alignment horizontal="center"/>
    </xf>
    <xf numFmtId="167" fontId="7" fillId="4" borderId="5" xfId="86" applyNumberFormat="1" applyFont="1" applyFill="1" applyBorder="1" applyAlignment="1">
      <alignment horizontal="center" vertical="center"/>
    </xf>
    <xf numFmtId="0" fontId="6" fillId="3" borderId="8" xfId="0" applyFont="1" applyFill="1" applyBorder="1" applyAlignment="1">
      <alignment horizontal="center"/>
    </xf>
    <xf numFmtId="0" fontId="6" fillId="3" borderId="1" xfId="0" applyFont="1" applyFill="1" applyBorder="1" applyAlignment="1">
      <alignment horizontal="center"/>
    </xf>
    <xf numFmtId="0" fontId="6" fillId="3" borderId="2" xfId="0" applyFont="1" applyFill="1" applyBorder="1" applyAlignment="1">
      <alignment horizontal="center"/>
    </xf>
    <xf numFmtId="167" fontId="1" fillId="4" borderId="5" xfId="86" applyNumberFormat="1" applyFont="1" applyFill="1" applyBorder="1" applyAlignment="1">
      <alignment horizontal="center" vertical="center" wrapText="1"/>
    </xf>
    <xf numFmtId="0" fontId="47" fillId="0" borderId="4" xfId="113" applyBorder="1" applyAlignment="1">
      <alignment horizontal="center" vertical="center" wrapText="1"/>
    </xf>
    <xf numFmtId="0" fontId="47" fillId="0" borderId="5" xfId="113" applyBorder="1" applyAlignment="1">
      <alignment horizontal="center" vertical="center"/>
    </xf>
    <xf numFmtId="0" fontId="47" fillId="0" borderId="6" xfId="113" applyBorder="1" applyAlignment="1">
      <alignment horizontal="center" vertical="center"/>
    </xf>
    <xf numFmtId="0" fontId="47" fillId="0" borderId="8" xfId="113" applyBorder="1" applyAlignment="1">
      <alignment horizontal="center"/>
    </xf>
    <xf numFmtId="0" fontId="47" fillId="0" borderId="1" xfId="113" applyBorder="1" applyAlignment="1">
      <alignment horizontal="center"/>
    </xf>
    <xf numFmtId="0" fontId="47" fillId="0" borderId="2" xfId="113" applyBorder="1" applyAlignment="1">
      <alignment horizontal="center"/>
    </xf>
    <xf numFmtId="0" fontId="53" fillId="0" borderId="3" xfId="113" applyFont="1" applyBorder="1" applyAlignment="1">
      <alignment horizontal="center" vertical="center"/>
    </xf>
    <xf numFmtId="0" fontId="54" fillId="0" borderId="4" xfId="113" applyFont="1" applyBorder="1" applyAlignment="1">
      <alignment horizontal="center" vertical="center" wrapText="1"/>
    </xf>
    <xf numFmtId="0" fontId="54" fillId="0" borderId="6" xfId="113" applyFont="1" applyBorder="1" applyAlignment="1">
      <alignment horizontal="center" vertical="center" wrapText="1"/>
    </xf>
    <xf numFmtId="0" fontId="47" fillId="0" borderId="4" xfId="113" applyFill="1" applyBorder="1" applyAlignment="1">
      <alignment horizontal="center" vertical="center"/>
    </xf>
    <xf numFmtId="0" fontId="47" fillId="0" borderId="5" xfId="113" applyFill="1" applyBorder="1" applyAlignment="1">
      <alignment horizontal="center" vertical="center"/>
    </xf>
    <xf numFmtId="0" fontId="47" fillId="0" borderId="3" xfId="113" applyFill="1" applyBorder="1" applyAlignment="1">
      <alignment horizontal="center" vertical="center" wrapText="1"/>
    </xf>
    <xf numFmtId="0" fontId="47" fillId="0" borderId="3" xfId="113" applyFill="1" applyBorder="1" applyAlignment="1">
      <alignment horizontal="center" vertical="center"/>
    </xf>
    <xf numFmtId="172" fontId="39" fillId="25" borderId="4" xfId="7" applyNumberFormat="1" applyFont="1" applyFill="1" applyBorder="1" applyAlignment="1">
      <alignment horizontal="center" vertical="center" wrapText="1"/>
    </xf>
    <xf numFmtId="172" fontId="39" fillId="25" borderId="5" xfId="7" applyNumberFormat="1" applyFont="1" applyFill="1" applyBorder="1" applyAlignment="1">
      <alignment horizontal="center" vertical="center" wrapText="1"/>
    </xf>
    <xf numFmtId="172" fontId="39" fillId="25" borderId="22" xfId="7" applyNumberFormat="1" applyFont="1" applyFill="1" applyBorder="1" applyAlignment="1">
      <alignment horizontal="center" vertical="center" wrapText="1"/>
    </xf>
    <xf numFmtId="167" fontId="39" fillId="25" borderId="8" xfId="7" applyNumberFormat="1" applyFont="1" applyFill="1" applyBorder="1" applyAlignment="1">
      <alignment horizontal="center" vertical="center" wrapText="1"/>
    </xf>
    <xf numFmtId="167" fontId="39" fillId="25" borderId="1" xfId="7" applyNumberFormat="1" applyFont="1" applyFill="1" applyBorder="1" applyAlignment="1">
      <alignment horizontal="center" vertical="center" wrapText="1"/>
    </xf>
    <xf numFmtId="167" fontId="39" fillId="25" borderId="2" xfId="7" applyNumberFormat="1" applyFont="1" applyFill="1" applyBorder="1" applyAlignment="1">
      <alignment horizontal="center" vertical="center" wrapText="1"/>
    </xf>
    <xf numFmtId="0" fontId="39" fillId="25" borderId="3" xfId="117" applyFont="1" applyFill="1" applyBorder="1" applyAlignment="1">
      <alignment horizontal="center" vertical="center" wrapText="1"/>
    </xf>
    <xf numFmtId="0" fontId="37" fillId="25" borderId="3" xfId="117" applyFont="1" applyFill="1" applyBorder="1" applyAlignment="1">
      <alignment horizontal="center" vertical="center" wrapText="1"/>
    </xf>
    <xf numFmtId="0" fontId="39" fillId="25" borderId="4" xfId="117" applyFont="1" applyFill="1" applyBorder="1" applyAlignment="1">
      <alignment horizontal="center" vertical="center" wrapText="1"/>
    </xf>
    <xf numFmtId="0" fontId="39" fillId="25" borderId="5" xfId="117" applyFont="1" applyFill="1" applyBorder="1" applyAlignment="1">
      <alignment horizontal="center" vertical="center" wrapText="1"/>
    </xf>
    <xf numFmtId="0" fontId="39" fillId="25" borderId="6" xfId="117" applyFont="1" applyFill="1" applyBorder="1" applyAlignment="1">
      <alignment horizontal="center" vertical="center" wrapText="1"/>
    </xf>
    <xf numFmtId="172" fontId="39" fillId="25" borderId="8" xfId="7" applyNumberFormat="1" applyFont="1" applyFill="1" applyBorder="1" applyAlignment="1">
      <alignment horizontal="center" vertical="center" wrapText="1"/>
    </xf>
    <xf numFmtId="172" fontId="39" fillId="25" borderId="2" xfId="7" applyNumberFormat="1" applyFont="1" applyFill="1" applyBorder="1" applyAlignment="1">
      <alignment horizontal="center" vertical="center" wrapText="1"/>
    </xf>
    <xf numFmtId="0" fontId="23" fillId="0" borderId="4" xfId="0" applyFont="1" applyBorder="1" applyAlignment="1">
      <alignment horizontal="center" vertical="center"/>
    </xf>
    <xf numFmtId="0" fontId="23" fillId="0" borderId="6" xfId="0" applyFont="1" applyBorder="1" applyAlignment="1">
      <alignment horizontal="center" vertical="center"/>
    </xf>
    <xf numFmtId="165" fontId="23" fillId="0" borderId="4" xfId="1" applyNumberFormat="1" applyFont="1" applyBorder="1" applyAlignment="1">
      <alignment horizontal="center" vertical="center"/>
    </xf>
    <xf numFmtId="165" fontId="23" fillId="0" borderId="6" xfId="1" applyNumberFormat="1" applyFont="1" applyBorder="1" applyAlignment="1">
      <alignment horizontal="center" vertical="center"/>
    </xf>
    <xf numFmtId="165" fontId="23" fillId="0" borderId="3" xfId="1" applyNumberFormat="1" applyFont="1" applyBorder="1" applyAlignment="1">
      <alignment horizontal="center" wrapText="1"/>
    </xf>
    <xf numFmtId="0" fontId="23" fillId="0" borderId="5" xfId="0" applyFont="1" applyBorder="1" applyAlignment="1">
      <alignment horizontal="center" vertical="center"/>
    </xf>
    <xf numFmtId="0" fontId="23" fillId="23" borderId="4" xfId="0" applyFont="1" applyFill="1" applyBorder="1" applyAlignment="1">
      <alignment horizontal="center" vertical="center"/>
    </xf>
    <xf numFmtId="0" fontId="23" fillId="23" borderId="6" xfId="0" applyFont="1" applyFill="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xf>
    <xf numFmtId="0" fontId="23" fillId="0" borderId="6" xfId="0" applyFont="1" applyBorder="1" applyAlignment="1">
      <alignment horizontal="center"/>
    </xf>
    <xf numFmtId="0" fontId="19" fillId="0" borderId="0" xfId="0" applyFont="1" applyAlignment="1">
      <alignment horizontal="center"/>
    </xf>
    <xf numFmtId="0" fontId="0" fillId="0" borderId="3" xfId="0" applyFont="1" applyBorder="1" applyAlignment="1">
      <alignment horizontal="center"/>
    </xf>
    <xf numFmtId="0" fontId="23" fillId="7" borderId="8" xfId="0" applyFont="1" applyFill="1" applyBorder="1" applyAlignment="1">
      <alignment horizontal="center"/>
    </xf>
    <xf numFmtId="0" fontId="23" fillId="7" borderId="1" xfId="0" applyFont="1" applyFill="1" applyBorder="1" applyAlignment="1">
      <alignment horizontal="center"/>
    </xf>
    <xf numFmtId="0" fontId="23" fillId="7" borderId="2" xfId="0" applyFont="1" applyFill="1" applyBorder="1" applyAlignment="1">
      <alignment horizontal="center"/>
    </xf>
    <xf numFmtId="0" fontId="23" fillId="16" borderId="8" xfId="0" applyFont="1" applyFill="1" applyBorder="1" applyAlignment="1">
      <alignment horizontal="center"/>
    </xf>
    <xf numFmtId="0" fontId="23" fillId="16" borderId="1" xfId="0" applyFont="1" applyFill="1" applyBorder="1" applyAlignment="1">
      <alignment horizontal="center"/>
    </xf>
    <xf numFmtId="0" fontId="23" fillId="16" borderId="2" xfId="0" applyFont="1" applyFill="1" applyBorder="1" applyAlignment="1">
      <alignment horizontal="center"/>
    </xf>
    <xf numFmtId="0" fontId="23" fillId="14" borderId="8" xfId="0" applyFont="1" applyFill="1" applyBorder="1" applyAlignment="1">
      <alignment horizontal="center"/>
    </xf>
    <xf numFmtId="0" fontId="23" fillId="14" borderId="1" xfId="0" applyFont="1" applyFill="1" applyBorder="1" applyAlignment="1">
      <alignment horizontal="center"/>
    </xf>
    <xf numFmtId="0" fontId="23" fillId="14" borderId="2" xfId="0" applyFont="1" applyFill="1" applyBorder="1" applyAlignment="1">
      <alignment horizontal="center"/>
    </xf>
    <xf numFmtId="0" fontId="23" fillId="7" borderId="4" xfId="0" applyFont="1" applyFill="1" applyBorder="1" applyAlignment="1">
      <alignment horizontal="center" vertical="center"/>
    </xf>
    <xf numFmtId="0" fontId="23" fillId="7" borderId="6" xfId="0" applyFont="1" applyFill="1" applyBorder="1" applyAlignment="1">
      <alignment horizontal="center" vertical="center"/>
    </xf>
    <xf numFmtId="0" fontId="23" fillId="7" borderId="4" xfId="0" applyFont="1" applyFill="1" applyBorder="1" applyAlignment="1">
      <alignment horizontal="center" vertical="center" wrapText="1"/>
    </xf>
    <xf numFmtId="0" fontId="9" fillId="0" borderId="0" xfId="0" applyFont="1" applyAlignment="1">
      <alignment horizontal="center"/>
    </xf>
    <xf numFmtId="0" fontId="6" fillId="3" borderId="3" xfId="0" applyFont="1" applyFill="1" applyBorder="1" applyAlignment="1">
      <alignment horizontal="center"/>
    </xf>
    <xf numFmtId="0" fontId="5" fillId="7" borderId="3" xfId="0" applyFont="1" applyFill="1" applyBorder="1" applyAlignment="1">
      <alignment horizontal="center"/>
    </xf>
    <xf numFmtId="0" fontId="5" fillId="3" borderId="3" xfId="0" applyFont="1" applyFill="1" applyBorder="1" applyAlignment="1">
      <alignment horizontal="center"/>
    </xf>
  </cellXfs>
  <cellStyles count="149">
    <cellStyle name="20% - Accent1 2" xfId="16"/>
    <cellStyle name="20% - Accent2 2" xfId="18"/>
    <cellStyle name="20% - Accent3 2" xfId="6"/>
    <cellStyle name="20% - Accent4 2" xfId="13"/>
    <cellStyle name="20% - Accent5 2" xfId="20"/>
    <cellStyle name="20% - Accent6 2" xfId="22"/>
    <cellStyle name="40% - Accent1 2" xfId="23"/>
    <cellStyle name="40% - Accent2 2" xfId="9"/>
    <cellStyle name="40% - Accent3 2" xfId="24"/>
    <cellStyle name="40% - Accent4 2" xfId="11"/>
    <cellStyle name="40% - Accent5 2" xfId="25"/>
    <cellStyle name="40% - Accent6 2" xfId="26"/>
    <cellStyle name="60% - Accent1 2" xfId="19"/>
    <cellStyle name="60% - Accent2 2" xfId="21"/>
    <cellStyle name="60% - Accent3 2" xfId="8"/>
    <cellStyle name="60% - Accent4 2" xfId="15"/>
    <cellStyle name="60% - Accent5 2" xfId="27"/>
    <cellStyle name="60% - Accent6 2" xfId="28"/>
    <cellStyle name="Accent1 2" xfId="29"/>
    <cellStyle name="Accent2 2" xfId="30"/>
    <cellStyle name="Accent3 2" xfId="32"/>
    <cellStyle name="Accent4 2" xfId="14"/>
    <cellStyle name="Accent5 2" xfId="33"/>
    <cellStyle name="Accent6 2" xfId="34"/>
    <cellStyle name="Bad 2" xfId="35"/>
    <cellStyle name="Calculation 2" xfId="36"/>
    <cellStyle name="Check Cell 2" xfId="38"/>
    <cellStyle name="Comma" xfId="1" builtinId="3"/>
    <cellStyle name="Comma 10" xfId="39"/>
    <cellStyle name="Comma 11" xfId="41"/>
    <cellStyle name="Comma 11 2" xfId="42"/>
    <cellStyle name="Comma 12" xfId="43"/>
    <cellStyle name="Comma 12 2" xfId="44"/>
    <cellStyle name="Comma 13" xfId="45"/>
    <cellStyle name="Comma 13 2" xfId="46"/>
    <cellStyle name="Comma 14" xfId="47"/>
    <cellStyle name="Comma 2" xfId="48"/>
    <cellStyle name="Comma 2 2" xfId="49"/>
    <cellStyle name="Comma 2 2 2" xfId="50"/>
    <cellStyle name="Comma 2 2 2 2" xfId="51"/>
    <cellStyle name="Comma 2 2 2 2 2" xfId="40"/>
    <cellStyle name="Comma 2 2 2 3" xfId="52"/>
    <cellStyle name="Comma 2 2 3" xfId="53"/>
    <cellStyle name="Comma 2 2 3 2" xfId="54"/>
    <cellStyle name="Comma 2 2 4" xfId="55"/>
    <cellStyle name="Comma 2 2 5" xfId="56"/>
    <cellStyle name="Comma 2 3" xfId="57"/>
    <cellStyle name="Comma 2 3 2" xfId="58"/>
    <cellStyle name="Comma 2 3 3" xfId="59"/>
    <cellStyle name="Comma 2 4" xfId="7"/>
    <cellStyle name="Comma 2 5" xfId="60"/>
    <cellStyle name="Comma 2 6" xfId="61"/>
    <cellStyle name="Comma 2_KPI T08" xfId="62"/>
    <cellStyle name="Comma 3" xfId="64"/>
    <cellStyle name="Comma 3 2" xfId="65"/>
    <cellStyle name="Comma 3 2 2" xfId="66"/>
    <cellStyle name="Comma 4" xfId="67"/>
    <cellStyle name="Comma 4 2" xfId="68"/>
    <cellStyle name="Comma 4 3" xfId="69"/>
    <cellStyle name="Comma 5" xfId="70"/>
    <cellStyle name="Comma 5 2" xfId="71"/>
    <cellStyle name="Comma 6" xfId="73"/>
    <cellStyle name="Comma 7" xfId="74"/>
    <cellStyle name="Comma 7 2" xfId="75"/>
    <cellStyle name="Comma 7 2 2" xfId="77"/>
    <cellStyle name="Comma 7 3" xfId="78"/>
    <cellStyle name="Comma 8" xfId="79"/>
    <cellStyle name="Comma 8 2" xfId="80"/>
    <cellStyle name="Comma 8 2 2" xfId="10"/>
    <cellStyle name="Comma 8 2 2 2" xfId="31"/>
    <cellStyle name="Comma 8 2 3" xfId="12"/>
    <cellStyle name="Comma 8 3" xfId="81"/>
    <cellStyle name="Comma 8 3 2" xfId="83"/>
    <cellStyle name="Comma 8 4" xfId="84"/>
    <cellStyle name="Comma 9" xfId="85"/>
    <cellStyle name="Comma 9 2" xfId="86"/>
    <cellStyle name="Comma 9 2 2" xfId="87"/>
    <cellStyle name="Comma 9 3" xfId="88"/>
    <cellStyle name="Currency 2" xfId="89"/>
    <cellStyle name="Currency 3" xfId="90"/>
    <cellStyle name="Explanatory Text 2" xfId="91"/>
    <cellStyle name="Good 2" xfId="72"/>
    <cellStyle name="Heading 1 2" xfId="92"/>
    <cellStyle name="Heading 2 2" xfId="93"/>
    <cellStyle name="Heading 3 2" xfId="94"/>
    <cellStyle name="Heading 4 2" xfId="95"/>
    <cellStyle name="Hyperlink 2" xfId="97"/>
    <cellStyle name="Input 2" xfId="98"/>
    <cellStyle name="Linked Cell 2" xfId="99"/>
    <cellStyle name="Neutral 2" xfId="100"/>
    <cellStyle name="Normal" xfId="0" builtinId="0"/>
    <cellStyle name="Normal 10" xfId="101"/>
    <cellStyle name="Normal 10 2" xfId="102"/>
    <cellStyle name="Normal 10 3" xfId="103"/>
    <cellStyle name="Normal 11" xfId="104"/>
    <cellStyle name="Normal 11 2" xfId="105"/>
    <cellStyle name="Normal 12" xfId="37"/>
    <cellStyle name="Normal 12 2" xfId="106"/>
    <cellStyle name="Normal 13" xfId="107"/>
    <cellStyle name="Normal 13 2" xfId="108"/>
    <cellStyle name="Normal 2" xfId="109"/>
    <cellStyle name="Normal 2 2" xfId="110"/>
    <cellStyle name="Normal 2 2 2" xfId="111"/>
    <cellStyle name="Normal 2 3" xfId="112"/>
    <cellStyle name="Normal 3" xfId="76"/>
    <cellStyle name="Normal 3 2" xfId="113"/>
    <cellStyle name="Normal 3 2 2" xfId="114"/>
    <cellStyle name="Normal 3 3" xfId="115"/>
    <cellStyle name="Normal 4" xfId="116"/>
    <cellStyle name="Normal 4 2" xfId="117"/>
    <cellStyle name="Normal 4 3" xfId="118"/>
    <cellStyle name="Normal 4 3 2" xfId="119"/>
    <cellStyle name="Normal 4 4" xfId="120"/>
    <cellStyle name="Normal 4 5" xfId="17"/>
    <cellStyle name="Normal 5" xfId="121"/>
    <cellStyle name="Normal 5 2" xfId="122"/>
    <cellStyle name="Normal 5 3" xfId="5"/>
    <cellStyle name="Normal 6" xfId="123"/>
    <cellStyle name="Normal 6 2" xfId="124"/>
    <cellStyle name="Normal 7" xfId="125"/>
    <cellStyle name="Normal 7 2" xfId="4"/>
    <cellStyle name="Normal 7 2 2" xfId="96"/>
    <cellStyle name="Normal 7 3" xfId="126"/>
    <cellStyle name="Normal 8" xfId="127"/>
    <cellStyle name="Normal 8 2" xfId="128"/>
    <cellStyle name="Normal 8 2 2" xfId="129"/>
    <cellStyle name="Normal 8 2 2 2" xfId="130"/>
    <cellStyle name="Normal 8 2 3" xfId="82"/>
    <cellStyle name="Normal 8 3" xfId="131"/>
    <cellStyle name="Normal 8 3 2" xfId="132"/>
    <cellStyle name="Normal 8 4" xfId="133"/>
    <cellStyle name="Normal 9" xfId="134"/>
    <cellStyle name="Normal 9 2" xfId="135"/>
    <cellStyle name="Normal 9 2 2" xfId="136"/>
    <cellStyle name="Normal 9 3" xfId="137"/>
    <cellStyle name="Note 2" xfId="63"/>
    <cellStyle name="Output 2" xfId="138"/>
    <cellStyle name="Percent" xfId="3" builtinId="5"/>
    <cellStyle name="Percent 2" xfId="139"/>
    <cellStyle name="Percent 2 2" xfId="140"/>
    <cellStyle name="Percent 2 2 2" xfId="2"/>
    <cellStyle name="Percent 2 3" xfId="141"/>
    <cellStyle name="Percent 3" xfId="142"/>
    <cellStyle name="Percent 3 2" xfId="143"/>
    <cellStyle name="Percent 3 3" xfId="144"/>
    <cellStyle name="Percent 3 4" xfId="145"/>
    <cellStyle name="Percent 4" xfId="146"/>
    <cellStyle name="Total 2" xfId="147"/>
    <cellStyle name="Warning Text 2" xfId="148"/>
  </cellStyles>
  <dxfs count="114">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00B0F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s>
  <tableStyles count="0" defaultTableStyle="TableStyleMedium9"/>
  <colors>
    <mruColors>
      <color rgb="FF0D0393"/>
      <color rgb="FF2B03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111</xdr:row>
      <xdr:rowOff>171038</xdr:rowOff>
    </xdr:from>
    <xdr:to>
      <xdr:col>12</xdr:col>
      <xdr:colOff>0</xdr:colOff>
      <xdr:row>112</xdr:row>
      <xdr:rowOff>0</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6273165"/>
          <a:ext cx="9715500" cy="6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160867</xdr:colOff>
      <xdr:row>1</xdr:row>
      <xdr:rowOff>99600</xdr:rowOff>
    </xdr:from>
    <xdr:to>
      <xdr:col>15</xdr:col>
      <xdr:colOff>252414</xdr:colOff>
      <xdr:row>11</xdr:row>
      <xdr:rowOff>9641</xdr:rowOff>
    </xdr:to>
    <xdr:pic>
      <xdr:nvPicPr>
        <xdr:cNvPr id="3" name="Picture 2"/>
        <xdr:cNvPicPr>
          <a:picLocks noChangeAspect="1"/>
        </xdr:cNvPicPr>
      </xdr:nvPicPr>
      <xdr:blipFill>
        <a:blip xmlns:r="http://schemas.openxmlformats.org/officeDocument/2006/relationships" r:embed="rId1"/>
        <a:stretch>
          <a:fillRect/>
        </a:stretch>
      </xdr:blipFill>
      <xdr:spPr>
        <a:xfrm>
          <a:off x="160655" y="232410"/>
          <a:ext cx="6816090" cy="124396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aya3\Desktop\LUO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hang%2011\vp%20a.gIANG\VP%20moi\New%20folder\xem%20xet%20luong%202017%20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dministrator\Downloads\T3-2018%20VAN%20PHONG%20V4%20CUOI%20CUN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Administrator\AppData\Local\Microsoft\Windows\Temporary%20Internet%20Files\Content.Outlook\53ZXKY64\Luong%20mau%202016%20edit\Bang%20luong%20-%20Thang%20luong%20de%20xuat\Bang%20luong%20T07-201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Administrator\Downloads\T3-2018%20VAN%20PHONG%20V3%20-%20PHEP%20NA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GĐ-QL"/>
      <sheetName val="Q&amp;A"/>
      <sheetName val="CV - NV co chuyen mon"/>
      <sheetName val="LDPT - NV co tay nghe"/>
      <sheetName val="so sánh 3 bảng"/>
      <sheetName val="p2"/>
      <sheetName val="P2 CHI TIET"/>
      <sheetName val="THANG B.LUONG"/>
      <sheetName val="LUONG VP"/>
      <sheetName val="tong hop (2)"/>
      <sheetName val="tong hop"/>
      <sheetName val="XEM XET LUONG"/>
      <sheetName val="Sheet1"/>
      <sheetName val="QUY CHẾ"/>
      <sheetName val="NOTE"/>
      <sheetName val="THUẾ TNCN"/>
    </sheetNames>
    <sheetDataSet>
      <sheetData sheetId="0"/>
      <sheetData sheetId="1"/>
      <sheetData sheetId="2"/>
      <sheetData sheetId="3"/>
      <sheetData sheetId="4">
        <row r="6">
          <cell r="K6">
            <v>36675.911251980986</v>
          </cell>
        </row>
        <row r="41">
          <cell r="C41" t="str">
            <v>Giám sát kỹ thuật</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GĐ-QL"/>
      <sheetName val="Q&amp;A"/>
      <sheetName val="CV - NV co chuyen mon"/>
      <sheetName val="LDPT - NV co tay nghe"/>
      <sheetName val="so sánh 3 bảng"/>
      <sheetName val="p2"/>
      <sheetName val="P2 CHI TIET"/>
      <sheetName val="THANG B.LUONG"/>
      <sheetName val="XEM XET LUONG"/>
      <sheetName val="Sheet1"/>
      <sheetName val="QUY CHẾ"/>
      <sheetName val="NOTE"/>
      <sheetName val="THUẾ TNC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5">
          <cell r="B5" t="str">
            <v>CHỦ TỊCH</v>
          </cell>
        </row>
        <row r="60">
          <cell r="B60" t="str">
            <v>Sale admin</v>
          </cell>
        </row>
        <row r="61">
          <cell r="B61" t="str">
            <v>Trưởng sale TP</v>
          </cell>
        </row>
        <row r="63">
          <cell r="B63" t="str">
            <v>Trưởng sale Tỉnh</v>
          </cell>
        </row>
        <row r="65">
          <cell r="B65" t="str">
            <v>Trưởng đội vận chuyển</v>
          </cell>
        </row>
        <row r="68">
          <cell r="B68" t="str">
            <v>Trưởng đội giao nhận</v>
          </cell>
        </row>
        <row r="99">
          <cell r="B99" t="str">
            <v>Trưởng phòng quản lý chất lượng sản phẩm</v>
          </cell>
        </row>
      </sheetData>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ANG B.LUONG"/>
      <sheetName val="Luong VP"/>
      <sheetName val="DS"/>
      <sheetName val="T3-18"/>
      <sheetName val="The luongvp"/>
      <sheetName val="Cham cong"/>
      <sheetName val="DT-DS"/>
      <sheetName val="TH ngay phep"/>
      <sheetName val="phep"/>
      <sheetName val="Phép năm"/>
      <sheetName val="Sheet1"/>
    </sheetNames>
    <sheetDataSet>
      <sheetData sheetId="0"/>
      <sheetData sheetId="1">
        <row r="10">
          <cell r="B10" t="str">
            <v xml:space="preserve"> LĐ01 </v>
          </cell>
          <cell r="C10" t="str">
            <v xml:space="preserve"> Ngô Pa Ri </v>
          </cell>
          <cell r="D10" t="str">
            <v>CHỦ TỊCH</v>
          </cell>
          <cell r="E10">
            <v>37987</v>
          </cell>
          <cell r="F10">
            <v>2</v>
          </cell>
          <cell r="G10">
            <v>14</v>
          </cell>
          <cell r="H10">
            <v>2</v>
          </cell>
          <cell r="I10">
            <v>24</v>
          </cell>
          <cell r="J10">
            <v>104000</v>
          </cell>
          <cell r="K10">
            <v>0</v>
          </cell>
          <cell r="L10">
            <v>8000</v>
          </cell>
          <cell r="M10">
            <v>14560.000000000002</v>
          </cell>
          <cell r="N10">
            <v>0</v>
          </cell>
          <cell r="O10">
            <v>1000</v>
          </cell>
          <cell r="P10">
            <v>2000</v>
          </cell>
          <cell r="Q10">
            <v>0</v>
          </cell>
          <cell r="R10">
            <v>0</v>
          </cell>
          <cell r="S10">
            <v>0</v>
          </cell>
          <cell r="T10">
            <v>4000</v>
          </cell>
          <cell r="U10">
            <v>0</v>
          </cell>
          <cell r="V10">
            <v>131560</v>
          </cell>
          <cell r="W10">
            <v>24</v>
          </cell>
          <cell r="X10">
            <v>0</v>
          </cell>
          <cell r="Y10">
            <v>0</v>
          </cell>
          <cell r="Z10">
            <v>0</v>
          </cell>
          <cell r="AA10">
            <v>0</v>
          </cell>
          <cell r="AB10">
            <v>0</v>
          </cell>
          <cell r="AC10">
            <v>0</v>
          </cell>
          <cell r="AD10">
            <v>0</v>
          </cell>
          <cell r="AE10">
            <v>0</v>
          </cell>
          <cell r="AF10">
            <v>0</v>
          </cell>
          <cell r="AG10">
            <v>0</v>
          </cell>
          <cell r="AH10">
            <v>0</v>
          </cell>
          <cell r="AI10">
            <v>0</v>
          </cell>
          <cell r="AJ10">
            <v>0</v>
          </cell>
          <cell r="AK10">
            <v>133560</v>
          </cell>
          <cell r="AL10">
            <v>0</v>
          </cell>
          <cell r="AM10">
            <v>0</v>
          </cell>
          <cell r="AN10">
            <v>0</v>
          </cell>
          <cell r="AO10">
            <v>0</v>
          </cell>
          <cell r="AP10">
            <v>133560</v>
          </cell>
        </row>
        <row r="11">
          <cell r="B11" t="str">
            <v xml:space="preserve"> LĐ02 </v>
          </cell>
          <cell r="C11" t="str">
            <v xml:space="preserve"> Nguyễn Văn Thảo </v>
          </cell>
          <cell r="D11" t="str">
            <v>TỔNG GIÁM ĐỐC</v>
          </cell>
          <cell r="E11">
            <v>37347</v>
          </cell>
          <cell r="F11">
            <v>2</v>
          </cell>
          <cell r="G11">
            <v>15</v>
          </cell>
          <cell r="H11">
            <v>11</v>
          </cell>
          <cell r="I11">
            <v>24</v>
          </cell>
          <cell r="J11">
            <v>104000</v>
          </cell>
          <cell r="K11">
            <v>0</v>
          </cell>
          <cell r="L11">
            <v>6000</v>
          </cell>
          <cell r="M11">
            <v>15600</v>
          </cell>
          <cell r="N11">
            <v>0</v>
          </cell>
          <cell r="O11">
            <v>1000</v>
          </cell>
          <cell r="P11">
            <v>2000</v>
          </cell>
          <cell r="Q11">
            <v>0</v>
          </cell>
          <cell r="R11">
            <v>0</v>
          </cell>
          <cell r="S11">
            <v>0</v>
          </cell>
          <cell r="T11">
            <v>4000</v>
          </cell>
          <cell r="U11">
            <v>0</v>
          </cell>
          <cell r="V11">
            <v>130600</v>
          </cell>
          <cell r="W11">
            <v>24</v>
          </cell>
          <cell r="X11">
            <v>0</v>
          </cell>
          <cell r="Y11">
            <v>0</v>
          </cell>
          <cell r="Z11">
            <v>0</v>
          </cell>
          <cell r="AA11">
            <v>0</v>
          </cell>
          <cell r="AB11">
            <v>0</v>
          </cell>
          <cell r="AC11">
            <v>0</v>
          </cell>
          <cell r="AD11">
            <v>0</v>
          </cell>
          <cell r="AE11">
            <v>0</v>
          </cell>
          <cell r="AF11">
            <v>0</v>
          </cell>
          <cell r="AG11">
            <v>0</v>
          </cell>
          <cell r="AH11">
            <v>0</v>
          </cell>
          <cell r="AI11">
            <v>0</v>
          </cell>
          <cell r="AJ11">
            <v>0</v>
          </cell>
          <cell r="AK11">
            <v>132600</v>
          </cell>
          <cell r="AL11">
            <v>1249.5</v>
          </cell>
          <cell r="AM11">
            <v>11900</v>
          </cell>
          <cell r="AN11">
            <v>0</v>
          </cell>
          <cell r="AO11">
            <v>0</v>
          </cell>
          <cell r="AP11">
            <v>131350</v>
          </cell>
        </row>
        <row r="12">
          <cell r="B12">
            <v>0</v>
          </cell>
          <cell r="C12" t="str">
            <v>Phòng HCNS - NS</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131487.29999999999</v>
          </cell>
          <cell r="AL12">
            <v>2895.585</v>
          </cell>
          <cell r="AM12">
            <v>27577</v>
          </cell>
          <cell r="AN12">
            <v>8000</v>
          </cell>
          <cell r="AO12">
            <v>0</v>
          </cell>
          <cell r="AP12">
            <v>120600</v>
          </cell>
        </row>
        <row r="13">
          <cell r="B13" t="str">
            <v xml:space="preserve"> NS01 </v>
          </cell>
          <cell r="C13" t="str">
            <v xml:space="preserve"> Nguyễn Đỗ Q. Phương </v>
          </cell>
          <cell r="D13" t="str">
            <v>GIÁM ĐỐC HCNS</v>
          </cell>
          <cell r="E13">
            <v>40040</v>
          </cell>
          <cell r="F13">
            <v>1</v>
          </cell>
          <cell r="G13">
            <v>8</v>
          </cell>
          <cell r="H13">
            <v>7</v>
          </cell>
          <cell r="I13">
            <v>10</v>
          </cell>
          <cell r="J13">
            <v>25120</v>
          </cell>
          <cell r="K13">
            <v>0</v>
          </cell>
          <cell r="L13">
            <v>3000</v>
          </cell>
          <cell r="M13">
            <v>2009.6000000000001</v>
          </cell>
          <cell r="N13">
            <v>0</v>
          </cell>
          <cell r="O13">
            <v>1000</v>
          </cell>
          <cell r="P13">
            <v>1000</v>
          </cell>
          <cell r="Q13">
            <v>0</v>
          </cell>
          <cell r="R13">
            <v>0</v>
          </cell>
          <cell r="S13">
            <v>0</v>
          </cell>
          <cell r="T13">
            <v>0</v>
          </cell>
          <cell r="U13">
            <v>0</v>
          </cell>
          <cell r="V13">
            <v>31129.599999999999</v>
          </cell>
          <cell r="W13">
            <v>24</v>
          </cell>
          <cell r="X13">
            <v>0</v>
          </cell>
          <cell r="Y13">
            <v>0</v>
          </cell>
          <cell r="Z13">
            <v>0</v>
          </cell>
          <cell r="AA13">
            <v>0</v>
          </cell>
          <cell r="AB13">
            <v>0</v>
          </cell>
          <cell r="AC13">
            <v>0</v>
          </cell>
          <cell r="AD13">
            <v>0</v>
          </cell>
          <cell r="AE13">
            <v>0</v>
          </cell>
          <cell r="AF13">
            <v>0</v>
          </cell>
          <cell r="AG13">
            <v>0</v>
          </cell>
          <cell r="AH13">
            <v>0</v>
          </cell>
          <cell r="AI13">
            <v>0</v>
          </cell>
          <cell r="AJ13">
            <v>0</v>
          </cell>
          <cell r="AK13">
            <v>32129.599999999999</v>
          </cell>
          <cell r="AL13">
            <v>871.5</v>
          </cell>
          <cell r="AM13">
            <v>8300</v>
          </cell>
          <cell r="AN13">
            <v>0</v>
          </cell>
          <cell r="AO13">
            <v>0</v>
          </cell>
          <cell r="AP13">
            <v>31260</v>
          </cell>
        </row>
        <row r="14">
          <cell r="B14" t="str">
            <v xml:space="preserve"> NS02 </v>
          </cell>
          <cell r="C14" t="str">
            <v xml:space="preserve"> Lê Hoàng Tuấn </v>
          </cell>
          <cell r="D14" t="str">
            <v>Bảo vệ</v>
          </cell>
          <cell r="E14">
            <v>41838</v>
          </cell>
          <cell r="F14">
            <v>2</v>
          </cell>
          <cell r="G14">
            <v>3</v>
          </cell>
          <cell r="H14">
            <v>8</v>
          </cell>
          <cell r="I14">
            <v>7</v>
          </cell>
          <cell r="J14">
            <v>5870</v>
          </cell>
          <cell r="K14">
            <v>0</v>
          </cell>
          <cell r="L14">
            <v>200</v>
          </cell>
          <cell r="M14">
            <v>176.1</v>
          </cell>
          <cell r="N14">
            <v>0</v>
          </cell>
          <cell r="O14">
            <v>0</v>
          </cell>
          <cell r="P14">
            <v>0</v>
          </cell>
          <cell r="Q14">
            <v>0</v>
          </cell>
          <cell r="R14">
            <v>0</v>
          </cell>
          <cell r="S14">
            <v>0</v>
          </cell>
          <cell r="T14">
            <v>0</v>
          </cell>
          <cell r="U14">
            <v>0</v>
          </cell>
          <cell r="V14">
            <v>6246.1</v>
          </cell>
          <cell r="W14">
            <v>28</v>
          </cell>
          <cell r="X14">
            <v>0</v>
          </cell>
          <cell r="Y14">
            <v>0</v>
          </cell>
          <cell r="Z14">
            <v>0</v>
          </cell>
          <cell r="AA14">
            <v>0</v>
          </cell>
          <cell r="AB14">
            <v>0</v>
          </cell>
          <cell r="AC14">
            <v>0</v>
          </cell>
          <cell r="AD14">
            <v>0</v>
          </cell>
          <cell r="AE14">
            <v>0</v>
          </cell>
          <cell r="AF14">
            <v>0</v>
          </cell>
          <cell r="AG14">
            <v>0</v>
          </cell>
          <cell r="AH14">
            <v>0</v>
          </cell>
          <cell r="AI14">
            <v>0</v>
          </cell>
          <cell r="AJ14">
            <v>0</v>
          </cell>
          <cell r="AK14">
            <v>6246.1</v>
          </cell>
          <cell r="AL14">
            <v>480.58499999999998</v>
          </cell>
          <cell r="AM14">
            <v>4577</v>
          </cell>
          <cell r="AN14">
            <v>3000</v>
          </cell>
          <cell r="AO14">
            <v>0</v>
          </cell>
          <cell r="AP14">
            <v>2770</v>
          </cell>
        </row>
        <row r="15">
          <cell r="B15" t="str">
            <v xml:space="preserve"> NS03 </v>
          </cell>
          <cell r="C15" t="str">
            <v xml:space="preserve"> Nguyễn T. Hồng Anh </v>
          </cell>
          <cell r="D15" t="str">
            <v>Nhân viên hành chính/ HCNS NM</v>
          </cell>
          <cell r="E15">
            <v>40045</v>
          </cell>
          <cell r="F15">
            <v>2</v>
          </cell>
          <cell r="G15">
            <v>8</v>
          </cell>
          <cell r="H15">
            <v>7</v>
          </cell>
          <cell r="I15">
            <v>5</v>
          </cell>
          <cell r="J15">
            <v>8540</v>
          </cell>
          <cell r="K15">
            <v>0</v>
          </cell>
          <cell r="L15">
            <v>0</v>
          </cell>
          <cell r="M15">
            <v>683.2</v>
          </cell>
          <cell r="N15">
            <v>0</v>
          </cell>
          <cell r="O15">
            <v>0</v>
          </cell>
          <cell r="P15">
            <v>0</v>
          </cell>
          <cell r="Q15">
            <v>0</v>
          </cell>
          <cell r="R15">
            <v>0</v>
          </cell>
          <cell r="S15">
            <v>0</v>
          </cell>
          <cell r="T15">
            <v>0</v>
          </cell>
          <cell r="U15">
            <v>0</v>
          </cell>
          <cell r="V15">
            <v>9223.2000000000007</v>
          </cell>
          <cell r="W15">
            <v>22</v>
          </cell>
          <cell r="X15">
            <v>2</v>
          </cell>
          <cell r="Y15">
            <v>0</v>
          </cell>
          <cell r="Z15">
            <v>0</v>
          </cell>
          <cell r="AA15">
            <v>0</v>
          </cell>
          <cell r="AB15">
            <v>0</v>
          </cell>
          <cell r="AC15">
            <v>0</v>
          </cell>
          <cell r="AD15">
            <v>0</v>
          </cell>
          <cell r="AE15">
            <v>0</v>
          </cell>
          <cell r="AF15">
            <v>0</v>
          </cell>
          <cell r="AG15">
            <v>0</v>
          </cell>
          <cell r="AH15">
            <v>0</v>
          </cell>
          <cell r="AI15">
            <v>0</v>
          </cell>
          <cell r="AJ15">
            <v>0</v>
          </cell>
          <cell r="AK15">
            <v>9166.2666666666664</v>
          </cell>
          <cell r="AL15">
            <v>504</v>
          </cell>
          <cell r="AM15">
            <v>4800</v>
          </cell>
          <cell r="AN15">
            <v>0</v>
          </cell>
          <cell r="AO15">
            <v>0</v>
          </cell>
          <cell r="AP15">
            <v>8660</v>
          </cell>
        </row>
        <row r="16">
          <cell r="B16" t="str">
            <v xml:space="preserve"> NS07 </v>
          </cell>
          <cell r="C16" t="str">
            <v xml:space="preserve"> Đỗ Ngọc Thiên Thanh </v>
          </cell>
          <cell r="D16" t="str">
            <v>Nhân viên hành chính/ HCNS NM</v>
          </cell>
          <cell r="E16">
            <v>42842</v>
          </cell>
          <cell r="F16">
            <v>2</v>
          </cell>
          <cell r="G16">
            <v>0</v>
          </cell>
          <cell r="H16">
            <v>11</v>
          </cell>
          <cell r="I16">
            <v>8</v>
          </cell>
          <cell r="J16">
            <v>8540</v>
          </cell>
          <cell r="K16">
            <v>0</v>
          </cell>
          <cell r="L16">
            <v>0</v>
          </cell>
          <cell r="M16">
            <v>0</v>
          </cell>
          <cell r="N16">
            <v>0</v>
          </cell>
          <cell r="O16">
            <v>0</v>
          </cell>
          <cell r="P16">
            <v>0</v>
          </cell>
          <cell r="Q16">
            <v>0</v>
          </cell>
          <cell r="R16">
            <v>0</v>
          </cell>
          <cell r="S16">
            <v>0</v>
          </cell>
          <cell r="T16">
            <v>0</v>
          </cell>
          <cell r="U16">
            <v>0</v>
          </cell>
          <cell r="V16">
            <v>8540</v>
          </cell>
          <cell r="W16">
            <v>23</v>
          </cell>
          <cell r="X16">
            <v>1</v>
          </cell>
          <cell r="Y16">
            <v>0</v>
          </cell>
          <cell r="Z16">
            <v>0</v>
          </cell>
          <cell r="AA16">
            <v>0</v>
          </cell>
          <cell r="AB16">
            <v>0</v>
          </cell>
          <cell r="AC16">
            <v>0</v>
          </cell>
          <cell r="AD16">
            <v>0</v>
          </cell>
          <cell r="AE16">
            <v>0</v>
          </cell>
          <cell r="AF16">
            <v>0</v>
          </cell>
          <cell r="AG16">
            <v>0</v>
          </cell>
          <cell r="AH16">
            <v>0</v>
          </cell>
          <cell r="AI16">
            <v>0</v>
          </cell>
          <cell r="AJ16">
            <v>0</v>
          </cell>
          <cell r="AK16">
            <v>8540</v>
          </cell>
          <cell r="AL16">
            <v>504</v>
          </cell>
          <cell r="AM16">
            <v>4800</v>
          </cell>
          <cell r="AN16">
            <v>0</v>
          </cell>
          <cell r="AO16">
            <v>0</v>
          </cell>
          <cell r="AP16">
            <v>8040</v>
          </cell>
        </row>
        <row r="17">
          <cell r="B17" t="str">
            <v xml:space="preserve"> NS04 </v>
          </cell>
          <cell r="C17" t="str">
            <v xml:space="preserve"> Nguyễn Chu Thy </v>
          </cell>
          <cell r="D17" t="str">
            <v>Chuyên viên IT</v>
          </cell>
          <cell r="E17">
            <v>43101</v>
          </cell>
          <cell r="F17">
            <v>3</v>
          </cell>
          <cell r="G17">
            <v>0</v>
          </cell>
          <cell r="H17">
            <v>2</v>
          </cell>
          <cell r="I17">
            <v>24</v>
          </cell>
          <cell r="J17">
            <v>15890</v>
          </cell>
          <cell r="K17">
            <v>0</v>
          </cell>
          <cell r="L17">
            <v>1000</v>
          </cell>
          <cell r="M17">
            <v>0</v>
          </cell>
          <cell r="N17">
            <v>0</v>
          </cell>
          <cell r="O17">
            <v>200</v>
          </cell>
          <cell r="P17">
            <v>200</v>
          </cell>
          <cell r="Q17">
            <v>0</v>
          </cell>
          <cell r="R17">
            <v>0</v>
          </cell>
          <cell r="S17">
            <v>0</v>
          </cell>
          <cell r="T17">
            <v>0</v>
          </cell>
          <cell r="U17">
            <v>0</v>
          </cell>
          <cell r="V17">
            <v>17090</v>
          </cell>
          <cell r="W17">
            <v>24</v>
          </cell>
          <cell r="X17">
            <v>0</v>
          </cell>
          <cell r="Y17">
            <v>0</v>
          </cell>
          <cell r="Z17">
            <v>0</v>
          </cell>
          <cell r="AA17">
            <v>0</v>
          </cell>
          <cell r="AB17">
            <v>0</v>
          </cell>
          <cell r="AC17">
            <v>0</v>
          </cell>
          <cell r="AD17">
            <v>0</v>
          </cell>
          <cell r="AE17">
            <v>0</v>
          </cell>
          <cell r="AF17">
            <v>0</v>
          </cell>
          <cell r="AG17">
            <v>0</v>
          </cell>
          <cell r="AH17">
            <v>0</v>
          </cell>
          <cell r="AI17">
            <v>0</v>
          </cell>
          <cell r="AJ17">
            <v>0</v>
          </cell>
          <cell r="AK17">
            <v>17290</v>
          </cell>
          <cell r="AL17">
            <v>0</v>
          </cell>
          <cell r="AM17">
            <v>0</v>
          </cell>
          <cell r="AN17">
            <v>0</v>
          </cell>
          <cell r="AO17">
            <v>0</v>
          </cell>
          <cell r="AP17">
            <v>17290</v>
          </cell>
        </row>
        <row r="18">
          <cell r="B18" t="str">
            <v xml:space="preserve"> NS08 </v>
          </cell>
          <cell r="C18" t="str">
            <v>Trần Minh Xuân</v>
          </cell>
          <cell r="D18" t="str">
            <v>Chuyên viên IT</v>
          </cell>
          <cell r="E18">
            <v>43137</v>
          </cell>
          <cell r="F18">
            <v>6</v>
          </cell>
          <cell r="G18">
            <v>0</v>
          </cell>
          <cell r="H18">
            <v>1</v>
          </cell>
          <cell r="I18">
            <v>19</v>
          </cell>
          <cell r="J18">
            <v>22330</v>
          </cell>
          <cell r="K18">
            <v>0</v>
          </cell>
          <cell r="L18">
            <v>1000</v>
          </cell>
          <cell r="M18">
            <v>0</v>
          </cell>
          <cell r="N18">
            <v>0</v>
          </cell>
          <cell r="O18">
            <v>200</v>
          </cell>
          <cell r="P18">
            <v>200</v>
          </cell>
          <cell r="Q18">
            <v>0</v>
          </cell>
          <cell r="R18">
            <v>0</v>
          </cell>
          <cell r="S18">
            <v>0</v>
          </cell>
          <cell r="T18">
            <v>0</v>
          </cell>
          <cell r="U18">
            <v>6200</v>
          </cell>
          <cell r="V18">
            <v>29730</v>
          </cell>
          <cell r="W18">
            <v>24</v>
          </cell>
          <cell r="X18">
            <v>0</v>
          </cell>
          <cell r="Y18">
            <v>0</v>
          </cell>
          <cell r="Z18">
            <v>0</v>
          </cell>
          <cell r="AA18">
            <v>0</v>
          </cell>
          <cell r="AB18">
            <v>0</v>
          </cell>
          <cell r="AC18">
            <v>0</v>
          </cell>
          <cell r="AD18">
            <v>0</v>
          </cell>
          <cell r="AE18">
            <v>0</v>
          </cell>
          <cell r="AF18">
            <v>0</v>
          </cell>
          <cell r="AG18">
            <v>0</v>
          </cell>
          <cell r="AH18">
            <v>0</v>
          </cell>
          <cell r="AI18">
            <v>0</v>
          </cell>
          <cell r="AJ18">
            <v>0</v>
          </cell>
          <cell r="AK18">
            <v>29930</v>
          </cell>
          <cell r="AL18">
            <v>0</v>
          </cell>
          <cell r="AM18">
            <v>0</v>
          </cell>
          <cell r="AN18">
            <v>0</v>
          </cell>
          <cell r="AO18">
            <v>0</v>
          </cell>
          <cell r="AP18">
            <v>29930</v>
          </cell>
        </row>
        <row r="19">
          <cell r="B19" t="str">
            <v xml:space="preserve"> NS05 </v>
          </cell>
          <cell r="C19" t="str">
            <v xml:space="preserve"> Lê Nguyễn Triều Vương </v>
          </cell>
          <cell r="D19" t="str">
            <v>Nhân viên IT</v>
          </cell>
          <cell r="E19">
            <v>42644</v>
          </cell>
          <cell r="F19">
            <v>0</v>
          </cell>
          <cell r="G19">
            <v>1</v>
          </cell>
          <cell r="H19">
            <v>5</v>
          </cell>
          <cell r="I19">
            <v>24</v>
          </cell>
          <cell r="J19">
            <v>2500</v>
          </cell>
          <cell r="K19">
            <v>0</v>
          </cell>
          <cell r="L19">
            <v>0</v>
          </cell>
          <cell r="M19">
            <v>0</v>
          </cell>
          <cell r="N19">
            <v>0</v>
          </cell>
          <cell r="O19">
            <v>0</v>
          </cell>
          <cell r="P19">
            <v>0</v>
          </cell>
          <cell r="Q19">
            <v>0</v>
          </cell>
          <cell r="R19">
            <v>0</v>
          </cell>
          <cell r="S19">
            <v>0</v>
          </cell>
          <cell r="T19">
            <v>0</v>
          </cell>
          <cell r="U19">
            <v>0</v>
          </cell>
          <cell r="V19">
            <v>2500</v>
          </cell>
          <cell r="W19">
            <v>23</v>
          </cell>
          <cell r="X19">
            <v>0</v>
          </cell>
          <cell r="Y19">
            <v>0</v>
          </cell>
          <cell r="Z19">
            <v>0</v>
          </cell>
          <cell r="AA19">
            <v>0</v>
          </cell>
          <cell r="AB19">
            <v>0</v>
          </cell>
          <cell r="AC19">
            <v>0</v>
          </cell>
          <cell r="AD19">
            <v>0</v>
          </cell>
          <cell r="AE19">
            <v>0</v>
          </cell>
          <cell r="AF19">
            <v>0</v>
          </cell>
          <cell r="AG19">
            <v>0</v>
          </cell>
          <cell r="AH19">
            <v>0</v>
          </cell>
          <cell r="AI19">
            <v>0</v>
          </cell>
          <cell r="AJ19">
            <v>0</v>
          </cell>
          <cell r="AK19">
            <v>2395.8333333333335</v>
          </cell>
          <cell r="AL19">
            <v>0</v>
          </cell>
          <cell r="AM19">
            <v>0</v>
          </cell>
          <cell r="AN19">
            <v>0</v>
          </cell>
          <cell r="AO19">
            <v>0</v>
          </cell>
          <cell r="AP19">
            <v>2400</v>
          </cell>
        </row>
        <row r="20">
          <cell r="B20" t="str">
            <v>NS06</v>
          </cell>
          <cell r="C20" t="str">
            <v>Nguyễn Đức Cường</v>
          </cell>
          <cell r="D20" t="str">
            <v>Tài xế</v>
          </cell>
          <cell r="E20">
            <v>43040</v>
          </cell>
          <cell r="F20">
            <v>5</v>
          </cell>
          <cell r="G20">
            <v>0</v>
          </cell>
          <cell r="H20">
            <v>4</v>
          </cell>
          <cell r="I20">
            <v>24</v>
          </cell>
          <cell r="J20">
            <v>6340</v>
          </cell>
          <cell r="K20">
            <v>0</v>
          </cell>
          <cell r="L20">
            <v>0</v>
          </cell>
          <cell r="M20">
            <v>0</v>
          </cell>
          <cell r="N20">
            <v>0</v>
          </cell>
          <cell r="O20">
            <v>0</v>
          </cell>
          <cell r="P20">
            <v>0</v>
          </cell>
          <cell r="Q20">
            <v>0</v>
          </cell>
          <cell r="R20">
            <v>0</v>
          </cell>
          <cell r="S20">
            <v>0</v>
          </cell>
          <cell r="T20">
            <v>0</v>
          </cell>
          <cell r="U20">
            <v>2660</v>
          </cell>
          <cell r="V20">
            <v>9000</v>
          </cell>
          <cell r="W20">
            <v>24</v>
          </cell>
          <cell r="X20">
            <v>0</v>
          </cell>
          <cell r="Y20">
            <v>0</v>
          </cell>
          <cell r="Z20">
            <v>0</v>
          </cell>
          <cell r="AA20">
            <v>0</v>
          </cell>
          <cell r="AB20">
            <v>0</v>
          </cell>
          <cell r="AC20">
            <v>0</v>
          </cell>
          <cell r="AD20">
            <v>0</v>
          </cell>
          <cell r="AE20">
            <v>0</v>
          </cell>
          <cell r="AF20">
            <v>0</v>
          </cell>
          <cell r="AG20">
            <v>0</v>
          </cell>
          <cell r="AH20">
            <v>0</v>
          </cell>
          <cell r="AI20">
            <v>0</v>
          </cell>
          <cell r="AJ20">
            <v>0</v>
          </cell>
          <cell r="AK20">
            <v>9000</v>
          </cell>
          <cell r="AL20">
            <v>0</v>
          </cell>
          <cell r="AM20">
            <v>0</v>
          </cell>
          <cell r="AN20">
            <v>3000</v>
          </cell>
          <cell r="AO20">
            <v>0</v>
          </cell>
          <cell r="AP20">
            <v>6000</v>
          </cell>
        </row>
        <row r="21">
          <cell r="B21" t="str">
            <v xml:space="preserve"> KDS1 </v>
          </cell>
          <cell r="C21" t="str">
            <v xml:space="preserve"> Nguyễn Tuấn Anh </v>
          </cell>
          <cell r="D21" t="str">
            <v>Tài xế</v>
          </cell>
          <cell r="E21">
            <v>41061</v>
          </cell>
          <cell r="F21">
            <v>5</v>
          </cell>
          <cell r="G21">
            <v>5</v>
          </cell>
          <cell r="H21">
            <v>9</v>
          </cell>
          <cell r="I21">
            <v>24</v>
          </cell>
          <cell r="J21">
            <v>6340</v>
          </cell>
          <cell r="K21">
            <v>0</v>
          </cell>
          <cell r="L21">
            <v>0</v>
          </cell>
          <cell r="M21">
            <v>317</v>
          </cell>
          <cell r="N21">
            <v>0</v>
          </cell>
          <cell r="O21">
            <v>0</v>
          </cell>
          <cell r="P21">
            <v>0</v>
          </cell>
          <cell r="Q21">
            <v>0</v>
          </cell>
          <cell r="R21">
            <v>0</v>
          </cell>
          <cell r="S21">
            <v>0</v>
          </cell>
          <cell r="T21">
            <v>0</v>
          </cell>
          <cell r="U21">
            <v>2660</v>
          </cell>
          <cell r="V21">
            <v>9317</v>
          </cell>
          <cell r="W21">
            <v>24</v>
          </cell>
          <cell r="X21">
            <v>0</v>
          </cell>
          <cell r="Y21">
            <v>0</v>
          </cell>
          <cell r="Z21">
            <v>0</v>
          </cell>
          <cell r="AA21">
            <v>0</v>
          </cell>
          <cell r="AB21">
            <v>0</v>
          </cell>
          <cell r="AC21">
            <v>0</v>
          </cell>
          <cell r="AD21">
            <v>0</v>
          </cell>
          <cell r="AE21">
            <v>0</v>
          </cell>
          <cell r="AF21">
            <v>0</v>
          </cell>
          <cell r="AG21">
            <v>0</v>
          </cell>
          <cell r="AH21">
            <v>0</v>
          </cell>
          <cell r="AI21">
            <v>0</v>
          </cell>
          <cell r="AJ21">
            <v>0</v>
          </cell>
          <cell r="AK21">
            <v>9317</v>
          </cell>
          <cell r="AL21">
            <v>535.5</v>
          </cell>
          <cell r="AM21">
            <v>5100</v>
          </cell>
          <cell r="AN21">
            <v>0</v>
          </cell>
          <cell r="AO21">
            <v>0</v>
          </cell>
          <cell r="AP21">
            <v>8780</v>
          </cell>
        </row>
        <row r="22">
          <cell r="B22" t="str">
            <v>NS09</v>
          </cell>
          <cell r="C22" t="str">
            <v>Cao Thị Minh Thoa</v>
          </cell>
          <cell r="D22" t="str">
            <v>Nhân viên hành chính/ HCNS NM</v>
          </cell>
          <cell r="E22">
            <v>42983</v>
          </cell>
          <cell r="F22">
            <v>2</v>
          </cell>
          <cell r="G22">
            <v>0</v>
          </cell>
          <cell r="H22">
            <v>6</v>
          </cell>
          <cell r="I22">
            <v>20</v>
          </cell>
          <cell r="J22">
            <v>8540</v>
          </cell>
          <cell r="K22">
            <v>0</v>
          </cell>
          <cell r="L22">
            <v>0</v>
          </cell>
          <cell r="M22">
            <v>0</v>
          </cell>
          <cell r="N22">
            <v>0</v>
          </cell>
          <cell r="O22">
            <v>0</v>
          </cell>
          <cell r="P22">
            <v>0</v>
          </cell>
          <cell r="Q22">
            <v>0</v>
          </cell>
          <cell r="R22">
            <v>0</v>
          </cell>
          <cell r="S22">
            <v>0</v>
          </cell>
          <cell r="T22">
            <v>0</v>
          </cell>
          <cell r="U22">
            <v>0</v>
          </cell>
          <cell r="V22">
            <v>8540</v>
          </cell>
          <cell r="W22">
            <v>21</v>
          </cell>
          <cell r="X22">
            <v>0</v>
          </cell>
          <cell r="Y22">
            <v>0</v>
          </cell>
          <cell r="Z22">
            <v>0</v>
          </cell>
          <cell r="AA22">
            <v>0</v>
          </cell>
          <cell r="AB22">
            <v>0</v>
          </cell>
          <cell r="AC22">
            <v>0</v>
          </cell>
          <cell r="AD22">
            <v>0</v>
          </cell>
          <cell r="AE22">
            <v>0</v>
          </cell>
          <cell r="AF22">
            <v>0</v>
          </cell>
          <cell r="AG22">
            <v>0</v>
          </cell>
          <cell r="AH22">
            <v>0</v>
          </cell>
          <cell r="AI22">
            <v>0</v>
          </cell>
          <cell r="AJ22">
            <v>0</v>
          </cell>
          <cell r="AK22">
            <v>7472.5</v>
          </cell>
          <cell r="AL22">
            <v>0</v>
          </cell>
          <cell r="AM22">
            <v>0</v>
          </cell>
          <cell r="AN22">
            <v>2000</v>
          </cell>
          <cell r="AO22">
            <v>0</v>
          </cell>
          <cell r="AP22">
            <v>5470</v>
          </cell>
        </row>
        <row r="23">
          <cell r="B23">
            <v>0</v>
          </cell>
          <cell r="C23" t="str">
            <v>Ban KSNB - NB</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53785.1</v>
          </cell>
          <cell r="AL23">
            <v>525</v>
          </cell>
          <cell r="AM23">
            <v>5000</v>
          </cell>
          <cell r="AN23">
            <v>0</v>
          </cell>
          <cell r="AO23">
            <v>0</v>
          </cell>
          <cell r="AP23">
            <v>53270</v>
          </cell>
        </row>
        <row r="24">
          <cell r="B24" t="str">
            <v xml:space="preserve"> ĐMCC01 </v>
          </cell>
          <cell r="C24" t="str">
            <v xml:space="preserve"> Hoàng Giáng Sinh </v>
          </cell>
          <cell r="D24" t="str">
            <v>TRƯỞNG BAN ĐMCC</v>
          </cell>
          <cell r="E24">
            <v>41944</v>
          </cell>
          <cell r="F24">
            <v>3</v>
          </cell>
          <cell r="G24">
            <v>3</v>
          </cell>
          <cell r="H24">
            <v>4</v>
          </cell>
          <cell r="I24">
            <v>24</v>
          </cell>
          <cell r="J24">
            <v>36170</v>
          </cell>
          <cell r="K24">
            <v>0</v>
          </cell>
          <cell r="L24">
            <v>3000</v>
          </cell>
          <cell r="M24">
            <v>1085.0999999999999</v>
          </cell>
          <cell r="N24">
            <v>0</v>
          </cell>
          <cell r="O24">
            <v>1000</v>
          </cell>
          <cell r="P24">
            <v>1000</v>
          </cell>
          <cell r="Q24">
            <v>0</v>
          </cell>
          <cell r="R24">
            <v>0</v>
          </cell>
          <cell r="S24">
            <v>0</v>
          </cell>
          <cell r="T24">
            <v>0</v>
          </cell>
          <cell r="U24">
            <v>0</v>
          </cell>
          <cell r="V24">
            <v>41255.1</v>
          </cell>
          <cell r="W24">
            <v>24</v>
          </cell>
          <cell r="X24">
            <v>0</v>
          </cell>
          <cell r="Y24">
            <v>0</v>
          </cell>
          <cell r="Z24">
            <v>0</v>
          </cell>
          <cell r="AA24">
            <v>0</v>
          </cell>
          <cell r="AB24">
            <v>0</v>
          </cell>
          <cell r="AC24">
            <v>0</v>
          </cell>
          <cell r="AD24">
            <v>0</v>
          </cell>
          <cell r="AE24">
            <v>0</v>
          </cell>
          <cell r="AF24">
            <v>0</v>
          </cell>
          <cell r="AG24">
            <v>0</v>
          </cell>
          <cell r="AH24">
            <v>0</v>
          </cell>
          <cell r="AI24">
            <v>0</v>
          </cell>
          <cell r="AJ24">
            <v>0</v>
          </cell>
          <cell r="AK24">
            <v>42255.1</v>
          </cell>
          <cell r="AL24">
            <v>0</v>
          </cell>
          <cell r="AM24">
            <v>0</v>
          </cell>
          <cell r="AN24">
            <v>0</v>
          </cell>
          <cell r="AO24">
            <v>0</v>
          </cell>
          <cell r="AP24">
            <v>42260</v>
          </cell>
        </row>
        <row r="25">
          <cell r="B25" t="str">
            <v xml:space="preserve"> NB02 </v>
          </cell>
          <cell r="C25" t="str">
            <v xml:space="preserve"> Nguyễn Trinh Nguyên </v>
          </cell>
          <cell r="D25" t="str">
            <v>Chuyên viên pháp chế</v>
          </cell>
          <cell r="E25">
            <v>42555</v>
          </cell>
          <cell r="F25">
            <v>1</v>
          </cell>
          <cell r="G25">
            <v>1</v>
          </cell>
          <cell r="H25">
            <v>8</v>
          </cell>
          <cell r="I25">
            <v>21</v>
          </cell>
          <cell r="J25">
            <v>11430</v>
          </cell>
          <cell r="K25">
            <v>0</v>
          </cell>
          <cell r="L25">
            <v>0</v>
          </cell>
          <cell r="M25">
            <v>0</v>
          </cell>
          <cell r="N25">
            <v>0</v>
          </cell>
          <cell r="O25">
            <v>0</v>
          </cell>
          <cell r="P25">
            <v>100</v>
          </cell>
          <cell r="Q25">
            <v>0</v>
          </cell>
          <cell r="R25">
            <v>0</v>
          </cell>
          <cell r="S25">
            <v>0</v>
          </cell>
          <cell r="T25">
            <v>0</v>
          </cell>
          <cell r="U25">
            <v>0</v>
          </cell>
          <cell r="V25">
            <v>11430</v>
          </cell>
          <cell r="W25">
            <v>24</v>
          </cell>
          <cell r="X25">
            <v>0</v>
          </cell>
          <cell r="Y25">
            <v>0</v>
          </cell>
          <cell r="Z25">
            <v>0</v>
          </cell>
          <cell r="AA25">
            <v>0</v>
          </cell>
          <cell r="AB25">
            <v>0</v>
          </cell>
          <cell r="AC25">
            <v>0</v>
          </cell>
          <cell r="AD25">
            <v>0</v>
          </cell>
          <cell r="AE25">
            <v>0</v>
          </cell>
          <cell r="AF25">
            <v>0</v>
          </cell>
          <cell r="AG25">
            <v>0</v>
          </cell>
          <cell r="AH25">
            <v>0</v>
          </cell>
          <cell r="AI25">
            <v>0</v>
          </cell>
          <cell r="AJ25">
            <v>0</v>
          </cell>
          <cell r="AK25">
            <v>11530</v>
          </cell>
          <cell r="AL25">
            <v>525</v>
          </cell>
          <cell r="AM25">
            <v>5000</v>
          </cell>
          <cell r="AN25">
            <v>0</v>
          </cell>
          <cell r="AO25">
            <v>0</v>
          </cell>
          <cell r="AP25">
            <v>11010</v>
          </cell>
        </row>
        <row r="26">
          <cell r="B26">
            <v>0</v>
          </cell>
          <cell r="C26" t="str">
            <v>Phòng TCKT - KT</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124422.2</v>
          </cell>
          <cell r="AL26">
            <v>2016</v>
          </cell>
          <cell r="AM26">
            <v>27500</v>
          </cell>
          <cell r="AN26">
            <v>4000</v>
          </cell>
          <cell r="AO26">
            <v>0</v>
          </cell>
          <cell r="AP26">
            <v>118410</v>
          </cell>
        </row>
        <row r="27">
          <cell r="B27" t="str">
            <v xml:space="preserve"> KT07 </v>
          </cell>
          <cell r="C27" t="str">
            <v xml:space="preserve"> Nguyễn Văn Bảy </v>
          </cell>
          <cell r="D27" t="str">
            <v>GIÁM ĐỐC TCKT</v>
          </cell>
          <cell r="E27">
            <v>41852</v>
          </cell>
          <cell r="F27">
            <v>3</v>
          </cell>
          <cell r="G27">
            <v>3</v>
          </cell>
          <cell r="H27">
            <v>7</v>
          </cell>
          <cell r="I27">
            <v>24</v>
          </cell>
          <cell r="J27">
            <v>36680</v>
          </cell>
          <cell r="K27">
            <v>0</v>
          </cell>
          <cell r="L27">
            <v>3000</v>
          </cell>
          <cell r="M27">
            <v>1100.3999999999999</v>
          </cell>
          <cell r="N27">
            <v>0</v>
          </cell>
          <cell r="O27">
            <v>1000</v>
          </cell>
          <cell r="P27">
            <v>1000</v>
          </cell>
          <cell r="Q27">
            <v>0</v>
          </cell>
          <cell r="R27">
            <v>0</v>
          </cell>
          <cell r="S27">
            <v>0</v>
          </cell>
          <cell r="T27">
            <v>0</v>
          </cell>
          <cell r="U27">
            <v>0</v>
          </cell>
          <cell r="V27">
            <v>41780.400000000001</v>
          </cell>
          <cell r="W27">
            <v>24</v>
          </cell>
          <cell r="X27">
            <v>0</v>
          </cell>
          <cell r="Y27">
            <v>0</v>
          </cell>
          <cell r="Z27">
            <v>0</v>
          </cell>
          <cell r="AA27">
            <v>0</v>
          </cell>
          <cell r="AB27">
            <v>0</v>
          </cell>
          <cell r="AC27">
            <v>0</v>
          </cell>
          <cell r="AD27">
            <v>0</v>
          </cell>
          <cell r="AE27">
            <v>0</v>
          </cell>
          <cell r="AF27">
            <v>0</v>
          </cell>
          <cell r="AG27">
            <v>0</v>
          </cell>
          <cell r="AH27">
            <v>0</v>
          </cell>
          <cell r="AI27">
            <v>0</v>
          </cell>
          <cell r="AJ27">
            <v>0</v>
          </cell>
          <cell r="AK27">
            <v>42780.4</v>
          </cell>
          <cell r="AL27">
            <v>0</v>
          </cell>
          <cell r="AM27">
            <v>8300</v>
          </cell>
          <cell r="AN27">
            <v>0</v>
          </cell>
          <cell r="AO27">
            <v>0</v>
          </cell>
          <cell r="AP27">
            <v>42780</v>
          </cell>
        </row>
        <row r="28">
          <cell r="B28" t="str">
            <v xml:space="preserve"> KT02 </v>
          </cell>
          <cell r="C28" t="str">
            <v xml:space="preserve"> Ninh Phương Hạnh </v>
          </cell>
          <cell r="D28" t="str">
            <v>Thủ quỹ</v>
          </cell>
          <cell r="E28">
            <v>40239</v>
          </cell>
          <cell r="F28">
            <v>3</v>
          </cell>
          <cell r="G28">
            <v>8</v>
          </cell>
          <cell r="H28">
            <v>0</v>
          </cell>
          <cell r="I28">
            <v>23</v>
          </cell>
          <cell r="J28">
            <v>8510</v>
          </cell>
          <cell r="K28">
            <v>0</v>
          </cell>
          <cell r="L28">
            <v>2000</v>
          </cell>
          <cell r="M28">
            <v>680.80000000000007</v>
          </cell>
          <cell r="N28">
            <v>0</v>
          </cell>
          <cell r="O28">
            <v>0</v>
          </cell>
          <cell r="P28">
            <v>0</v>
          </cell>
          <cell r="Q28">
            <v>0</v>
          </cell>
          <cell r="R28">
            <v>0</v>
          </cell>
          <cell r="S28">
            <v>0</v>
          </cell>
          <cell r="T28">
            <v>0</v>
          </cell>
          <cell r="U28">
            <v>0</v>
          </cell>
          <cell r="V28">
            <v>11190.8</v>
          </cell>
          <cell r="W28">
            <v>24</v>
          </cell>
          <cell r="X28">
            <v>0</v>
          </cell>
          <cell r="Y28">
            <v>0</v>
          </cell>
          <cell r="Z28">
            <v>0</v>
          </cell>
          <cell r="AA28">
            <v>0</v>
          </cell>
          <cell r="AB28">
            <v>0</v>
          </cell>
          <cell r="AC28">
            <v>0</v>
          </cell>
          <cell r="AD28">
            <v>0</v>
          </cell>
          <cell r="AE28">
            <v>0</v>
          </cell>
          <cell r="AF28">
            <v>0</v>
          </cell>
          <cell r="AG28">
            <v>0</v>
          </cell>
          <cell r="AH28">
            <v>0</v>
          </cell>
          <cell r="AI28">
            <v>0</v>
          </cell>
          <cell r="AJ28">
            <v>0</v>
          </cell>
          <cell r="AK28">
            <v>11190.8</v>
          </cell>
          <cell r="AL28">
            <v>504</v>
          </cell>
          <cell r="AM28">
            <v>4800</v>
          </cell>
          <cell r="AN28">
            <v>0</v>
          </cell>
          <cell r="AO28">
            <v>0</v>
          </cell>
          <cell r="AP28">
            <v>10690</v>
          </cell>
        </row>
        <row r="29">
          <cell r="B29" t="str">
            <v xml:space="preserve"> KT03 </v>
          </cell>
          <cell r="C29" t="str">
            <v xml:space="preserve"> Nguyễn Thái Ngân  </v>
          </cell>
          <cell r="D29" t="str">
            <v xml:space="preserve"> Kế toán nội bộ</v>
          </cell>
          <cell r="E29">
            <v>42187</v>
          </cell>
          <cell r="F29">
            <v>2</v>
          </cell>
          <cell r="G29">
            <v>2</v>
          </cell>
          <cell r="H29">
            <v>8</v>
          </cell>
          <cell r="I29">
            <v>23</v>
          </cell>
          <cell r="J29">
            <v>8280</v>
          </cell>
          <cell r="K29">
            <v>0</v>
          </cell>
          <cell r="L29">
            <v>0</v>
          </cell>
          <cell r="M29">
            <v>0</v>
          </cell>
          <cell r="N29">
            <v>0</v>
          </cell>
          <cell r="O29">
            <v>0</v>
          </cell>
          <cell r="P29">
            <v>200</v>
          </cell>
          <cell r="Q29">
            <v>0</v>
          </cell>
          <cell r="R29">
            <v>3516</v>
          </cell>
          <cell r="S29">
            <v>0</v>
          </cell>
          <cell r="T29">
            <v>0</v>
          </cell>
          <cell r="U29">
            <v>0</v>
          </cell>
          <cell r="V29">
            <v>11796</v>
          </cell>
          <cell r="W29">
            <v>24</v>
          </cell>
          <cell r="X29">
            <v>0</v>
          </cell>
          <cell r="Y29">
            <v>0</v>
          </cell>
          <cell r="Z29">
            <v>0</v>
          </cell>
          <cell r="AA29">
            <v>0</v>
          </cell>
          <cell r="AB29">
            <v>0</v>
          </cell>
          <cell r="AC29">
            <v>0</v>
          </cell>
          <cell r="AD29">
            <v>0</v>
          </cell>
          <cell r="AE29">
            <v>0</v>
          </cell>
          <cell r="AF29">
            <v>0</v>
          </cell>
          <cell r="AG29">
            <v>0</v>
          </cell>
          <cell r="AH29">
            <v>0</v>
          </cell>
          <cell r="AI29">
            <v>0</v>
          </cell>
          <cell r="AJ29">
            <v>0</v>
          </cell>
          <cell r="AK29">
            <v>11996</v>
          </cell>
          <cell r="AL29">
            <v>504</v>
          </cell>
          <cell r="AM29">
            <v>4800</v>
          </cell>
          <cell r="AN29">
            <v>0</v>
          </cell>
          <cell r="AO29">
            <v>0</v>
          </cell>
          <cell r="AP29">
            <v>11490</v>
          </cell>
        </row>
        <row r="30">
          <cell r="B30" t="str">
            <v xml:space="preserve"> KT05 </v>
          </cell>
          <cell r="C30" t="str">
            <v xml:space="preserve"> Từ Thị Hoàng Oanh </v>
          </cell>
          <cell r="D30" t="str">
            <v xml:space="preserve"> Kế toán nội bộ</v>
          </cell>
          <cell r="E30">
            <v>42537</v>
          </cell>
          <cell r="F30">
            <v>2</v>
          </cell>
          <cell r="G30">
            <v>1</v>
          </cell>
          <cell r="H30">
            <v>9</v>
          </cell>
          <cell r="I30">
            <v>9</v>
          </cell>
          <cell r="J30">
            <v>8280</v>
          </cell>
          <cell r="K30">
            <v>0</v>
          </cell>
          <cell r="L30">
            <v>0</v>
          </cell>
          <cell r="M30">
            <v>0</v>
          </cell>
          <cell r="N30">
            <v>0</v>
          </cell>
          <cell r="O30">
            <v>0</v>
          </cell>
          <cell r="P30">
            <v>0</v>
          </cell>
          <cell r="Q30">
            <v>0</v>
          </cell>
          <cell r="R30">
            <v>0</v>
          </cell>
          <cell r="S30">
            <v>0</v>
          </cell>
          <cell r="T30">
            <v>0</v>
          </cell>
          <cell r="U30">
            <v>0</v>
          </cell>
          <cell r="V30">
            <v>8280</v>
          </cell>
          <cell r="W30">
            <v>22</v>
          </cell>
          <cell r="X30">
            <v>2</v>
          </cell>
          <cell r="Y30">
            <v>0</v>
          </cell>
          <cell r="Z30">
            <v>0</v>
          </cell>
          <cell r="AA30">
            <v>0</v>
          </cell>
          <cell r="AB30">
            <v>0</v>
          </cell>
          <cell r="AC30">
            <v>0</v>
          </cell>
          <cell r="AD30">
            <v>0</v>
          </cell>
          <cell r="AE30">
            <v>0</v>
          </cell>
          <cell r="AF30">
            <v>0</v>
          </cell>
          <cell r="AG30">
            <v>0</v>
          </cell>
          <cell r="AH30">
            <v>0</v>
          </cell>
          <cell r="AI30">
            <v>0</v>
          </cell>
          <cell r="AJ30">
            <v>0</v>
          </cell>
          <cell r="AK30">
            <v>8280</v>
          </cell>
          <cell r="AL30">
            <v>504</v>
          </cell>
          <cell r="AM30">
            <v>4800</v>
          </cell>
          <cell r="AN30">
            <v>0</v>
          </cell>
          <cell r="AO30">
            <v>0</v>
          </cell>
          <cell r="AP30">
            <v>7780</v>
          </cell>
        </row>
        <row r="31">
          <cell r="B31" t="str">
            <v xml:space="preserve"> KT08 </v>
          </cell>
          <cell r="C31" t="str">
            <v xml:space="preserve"> Kiều Thị Thủy Tiên </v>
          </cell>
          <cell r="D31" t="str">
            <v>Kế toán quản lý thuế</v>
          </cell>
          <cell r="E31">
            <v>42795</v>
          </cell>
          <cell r="F31">
            <v>2</v>
          </cell>
          <cell r="G31">
            <v>1</v>
          </cell>
          <cell r="H31">
            <v>0</v>
          </cell>
          <cell r="I31">
            <v>24</v>
          </cell>
          <cell r="J31">
            <v>12950</v>
          </cell>
          <cell r="K31">
            <v>0</v>
          </cell>
          <cell r="L31">
            <v>0</v>
          </cell>
          <cell r="M31">
            <v>0</v>
          </cell>
          <cell r="N31">
            <v>0</v>
          </cell>
          <cell r="O31">
            <v>0</v>
          </cell>
          <cell r="P31">
            <v>0</v>
          </cell>
          <cell r="Q31">
            <v>0</v>
          </cell>
          <cell r="R31">
            <v>0</v>
          </cell>
          <cell r="S31">
            <v>0</v>
          </cell>
          <cell r="T31">
            <v>0</v>
          </cell>
          <cell r="U31">
            <v>0</v>
          </cell>
          <cell r="V31">
            <v>12950</v>
          </cell>
          <cell r="W31">
            <v>22</v>
          </cell>
          <cell r="X31">
            <v>2</v>
          </cell>
          <cell r="Y31">
            <v>0</v>
          </cell>
          <cell r="Z31">
            <v>0</v>
          </cell>
          <cell r="AA31">
            <v>0</v>
          </cell>
          <cell r="AB31">
            <v>0</v>
          </cell>
          <cell r="AC31">
            <v>0</v>
          </cell>
          <cell r="AD31">
            <v>0</v>
          </cell>
          <cell r="AE31">
            <v>0</v>
          </cell>
          <cell r="AF31">
            <v>0</v>
          </cell>
          <cell r="AG31">
            <v>0</v>
          </cell>
          <cell r="AH31">
            <v>0</v>
          </cell>
          <cell r="AI31">
            <v>0</v>
          </cell>
          <cell r="AJ31">
            <v>0</v>
          </cell>
          <cell r="AK31">
            <v>12950</v>
          </cell>
          <cell r="AL31">
            <v>0</v>
          </cell>
          <cell r="AM31">
            <v>0</v>
          </cell>
          <cell r="AN31">
            <v>4000</v>
          </cell>
          <cell r="AO31">
            <v>0</v>
          </cell>
          <cell r="AP31">
            <v>8950</v>
          </cell>
        </row>
        <row r="32">
          <cell r="B32" t="str">
            <v xml:space="preserve"> KT09 </v>
          </cell>
          <cell r="C32" t="str">
            <v xml:space="preserve"> Huỳnh Ngọc Giang </v>
          </cell>
          <cell r="D32" t="str">
            <v>Kế toán quản trị</v>
          </cell>
          <cell r="E32">
            <v>42809</v>
          </cell>
          <cell r="F32">
            <v>3</v>
          </cell>
          <cell r="G32">
            <v>1</v>
          </cell>
          <cell r="H32">
            <v>0</v>
          </cell>
          <cell r="I32">
            <v>10</v>
          </cell>
          <cell r="J32">
            <v>15280</v>
          </cell>
          <cell r="K32">
            <v>0</v>
          </cell>
          <cell r="L32">
            <v>0</v>
          </cell>
          <cell r="M32">
            <v>0</v>
          </cell>
          <cell r="N32">
            <v>0</v>
          </cell>
          <cell r="O32">
            <v>200</v>
          </cell>
          <cell r="P32">
            <v>0</v>
          </cell>
          <cell r="Q32">
            <v>0</v>
          </cell>
          <cell r="R32">
            <v>0</v>
          </cell>
          <cell r="S32">
            <v>0</v>
          </cell>
          <cell r="T32">
            <v>0</v>
          </cell>
          <cell r="U32">
            <v>0</v>
          </cell>
          <cell r="V32">
            <v>15480</v>
          </cell>
          <cell r="W32">
            <v>22</v>
          </cell>
          <cell r="X32">
            <v>2</v>
          </cell>
          <cell r="Y32">
            <v>0</v>
          </cell>
          <cell r="Z32">
            <v>0</v>
          </cell>
          <cell r="AA32">
            <v>0</v>
          </cell>
          <cell r="AB32">
            <v>0</v>
          </cell>
          <cell r="AC32">
            <v>0</v>
          </cell>
          <cell r="AD32">
            <v>0</v>
          </cell>
          <cell r="AE32">
            <v>0</v>
          </cell>
          <cell r="AF32">
            <v>0</v>
          </cell>
          <cell r="AG32">
            <v>0</v>
          </cell>
          <cell r="AH32">
            <v>0</v>
          </cell>
          <cell r="AI32">
            <v>0</v>
          </cell>
          <cell r="AJ32">
            <v>0</v>
          </cell>
          <cell r="AK32">
            <v>15463.333333333334</v>
          </cell>
          <cell r="AL32">
            <v>504</v>
          </cell>
          <cell r="AM32">
            <v>4800</v>
          </cell>
          <cell r="AN32">
            <v>0</v>
          </cell>
          <cell r="AO32">
            <v>0</v>
          </cell>
          <cell r="AP32">
            <v>14960</v>
          </cell>
        </row>
        <row r="33">
          <cell r="B33" t="str">
            <v xml:space="preserve"> KT10 </v>
          </cell>
          <cell r="C33" t="str">
            <v xml:space="preserve"> Nguyễn Anh Phương </v>
          </cell>
          <cell r="D33" t="str">
            <v>Chuyên viên tài chính</v>
          </cell>
          <cell r="E33">
            <v>42968</v>
          </cell>
          <cell r="F33">
            <v>1</v>
          </cell>
          <cell r="G33">
            <v>0</v>
          </cell>
          <cell r="H33">
            <v>7</v>
          </cell>
          <cell r="I33">
            <v>4</v>
          </cell>
          <cell r="J33">
            <v>13840</v>
          </cell>
          <cell r="K33">
            <v>0</v>
          </cell>
          <cell r="L33">
            <v>0</v>
          </cell>
          <cell r="M33">
            <v>0</v>
          </cell>
          <cell r="N33">
            <v>0</v>
          </cell>
          <cell r="O33">
            <v>200</v>
          </cell>
          <cell r="P33">
            <v>200</v>
          </cell>
          <cell r="Q33">
            <v>0</v>
          </cell>
          <cell r="R33">
            <v>0</v>
          </cell>
          <cell r="S33">
            <v>0</v>
          </cell>
          <cell r="T33">
            <v>0</v>
          </cell>
          <cell r="U33">
            <v>0</v>
          </cell>
          <cell r="V33">
            <v>14040</v>
          </cell>
          <cell r="W33">
            <v>23</v>
          </cell>
          <cell r="X33">
            <v>1</v>
          </cell>
          <cell r="Y33">
            <v>0</v>
          </cell>
          <cell r="Z33">
            <v>0</v>
          </cell>
          <cell r="AA33">
            <v>0</v>
          </cell>
          <cell r="AB33">
            <v>0</v>
          </cell>
          <cell r="AC33">
            <v>0</v>
          </cell>
          <cell r="AD33">
            <v>0</v>
          </cell>
          <cell r="AE33">
            <v>0</v>
          </cell>
          <cell r="AF33">
            <v>0</v>
          </cell>
          <cell r="AG33">
            <v>0</v>
          </cell>
          <cell r="AH33">
            <v>0</v>
          </cell>
          <cell r="AI33">
            <v>0</v>
          </cell>
          <cell r="AJ33">
            <v>0</v>
          </cell>
          <cell r="AK33">
            <v>14231.666666666666</v>
          </cell>
          <cell r="AL33">
            <v>0</v>
          </cell>
          <cell r="AM33">
            <v>0</v>
          </cell>
          <cell r="AN33">
            <v>0</v>
          </cell>
          <cell r="AO33">
            <v>0</v>
          </cell>
          <cell r="AP33">
            <v>14230</v>
          </cell>
        </row>
        <row r="34">
          <cell r="B34" t="str">
            <v xml:space="preserve"> KT11</v>
          </cell>
          <cell r="C34" t="str">
            <v>Nguyễn Thị Phượng Nhi</v>
          </cell>
          <cell r="D34" t="str">
            <v xml:space="preserve"> Kế toán nội bộ</v>
          </cell>
          <cell r="E34">
            <v>43070</v>
          </cell>
          <cell r="F34">
            <v>1</v>
          </cell>
          <cell r="G34">
            <v>0</v>
          </cell>
          <cell r="H34">
            <v>3</v>
          </cell>
          <cell r="I34">
            <v>24</v>
          </cell>
          <cell r="J34">
            <v>7530</v>
          </cell>
          <cell r="K34">
            <v>0</v>
          </cell>
          <cell r="L34">
            <v>0</v>
          </cell>
          <cell r="M34">
            <v>0</v>
          </cell>
          <cell r="N34">
            <v>0</v>
          </cell>
          <cell r="O34">
            <v>0</v>
          </cell>
          <cell r="P34">
            <v>0</v>
          </cell>
          <cell r="Q34">
            <v>0</v>
          </cell>
          <cell r="R34">
            <v>0</v>
          </cell>
          <cell r="S34">
            <v>0</v>
          </cell>
          <cell r="T34">
            <v>0</v>
          </cell>
          <cell r="U34">
            <v>0</v>
          </cell>
          <cell r="V34">
            <v>7530</v>
          </cell>
          <cell r="W34">
            <v>24</v>
          </cell>
          <cell r="X34">
            <v>0</v>
          </cell>
          <cell r="Y34">
            <v>0</v>
          </cell>
          <cell r="Z34">
            <v>0</v>
          </cell>
          <cell r="AA34">
            <v>0</v>
          </cell>
          <cell r="AB34">
            <v>0</v>
          </cell>
          <cell r="AC34">
            <v>0</v>
          </cell>
          <cell r="AD34">
            <v>0</v>
          </cell>
          <cell r="AE34">
            <v>0</v>
          </cell>
          <cell r="AF34">
            <v>0</v>
          </cell>
          <cell r="AG34">
            <v>0</v>
          </cell>
          <cell r="AH34">
            <v>0</v>
          </cell>
          <cell r="AI34">
            <v>0</v>
          </cell>
          <cell r="AJ34">
            <v>0</v>
          </cell>
          <cell r="AK34">
            <v>7530</v>
          </cell>
          <cell r="AL34">
            <v>0</v>
          </cell>
          <cell r="AM34">
            <v>0</v>
          </cell>
          <cell r="AN34">
            <v>0</v>
          </cell>
          <cell r="AO34">
            <v>0</v>
          </cell>
          <cell r="AP34">
            <v>7530</v>
          </cell>
        </row>
        <row r="35">
          <cell r="B35">
            <v>0</v>
          </cell>
          <cell r="C35" t="str">
            <v>Ban XDCB - XD</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49368.333333333336</v>
          </cell>
          <cell r="AL35">
            <v>1680</v>
          </cell>
          <cell r="AM35">
            <v>16000</v>
          </cell>
          <cell r="AN35">
            <v>18000</v>
          </cell>
          <cell r="AO35">
            <v>0</v>
          </cell>
          <cell r="AP35">
            <v>29690</v>
          </cell>
        </row>
        <row r="36">
          <cell r="B36" t="str">
            <v xml:space="preserve"> XD02 </v>
          </cell>
          <cell r="C36" t="str">
            <v xml:space="preserve"> Châu Phước Thuần </v>
          </cell>
          <cell r="D36" t="str">
            <v>CV giám sát kỹ thuật - ATLĐ</v>
          </cell>
          <cell r="E36">
            <v>42338</v>
          </cell>
          <cell r="F36">
            <v>3</v>
          </cell>
          <cell r="G36">
            <v>2</v>
          </cell>
          <cell r="H36">
            <v>3</v>
          </cell>
          <cell r="I36">
            <v>23</v>
          </cell>
          <cell r="J36">
            <v>14540</v>
          </cell>
          <cell r="K36">
            <v>0</v>
          </cell>
          <cell r="L36">
            <v>500</v>
          </cell>
          <cell r="M36">
            <v>0</v>
          </cell>
          <cell r="N36">
            <v>0</v>
          </cell>
          <cell r="O36">
            <v>0</v>
          </cell>
          <cell r="P36">
            <v>200</v>
          </cell>
          <cell r="Q36">
            <v>0</v>
          </cell>
          <cell r="R36">
            <v>0</v>
          </cell>
          <cell r="S36">
            <v>0</v>
          </cell>
          <cell r="T36">
            <v>0</v>
          </cell>
          <cell r="U36">
            <v>0</v>
          </cell>
          <cell r="V36">
            <v>15040</v>
          </cell>
          <cell r="W36">
            <v>24</v>
          </cell>
          <cell r="X36">
            <v>0</v>
          </cell>
          <cell r="Y36">
            <v>0</v>
          </cell>
          <cell r="Z36">
            <v>0</v>
          </cell>
          <cell r="AA36">
            <v>0</v>
          </cell>
          <cell r="AB36">
            <v>0</v>
          </cell>
          <cell r="AC36">
            <v>0</v>
          </cell>
          <cell r="AD36">
            <v>0</v>
          </cell>
          <cell r="AE36">
            <v>0</v>
          </cell>
          <cell r="AF36">
            <v>0</v>
          </cell>
          <cell r="AG36">
            <v>0</v>
          </cell>
          <cell r="AH36">
            <v>0</v>
          </cell>
          <cell r="AI36">
            <v>0</v>
          </cell>
          <cell r="AJ36">
            <v>0</v>
          </cell>
          <cell r="AK36">
            <v>15240</v>
          </cell>
          <cell r="AL36">
            <v>525</v>
          </cell>
          <cell r="AM36">
            <v>5000</v>
          </cell>
          <cell r="AN36">
            <v>5000</v>
          </cell>
          <cell r="AO36">
            <v>0</v>
          </cell>
          <cell r="AP36">
            <v>9720</v>
          </cell>
        </row>
        <row r="37">
          <cell r="B37" t="str">
            <v xml:space="preserve"> XD03 </v>
          </cell>
          <cell r="C37" t="str">
            <v xml:space="preserve"> Nguyễn Duy Long </v>
          </cell>
          <cell r="D37" t="str">
            <v>Trưởng phòng GS hiện trạng</v>
          </cell>
          <cell r="E37">
            <v>42475</v>
          </cell>
          <cell r="F37">
            <v>2</v>
          </cell>
          <cell r="G37">
            <v>1</v>
          </cell>
          <cell r="H37">
            <v>11</v>
          </cell>
          <cell r="I37">
            <v>10</v>
          </cell>
          <cell r="J37">
            <v>14540</v>
          </cell>
          <cell r="K37">
            <v>0</v>
          </cell>
          <cell r="L37">
            <v>1000</v>
          </cell>
          <cell r="M37">
            <v>0</v>
          </cell>
          <cell r="N37">
            <v>0</v>
          </cell>
          <cell r="O37">
            <v>0</v>
          </cell>
          <cell r="P37">
            <v>200</v>
          </cell>
          <cell r="Q37">
            <v>0</v>
          </cell>
          <cell r="R37">
            <v>0</v>
          </cell>
          <cell r="S37">
            <v>0</v>
          </cell>
          <cell r="T37">
            <v>0</v>
          </cell>
          <cell r="U37">
            <v>0</v>
          </cell>
          <cell r="V37">
            <v>15540</v>
          </cell>
          <cell r="W37">
            <v>23</v>
          </cell>
          <cell r="X37">
            <v>1</v>
          </cell>
          <cell r="Y37">
            <v>0</v>
          </cell>
          <cell r="Z37">
            <v>0</v>
          </cell>
          <cell r="AA37">
            <v>0</v>
          </cell>
          <cell r="AB37">
            <v>0</v>
          </cell>
          <cell r="AC37">
            <v>0</v>
          </cell>
          <cell r="AD37">
            <v>0</v>
          </cell>
          <cell r="AE37">
            <v>0</v>
          </cell>
          <cell r="AF37">
            <v>0</v>
          </cell>
          <cell r="AG37">
            <v>0</v>
          </cell>
          <cell r="AH37">
            <v>0</v>
          </cell>
          <cell r="AI37">
            <v>0</v>
          </cell>
          <cell r="AJ37">
            <v>0</v>
          </cell>
          <cell r="AK37">
            <v>15698.333333333334</v>
          </cell>
          <cell r="AL37">
            <v>577.5</v>
          </cell>
          <cell r="AM37">
            <v>5500</v>
          </cell>
          <cell r="AN37">
            <v>5000</v>
          </cell>
          <cell r="AO37">
            <v>0</v>
          </cell>
          <cell r="AP37">
            <v>10120</v>
          </cell>
        </row>
        <row r="38">
          <cell r="B38" t="str">
            <v xml:space="preserve"> XD04 </v>
          </cell>
          <cell r="C38" t="str">
            <v xml:space="preserve"> Nguyễn Trần Duy Anh </v>
          </cell>
          <cell r="D38" t="str">
            <v>Trưởng phòng thiết kế kỹ thuật</v>
          </cell>
          <cell r="E38">
            <v>42485</v>
          </cell>
          <cell r="F38">
            <v>2</v>
          </cell>
          <cell r="G38">
            <v>1</v>
          </cell>
          <cell r="H38">
            <v>11</v>
          </cell>
          <cell r="I38">
            <v>0</v>
          </cell>
          <cell r="J38">
            <v>17230</v>
          </cell>
          <cell r="K38">
            <v>0</v>
          </cell>
          <cell r="L38">
            <v>1000</v>
          </cell>
          <cell r="M38">
            <v>0</v>
          </cell>
          <cell r="N38">
            <v>0</v>
          </cell>
          <cell r="O38">
            <v>0</v>
          </cell>
          <cell r="P38">
            <v>200</v>
          </cell>
          <cell r="Q38">
            <v>0</v>
          </cell>
          <cell r="R38">
            <v>0</v>
          </cell>
          <cell r="S38">
            <v>0</v>
          </cell>
          <cell r="T38">
            <v>0</v>
          </cell>
          <cell r="U38">
            <v>0</v>
          </cell>
          <cell r="V38">
            <v>18230</v>
          </cell>
          <cell r="W38">
            <v>24</v>
          </cell>
          <cell r="X38">
            <v>0</v>
          </cell>
          <cell r="Y38">
            <v>0</v>
          </cell>
          <cell r="Z38">
            <v>0</v>
          </cell>
          <cell r="AA38">
            <v>0</v>
          </cell>
          <cell r="AB38">
            <v>0</v>
          </cell>
          <cell r="AC38">
            <v>0</v>
          </cell>
          <cell r="AD38">
            <v>0</v>
          </cell>
          <cell r="AE38">
            <v>0</v>
          </cell>
          <cell r="AF38">
            <v>0</v>
          </cell>
          <cell r="AG38">
            <v>0</v>
          </cell>
          <cell r="AH38">
            <v>0</v>
          </cell>
          <cell r="AI38">
            <v>0</v>
          </cell>
          <cell r="AJ38">
            <v>0</v>
          </cell>
          <cell r="AK38">
            <v>18430</v>
          </cell>
          <cell r="AL38">
            <v>577.5</v>
          </cell>
          <cell r="AM38">
            <v>5500</v>
          </cell>
          <cell r="AN38">
            <v>8000</v>
          </cell>
          <cell r="AO38">
            <v>0</v>
          </cell>
          <cell r="AP38">
            <v>9850</v>
          </cell>
        </row>
        <row r="39">
          <cell r="B39">
            <v>0</v>
          </cell>
          <cell r="C39" t="str">
            <v>Phòng KH- Vật tư</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69959.7</v>
          </cell>
          <cell r="AL39">
            <v>1050</v>
          </cell>
          <cell r="AM39">
            <v>10000</v>
          </cell>
          <cell r="AN39">
            <v>8000</v>
          </cell>
          <cell r="AO39">
            <v>0</v>
          </cell>
          <cell r="AP39">
            <v>60910</v>
          </cell>
        </row>
        <row r="40">
          <cell r="B40" t="str">
            <v xml:space="preserve"> VT05 </v>
          </cell>
          <cell r="C40" t="str">
            <v xml:space="preserve"> Lê Châu Bào </v>
          </cell>
          <cell r="D40" t="str">
            <v>TRƯỞNG BAN KẾ HOẠCH VẬT TƯ</v>
          </cell>
          <cell r="E40">
            <v>42891</v>
          </cell>
          <cell r="F40">
            <v>3</v>
          </cell>
          <cell r="G40">
            <v>0</v>
          </cell>
          <cell r="H40">
            <v>9</v>
          </cell>
          <cell r="I40">
            <v>20</v>
          </cell>
          <cell r="J40">
            <v>31330</v>
          </cell>
          <cell r="K40">
            <v>0</v>
          </cell>
          <cell r="L40">
            <v>3000</v>
          </cell>
          <cell r="M40">
            <v>0</v>
          </cell>
          <cell r="N40">
            <v>0</v>
          </cell>
          <cell r="O40">
            <v>1000</v>
          </cell>
          <cell r="P40">
            <v>1000</v>
          </cell>
          <cell r="Q40">
            <v>0</v>
          </cell>
          <cell r="R40">
            <v>0</v>
          </cell>
          <cell r="S40">
            <v>0</v>
          </cell>
          <cell r="T40">
            <v>0</v>
          </cell>
          <cell r="U40">
            <v>0</v>
          </cell>
          <cell r="V40">
            <v>35330</v>
          </cell>
          <cell r="W40">
            <v>24</v>
          </cell>
          <cell r="X40">
            <v>0</v>
          </cell>
          <cell r="Y40">
            <v>0</v>
          </cell>
          <cell r="Z40">
            <v>0</v>
          </cell>
          <cell r="AA40">
            <v>0</v>
          </cell>
          <cell r="AB40">
            <v>0</v>
          </cell>
          <cell r="AC40">
            <v>0</v>
          </cell>
          <cell r="AD40">
            <v>0</v>
          </cell>
          <cell r="AE40">
            <v>0</v>
          </cell>
          <cell r="AF40">
            <v>0</v>
          </cell>
          <cell r="AG40">
            <v>0</v>
          </cell>
          <cell r="AH40">
            <v>0</v>
          </cell>
          <cell r="AI40">
            <v>0</v>
          </cell>
          <cell r="AJ40">
            <v>0</v>
          </cell>
          <cell r="AK40">
            <v>36330</v>
          </cell>
          <cell r="AL40">
            <v>0</v>
          </cell>
          <cell r="AM40">
            <v>0</v>
          </cell>
          <cell r="AN40">
            <v>0</v>
          </cell>
          <cell r="AO40">
            <v>0</v>
          </cell>
          <cell r="AP40">
            <v>36330</v>
          </cell>
        </row>
        <row r="41">
          <cell r="B41" t="str">
            <v xml:space="preserve"> VT01 </v>
          </cell>
          <cell r="C41" t="str">
            <v xml:space="preserve"> Trần Văn Vị Toàn </v>
          </cell>
          <cell r="D41" t="str">
            <v>CV thu mua vật tư</v>
          </cell>
          <cell r="E41">
            <v>39083</v>
          </cell>
          <cell r="F41">
            <v>3</v>
          </cell>
          <cell r="G41">
            <v>11</v>
          </cell>
          <cell r="H41">
            <v>2</v>
          </cell>
          <cell r="I41">
            <v>24</v>
          </cell>
          <cell r="J41">
            <v>12020</v>
          </cell>
          <cell r="K41">
            <v>0</v>
          </cell>
          <cell r="L41">
            <v>0</v>
          </cell>
          <cell r="M41">
            <v>1322.2</v>
          </cell>
          <cell r="N41">
            <v>0</v>
          </cell>
          <cell r="O41">
            <v>0</v>
          </cell>
          <cell r="P41">
            <v>300</v>
          </cell>
          <cell r="Q41">
            <v>0</v>
          </cell>
          <cell r="R41">
            <v>0</v>
          </cell>
          <cell r="S41">
            <v>0</v>
          </cell>
          <cell r="T41">
            <v>0</v>
          </cell>
          <cell r="U41">
            <v>0</v>
          </cell>
          <cell r="V41">
            <v>13342.2</v>
          </cell>
          <cell r="W41">
            <v>24</v>
          </cell>
          <cell r="X41">
            <v>0</v>
          </cell>
          <cell r="Y41">
            <v>0</v>
          </cell>
          <cell r="Z41">
            <v>0</v>
          </cell>
          <cell r="AA41">
            <v>0</v>
          </cell>
          <cell r="AB41">
            <v>0</v>
          </cell>
          <cell r="AC41">
            <v>0</v>
          </cell>
          <cell r="AD41">
            <v>0</v>
          </cell>
          <cell r="AE41">
            <v>0</v>
          </cell>
          <cell r="AF41">
            <v>0</v>
          </cell>
          <cell r="AG41">
            <v>0</v>
          </cell>
          <cell r="AH41">
            <v>0</v>
          </cell>
          <cell r="AI41">
            <v>0</v>
          </cell>
          <cell r="AJ41">
            <v>0</v>
          </cell>
          <cell r="AK41">
            <v>13642.2</v>
          </cell>
          <cell r="AL41">
            <v>525</v>
          </cell>
          <cell r="AM41">
            <v>5000</v>
          </cell>
          <cell r="AN41">
            <v>5000</v>
          </cell>
          <cell r="AO41">
            <v>0</v>
          </cell>
          <cell r="AP41">
            <v>8120</v>
          </cell>
        </row>
        <row r="42">
          <cell r="B42" t="str">
            <v xml:space="preserve"> VT02 </v>
          </cell>
          <cell r="C42" t="str">
            <v xml:space="preserve"> Võ Thị Hằng </v>
          </cell>
          <cell r="D42" t="str">
            <v>CV thu mua vật tư</v>
          </cell>
          <cell r="E42">
            <v>42513</v>
          </cell>
          <cell r="F42">
            <v>3</v>
          </cell>
          <cell r="G42">
            <v>1</v>
          </cell>
          <cell r="H42">
            <v>10</v>
          </cell>
          <cell r="I42">
            <v>2</v>
          </cell>
          <cell r="J42">
            <v>12020</v>
          </cell>
          <cell r="K42">
            <v>0</v>
          </cell>
          <cell r="L42">
            <v>0</v>
          </cell>
          <cell r="M42">
            <v>0</v>
          </cell>
          <cell r="N42">
            <v>0</v>
          </cell>
          <cell r="O42">
            <v>0</v>
          </cell>
          <cell r="P42">
            <v>300</v>
          </cell>
          <cell r="Q42">
            <v>0</v>
          </cell>
          <cell r="R42">
            <v>0</v>
          </cell>
          <cell r="S42">
            <v>0</v>
          </cell>
          <cell r="T42">
            <v>0</v>
          </cell>
          <cell r="U42">
            <v>0</v>
          </cell>
          <cell r="V42">
            <v>12020</v>
          </cell>
          <cell r="W42">
            <v>19</v>
          </cell>
          <cell r="X42">
            <v>2</v>
          </cell>
          <cell r="Y42">
            <v>0</v>
          </cell>
          <cell r="Z42">
            <v>0</v>
          </cell>
          <cell r="AA42">
            <v>0</v>
          </cell>
          <cell r="AB42">
            <v>0</v>
          </cell>
          <cell r="AC42">
            <v>0</v>
          </cell>
          <cell r="AD42">
            <v>0</v>
          </cell>
          <cell r="AE42">
            <v>0</v>
          </cell>
          <cell r="AF42">
            <v>0</v>
          </cell>
          <cell r="AG42">
            <v>0</v>
          </cell>
          <cell r="AH42">
            <v>0</v>
          </cell>
          <cell r="AI42">
            <v>0</v>
          </cell>
          <cell r="AJ42">
            <v>0</v>
          </cell>
          <cell r="AK42">
            <v>10817.499999999998</v>
          </cell>
          <cell r="AL42">
            <v>525</v>
          </cell>
          <cell r="AM42">
            <v>5000</v>
          </cell>
          <cell r="AN42">
            <v>0</v>
          </cell>
          <cell r="AO42">
            <v>0</v>
          </cell>
          <cell r="AP42">
            <v>10290</v>
          </cell>
        </row>
        <row r="43">
          <cell r="B43" t="str">
            <v>VT07</v>
          </cell>
          <cell r="C43" t="str">
            <v>Thái Hồng Phát</v>
          </cell>
          <cell r="D43" t="str">
            <v>NV Thu mua MMTB</v>
          </cell>
          <cell r="E43">
            <v>43087</v>
          </cell>
          <cell r="F43">
            <v>3</v>
          </cell>
          <cell r="G43">
            <v>0</v>
          </cell>
          <cell r="H43">
            <v>3</v>
          </cell>
          <cell r="I43">
            <v>7</v>
          </cell>
          <cell r="J43">
            <v>8870</v>
          </cell>
          <cell r="K43">
            <v>0</v>
          </cell>
          <cell r="L43">
            <v>0</v>
          </cell>
          <cell r="M43">
            <v>0</v>
          </cell>
          <cell r="N43">
            <v>0</v>
          </cell>
          <cell r="O43">
            <v>0</v>
          </cell>
          <cell r="P43">
            <v>300</v>
          </cell>
          <cell r="Q43">
            <v>0</v>
          </cell>
          <cell r="R43">
            <v>0</v>
          </cell>
          <cell r="S43">
            <v>0</v>
          </cell>
          <cell r="T43">
            <v>0</v>
          </cell>
          <cell r="U43">
            <v>0</v>
          </cell>
          <cell r="V43">
            <v>8870</v>
          </cell>
          <cell r="W43">
            <v>24</v>
          </cell>
          <cell r="X43">
            <v>0</v>
          </cell>
          <cell r="Y43">
            <v>0</v>
          </cell>
          <cell r="Z43">
            <v>0</v>
          </cell>
          <cell r="AA43">
            <v>0</v>
          </cell>
          <cell r="AB43">
            <v>0</v>
          </cell>
          <cell r="AC43">
            <v>0</v>
          </cell>
          <cell r="AD43">
            <v>0</v>
          </cell>
          <cell r="AE43">
            <v>0</v>
          </cell>
          <cell r="AF43">
            <v>0</v>
          </cell>
          <cell r="AG43">
            <v>0</v>
          </cell>
          <cell r="AH43">
            <v>0</v>
          </cell>
          <cell r="AI43">
            <v>0</v>
          </cell>
          <cell r="AJ43">
            <v>0</v>
          </cell>
          <cell r="AK43">
            <v>9170</v>
          </cell>
          <cell r="AL43">
            <v>0</v>
          </cell>
          <cell r="AM43">
            <v>0</v>
          </cell>
          <cell r="AN43">
            <v>3000</v>
          </cell>
          <cell r="AO43">
            <v>0</v>
          </cell>
          <cell r="AP43">
            <v>6170</v>
          </cell>
        </row>
        <row r="44">
          <cell r="B44">
            <v>0</v>
          </cell>
          <cell r="C44" t="str">
            <v>Ban Dự án</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58544.008333333331</v>
          </cell>
          <cell r="AL44">
            <v>2383.5</v>
          </cell>
          <cell r="AM44">
            <v>22700</v>
          </cell>
          <cell r="AN44">
            <v>8000</v>
          </cell>
          <cell r="AO44">
            <v>0</v>
          </cell>
          <cell r="AP44">
            <v>51110</v>
          </cell>
        </row>
        <row r="45">
          <cell r="B45" t="str">
            <v xml:space="preserve"> DA01 </v>
          </cell>
          <cell r="C45" t="str">
            <v xml:space="preserve"> Huỳnh Thanh Liêm </v>
          </cell>
          <cell r="D45" t="str">
            <v>TRƯỞNG BAN DỰ ÁN CÔNG</v>
          </cell>
          <cell r="E45">
            <v>40848</v>
          </cell>
          <cell r="F45">
            <v>2</v>
          </cell>
          <cell r="G45">
            <v>6</v>
          </cell>
          <cell r="H45">
            <v>4</v>
          </cell>
          <cell r="I45">
            <v>24</v>
          </cell>
          <cell r="J45">
            <v>21170</v>
          </cell>
          <cell r="K45">
            <v>0</v>
          </cell>
          <cell r="L45">
            <v>3000</v>
          </cell>
          <cell r="M45">
            <v>1270.2</v>
          </cell>
          <cell r="N45">
            <v>0</v>
          </cell>
          <cell r="O45">
            <v>1000</v>
          </cell>
          <cell r="P45">
            <v>1000</v>
          </cell>
          <cell r="Q45">
            <v>0</v>
          </cell>
          <cell r="R45">
            <v>0</v>
          </cell>
          <cell r="S45">
            <v>0</v>
          </cell>
          <cell r="T45">
            <v>0</v>
          </cell>
          <cell r="U45">
            <v>0</v>
          </cell>
          <cell r="V45">
            <v>26440.2</v>
          </cell>
          <cell r="W45">
            <v>24</v>
          </cell>
          <cell r="X45">
            <v>0</v>
          </cell>
          <cell r="Y45">
            <v>0</v>
          </cell>
          <cell r="Z45">
            <v>0</v>
          </cell>
          <cell r="AA45">
            <v>0</v>
          </cell>
          <cell r="AB45">
            <v>0</v>
          </cell>
          <cell r="AC45">
            <v>0</v>
          </cell>
          <cell r="AD45">
            <v>0</v>
          </cell>
          <cell r="AE45">
            <v>0</v>
          </cell>
          <cell r="AF45">
            <v>0</v>
          </cell>
          <cell r="AG45">
            <v>0</v>
          </cell>
          <cell r="AH45">
            <v>0</v>
          </cell>
          <cell r="AI45">
            <v>0</v>
          </cell>
          <cell r="AJ45">
            <v>0</v>
          </cell>
          <cell r="AK45">
            <v>27440.199999999997</v>
          </cell>
          <cell r="AL45">
            <v>871.5</v>
          </cell>
          <cell r="AM45">
            <v>8300</v>
          </cell>
          <cell r="AN45">
            <v>0</v>
          </cell>
          <cell r="AO45">
            <v>0</v>
          </cell>
          <cell r="AP45">
            <v>26570</v>
          </cell>
        </row>
        <row r="46">
          <cell r="B46" t="str">
            <v xml:space="preserve"> DA02 </v>
          </cell>
          <cell r="C46" t="str">
            <v xml:space="preserve"> Lê Công Nhất Trung </v>
          </cell>
          <cell r="D46" t="str">
            <v>NV triển khai thực hiện dự án</v>
          </cell>
          <cell r="E46">
            <v>41487</v>
          </cell>
          <cell r="F46">
            <v>4</v>
          </cell>
          <cell r="G46">
            <v>4</v>
          </cell>
          <cell r="H46">
            <v>7</v>
          </cell>
          <cell r="I46">
            <v>24</v>
          </cell>
          <cell r="J46">
            <v>10520</v>
          </cell>
          <cell r="K46">
            <v>0</v>
          </cell>
          <cell r="L46">
            <v>0</v>
          </cell>
          <cell r="M46">
            <v>420.8</v>
          </cell>
          <cell r="N46">
            <v>0</v>
          </cell>
          <cell r="O46">
            <v>0</v>
          </cell>
          <cell r="P46">
            <v>0</v>
          </cell>
          <cell r="Q46">
            <v>0</v>
          </cell>
          <cell r="R46">
            <v>1218</v>
          </cell>
          <cell r="S46">
            <v>0</v>
          </cell>
          <cell r="T46">
            <v>0</v>
          </cell>
          <cell r="U46">
            <v>0</v>
          </cell>
          <cell r="V46">
            <v>12158.8</v>
          </cell>
          <cell r="W46">
            <v>23</v>
          </cell>
          <cell r="X46">
            <v>0</v>
          </cell>
          <cell r="Y46">
            <v>0</v>
          </cell>
          <cell r="Z46">
            <v>0</v>
          </cell>
          <cell r="AA46">
            <v>0</v>
          </cell>
          <cell r="AB46">
            <v>0</v>
          </cell>
          <cell r="AC46">
            <v>0</v>
          </cell>
          <cell r="AD46">
            <v>0</v>
          </cell>
          <cell r="AE46">
            <v>0</v>
          </cell>
          <cell r="AF46">
            <v>0</v>
          </cell>
          <cell r="AG46">
            <v>0</v>
          </cell>
          <cell r="AH46">
            <v>0</v>
          </cell>
          <cell r="AI46">
            <v>0</v>
          </cell>
          <cell r="AJ46">
            <v>0</v>
          </cell>
          <cell r="AK46">
            <v>11652.183333333332</v>
          </cell>
          <cell r="AL46">
            <v>504</v>
          </cell>
          <cell r="AM46">
            <v>4800</v>
          </cell>
          <cell r="AN46">
            <v>0</v>
          </cell>
          <cell r="AO46">
            <v>0</v>
          </cell>
          <cell r="AP46">
            <v>11150</v>
          </cell>
        </row>
        <row r="47">
          <cell r="B47" t="str">
            <v xml:space="preserve"> DA04 </v>
          </cell>
          <cell r="C47" t="str">
            <v xml:space="preserve"> Cao Xuân Vũ </v>
          </cell>
          <cell r="D47" t="str">
            <v>NV triển khai thực hiện dự án</v>
          </cell>
          <cell r="E47">
            <v>42569</v>
          </cell>
          <cell r="F47">
            <v>3</v>
          </cell>
          <cell r="G47">
            <v>1</v>
          </cell>
          <cell r="H47">
            <v>8</v>
          </cell>
          <cell r="I47">
            <v>7</v>
          </cell>
          <cell r="J47">
            <v>9560</v>
          </cell>
          <cell r="K47">
            <v>0</v>
          </cell>
          <cell r="L47">
            <v>0</v>
          </cell>
          <cell r="M47">
            <v>0</v>
          </cell>
          <cell r="N47">
            <v>0</v>
          </cell>
          <cell r="O47">
            <v>0</v>
          </cell>
          <cell r="P47">
            <v>0</v>
          </cell>
          <cell r="Q47">
            <v>0</v>
          </cell>
          <cell r="R47">
            <v>2436</v>
          </cell>
          <cell r="S47">
            <v>0</v>
          </cell>
          <cell r="T47">
            <v>0</v>
          </cell>
          <cell r="U47">
            <v>0</v>
          </cell>
          <cell r="V47">
            <v>11996</v>
          </cell>
          <cell r="W47">
            <v>24</v>
          </cell>
          <cell r="X47">
            <v>0</v>
          </cell>
          <cell r="Y47">
            <v>0</v>
          </cell>
          <cell r="Z47">
            <v>0</v>
          </cell>
          <cell r="AA47">
            <v>0</v>
          </cell>
          <cell r="AB47">
            <v>0</v>
          </cell>
          <cell r="AC47">
            <v>0</v>
          </cell>
          <cell r="AD47">
            <v>0</v>
          </cell>
          <cell r="AE47">
            <v>0</v>
          </cell>
          <cell r="AF47">
            <v>0</v>
          </cell>
          <cell r="AG47">
            <v>0</v>
          </cell>
          <cell r="AH47">
            <v>0</v>
          </cell>
          <cell r="AI47">
            <v>0</v>
          </cell>
          <cell r="AJ47">
            <v>0</v>
          </cell>
          <cell r="AK47">
            <v>11996</v>
          </cell>
          <cell r="AL47">
            <v>504</v>
          </cell>
          <cell r="AM47">
            <v>4800</v>
          </cell>
          <cell r="AN47">
            <v>5000</v>
          </cell>
          <cell r="AO47">
            <v>0</v>
          </cell>
          <cell r="AP47">
            <v>6490</v>
          </cell>
        </row>
        <row r="48">
          <cell r="B48" t="str">
            <v xml:space="preserve"> DA05-1</v>
          </cell>
          <cell r="C48" t="str">
            <v xml:space="preserve"> Trần Ngọc Thạch </v>
          </cell>
          <cell r="D48" t="str">
            <v>NV triển khai thực hiện dự án</v>
          </cell>
          <cell r="E48">
            <v>42835</v>
          </cell>
          <cell r="F48">
            <v>1</v>
          </cell>
          <cell r="G48">
            <v>0</v>
          </cell>
          <cell r="H48">
            <v>11</v>
          </cell>
          <cell r="I48">
            <v>15</v>
          </cell>
          <cell r="J48">
            <v>7900</v>
          </cell>
          <cell r="K48">
            <v>0</v>
          </cell>
          <cell r="L48">
            <v>0</v>
          </cell>
          <cell r="M48">
            <v>0</v>
          </cell>
          <cell r="N48">
            <v>0</v>
          </cell>
          <cell r="O48">
            <v>0</v>
          </cell>
          <cell r="P48">
            <v>0</v>
          </cell>
          <cell r="Q48">
            <v>0</v>
          </cell>
          <cell r="R48">
            <v>0</v>
          </cell>
          <cell r="S48">
            <v>0</v>
          </cell>
          <cell r="T48">
            <v>0</v>
          </cell>
          <cell r="U48">
            <v>0</v>
          </cell>
          <cell r="V48">
            <v>6715</v>
          </cell>
          <cell r="W48">
            <v>9</v>
          </cell>
          <cell r="X48">
            <v>0</v>
          </cell>
          <cell r="Y48">
            <v>0</v>
          </cell>
          <cell r="Z48">
            <v>0</v>
          </cell>
          <cell r="AA48">
            <v>0</v>
          </cell>
          <cell r="AB48">
            <v>0</v>
          </cell>
          <cell r="AC48">
            <v>0</v>
          </cell>
          <cell r="AD48">
            <v>0</v>
          </cell>
          <cell r="AE48">
            <v>0</v>
          </cell>
          <cell r="AF48">
            <v>0</v>
          </cell>
          <cell r="AG48">
            <v>0</v>
          </cell>
          <cell r="AH48">
            <v>0</v>
          </cell>
          <cell r="AI48">
            <v>0</v>
          </cell>
          <cell r="AJ48">
            <v>0</v>
          </cell>
          <cell r="AK48">
            <v>2518.125</v>
          </cell>
          <cell r="AL48">
            <v>0</v>
          </cell>
          <cell r="AM48">
            <v>0</v>
          </cell>
          <cell r="AN48">
            <v>0</v>
          </cell>
          <cell r="AO48">
            <v>0</v>
          </cell>
          <cell r="AP48">
            <v>2520</v>
          </cell>
        </row>
        <row r="49">
          <cell r="B49" t="str">
            <v xml:space="preserve"> DA05</v>
          </cell>
          <cell r="C49" t="str">
            <v xml:space="preserve"> Trần Ngọc Thạch </v>
          </cell>
          <cell r="D49" t="str">
            <v>NV triển khai thực hiện dự án</v>
          </cell>
          <cell r="E49">
            <v>42835</v>
          </cell>
          <cell r="F49">
            <v>1</v>
          </cell>
          <cell r="G49">
            <v>0</v>
          </cell>
          <cell r="H49">
            <v>11</v>
          </cell>
          <cell r="I49">
            <v>15</v>
          </cell>
          <cell r="J49">
            <v>7900</v>
          </cell>
          <cell r="K49">
            <v>0</v>
          </cell>
          <cell r="L49">
            <v>0</v>
          </cell>
          <cell r="M49">
            <v>0</v>
          </cell>
          <cell r="N49">
            <v>0</v>
          </cell>
          <cell r="O49">
            <v>0</v>
          </cell>
          <cell r="P49">
            <v>0</v>
          </cell>
          <cell r="Q49">
            <v>0</v>
          </cell>
          <cell r="R49">
            <v>0</v>
          </cell>
          <cell r="S49">
            <v>0</v>
          </cell>
          <cell r="T49">
            <v>0</v>
          </cell>
          <cell r="U49">
            <v>0</v>
          </cell>
          <cell r="V49">
            <v>7900</v>
          </cell>
          <cell r="W49">
            <v>15</v>
          </cell>
          <cell r="X49">
            <v>0</v>
          </cell>
          <cell r="Y49">
            <v>0</v>
          </cell>
          <cell r="Z49">
            <v>0</v>
          </cell>
          <cell r="AA49">
            <v>0</v>
          </cell>
          <cell r="AB49">
            <v>0</v>
          </cell>
          <cell r="AC49">
            <v>0</v>
          </cell>
          <cell r="AD49">
            <v>0</v>
          </cell>
          <cell r="AE49">
            <v>0</v>
          </cell>
          <cell r="AF49">
            <v>0</v>
          </cell>
          <cell r="AG49">
            <v>0</v>
          </cell>
          <cell r="AH49">
            <v>0</v>
          </cell>
          <cell r="AI49">
            <v>0</v>
          </cell>
          <cell r="AJ49">
            <v>0</v>
          </cell>
          <cell r="AK49">
            <v>4937.5</v>
          </cell>
          <cell r="AL49">
            <v>504</v>
          </cell>
          <cell r="AM49">
            <v>4800</v>
          </cell>
          <cell r="AN49">
            <v>3000</v>
          </cell>
          <cell r="AO49">
            <v>0</v>
          </cell>
          <cell r="AP49">
            <v>1430</v>
          </cell>
        </row>
        <row r="50">
          <cell r="B50" t="str">
            <v xml:space="preserve"> DA03</v>
          </cell>
          <cell r="C50" t="str">
            <v xml:space="preserve"> Trần Thị Minh Thương </v>
          </cell>
          <cell r="D50" t="str">
            <v>NV nghiệm thu thanh toán</v>
          </cell>
          <cell r="E50">
            <v>42565</v>
          </cell>
          <cell r="F50">
            <v>3</v>
          </cell>
          <cell r="G50">
            <v>1</v>
          </cell>
          <cell r="H50">
            <v>8</v>
          </cell>
          <cell r="I50">
            <v>11</v>
          </cell>
          <cell r="J50">
            <v>8120</v>
          </cell>
          <cell r="K50">
            <v>0</v>
          </cell>
          <cell r="L50">
            <v>0</v>
          </cell>
          <cell r="M50">
            <v>0</v>
          </cell>
          <cell r="N50">
            <v>0</v>
          </cell>
          <cell r="O50">
            <v>0</v>
          </cell>
          <cell r="P50">
            <v>0</v>
          </cell>
          <cell r="Q50">
            <v>0</v>
          </cell>
          <cell r="R50">
            <v>0</v>
          </cell>
          <cell r="S50">
            <v>0</v>
          </cell>
          <cell r="T50">
            <v>0</v>
          </cell>
          <cell r="U50">
            <v>0</v>
          </cell>
          <cell r="V50">
            <v>6902</v>
          </cell>
          <cell r="W50">
            <v>12</v>
          </cell>
          <cell r="X50">
            <v>0</v>
          </cell>
          <cell r="Y50">
            <v>0</v>
          </cell>
          <cell r="Z50">
            <v>0</v>
          </cell>
          <cell r="AA50">
            <v>0</v>
          </cell>
          <cell r="AB50">
            <v>0</v>
          </cell>
          <cell r="AC50">
            <v>0</v>
          </cell>
          <cell r="AD50">
            <v>0</v>
          </cell>
          <cell r="AE50">
            <v>0</v>
          </cell>
          <cell r="AF50">
            <v>0</v>
          </cell>
          <cell r="AG50">
            <v>0</v>
          </cell>
          <cell r="AH50">
            <v>0</v>
          </cell>
          <cell r="AI50">
            <v>0</v>
          </cell>
          <cell r="AJ50">
            <v>0</v>
          </cell>
          <cell r="AK50">
            <v>3451</v>
          </cell>
          <cell r="AL50">
            <v>504</v>
          </cell>
          <cell r="AM50">
            <v>4800</v>
          </cell>
          <cell r="AN50">
            <v>0</v>
          </cell>
          <cell r="AO50">
            <v>0</v>
          </cell>
          <cell r="AP50">
            <v>2950</v>
          </cell>
        </row>
        <row r="51">
          <cell r="B51">
            <v>0</v>
          </cell>
          <cell r="C51" t="str">
            <v>Trung tâm NC KHCN -TT</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91699.729166666686</v>
          </cell>
          <cell r="AL51">
            <v>1060.5</v>
          </cell>
          <cell r="AM51">
            <v>10100</v>
          </cell>
          <cell r="AN51">
            <v>4000</v>
          </cell>
          <cell r="AO51">
            <v>0</v>
          </cell>
          <cell r="AP51">
            <v>86650</v>
          </cell>
        </row>
        <row r="52">
          <cell r="B52" t="str">
            <v xml:space="preserve"> TT01 </v>
          </cell>
          <cell r="C52" t="str">
            <v xml:space="preserve"> Nguyễn Nguyên Nguyên </v>
          </cell>
          <cell r="D52" t="str">
            <v>GIÁM ĐỐC TTNC</v>
          </cell>
          <cell r="E52">
            <v>42443</v>
          </cell>
          <cell r="F52">
            <v>3</v>
          </cell>
          <cell r="G52">
            <v>2</v>
          </cell>
          <cell r="H52">
            <v>0</v>
          </cell>
          <cell r="I52">
            <v>11</v>
          </cell>
          <cell r="J52">
            <v>32800</v>
          </cell>
          <cell r="K52">
            <v>0</v>
          </cell>
          <cell r="L52">
            <v>3000</v>
          </cell>
          <cell r="M52">
            <v>0</v>
          </cell>
          <cell r="N52">
            <v>0</v>
          </cell>
          <cell r="O52">
            <v>1000</v>
          </cell>
          <cell r="P52">
            <v>1000</v>
          </cell>
          <cell r="Q52">
            <v>0</v>
          </cell>
          <cell r="R52">
            <v>0</v>
          </cell>
          <cell r="S52">
            <v>0</v>
          </cell>
          <cell r="T52">
            <v>0</v>
          </cell>
          <cell r="U52">
            <v>0</v>
          </cell>
          <cell r="V52">
            <v>36800</v>
          </cell>
          <cell r="W52">
            <v>24</v>
          </cell>
          <cell r="X52">
            <v>0</v>
          </cell>
          <cell r="Y52">
            <v>0</v>
          </cell>
          <cell r="Z52">
            <v>0</v>
          </cell>
          <cell r="AA52">
            <v>0</v>
          </cell>
          <cell r="AB52">
            <v>0</v>
          </cell>
          <cell r="AC52">
            <v>0</v>
          </cell>
          <cell r="AD52">
            <v>0</v>
          </cell>
          <cell r="AE52">
            <v>0</v>
          </cell>
          <cell r="AF52">
            <v>0</v>
          </cell>
          <cell r="AG52">
            <v>0</v>
          </cell>
          <cell r="AH52">
            <v>0</v>
          </cell>
          <cell r="AI52">
            <v>0</v>
          </cell>
          <cell r="AJ52">
            <v>0</v>
          </cell>
          <cell r="AK52">
            <v>37800</v>
          </cell>
          <cell r="AL52">
            <v>0</v>
          </cell>
          <cell r="AM52">
            <v>0</v>
          </cell>
          <cell r="AN52">
            <v>0</v>
          </cell>
          <cell r="AO52">
            <v>0</v>
          </cell>
          <cell r="AP52">
            <v>37800</v>
          </cell>
        </row>
        <row r="53">
          <cell r="B53" t="str">
            <v xml:space="preserve"> TT02 </v>
          </cell>
          <cell r="C53" t="str">
            <v xml:space="preserve"> Trần Văn Hà </v>
          </cell>
          <cell r="D53" t="str">
            <v>Tổ trưởng GS môi trường</v>
          </cell>
          <cell r="E53">
            <v>42247</v>
          </cell>
          <cell r="F53">
            <v>1</v>
          </cell>
          <cell r="G53">
            <v>2</v>
          </cell>
          <cell r="H53">
            <v>6</v>
          </cell>
          <cell r="I53">
            <v>22</v>
          </cell>
          <cell r="J53">
            <v>11370</v>
          </cell>
          <cell r="K53">
            <v>0</v>
          </cell>
          <cell r="L53">
            <v>500</v>
          </cell>
          <cell r="M53">
            <v>0</v>
          </cell>
          <cell r="N53">
            <v>0</v>
          </cell>
          <cell r="O53">
            <v>200</v>
          </cell>
          <cell r="P53">
            <v>300</v>
          </cell>
          <cell r="Q53">
            <v>0</v>
          </cell>
          <cell r="R53">
            <v>0</v>
          </cell>
          <cell r="S53">
            <v>0</v>
          </cell>
          <cell r="T53">
            <v>0</v>
          </cell>
          <cell r="U53">
            <v>0</v>
          </cell>
          <cell r="V53">
            <v>12070</v>
          </cell>
          <cell r="W53">
            <v>24</v>
          </cell>
          <cell r="X53">
            <v>0</v>
          </cell>
          <cell r="Y53">
            <v>0</v>
          </cell>
          <cell r="Z53">
            <v>0</v>
          </cell>
          <cell r="AA53">
            <v>0</v>
          </cell>
          <cell r="AB53">
            <v>0</v>
          </cell>
          <cell r="AC53">
            <v>0</v>
          </cell>
          <cell r="AD53">
            <v>0</v>
          </cell>
          <cell r="AE53">
            <v>0</v>
          </cell>
          <cell r="AF53">
            <v>0</v>
          </cell>
          <cell r="AG53">
            <v>0</v>
          </cell>
          <cell r="AH53">
            <v>0</v>
          </cell>
          <cell r="AI53">
            <v>0</v>
          </cell>
          <cell r="AJ53">
            <v>0</v>
          </cell>
          <cell r="AK53">
            <v>12370</v>
          </cell>
          <cell r="AL53">
            <v>535.5</v>
          </cell>
          <cell r="AM53">
            <v>5100</v>
          </cell>
          <cell r="AN53">
            <v>0</v>
          </cell>
          <cell r="AO53">
            <v>0</v>
          </cell>
          <cell r="AP53">
            <v>11830</v>
          </cell>
        </row>
        <row r="54">
          <cell r="B54" t="str">
            <v xml:space="preserve"> TT03 </v>
          </cell>
          <cell r="C54" t="str">
            <v xml:space="preserve"> Đỗ Thanh Tú </v>
          </cell>
          <cell r="D54" t="str">
            <v>CV môi trường</v>
          </cell>
          <cell r="E54">
            <v>42515</v>
          </cell>
          <cell r="F54">
            <v>2</v>
          </cell>
          <cell r="G54">
            <v>1</v>
          </cell>
          <cell r="H54">
            <v>10</v>
          </cell>
          <cell r="I54">
            <v>0</v>
          </cell>
          <cell r="J54">
            <v>10460</v>
          </cell>
          <cell r="K54">
            <v>0</v>
          </cell>
          <cell r="L54">
            <v>0</v>
          </cell>
          <cell r="M54">
            <v>0</v>
          </cell>
          <cell r="N54">
            <v>0</v>
          </cell>
          <cell r="O54">
            <v>0</v>
          </cell>
          <cell r="P54">
            <v>0</v>
          </cell>
          <cell r="Q54">
            <v>0</v>
          </cell>
          <cell r="R54">
            <v>0</v>
          </cell>
          <cell r="S54">
            <v>0</v>
          </cell>
          <cell r="T54">
            <v>0</v>
          </cell>
          <cell r="U54">
            <v>0</v>
          </cell>
          <cell r="V54">
            <v>10460</v>
          </cell>
          <cell r="W54">
            <v>23</v>
          </cell>
          <cell r="X54">
            <v>1</v>
          </cell>
          <cell r="Y54">
            <v>0</v>
          </cell>
          <cell r="Z54">
            <v>0</v>
          </cell>
          <cell r="AA54">
            <v>0</v>
          </cell>
          <cell r="AB54">
            <v>0</v>
          </cell>
          <cell r="AC54">
            <v>0</v>
          </cell>
          <cell r="AD54">
            <v>0</v>
          </cell>
          <cell r="AE54">
            <v>0</v>
          </cell>
          <cell r="AF54">
            <v>0</v>
          </cell>
          <cell r="AG54">
            <v>0</v>
          </cell>
          <cell r="AH54">
            <v>0</v>
          </cell>
          <cell r="AI54">
            <v>0</v>
          </cell>
          <cell r="AJ54">
            <v>0</v>
          </cell>
          <cell r="AK54">
            <v>10460</v>
          </cell>
          <cell r="AL54">
            <v>525</v>
          </cell>
          <cell r="AM54">
            <v>5000</v>
          </cell>
          <cell r="AN54">
            <v>0</v>
          </cell>
          <cell r="AO54">
            <v>0</v>
          </cell>
          <cell r="AP54">
            <v>9940</v>
          </cell>
        </row>
        <row r="55">
          <cell r="B55" t="str">
            <v xml:space="preserve"> TT04 </v>
          </cell>
          <cell r="C55" t="str">
            <v xml:space="preserve"> Trần Thị Minh Thương </v>
          </cell>
          <cell r="D55" t="str">
            <v>NV Phòng thí nghiệm</v>
          </cell>
          <cell r="E55">
            <v>42565</v>
          </cell>
          <cell r="F55">
            <v>2</v>
          </cell>
          <cell r="G55">
            <v>1</v>
          </cell>
          <cell r="H55">
            <v>8</v>
          </cell>
          <cell r="I55">
            <v>11</v>
          </cell>
          <cell r="J55">
            <v>8040</v>
          </cell>
          <cell r="K55">
            <v>200</v>
          </cell>
          <cell r="L55">
            <v>0</v>
          </cell>
          <cell r="M55">
            <v>0</v>
          </cell>
          <cell r="N55">
            <v>0</v>
          </cell>
          <cell r="O55">
            <v>0</v>
          </cell>
          <cell r="P55">
            <v>0</v>
          </cell>
          <cell r="Q55">
            <v>0</v>
          </cell>
          <cell r="R55">
            <v>0</v>
          </cell>
          <cell r="S55">
            <v>0</v>
          </cell>
          <cell r="T55">
            <v>0</v>
          </cell>
          <cell r="U55">
            <v>0</v>
          </cell>
          <cell r="V55">
            <v>8240</v>
          </cell>
          <cell r="W55">
            <v>10</v>
          </cell>
          <cell r="X55">
            <v>1</v>
          </cell>
          <cell r="Y55">
            <v>0</v>
          </cell>
          <cell r="Z55">
            <v>0</v>
          </cell>
          <cell r="AA55">
            <v>0</v>
          </cell>
          <cell r="AB55">
            <v>0</v>
          </cell>
          <cell r="AC55">
            <v>0</v>
          </cell>
          <cell r="AD55">
            <v>0</v>
          </cell>
          <cell r="AE55">
            <v>0</v>
          </cell>
          <cell r="AF55">
            <v>0</v>
          </cell>
          <cell r="AG55">
            <v>0</v>
          </cell>
          <cell r="AH55">
            <v>0</v>
          </cell>
          <cell r="AI55">
            <v>0</v>
          </cell>
          <cell r="AJ55">
            <v>0</v>
          </cell>
          <cell r="AK55">
            <v>3768.333333333333</v>
          </cell>
          <cell r="AL55">
            <v>0</v>
          </cell>
          <cell r="AM55">
            <v>0</v>
          </cell>
          <cell r="AN55">
            <v>0</v>
          </cell>
          <cell r="AO55">
            <v>0</v>
          </cell>
          <cell r="AP55">
            <v>3770</v>
          </cell>
        </row>
        <row r="56">
          <cell r="B56" t="str">
            <v xml:space="preserve"> TT05 </v>
          </cell>
          <cell r="C56" t="str">
            <v xml:space="preserve"> Nguyễn Anh Tuấn </v>
          </cell>
          <cell r="D56" t="str">
            <v>CV nghiên cứu ứng dụng SP</v>
          </cell>
          <cell r="E56">
            <v>42887</v>
          </cell>
          <cell r="F56">
            <v>1</v>
          </cell>
          <cell r="G56">
            <v>0</v>
          </cell>
          <cell r="H56">
            <v>9</v>
          </cell>
          <cell r="I56">
            <v>24</v>
          </cell>
          <cell r="J56">
            <v>12030</v>
          </cell>
          <cell r="K56">
            <v>0</v>
          </cell>
          <cell r="L56">
            <v>0</v>
          </cell>
          <cell r="M56">
            <v>0</v>
          </cell>
          <cell r="N56">
            <v>0</v>
          </cell>
          <cell r="O56">
            <v>0</v>
          </cell>
          <cell r="P56">
            <v>0</v>
          </cell>
          <cell r="Q56">
            <v>0</v>
          </cell>
          <cell r="R56">
            <v>0</v>
          </cell>
          <cell r="S56">
            <v>0</v>
          </cell>
          <cell r="T56">
            <v>0</v>
          </cell>
          <cell r="U56">
            <v>0</v>
          </cell>
          <cell r="V56">
            <v>12030</v>
          </cell>
          <cell r="W56">
            <v>24</v>
          </cell>
          <cell r="X56">
            <v>0</v>
          </cell>
          <cell r="Y56">
            <v>0</v>
          </cell>
          <cell r="Z56">
            <v>0</v>
          </cell>
          <cell r="AA56">
            <v>0</v>
          </cell>
          <cell r="AB56">
            <v>0</v>
          </cell>
          <cell r="AC56">
            <v>0</v>
          </cell>
          <cell r="AD56">
            <v>0</v>
          </cell>
          <cell r="AE56">
            <v>0</v>
          </cell>
          <cell r="AF56">
            <v>0</v>
          </cell>
          <cell r="AG56">
            <v>0</v>
          </cell>
          <cell r="AH56">
            <v>0</v>
          </cell>
          <cell r="AI56">
            <v>0</v>
          </cell>
          <cell r="AJ56">
            <v>0</v>
          </cell>
          <cell r="AK56">
            <v>12030</v>
          </cell>
          <cell r="AL56">
            <v>0</v>
          </cell>
          <cell r="AM56">
            <v>0</v>
          </cell>
          <cell r="AN56">
            <v>4000</v>
          </cell>
          <cell r="AO56">
            <v>0</v>
          </cell>
          <cell r="AP56">
            <v>8030</v>
          </cell>
        </row>
        <row r="57">
          <cell r="B57" t="str">
            <v xml:space="preserve"> TT06</v>
          </cell>
          <cell r="C57" t="str">
            <v>Đặng Nguyễn Thế Anh</v>
          </cell>
          <cell r="D57" t="str">
            <v>NV Phòng thí nghiệm</v>
          </cell>
          <cell r="E57">
            <v>43040</v>
          </cell>
          <cell r="F57">
            <v>1</v>
          </cell>
          <cell r="G57">
            <v>0</v>
          </cell>
          <cell r="H57">
            <v>4</v>
          </cell>
          <cell r="I57">
            <v>24</v>
          </cell>
          <cell r="J57">
            <v>7310</v>
          </cell>
          <cell r="K57">
            <v>0</v>
          </cell>
          <cell r="L57">
            <v>0</v>
          </cell>
          <cell r="M57">
            <v>0</v>
          </cell>
          <cell r="N57">
            <v>0</v>
          </cell>
          <cell r="O57">
            <v>0</v>
          </cell>
          <cell r="P57">
            <v>0</v>
          </cell>
          <cell r="Q57">
            <v>0</v>
          </cell>
          <cell r="R57">
            <v>0</v>
          </cell>
          <cell r="S57">
            <v>0</v>
          </cell>
          <cell r="T57">
            <v>0</v>
          </cell>
          <cell r="U57">
            <v>0</v>
          </cell>
          <cell r="V57">
            <v>7310</v>
          </cell>
          <cell r="W57">
            <v>20.5</v>
          </cell>
          <cell r="X57">
            <v>1</v>
          </cell>
          <cell r="Y57">
            <v>0</v>
          </cell>
          <cell r="Z57">
            <v>0</v>
          </cell>
          <cell r="AA57">
            <v>0</v>
          </cell>
          <cell r="AB57">
            <v>0</v>
          </cell>
          <cell r="AC57">
            <v>0</v>
          </cell>
          <cell r="AD57">
            <v>0</v>
          </cell>
          <cell r="AE57">
            <v>0</v>
          </cell>
          <cell r="AF57">
            <v>0</v>
          </cell>
          <cell r="AG57">
            <v>0</v>
          </cell>
          <cell r="AH57">
            <v>0</v>
          </cell>
          <cell r="AI57">
            <v>0</v>
          </cell>
          <cell r="AJ57">
            <v>0</v>
          </cell>
          <cell r="AK57">
            <v>6548.5416666666661</v>
          </cell>
          <cell r="AL57">
            <v>0</v>
          </cell>
          <cell r="AM57">
            <v>0</v>
          </cell>
          <cell r="AN57">
            <v>0</v>
          </cell>
          <cell r="AO57">
            <v>0</v>
          </cell>
          <cell r="AP57">
            <v>6550</v>
          </cell>
        </row>
        <row r="58">
          <cell r="B58" t="str">
            <v xml:space="preserve"> TT07</v>
          </cell>
          <cell r="C58" t="str">
            <v>Trương Thị Tuyết Linh</v>
          </cell>
          <cell r="D58" t="str">
            <v>Chuyên viên NC ứng dụng  sản phẩm</v>
          </cell>
          <cell r="E58">
            <v>43116</v>
          </cell>
          <cell r="F58">
            <v>0</v>
          </cell>
          <cell r="G58">
            <v>0</v>
          </cell>
          <cell r="H58">
            <v>2</v>
          </cell>
          <cell r="I58">
            <v>9</v>
          </cell>
          <cell r="J58">
            <v>6000</v>
          </cell>
          <cell r="K58">
            <v>0</v>
          </cell>
          <cell r="L58">
            <v>0</v>
          </cell>
          <cell r="M58">
            <v>0</v>
          </cell>
          <cell r="N58">
            <v>0</v>
          </cell>
          <cell r="O58">
            <v>0</v>
          </cell>
          <cell r="P58">
            <v>0</v>
          </cell>
          <cell r="Q58">
            <v>0</v>
          </cell>
          <cell r="R58">
            <v>0</v>
          </cell>
          <cell r="S58">
            <v>0</v>
          </cell>
          <cell r="T58">
            <v>0</v>
          </cell>
          <cell r="U58">
            <v>0</v>
          </cell>
          <cell r="V58">
            <v>6000</v>
          </cell>
          <cell r="W58">
            <v>23.5</v>
          </cell>
          <cell r="X58">
            <v>0</v>
          </cell>
          <cell r="Y58">
            <v>0</v>
          </cell>
          <cell r="Z58">
            <v>0</v>
          </cell>
          <cell r="AA58">
            <v>0</v>
          </cell>
          <cell r="AB58">
            <v>0</v>
          </cell>
          <cell r="AC58">
            <v>0</v>
          </cell>
          <cell r="AD58">
            <v>0</v>
          </cell>
          <cell r="AE58">
            <v>0</v>
          </cell>
          <cell r="AF58">
            <v>0</v>
          </cell>
          <cell r="AG58">
            <v>0</v>
          </cell>
          <cell r="AH58">
            <v>0</v>
          </cell>
          <cell r="AI58">
            <v>0</v>
          </cell>
          <cell r="AJ58">
            <v>0</v>
          </cell>
          <cell r="AK58">
            <v>5875</v>
          </cell>
          <cell r="AL58">
            <v>0</v>
          </cell>
          <cell r="AM58">
            <v>0</v>
          </cell>
          <cell r="AN58">
            <v>0</v>
          </cell>
          <cell r="AO58">
            <v>0</v>
          </cell>
          <cell r="AP58">
            <v>5880</v>
          </cell>
        </row>
        <row r="59">
          <cell r="B59" t="str">
            <v xml:space="preserve"> TT08</v>
          </cell>
          <cell r="C59" t="str">
            <v>Phan Thị Trà Hiên</v>
          </cell>
          <cell r="D59" t="str">
            <v>NV Phòng thí nghiệm</v>
          </cell>
          <cell r="E59">
            <v>43171</v>
          </cell>
          <cell r="F59">
            <v>1</v>
          </cell>
          <cell r="G59">
            <v>0</v>
          </cell>
          <cell r="H59">
            <v>0</v>
          </cell>
          <cell r="I59">
            <v>13</v>
          </cell>
          <cell r="J59">
            <v>7310</v>
          </cell>
          <cell r="K59">
            <v>0</v>
          </cell>
          <cell r="L59">
            <v>0</v>
          </cell>
          <cell r="M59">
            <v>0</v>
          </cell>
          <cell r="N59">
            <v>0</v>
          </cell>
          <cell r="O59">
            <v>0</v>
          </cell>
          <cell r="P59">
            <v>0</v>
          </cell>
          <cell r="Q59">
            <v>0</v>
          </cell>
          <cell r="R59">
            <v>0</v>
          </cell>
          <cell r="S59">
            <v>0</v>
          </cell>
          <cell r="T59">
            <v>0</v>
          </cell>
          <cell r="U59">
            <v>0</v>
          </cell>
          <cell r="V59">
            <v>6213.5</v>
          </cell>
          <cell r="W59">
            <v>11</v>
          </cell>
          <cell r="X59">
            <v>0</v>
          </cell>
          <cell r="Y59">
            <v>0</v>
          </cell>
          <cell r="Z59">
            <v>0</v>
          </cell>
          <cell r="AA59">
            <v>0</v>
          </cell>
          <cell r="AB59">
            <v>0</v>
          </cell>
          <cell r="AC59">
            <v>0</v>
          </cell>
          <cell r="AD59">
            <v>0</v>
          </cell>
          <cell r="AE59">
            <v>0</v>
          </cell>
          <cell r="AF59">
            <v>0</v>
          </cell>
          <cell r="AG59">
            <v>0</v>
          </cell>
          <cell r="AH59">
            <v>0</v>
          </cell>
          <cell r="AI59">
            <v>0</v>
          </cell>
          <cell r="AJ59">
            <v>0</v>
          </cell>
          <cell r="AK59">
            <v>2847.8541666666665</v>
          </cell>
          <cell r="AL59">
            <v>0</v>
          </cell>
          <cell r="AM59">
            <v>0</v>
          </cell>
          <cell r="AN59">
            <v>0</v>
          </cell>
          <cell r="AO59">
            <v>0</v>
          </cell>
          <cell r="AP59">
            <v>2850</v>
          </cell>
        </row>
        <row r="60">
          <cell r="B60">
            <v>0</v>
          </cell>
          <cell r="C60" t="str">
            <v>Logistics</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36970</v>
          </cell>
          <cell r="AL60">
            <v>0</v>
          </cell>
          <cell r="AM60">
            <v>0</v>
          </cell>
          <cell r="AN60">
            <v>0</v>
          </cell>
          <cell r="AO60">
            <v>0</v>
          </cell>
          <cell r="AP60">
            <v>36970</v>
          </cell>
        </row>
        <row r="61">
          <cell r="B61" t="str">
            <v xml:space="preserve"> LG01 </v>
          </cell>
          <cell r="C61" t="str">
            <v xml:space="preserve"> Văn Khoa Trường </v>
          </cell>
          <cell r="D61" t="str">
            <v>GIÁM ĐỐC LOGISTICS</v>
          </cell>
          <cell r="E61">
            <v>42971</v>
          </cell>
          <cell r="F61">
            <v>3</v>
          </cell>
          <cell r="G61">
            <v>0</v>
          </cell>
          <cell r="H61">
            <v>7</v>
          </cell>
          <cell r="I61">
            <v>1</v>
          </cell>
          <cell r="J61">
            <v>31970</v>
          </cell>
          <cell r="K61">
            <v>0</v>
          </cell>
          <cell r="L61">
            <v>3000</v>
          </cell>
          <cell r="M61">
            <v>0</v>
          </cell>
          <cell r="N61">
            <v>0</v>
          </cell>
          <cell r="O61">
            <v>1000</v>
          </cell>
          <cell r="P61">
            <v>1000</v>
          </cell>
          <cell r="Q61">
            <v>0</v>
          </cell>
          <cell r="R61">
            <v>0</v>
          </cell>
          <cell r="S61">
            <v>0</v>
          </cell>
          <cell r="T61">
            <v>0</v>
          </cell>
          <cell r="U61">
            <v>0</v>
          </cell>
          <cell r="V61">
            <v>35970</v>
          </cell>
          <cell r="W61">
            <v>24</v>
          </cell>
          <cell r="X61">
            <v>0</v>
          </cell>
          <cell r="Y61">
            <v>0</v>
          </cell>
          <cell r="Z61">
            <v>0</v>
          </cell>
          <cell r="AA61">
            <v>0</v>
          </cell>
          <cell r="AB61">
            <v>0</v>
          </cell>
          <cell r="AC61">
            <v>0</v>
          </cell>
          <cell r="AD61">
            <v>0</v>
          </cell>
          <cell r="AE61">
            <v>0</v>
          </cell>
          <cell r="AF61">
            <v>0</v>
          </cell>
          <cell r="AG61">
            <v>0</v>
          </cell>
          <cell r="AH61">
            <v>0</v>
          </cell>
          <cell r="AI61">
            <v>0</v>
          </cell>
          <cell r="AJ61">
            <v>0</v>
          </cell>
          <cell r="AK61">
            <v>36970</v>
          </cell>
          <cell r="AL61">
            <v>0</v>
          </cell>
          <cell r="AM61">
            <v>0</v>
          </cell>
          <cell r="AN61">
            <v>0</v>
          </cell>
          <cell r="AO61">
            <v>0</v>
          </cell>
          <cell r="AP61">
            <v>36970</v>
          </cell>
        </row>
        <row r="62">
          <cell r="B62" t="str">
            <v>NHÀ MÁY</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row>
        <row r="63">
          <cell r="B63">
            <v>0</v>
          </cell>
          <cell r="C63" t="str">
            <v>BAN GIÁM ĐỐC</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40079</v>
          </cell>
          <cell r="AL63">
            <v>871.5</v>
          </cell>
          <cell r="AM63">
            <v>8300</v>
          </cell>
          <cell r="AN63">
            <v>0</v>
          </cell>
          <cell r="AO63">
            <v>0</v>
          </cell>
          <cell r="AP63">
            <v>39210</v>
          </cell>
        </row>
        <row r="64">
          <cell r="B64" t="str">
            <v xml:space="preserve"> XD01 </v>
          </cell>
          <cell r="C64" t="str">
            <v xml:space="preserve"> Lê Thanh Huy </v>
          </cell>
          <cell r="D64" t="str">
            <v>GIÁM ĐỐC NHÀ MÁY</v>
          </cell>
          <cell r="E64">
            <v>39471</v>
          </cell>
          <cell r="F64">
            <v>2</v>
          </cell>
          <cell r="G64">
            <v>10</v>
          </cell>
          <cell r="H64">
            <v>2</v>
          </cell>
          <cell r="I64">
            <v>1</v>
          </cell>
          <cell r="J64">
            <v>31890</v>
          </cell>
          <cell r="K64">
            <v>0</v>
          </cell>
          <cell r="L64">
            <v>3000</v>
          </cell>
          <cell r="M64">
            <v>3189</v>
          </cell>
          <cell r="N64">
            <v>0</v>
          </cell>
          <cell r="O64">
            <v>1000</v>
          </cell>
          <cell r="P64">
            <v>1000</v>
          </cell>
          <cell r="Q64">
            <v>0</v>
          </cell>
          <cell r="R64">
            <v>0</v>
          </cell>
          <cell r="S64">
            <v>0</v>
          </cell>
          <cell r="T64">
            <v>0</v>
          </cell>
          <cell r="U64">
            <v>0</v>
          </cell>
          <cell r="V64">
            <v>39079</v>
          </cell>
          <cell r="W64">
            <v>24</v>
          </cell>
          <cell r="X64">
            <v>0</v>
          </cell>
          <cell r="Y64">
            <v>0</v>
          </cell>
          <cell r="Z64">
            <v>0</v>
          </cell>
          <cell r="AA64">
            <v>0</v>
          </cell>
          <cell r="AB64">
            <v>0</v>
          </cell>
          <cell r="AC64">
            <v>0</v>
          </cell>
          <cell r="AD64">
            <v>0</v>
          </cell>
          <cell r="AE64">
            <v>0</v>
          </cell>
          <cell r="AF64">
            <v>0</v>
          </cell>
          <cell r="AG64">
            <v>0</v>
          </cell>
          <cell r="AH64">
            <v>0</v>
          </cell>
          <cell r="AI64">
            <v>0</v>
          </cell>
          <cell r="AJ64">
            <v>0</v>
          </cell>
          <cell r="AK64">
            <v>40079</v>
          </cell>
          <cell r="AL64">
            <v>871.5</v>
          </cell>
          <cell r="AM64">
            <v>8300</v>
          </cell>
          <cell r="AN64">
            <v>0</v>
          </cell>
          <cell r="AO64">
            <v>0</v>
          </cell>
          <cell r="AP64">
            <v>39210</v>
          </cell>
        </row>
        <row r="65">
          <cell r="B65">
            <v>0</v>
          </cell>
          <cell r="C65" t="str">
            <v>KHO</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71230.033333333326</v>
          </cell>
          <cell r="AL65">
            <v>1039.5</v>
          </cell>
          <cell r="AM65">
            <v>9900</v>
          </cell>
          <cell r="AN65">
            <v>22500</v>
          </cell>
          <cell r="AO65">
            <v>0</v>
          </cell>
          <cell r="AP65">
            <v>47700</v>
          </cell>
        </row>
        <row r="66">
          <cell r="B66" t="str">
            <v>LG03</v>
          </cell>
          <cell r="C66" t="str">
            <v>Phương Bình</v>
          </cell>
          <cell r="D66" t="str">
            <v>Giám sát kho</v>
          </cell>
          <cell r="E66">
            <v>41877</v>
          </cell>
          <cell r="F66">
            <v>4</v>
          </cell>
          <cell r="G66">
            <v>3</v>
          </cell>
          <cell r="H66">
            <v>6</v>
          </cell>
          <cell r="I66">
            <v>27</v>
          </cell>
          <cell r="J66">
            <v>9590</v>
          </cell>
          <cell r="K66">
            <v>200</v>
          </cell>
          <cell r="L66">
            <v>0</v>
          </cell>
          <cell r="M66">
            <v>287.7</v>
          </cell>
          <cell r="N66">
            <v>0</v>
          </cell>
          <cell r="O66">
            <v>0</v>
          </cell>
          <cell r="P66">
            <v>0</v>
          </cell>
          <cell r="Q66">
            <v>0</v>
          </cell>
          <cell r="R66">
            <v>0</v>
          </cell>
          <cell r="S66">
            <v>0</v>
          </cell>
          <cell r="T66">
            <v>0</v>
          </cell>
          <cell r="U66">
            <v>0</v>
          </cell>
          <cell r="V66">
            <v>10077.700000000001</v>
          </cell>
          <cell r="W66">
            <v>24</v>
          </cell>
          <cell r="X66">
            <v>0</v>
          </cell>
          <cell r="Y66">
            <v>0</v>
          </cell>
          <cell r="Z66">
            <v>15</v>
          </cell>
          <cell r="AA66">
            <v>0</v>
          </cell>
          <cell r="AB66">
            <v>0</v>
          </cell>
          <cell r="AC66">
            <v>0</v>
          </cell>
          <cell r="AD66">
            <v>0</v>
          </cell>
          <cell r="AE66">
            <v>0</v>
          </cell>
          <cell r="AF66">
            <v>0</v>
          </cell>
          <cell r="AG66">
            <v>0</v>
          </cell>
          <cell r="AH66">
            <v>0</v>
          </cell>
          <cell r="AI66">
            <v>0</v>
          </cell>
          <cell r="AJ66">
            <v>0</v>
          </cell>
          <cell r="AK66">
            <v>11652.340625000001</v>
          </cell>
          <cell r="AL66">
            <v>535.5</v>
          </cell>
          <cell r="AM66">
            <v>5100</v>
          </cell>
          <cell r="AN66">
            <v>4500</v>
          </cell>
          <cell r="AO66">
            <v>0</v>
          </cell>
          <cell r="AP66">
            <v>6620</v>
          </cell>
        </row>
        <row r="67">
          <cell r="B67" t="str">
            <v>LG02</v>
          </cell>
          <cell r="C67" t="str">
            <v>Nguyễn Trường Thạch</v>
          </cell>
          <cell r="D67" t="str">
            <v>NV kho</v>
          </cell>
          <cell r="E67">
            <v>42095</v>
          </cell>
          <cell r="F67">
            <v>3</v>
          </cell>
          <cell r="G67">
            <v>2</v>
          </cell>
          <cell r="H67">
            <v>11</v>
          </cell>
          <cell r="I67">
            <v>24</v>
          </cell>
          <cell r="J67">
            <v>7280</v>
          </cell>
          <cell r="K67">
            <v>200</v>
          </cell>
          <cell r="L67">
            <v>0</v>
          </cell>
          <cell r="M67">
            <v>0</v>
          </cell>
          <cell r="N67">
            <v>0</v>
          </cell>
          <cell r="O67">
            <v>0</v>
          </cell>
          <cell r="P67">
            <v>0</v>
          </cell>
          <cell r="Q67">
            <v>0</v>
          </cell>
          <cell r="R67">
            <v>0</v>
          </cell>
          <cell r="S67">
            <v>0</v>
          </cell>
          <cell r="T67">
            <v>0</v>
          </cell>
          <cell r="U67">
            <v>0</v>
          </cell>
          <cell r="V67">
            <v>7480</v>
          </cell>
          <cell r="W67">
            <v>24</v>
          </cell>
          <cell r="X67">
            <v>0</v>
          </cell>
          <cell r="Y67">
            <v>0</v>
          </cell>
          <cell r="Z67">
            <v>0</v>
          </cell>
          <cell r="AA67">
            <v>10.5</v>
          </cell>
          <cell r="AB67">
            <v>0</v>
          </cell>
          <cell r="AC67">
            <v>0</v>
          </cell>
          <cell r="AD67">
            <v>0</v>
          </cell>
          <cell r="AE67">
            <v>0</v>
          </cell>
          <cell r="AF67">
            <v>0</v>
          </cell>
          <cell r="AG67">
            <v>0</v>
          </cell>
          <cell r="AH67">
            <v>0</v>
          </cell>
          <cell r="AI67">
            <v>0</v>
          </cell>
          <cell r="AJ67">
            <v>0</v>
          </cell>
          <cell r="AK67">
            <v>8093.5937500000009</v>
          </cell>
          <cell r="AL67">
            <v>504</v>
          </cell>
          <cell r="AM67">
            <v>4800</v>
          </cell>
          <cell r="AN67">
            <v>3000</v>
          </cell>
          <cell r="AO67">
            <v>0</v>
          </cell>
          <cell r="AP67">
            <v>4590</v>
          </cell>
        </row>
        <row r="68">
          <cell r="B68" t="str">
            <v>LG04</v>
          </cell>
          <cell r="C68" t="str">
            <v>Mai Thanh Điền</v>
          </cell>
          <cell r="D68" t="str">
            <v>NV kho</v>
          </cell>
          <cell r="E68">
            <v>42788</v>
          </cell>
          <cell r="F68">
            <v>3</v>
          </cell>
          <cell r="G68">
            <v>1</v>
          </cell>
          <cell r="H68">
            <v>1</v>
          </cell>
          <cell r="I68">
            <v>3</v>
          </cell>
          <cell r="J68">
            <v>7280</v>
          </cell>
          <cell r="K68">
            <v>200</v>
          </cell>
          <cell r="L68">
            <v>0</v>
          </cell>
          <cell r="M68">
            <v>0</v>
          </cell>
          <cell r="N68">
            <v>0</v>
          </cell>
          <cell r="O68">
            <v>0</v>
          </cell>
          <cell r="P68">
            <v>0</v>
          </cell>
          <cell r="Q68">
            <v>0</v>
          </cell>
          <cell r="R68">
            <v>0</v>
          </cell>
          <cell r="S68">
            <v>0</v>
          </cell>
          <cell r="T68">
            <v>0</v>
          </cell>
          <cell r="U68">
            <v>0</v>
          </cell>
          <cell r="V68">
            <v>7480</v>
          </cell>
          <cell r="W68">
            <v>24</v>
          </cell>
          <cell r="X68">
            <v>0</v>
          </cell>
          <cell r="Y68">
            <v>0</v>
          </cell>
          <cell r="Z68">
            <v>0</v>
          </cell>
          <cell r="AA68">
            <v>19</v>
          </cell>
          <cell r="AB68">
            <v>0</v>
          </cell>
          <cell r="AC68">
            <v>0</v>
          </cell>
          <cell r="AD68">
            <v>0</v>
          </cell>
          <cell r="AE68">
            <v>0</v>
          </cell>
          <cell r="AF68">
            <v>0</v>
          </cell>
          <cell r="AG68">
            <v>0</v>
          </cell>
          <cell r="AH68">
            <v>0</v>
          </cell>
          <cell r="AI68">
            <v>0</v>
          </cell>
          <cell r="AJ68">
            <v>0</v>
          </cell>
          <cell r="AK68">
            <v>8590.3125</v>
          </cell>
          <cell r="AL68">
            <v>0</v>
          </cell>
          <cell r="AM68">
            <v>0</v>
          </cell>
          <cell r="AN68">
            <v>3000</v>
          </cell>
          <cell r="AO68">
            <v>0</v>
          </cell>
          <cell r="AP68">
            <v>5590</v>
          </cell>
        </row>
        <row r="69">
          <cell r="B69" t="str">
            <v>LG05</v>
          </cell>
          <cell r="C69" t="str">
            <v>Nguyễn Tấn Lộc</v>
          </cell>
          <cell r="D69" t="str">
            <v>NV kho</v>
          </cell>
          <cell r="E69">
            <v>42810</v>
          </cell>
          <cell r="F69">
            <v>3</v>
          </cell>
          <cell r="G69">
            <v>1</v>
          </cell>
          <cell r="H69">
            <v>0</v>
          </cell>
          <cell r="I69">
            <v>9</v>
          </cell>
          <cell r="J69">
            <v>7280</v>
          </cell>
          <cell r="K69">
            <v>200</v>
          </cell>
          <cell r="L69">
            <v>0</v>
          </cell>
          <cell r="M69">
            <v>0</v>
          </cell>
          <cell r="N69">
            <v>0</v>
          </cell>
          <cell r="O69">
            <v>0</v>
          </cell>
          <cell r="P69">
            <v>0</v>
          </cell>
          <cell r="Q69">
            <v>0</v>
          </cell>
          <cell r="R69">
            <v>0</v>
          </cell>
          <cell r="S69">
            <v>0</v>
          </cell>
          <cell r="T69">
            <v>0</v>
          </cell>
          <cell r="U69">
            <v>0</v>
          </cell>
          <cell r="V69">
            <v>7480</v>
          </cell>
          <cell r="W69">
            <v>24</v>
          </cell>
          <cell r="X69">
            <v>0</v>
          </cell>
          <cell r="Y69">
            <v>0</v>
          </cell>
          <cell r="Z69">
            <v>8</v>
          </cell>
          <cell r="AA69">
            <v>48</v>
          </cell>
          <cell r="AB69">
            <v>0</v>
          </cell>
          <cell r="AC69">
            <v>0</v>
          </cell>
          <cell r="AD69">
            <v>0</v>
          </cell>
          <cell r="AE69">
            <v>0</v>
          </cell>
          <cell r="AF69">
            <v>0</v>
          </cell>
          <cell r="AG69">
            <v>0</v>
          </cell>
          <cell r="AH69">
            <v>0</v>
          </cell>
          <cell r="AI69">
            <v>0</v>
          </cell>
          <cell r="AJ69">
            <v>0</v>
          </cell>
          <cell r="AK69">
            <v>10908.333333333334</v>
          </cell>
          <cell r="AL69">
            <v>0</v>
          </cell>
          <cell r="AM69">
            <v>0</v>
          </cell>
          <cell r="AN69">
            <v>3000</v>
          </cell>
          <cell r="AO69">
            <v>0</v>
          </cell>
          <cell r="AP69">
            <v>7910</v>
          </cell>
        </row>
        <row r="70">
          <cell r="B70" t="str">
            <v>LG06</v>
          </cell>
          <cell r="C70" t="str">
            <v>Lương Minh Hòa</v>
          </cell>
          <cell r="D70" t="str">
            <v>NV kho</v>
          </cell>
          <cell r="E70">
            <v>42844</v>
          </cell>
          <cell r="F70">
            <v>3</v>
          </cell>
          <cell r="G70">
            <v>0</v>
          </cell>
          <cell r="H70">
            <v>11</v>
          </cell>
          <cell r="I70">
            <v>6</v>
          </cell>
          <cell r="J70">
            <v>7280</v>
          </cell>
          <cell r="K70">
            <v>200</v>
          </cell>
          <cell r="L70">
            <v>0</v>
          </cell>
          <cell r="M70">
            <v>0</v>
          </cell>
          <cell r="N70">
            <v>0</v>
          </cell>
          <cell r="O70">
            <v>0</v>
          </cell>
          <cell r="P70">
            <v>0</v>
          </cell>
          <cell r="Q70">
            <v>0</v>
          </cell>
          <cell r="R70">
            <v>0</v>
          </cell>
          <cell r="S70">
            <v>0</v>
          </cell>
          <cell r="T70">
            <v>0</v>
          </cell>
          <cell r="U70">
            <v>0</v>
          </cell>
          <cell r="V70">
            <v>7480</v>
          </cell>
          <cell r="W70">
            <v>23</v>
          </cell>
          <cell r="X70">
            <v>1</v>
          </cell>
          <cell r="Y70">
            <v>0</v>
          </cell>
          <cell r="Z70">
            <v>17</v>
          </cell>
          <cell r="AA70">
            <v>27</v>
          </cell>
          <cell r="AB70">
            <v>0</v>
          </cell>
          <cell r="AC70">
            <v>0</v>
          </cell>
          <cell r="AD70">
            <v>0</v>
          </cell>
          <cell r="AE70">
            <v>0</v>
          </cell>
          <cell r="AF70">
            <v>0</v>
          </cell>
          <cell r="AG70">
            <v>0</v>
          </cell>
          <cell r="AH70">
            <v>0</v>
          </cell>
          <cell r="AI70">
            <v>0</v>
          </cell>
          <cell r="AJ70">
            <v>0</v>
          </cell>
          <cell r="AK70">
            <v>10374.062500000002</v>
          </cell>
          <cell r="AL70">
            <v>0</v>
          </cell>
          <cell r="AM70">
            <v>0</v>
          </cell>
          <cell r="AN70">
            <v>3000</v>
          </cell>
          <cell r="AO70">
            <v>0</v>
          </cell>
          <cell r="AP70">
            <v>7370</v>
          </cell>
        </row>
        <row r="71">
          <cell r="B71" t="str">
            <v>LG09</v>
          </cell>
          <cell r="C71" t="str">
            <v>Nguyễn Hữu Tài</v>
          </cell>
          <cell r="D71" t="str">
            <v>NV kho</v>
          </cell>
          <cell r="E71">
            <v>43083</v>
          </cell>
          <cell r="F71">
            <v>1</v>
          </cell>
          <cell r="G71">
            <v>0</v>
          </cell>
          <cell r="H71">
            <v>3</v>
          </cell>
          <cell r="I71">
            <v>11</v>
          </cell>
          <cell r="J71">
            <v>6020</v>
          </cell>
          <cell r="K71">
            <v>200</v>
          </cell>
          <cell r="L71">
            <v>0</v>
          </cell>
          <cell r="M71">
            <v>0</v>
          </cell>
          <cell r="N71">
            <v>0</v>
          </cell>
          <cell r="O71">
            <v>0</v>
          </cell>
          <cell r="P71">
            <v>0</v>
          </cell>
          <cell r="Q71">
            <v>0</v>
          </cell>
          <cell r="R71">
            <v>0</v>
          </cell>
          <cell r="S71">
            <v>0</v>
          </cell>
          <cell r="T71">
            <v>0</v>
          </cell>
          <cell r="U71">
            <v>0</v>
          </cell>
          <cell r="V71">
            <v>6220</v>
          </cell>
          <cell r="W71">
            <v>20</v>
          </cell>
          <cell r="X71">
            <v>0</v>
          </cell>
          <cell r="Y71">
            <v>0</v>
          </cell>
          <cell r="Z71">
            <v>8</v>
          </cell>
          <cell r="AA71">
            <v>28.5</v>
          </cell>
          <cell r="AB71">
            <v>0</v>
          </cell>
          <cell r="AC71">
            <v>0</v>
          </cell>
          <cell r="AD71">
            <v>0</v>
          </cell>
          <cell r="AE71">
            <v>0</v>
          </cell>
          <cell r="AF71">
            <v>0</v>
          </cell>
          <cell r="AG71">
            <v>0</v>
          </cell>
          <cell r="AH71">
            <v>0</v>
          </cell>
          <cell r="AI71">
            <v>0</v>
          </cell>
          <cell r="AJ71">
            <v>0</v>
          </cell>
          <cell r="AK71">
            <v>7086.588541666667</v>
          </cell>
          <cell r="AL71">
            <v>0</v>
          </cell>
          <cell r="AM71">
            <v>0</v>
          </cell>
          <cell r="AN71">
            <v>3000</v>
          </cell>
          <cell r="AO71">
            <v>0</v>
          </cell>
          <cell r="AP71">
            <v>4090</v>
          </cell>
        </row>
        <row r="72">
          <cell r="B72" t="str">
            <v>LG10</v>
          </cell>
          <cell r="C72" t="str">
            <v>Nguyễn Thị Đầm</v>
          </cell>
          <cell r="D72" t="str">
            <v>Admin Kho/ Kế toán kho</v>
          </cell>
          <cell r="E72">
            <v>43125</v>
          </cell>
          <cell r="F72">
            <v>1</v>
          </cell>
          <cell r="G72">
            <v>0</v>
          </cell>
          <cell r="H72">
            <v>2</v>
          </cell>
          <cell r="I72">
            <v>0</v>
          </cell>
          <cell r="J72">
            <v>7760</v>
          </cell>
          <cell r="K72">
            <v>0</v>
          </cell>
          <cell r="L72">
            <v>200</v>
          </cell>
          <cell r="M72">
            <v>0</v>
          </cell>
          <cell r="N72">
            <v>0</v>
          </cell>
          <cell r="O72">
            <v>0</v>
          </cell>
          <cell r="P72">
            <v>0</v>
          </cell>
          <cell r="Q72">
            <v>0</v>
          </cell>
          <cell r="R72">
            <v>0</v>
          </cell>
          <cell r="S72">
            <v>0</v>
          </cell>
          <cell r="T72">
            <v>0</v>
          </cell>
          <cell r="U72">
            <v>0</v>
          </cell>
          <cell r="V72">
            <v>6766</v>
          </cell>
          <cell r="W72">
            <v>24</v>
          </cell>
          <cell r="X72">
            <v>0</v>
          </cell>
          <cell r="Y72">
            <v>0</v>
          </cell>
          <cell r="Z72">
            <v>0</v>
          </cell>
          <cell r="AA72">
            <v>0</v>
          </cell>
          <cell r="AB72">
            <v>0</v>
          </cell>
          <cell r="AC72">
            <v>0</v>
          </cell>
          <cell r="AD72">
            <v>0</v>
          </cell>
          <cell r="AE72">
            <v>0</v>
          </cell>
          <cell r="AF72">
            <v>0</v>
          </cell>
          <cell r="AG72">
            <v>0</v>
          </cell>
          <cell r="AH72">
            <v>0</v>
          </cell>
          <cell r="AI72">
            <v>0</v>
          </cell>
          <cell r="AJ72">
            <v>0</v>
          </cell>
          <cell r="AK72">
            <v>6766</v>
          </cell>
          <cell r="AL72">
            <v>0</v>
          </cell>
          <cell r="AM72">
            <v>0</v>
          </cell>
          <cell r="AN72">
            <v>0</v>
          </cell>
          <cell r="AO72">
            <v>0</v>
          </cell>
          <cell r="AP72">
            <v>6770</v>
          </cell>
        </row>
        <row r="73">
          <cell r="B73" t="str">
            <v>LG11</v>
          </cell>
          <cell r="C73" t="str">
            <v>Nguyễn Minh Hoàn</v>
          </cell>
          <cell r="D73" t="str">
            <v>NV kho</v>
          </cell>
          <cell r="E73">
            <v>43115</v>
          </cell>
          <cell r="F73">
            <v>1</v>
          </cell>
          <cell r="G73">
            <v>0</v>
          </cell>
          <cell r="H73">
            <v>2</v>
          </cell>
          <cell r="I73">
            <v>10</v>
          </cell>
          <cell r="J73">
            <v>6020</v>
          </cell>
          <cell r="K73">
            <v>200</v>
          </cell>
          <cell r="L73">
            <v>0</v>
          </cell>
          <cell r="M73">
            <v>0</v>
          </cell>
          <cell r="N73">
            <v>0</v>
          </cell>
          <cell r="O73">
            <v>0</v>
          </cell>
          <cell r="P73">
            <v>0</v>
          </cell>
          <cell r="Q73">
            <v>0</v>
          </cell>
          <cell r="R73">
            <v>0</v>
          </cell>
          <cell r="S73">
            <v>0</v>
          </cell>
          <cell r="T73">
            <v>0</v>
          </cell>
          <cell r="U73">
            <v>0</v>
          </cell>
          <cell r="V73">
            <v>6220</v>
          </cell>
          <cell r="W73">
            <v>24</v>
          </cell>
          <cell r="X73">
            <v>0</v>
          </cell>
          <cell r="Y73">
            <v>0</v>
          </cell>
          <cell r="Z73">
            <v>8</v>
          </cell>
          <cell r="AA73">
            <v>21</v>
          </cell>
          <cell r="AB73">
            <v>0</v>
          </cell>
          <cell r="AC73">
            <v>0</v>
          </cell>
          <cell r="AD73">
            <v>0</v>
          </cell>
          <cell r="AE73">
            <v>0</v>
          </cell>
          <cell r="AF73">
            <v>0</v>
          </cell>
          <cell r="AG73">
            <v>0</v>
          </cell>
          <cell r="AH73">
            <v>0</v>
          </cell>
          <cell r="AI73">
            <v>0</v>
          </cell>
          <cell r="AJ73">
            <v>0</v>
          </cell>
          <cell r="AK73">
            <v>7758.8020833333339</v>
          </cell>
          <cell r="AL73">
            <v>0</v>
          </cell>
          <cell r="AM73">
            <v>0</v>
          </cell>
          <cell r="AN73">
            <v>3000</v>
          </cell>
          <cell r="AO73">
            <v>0</v>
          </cell>
          <cell r="AP73">
            <v>4760</v>
          </cell>
        </row>
        <row r="74">
          <cell r="B74">
            <v>0</v>
          </cell>
          <cell r="C74" t="str">
            <v>QUẢN LÝ TRẠM CÂN</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38375.399999999994</v>
          </cell>
          <cell r="AL74">
            <v>1543.5</v>
          </cell>
          <cell r="AM74">
            <v>14700</v>
          </cell>
          <cell r="AN74">
            <v>10100</v>
          </cell>
          <cell r="AO74">
            <v>0</v>
          </cell>
          <cell r="AP74">
            <v>26730</v>
          </cell>
        </row>
        <row r="75">
          <cell r="B75" t="str">
            <v>TR01</v>
          </cell>
          <cell r="C75" t="str">
            <v>Nguyễn Văn Thanh</v>
          </cell>
          <cell r="D75" t="str">
            <v>Quản lý trạm cân</v>
          </cell>
          <cell r="E75">
            <v>40868</v>
          </cell>
          <cell r="F75">
            <v>2</v>
          </cell>
          <cell r="G75">
            <v>6</v>
          </cell>
          <cell r="H75">
            <v>4</v>
          </cell>
          <cell r="I75">
            <v>4</v>
          </cell>
          <cell r="J75">
            <v>9210</v>
          </cell>
          <cell r="K75">
            <v>0</v>
          </cell>
          <cell r="L75">
            <v>0</v>
          </cell>
          <cell r="M75">
            <v>552.6</v>
          </cell>
          <cell r="N75">
            <v>0</v>
          </cell>
          <cell r="O75">
            <v>0</v>
          </cell>
          <cell r="P75">
            <v>0</v>
          </cell>
          <cell r="Q75">
            <v>0</v>
          </cell>
          <cell r="R75">
            <v>2484</v>
          </cell>
          <cell r="S75">
            <v>0</v>
          </cell>
          <cell r="T75">
            <v>0</v>
          </cell>
          <cell r="U75">
            <v>7000</v>
          </cell>
          <cell r="V75">
            <v>19246.599999999999</v>
          </cell>
          <cell r="W75">
            <v>24</v>
          </cell>
          <cell r="X75">
            <v>0</v>
          </cell>
          <cell r="Y75">
            <v>0</v>
          </cell>
          <cell r="Z75">
            <v>0</v>
          </cell>
          <cell r="AA75">
            <v>0</v>
          </cell>
          <cell r="AB75">
            <v>0</v>
          </cell>
          <cell r="AC75">
            <v>0</v>
          </cell>
          <cell r="AD75">
            <v>0</v>
          </cell>
          <cell r="AE75">
            <v>0</v>
          </cell>
          <cell r="AF75">
            <v>0</v>
          </cell>
          <cell r="AG75">
            <v>0</v>
          </cell>
          <cell r="AH75">
            <v>0</v>
          </cell>
          <cell r="AI75">
            <v>0</v>
          </cell>
          <cell r="AJ75">
            <v>0</v>
          </cell>
          <cell r="AK75">
            <v>19246.599999999999</v>
          </cell>
          <cell r="AL75">
            <v>535.5</v>
          </cell>
          <cell r="AM75">
            <v>5100</v>
          </cell>
          <cell r="AN75">
            <v>4100</v>
          </cell>
          <cell r="AO75">
            <v>0</v>
          </cell>
          <cell r="AP75">
            <v>14610</v>
          </cell>
        </row>
        <row r="76">
          <cell r="B76" t="str">
            <v>TR02</v>
          </cell>
          <cell r="C76" t="str">
            <v>Nguyễn Hùng Dũng</v>
          </cell>
          <cell r="D76" t="str">
            <v>NV trạm cân</v>
          </cell>
          <cell r="E76">
            <v>42064</v>
          </cell>
          <cell r="F76">
            <v>4</v>
          </cell>
          <cell r="G76">
            <v>3</v>
          </cell>
          <cell r="H76">
            <v>0</v>
          </cell>
          <cell r="I76">
            <v>24</v>
          </cell>
          <cell r="J76">
            <v>6960</v>
          </cell>
          <cell r="K76">
            <v>0</v>
          </cell>
          <cell r="L76">
            <v>0</v>
          </cell>
          <cell r="M76">
            <v>208.79999999999998</v>
          </cell>
          <cell r="N76">
            <v>0</v>
          </cell>
          <cell r="O76">
            <v>0</v>
          </cell>
          <cell r="P76">
            <v>0</v>
          </cell>
          <cell r="Q76">
            <v>0</v>
          </cell>
          <cell r="R76">
            <v>0</v>
          </cell>
          <cell r="S76">
            <v>0</v>
          </cell>
          <cell r="T76">
            <v>0</v>
          </cell>
          <cell r="U76">
            <v>3000</v>
          </cell>
          <cell r="V76">
            <v>10168.799999999999</v>
          </cell>
          <cell r="W76">
            <v>28</v>
          </cell>
          <cell r="X76">
            <v>0</v>
          </cell>
          <cell r="Y76">
            <v>0</v>
          </cell>
          <cell r="Z76">
            <v>0</v>
          </cell>
          <cell r="AA76">
            <v>0</v>
          </cell>
          <cell r="AB76">
            <v>0</v>
          </cell>
          <cell r="AC76">
            <v>0</v>
          </cell>
          <cell r="AD76">
            <v>0</v>
          </cell>
          <cell r="AE76">
            <v>0</v>
          </cell>
          <cell r="AF76">
            <v>0</v>
          </cell>
          <cell r="AG76">
            <v>0</v>
          </cell>
          <cell r="AH76">
            <v>0</v>
          </cell>
          <cell r="AI76">
            <v>0</v>
          </cell>
          <cell r="AJ76">
            <v>0</v>
          </cell>
          <cell r="AK76">
            <v>10168.799999999999</v>
          </cell>
          <cell r="AL76">
            <v>504</v>
          </cell>
          <cell r="AM76">
            <v>4800</v>
          </cell>
          <cell r="AN76">
            <v>3000</v>
          </cell>
          <cell r="AO76">
            <v>0</v>
          </cell>
          <cell r="AP76">
            <v>6660</v>
          </cell>
        </row>
        <row r="77">
          <cell r="B77" t="str">
            <v>TR03</v>
          </cell>
          <cell r="C77" t="str">
            <v>Danh Thủy</v>
          </cell>
          <cell r="D77" t="str">
            <v>NV trạm cân</v>
          </cell>
          <cell r="E77">
            <v>42618</v>
          </cell>
          <cell r="F77">
            <v>4</v>
          </cell>
          <cell r="G77">
            <v>1</v>
          </cell>
          <cell r="H77">
            <v>6</v>
          </cell>
          <cell r="I77">
            <v>20</v>
          </cell>
          <cell r="J77">
            <v>6960</v>
          </cell>
          <cell r="K77">
            <v>0</v>
          </cell>
          <cell r="L77">
            <v>0</v>
          </cell>
          <cell r="M77">
            <v>0</v>
          </cell>
          <cell r="N77">
            <v>0</v>
          </cell>
          <cell r="O77">
            <v>0</v>
          </cell>
          <cell r="P77">
            <v>0</v>
          </cell>
          <cell r="Q77">
            <v>0</v>
          </cell>
          <cell r="R77">
            <v>0</v>
          </cell>
          <cell r="S77">
            <v>0</v>
          </cell>
          <cell r="T77">
            <v>0</v>
          </cell>
          <cell r="U77">
            <v>2000</v>
          </cell>
          <cell r="V77">
            <v>8960</v>
          </cell>
          <cell r="W77">
            <v>28</v>
          </cell>
          <cell r="X77">
            <v>0</v>
          </cell>
          <cell r="Y77">
            <v>0</v>
          </cell>
          <cell r="Z77">
            <v>0</v>
          </cell>
          <cell r="AA77">
            <v>0</v>
          </cell>
          <cell r="AB77">
            <v>0</v>
          </cell>
          <cell r="AC77">
            <v>0</v>
          </cell>
          <cell r="AD77">
            <v>0</v>
          </cell>
          <cell r="AE77">
            <v>0</v>
          </cell>
          <cell r="AF77">
            <v>0</v>
          </cell>
          <cell r="AG77">
            <v>0</v>
          </cell>
          <cell r="AH77">
            <v>0</v>
          </cell>
          <cell r="AI77">
            <v>0</v>
          </cell>
          <cell r="AJ77">
            <v>0</v>
          </cell>
          <cell r="AK77">
            <v>8960</v>
          </cell>
          <cell r="AL77">
            <v>504</v>
          </cell>
          <cell r="AM77">
            <v>4800</v>
          </cell>
          <cell r="AN77">
            <v>3000</v>
          </cell>
          <cell r="AO77">
            <v>0</v>
          </cell>
          <cell r="AP77">
            <v>5460</v>
          </cell>
        </row>
        <row r="78">
          <cell r="B78">
            <v>0</v>
          </cell>
          <cell r="C78" t="str">
            <v>CƠ ĐIỆN</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94021.262109375006</v>
          </cell>
          <cell r="AL78">
            <v>4001.34</v>
          </cell>
          <cell r="AM78">
            <v>38108</v>
          </cell>
          <cell r="AN78">
            <v>28000</v>
          </cell>
          <cell r="AO78">
            <v>0</v>
          </cell>
          <cell r="AP78">
            <v>62020</v>
          </cell>
        </row>
        <row r="79">
          <cell r="B79" t="str">
            <v>CĐ01</v>
          </cell>
          <cell r="C79" t="str">
            <v>Đào Công Thắng</v>
          </cell>
          <cell r="D79" t="str">
            <v>Tổ trưởng bảo trì cơ điện</v>
          </cell>
          <cell r="E79">
            <v>41611</v>
          </cell>
          <cell r="F79">
            <v>4</v>
          </cell>
          <cell r="G79">
            <v>4</v>
          </cell>
          <cell r="H79">
            <v>3</v>
          </cell>
          <cell r="I79">
            <v>22</v>
          </cell>
          <cell r="J79">
            <v>12880</v>
          </cell>
          <cell r="K79">
            <v>0</v>
          </cell>
          <cell r="L79">
            <v>500</v>
          </cell>
          <cell r="M79">
            <v>515.20000000000005</v>
          </cell>
          <cell r="N79">
            <v>0</v>
          </cell>
          <cell r="O79">
            <v>200</v>
          </cell>
          <cell r="P79">
            <v>300</v>
          </cell>
          <cell r="Q79">
            <v>0</v>
          </cell>
          <cell r="R79">
            <v>0</v>
          </cell>
          <cell r="S79">
            <v>0</v>
          </cell>
          <cell r="T79">
            <v>0</v>
          </cell>
          <cell r="U79">
            <v>0</v>
          </cell>
          <cell r="V79">
            <v>14095.2</v>
          </cell>
          <cell r="W79">
            <v>23</v>
          </cell>
          <cell r="X79">
            <v>1</v>
          </cell>
          <cell r="Y79">
            <v>0</v>
          </cell>
          <cell r="Z79">
            <v>0</v>
          </cell>
          <cell r="AA79">
            <v>0</v>
          </cell>
          <cell r="AB79">
            <v>0</v>
          </cell>
          <cell r="AC79">
            <v>0</v>
          </cell>
          <cell r="AD79">
            <v>0</v>
          </cell>
          <cell r="AE79">
            <v>0</v>
          </cell>
          <cell r="AF79">
            <v>0</v>
          </cell>
          <cell r="AG79">
            <v>0</v>
          </cell>
          <cell r="AH79">
            <v>0</v>
          </cell>
          <cell r="AI79">
            <v>0</v>
          </cell>
          <cell r="AJ79">
            <v>0</v>
          </cell>
          <cell r="AK79">
            <v>14344.566666666668</v>
          </cell>
          <cell r="AL79">
            <v>535.5</v>
          </cell>
          <cell r="AM79">
            <v>5100</v>
          </cell>
          <cell r="AN79">
            <v>3000</v>
          </cell>
          <cell r="AO79">
            <v>0</v>
          </cell>
          <cell r="AP79">
            <v>10810</v>
          </cell>
        </row>
        <row r="80">
          <cell r="B80" t="str">
            <v>CĐ02</v>
          </cell>
          <cell r="C80" t="str">
            <v>Nguyễn Thanh Nhàn</v>
          </cell>
          <cell r="D80" t="str">
            <v>Tổ phó bảo trì</v>
          </cell>
          <cell r="E80">
            <v>42201</v>
          </cell>
          <cell r="F80">
            <v>2</v>
          </cell>
          <cell r="G80">
            <v>2</v>
          </cell>
          <cell r="H80">
            <v>8</v>
          </cell>
          <cell r="I80">
            <v>9</v>
          </cell>
          <cell r="J80">
            <v>9440</v>
          </cell>
          <cell r="K80">
            <v>0</v>
          </cell>
          <cell r="L80">
            <v>200</v>
          </cell>
          <cell r="M80">
            <v>0</v>
          </cell>
          <cell r="N80">
            <v>0</v>
          </cell>
          <cell r="O80">
            <v>100</v>
          </cell>
          <cell r="P80">
            <v>200</v>
          </cell>
          <cell r="Q80">
            <v>0</v>
          </cell>
          <cell r="R80">
            <v>0</v>
          </cell>
          <cell r="S80">
            <v>0</v>
          </cell>
          <cell r="T80">
            <v>0</v>
          </cell>
          <cell r="U80">
            <v>0</v>
          </cell>
          <cell r="V80">
            <v>9740</v>
          </cell>
          <cell r="W80">
            <v>23</v>
          </cell>
          <cell r="X80">
            <v>0</v>
          </cell>
          <cell r="Y80">
            <v>0</v>
          </cell>
          <cell r="Z80">
            <v>0</v>
          </cell>
          <cell r="AA80">
            <v>0</v>
          </cell>
          <cell r="AB80">
            <v>0</v>
          </cell>
          <cell r="AC80">
            <v>0</v>
          </cell>
          <cell r="AD80">
            <v>0</v>
          </cell>
          <cell r="AE80">
            <v>0</v>
          </cell>
          <cell r="AF80">
            <v>0</v>
          </cell>
          <cell r="AG80">
            <v>0</v>
          </cell>
          <cell r="AH80">
            <v>0</v>
          </cell>
          <cell r="AI80">
            <v>0</v>
          </cell>
          <cell r="AJ80">
            <v>0</v>
          </cell>
          <cell r="AK80">
            <v>9534.1666666666661</v>
          </cell>
          <cell r="AL80">
            <v>535.5</v>
          </cell>
          <cell r="AM80">
            <v>5100</v>
          </cell>
          <cell r="AN80">
            <v>3000</v>
          </cell>
          <cell r="AO80">
            <v>0</v>
          </cell>
          <cell r="AP80">
            <v>6000</v>
          </cell>
        </row>
        <row r="81">
          <cell r="B81" t="str">
            <v>CĐ03</v>
          </cell>
          <cell r="C81" t="str">
            <v>Nguyễn Thanh Lâm</v>
          </cell>
          <cell r="D81" t="str">
            <v>Nhân viên bảo trì cơ khí</v>
          </cell>
          <cell r="E81">
            <v>42065</v>
          </cell>
          <cell r="F81">
            <v>2</v>
          </cell>
          <cell r="G81">
            <v>3</v>
          </cell>
          <cell r="H81">
            <v>0</v>
          </cell>
          <cell r="I81">
            <v>23</v>
          </cell>
          <cell r="J81">
            <v>7590</v>
          </cell>
          <cell r="K81">
            <v>0</v>
          </cell>
          <cell r="L81">
            <v>0</v>
          </cell>
          <cell r="M81">
            <v>227.7</v>
          </cell>
          <cell r="N81">
            <v>0</v>
          </cell>
          <cell r="O81">
            <v>0</v>
          </cell>
          <cell r="P81">
            <v>0</v>
          </cell>
          <cell r="Q81">
            <v>0</v>
          </cell>
          <cell r="R81">
            <v>0</v>
          </cell>
          <cell r="S81">
            <v>0</v>
          </cell>
          <cell r="T81">
            <v>0</v>
          </cell>
          <cell r="U81">
            <v>0</v>
          </cell>
          <cell r="V81">
            <v>7817.7</v>
          </cell>
          <cell r="W81">
            <v>18</v>
          </cell>
          <cell r="X81">
            <v>4</v>
          </cell>
          <cell r="Y81">
            <v>0</v>
          </cell>
          <cell r="Z81">
            <v>9</v>
          </cell>
          <cell r="AA81">
            <v>0</v>
          </cell>
          <cell r="AB81">
            <v>0</v>
          </cell>
          <cell r="AC81">
            <v>0</v>
          </cell>
          <cell r="AD81">
            <v>0</v>
          </cell>
          <cell r="AE81">
            <v>0</v>
          </cell>
          <cell r="AF81">
            <v>0</v>
          </cell>
          <cell r="AG81">
            <v>0</v>
          </cell>
          <cell r="AH81">
            <v>0</v>
          </cell>
          <cell r="AI81">
            <v>0</v>
          </cell>
          <cell r="AJ81">
            <v>0</v>
          </cell>
          <cell r="AK81">
            <v>7861.1843749999998</v>
          </cell>
          <cell r="AL81">
            <v>504</v>
          </cell>
          <cell r="AM81">
            <v>4800</v>
          </cell>
          <cell r="AN81">
            <v>3000</v>
          </cell>
          <cell r="AO81">
            <v>0</v>
          </cell>
          <cell r="AP81">
            <v>4360</v>
          </cell>
        </row>
        <row r="82">
          <cell r="B82" t="str">
            <v>CĐ09</v>
          </cell>
          <cell r="C82" t="str">
            <v>Trần Ngọc Minh</v>
          </cell>
          <cell r="D82" t="str">
            <v>Nhân viên bảo trì cơ khí</v>
          </cell>
          <cell r="E82">
            <v>41108</v>
          </cell>
          <cell r="F82">
            <v>2</v>
          </cell>
          <cell r="G82">
            <v>5</v>
          </cell>
          <cell r="H82">
            <v>8</v>
          </cell>
          <cell r="I82">
            <v>7</v>
          </cell>
          <cell r="J82">
            <v>7590</v>
          </cell>
          <cell r="K82">
            <v>0</v>
          </cell>
          <cell r="L82">
            <v>0</v>
          </cell>
          <cell r="M82">
            <v>379.5</v>
          </cell>
          <cell r="N82">
            <v>0</v>
          </cell>
          <cell r="O82">
            <v>0</v>
          </cell>
          <cell r="P82">
            <v>0</v>
          </cell>
          <cell r="Q82">
            <v>0</v>
          </cell>
          <cell r="R82">
            <v>0</v>
          </cell>
          <cell r="S82">
            <v>0</v>
          </cell>
          <cell r="T82">
            <v>0</v>
          </cell>
          <cell r="U82">
            <v>0</v>
          </cell>
          <cell r="V82">
            <v>7969.5</v>
          </cell>
          <cell r="W82">
            <v>24</v>
          </cell>
          <cell r="X82">
            <v>0</v>
          </cell>
          <cell r="Y82">
            <v>0</v>
          </cell>
          <cell r="Z82">
            <v>9</v>
          </cell>
          <cell r="AA82">
            <v>1</v>
          </cell>
          <cell r="AB82">
            <v>0</v>
          </cell>
          <cell r="AC82">
            <v>0</v>
          </cell>
          <cell r="AD82">
            <v>0</v>
          </cell>
          <cell r="AE82">
            <v>0</v>
          </cell>
          <cell r="AF82">
            <v>0</v>
          </cell>
          <cell r="AG82">
            <v>0</v>
          </cell>
          <cell r="AH82">
            <v>0</v>
          </cell>
          <cell r="AI82">
            <v>0</v>
          </cell>
          <cell r="AJ82">
            <v>0</v>
          </cell>
          <cell r="AK82">
            <v>8778.90234375</v>
          </cell>
          <cell r="AL82">
            <v>504</v>
          </cell>
          <cell r="AM82">
            <v>4800</v>
          </cell>
          <cell r="AN82">
            <v>4000</v>
          </cell>
          <cell r="AO82">
            <v>0</v>
          </cell>
          <cell r="AP82">
            <v>4270</v>
          </cell>
        </row>
        <row r="83">
          <cell r="B83" t="str">
            <v>CĐ04</v>
          </cell>
          <cell r="C83" t="str">
            <v>Đổng Ngọc Trung</v>
          </cell>
          <cell r="D83" t="str">
            <v>Tổ trưởng vận hành máy</v>
          </cell>
          <cell r="E83">
            <v>42933</v>
          </cell>
          <cell r="F83">
            <v>2</v>
          </cell>
          <cell r="G83">
            <v>0</v>
          </cell>
          <cell r="H83">
            <v>8</v>
          </cell>
          <cell r="I83">
            <v>8</v>
          </cell>
          <cell r="J83">
            <v>10450</v>
          </cell>
          <cell r="K83">
            <v>0</v>
          </cell>
          <cell r="L83">
            <v>500</v>
          </cell>
          <cell r="M83">
            <v>0</v>
          </cell>
          <cell r="N83">
            <v>0</v>
          </cell>
          <cell r="O83">
            <v>200</v>
          </cell>
          <cell r="P83">
            <v>300</v>
          </cell>
          <cell r="Q83">
            <v>0</v>
          </cell>
          <cell r="R83">
            <v>0</v>
          </cell>
          <cell r="S83">
            <v>0</v>
          </cell>
          <cell r="T83">
            <v>0</v>
          </cell>
          <cell r="U83">
            <v>0</v>
          </cell>
          <cell r="V83">
            <v>11150</v>
          </cell>
          <cell r="W83">
            <v>24</v>
          </cell>
          <cell r="X83">
            <v>0</v>
          </cell>
          <cell r="Y83">
            <v>0</v>
          </cell>
          <cell r="Z83">
            <v>0</v>
          </cell>
          <cell r="AA83">
            <v>0</v>
          </cell>
          <cell r="AB83">
            <v>0</v>
          </cell>
          <cell r="AC83">
            <v>0</v>
          </cell>
          <cell r="AD83">
            <v>0</v>
          </cell>
          <cell r="AE83">
            <v>0</v>
          </cell>
          <cell r="AF83">
            <v>0</v>
          </cell>
          <cell r="AG83">
            <v>0</v>
          </cell>
          <cell r="AH83">
            <v>0</v>
          </cell>
          <cell r="AI83">
            <v>0</v>
          </cell>
          <cell r="AJ83">
            <v>0</v>
          </cell>
          <cell r="AK83">
            <v>11450</v>
          </cell>
          <cell r="AL83">
            <v>0</v>
          </cell>
          <cell r="AM83">
            <v>0</v>
          </cell>
          <cell r="AN83">
            <v>3000</v>
          </cell>
          <cell r="AO83">
            <v>0</v>
          </cell>
          <cell r="AP83">
            <v>8450</v>
          </cell>
        </row>
        <row r="84">
          <cell r="B84" t="str">
            <v>CĐ05</v>
          </cell>
          <cell r="C84" t="str">
            <v>Huỳnh Văn Phương</v>
          </cell>
          <cell r="D84" t="str">
            <v>Nhân viên vận hành máy</v>
          </cell>
          <cell r="E84">
            <v>42419</v>
          </cell>
          <cell r="F84">
            <v>2</v>
          </cell>
          <cell r="G84">
            <v>2</v>
          </cell>
          <cell r="H84">
            <v>1</v>
          </cell>
          <cell r="I84">
            <v>6</v>
          </cell>
          <cell r="J84">
            <v>6950</v>
          </cell>
          <cell r="K84">
            <v>200</v>
          </cell>
          <cell r="L84">
            <v>0</v>
          </cell>
          <cell r="M84">
            <v>0</v>
          </cell>
          <cell r="N84">
            <v>0</v>
          </cell>
          <cell r="O84">
            <v>0</v>
          </cell>
          <cell r="P84">
            <v>0</v>
          </cell>
          <cell r="Q84">
            <v>0</v>
          </cell>
          <cell r="R84">
            <v>0</v>
          </cell>
          <cell r="S84">
            <v>0</v>
          </cell>
          <cell r="T84">
            <v>0</v>
          </cell>
          <cell r="U84">
            <v>0</v>
          </cell>
          <cell r="V84">
            <v>7150</v>
          </cell>
          <cell r="W84">
            <v>24</v>
          </cell>
          <cell r="X84">
            <v>0</v>
          </cell>
          <cell r="Y84">
            <v>0</v>
          </cell>
          <cell r="Z84">
            <v>32</v>
          </cell>
          <cell r="AA84">
            <v>46.666666666666657</v>
          </cell>
          <cell r="AB84">
            <v>0</v>
          </cell>
          <cell r="AC84">
            <v>0</v>
          </cell>
          <cell r="AD84">
            <v>0</v>
          </cell>
          <cell r="AE84">
            <v>0</v>
          </cell>
          <cell r="AF84">
            <v>0</v>
          </cell>
          <cell r="AG84">
            <v>0</v>
          </cell>
          <cell r="AH84">
            <v>0</v>
          </cell>
          <cell r="AI84">
            <v>0</v>
          </cell>
          <cell r="AJ84">
            <v>0</v>
          </cell>
          <cell r="AK84">
            <v>12140.104166666668</v>
          </cell>
          <cell r="AL84">
            <v>480.58499999999998</v>
          </cell>
          <cell r="AM84">
            <v>4577</v>
          </cell>
          <cell r="AN84">
            <v>3000</v>
          </cell>
          <cell r="AO84">
            <v>0</v>
          </cell>
          <cell r="AP84">
            <v>8660</v>
          </cell>
        </row>
        <row r="85">
          <cell r="B85" t="str">
            <v>CĐ06</v>
          </cell>
          <cell r="C85" t="str">
            <v xml:space="preserve">Nguyễn Văn Lâm </v>
          </cell>
          <cell r="D85" t="str">
            <v>Nhân viên vận hành máy</v>
          </cell>
          <cell r="E85">
            <v>41956</v>
          </cell>
          <cell r="F85">
            <v>2</v>
          </cell>
          <cell r="G85">
            <v>3</v>
          </cell>
          <cell r="H85">
            <v>4</v>
          </cell>
          <cell r="I85">
            <v>12</v>
          </cell>
          <cell r="J85">
            <v>6950</v>
          </cell>
          <cell r="K85">
            <v>200</v>
          </cell>
          <cell r="L85">
            <v>0</v>
          </cell>
          <cell r="M85">
            <v>208.5</v>
          </cell>
          <cell r="N85">
            <v>0</v>
          </cell>
          <cell r="O85">
            <v>0</v>
          </cell>
          <cell r="P85">
            <v>0</v>
          </cell>
          <cell r="Q85">
            <v>0</v>
          </cell>
          <cell r="R85">
            <v>0</v>
          </cell>
          <cell r="S85">
            <v>0</v>
          </cell>
          <cell r="T85">
            <v>0</v>
          </cell>
          <cell r="U85">
            <v>0</v>
          </cell>
          <cell r="V85">
            <v>7358.5</v>
          </cell>
          <cell r="W85">
            <v>24</v>
          </cell>
          <cell r="X85">
            <v>0</v>
          </cell>
          <cell r="Y85">
            <v>0</v>
          </cell>
          <cell r="Z85">
            <v>29</v>
          </cell>
          <cell r="AA85">
            <v>33.833333333333336</v>
          </cell>
          <cell r="AB85">
            <v>0</v>
          </cell>
          <cell r="AC85">
            <v>0</v>
          </cell>
          <cell r="AD85">
            <v>0</v>
          </cell>
          <cell r="AE85">
            <v>0</v>
          </cell>
          <cell r="AF85">
            <v>0</v>
          </cell>
          <cell r="AG85">
            <v>0</v>
          </cell>
          <cell r="AH85">
            <v>0</v>
          </cell>
          <cell r="AI85">
            <v>0</v>
          </cell>
          <cell r="AJ85">
            <v>0</v>
          </cell>
          <cell r="AK85">
            <v>11526.400390625</v>
          </cell>
          <cell r="AL85">
            <v>480.58499999999998</v>
          </cell>
          <cell r="AM85">
            <v>4577</v>
          </cell>
          <cell r="AN85">
            <v>3000</v>
          </cell>
          <cell r="AO85">
            <v>0</v>
          </cell>
          <cell r="AP85">
            <v>8050</v>
          </cell>
        </row>
        <row r="86">
          <cell r="B86" t="str">
            <v>CĐ07</v>
          </cell>
          <cell r="C86" t="str">
            <v xml:space="preserve">Phan Văn Bạn </v>
          </cell>
          <cell r="D86" t="str">
            <v>Nhân viên vận hành máy</v>
          </cell>
          <cell r="E86">
            <v>41640</v>
          </cell>
          <cell r="F86">
            <v>2</v>
          </cell>
          <cell r="G86">
            <v>4</v>
          </cell>
          <cell r="H86">
            <v>2</v>
          </cell>
          <cell r="I86">
            <v>24</v>
          </cell>
          <cell r="J86">
            <v>6950</v>
          </cell>
          <cell r="K86">
            <v>200</v>
          </cell>
          <cell r="L86">
            <v>0</v>
          </cell>
          <cell r="M86">
            <v>278</v>
          </cell>
          <cell r="N86">
            <v>0</v>
          </cell>
          <cell r="O86">
            <v>0</v>
          </cell>
          <cell r="P86">
            <v>0</v>
          </cell>
          <cell r="Q86">
            <v>0</v>
          </cell>
          <cell r="R86">
            <v>0</v>
          </cell>
          <cell r="S86">
            <v>0</v>
          </cell>
          <cell r="T86">
            <v>0</v>
          </cell>
          <cell r="U86">
            <v>0</v>
          </cell>
          <cell r="V86">
            <v>7428</v>
          </cell>
          <cell r="W86">
            <v>24</v>
          </cell>
          <cell r="X86">
            <v>0</v>
          </cell>
          <cell r="Y86">
            <v>0</v>
          </cell>
          <cell r="Z86">
            <v>29</v>
          </cell>
          <cell r="AA86">
            <v>0</v>
          </cell>
          <cell r="AB86">
            <v>0</v>
          </cell>
          <cell r="AC86">
            <v>0</v>
          </cell>
          <cell r="AD86">
            <v>0</v>
          </cell>
          <cell r="AE86">
            <v>0</v>
          </cell>
          <cell r="AF86">
            <v>0</v>
          </cell>
          <cell r="AG86">
            <v>0</v>
          </cell>
          <cell r="AH86">
            <v>0</v>
          </cell>
          <cell r="AI86">
            <v>0</v>
          </cell>
          <cell r="AJ86">
            <v>0</v>
          </cell>
          <cell r="AK86">
            <v>9671.875</v>
          </cell>
          <cell r="AL86">
            <v>480.58499999999998</v>
          </cell>
          <cell r="AM86">
            <v>4577</v>
          </cell>
          <cell r="AN86">
            <v>3000</v>
          </cell>
          <cell r="AO86">
            <v>0</v>
          </cell>
          <cell r="AP86">
            <v>6190</v>
          </cell>
        </row>
        <row r="87">
          <cell r="B87" t="str">
            <v>CĐ08</v>
          </cell>
          <cell r="C87" t="str">
            <v>Cao Chánh Dũng</v>
          </cell>
          <cell r="D87" t="str">
            <v>Nhân viên vận hành máy</v>
          </cell>
          <cell r="E87">
            <v>42417</v>
          </cell>
          <cell r="F87">
            <v>2</v>
          </cell>
          <cell r="G87">
            <v>2</v>
          </cell>
          <cell r="H87">
            <v>1</v>
          </cell>
          <cell r="I87">
            <v>8</v>
          </cell>
          <cell r="J87">
            <v>6950</v>
          </cell>
          <cell r="K87">
            <v>200</v>
          </cell>
          <cell r="L87">
            <v>0</v>
          </cell>
          <cell r="M87">
            <v>0</v>
          </cell>
          <cell r="N87">
            <v>0</v>
          </cell>
          <cell r="O87">
            <v>0</v>
          </cell>
          <cell r="P87">
            <v>0</v>
          </cell>
          <cell r="Q87">
            <v>0</v>
          </cell>
          <cell r="R87">
            <v>0</v>
          </cell>
          <cell r="S87">
            <v>0</v>
          </cell>
          <cell r="T87">
            <v>0</v>
          </cell>
          <cell r="U87">
            <v>0</v>
          </cell>
          <cell r="V87">
            <v>7150</v>
          </cell>
          <cell r="W87">
            <v>24</v>
          </cell>
          <cell r="X87">
            <v>0</v>
          </cell>
          <cell r="Y87">
            <v>0</v>
          </cell>
          <cell r="Z87">
            <v>21</v>
          </cell>
          <cell r="AA87">
            <v>0</v>
          </cell>
          <cell r="AB87">
            <v>0</v>
          </cell>
          <cell r="AC87">
            <v>0</v>
          </cell>
          <cell r="AD87">
            <v>0</v>
          </cell>
          <cell r="AE87">
            <v>0</v>
          </cell>
          <cell r="AF87">
            <v>0</v>
          </cell>
          <cell r="AG87">
            <v>0</v>
          </cell>
          <cell r="AH87">
            <v>0</v>
          </cell>
          <cell r="AI87">
            <v>0</v>
          </cell>
          <cell r="AJ87">
            <v>0</v>
          </cell>
          <cell r="AK87">
            <v>8714.0625</v>
          </cell>
          <cell r="AL87">
            <v>480.58499999999998</v>
          </cell>
          <cell r="AM87">
            <v>4577</v>
          </cell>
          <cell r="AN87">
            <v>3000</v>
          </cell>
          <cell r="AO87">
            <v>0</v>
          </cell>
          <cell r="AP87">
            <v>5230</v>
          </cell>
        </row>
        <row r="88">
          <cell r="B88">
            <v>0</v>
          </cell>
          <cell r="C88" t="str">
            <v>ĐIỀU ĐỘ NHÂN LỰC</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36338.677976190476</v>
          </cell>
          <cell r="AL88">
            <v>1113</v>
          </cell>
          <cell r="AM88">
            <v>10600</v>
          </cell>
          <cell r="AN88">
            <v>8000</v>
          </cell>
          <cell r="AO88">
            <v>0</v>
          </cell>
          <cell r="AP88">
            <v>27220</v>
          </cell>
        </row>
        <row r="89">
          <cell r="B89" t="str">
            <v>NV26</v>
          </cell>
          <cell r="C89" t="str">
            <v>Nguyễn Đình Huệ</v>
          </cell>
          <cell r="D89" t="str">
            <v>Trưởng phòng điều độ nhân lực</v>
          </cell>
          <cell r="E89">
            <v>38078</v>
          </cell>
          <cell r="F89">
            <v>2</v>
          </cell>
          <cell r="G89">
            <v>13</v>
          </cell>
          <cell r="H89">
            <v>11</v>
          </cell>
          <cell r="I89">
            <v>24</v>
          </cell>
          <cell r="J89">
            <v>13030</v>
          </cell>
          <cell r="K89">
            <v>0</v>
          </cell>
          <cell r="L89">
            <v>1000</v>
          </cell>
          <cell r="M89">
            <v>1693.9</v>
          </cell>
          <cell r="N89">
            <v>0</v>
          </cell>
          <cell r="O89">
            <v>500</v>
          </cell>
          <cell r="P89">
            <v>500</v>
          </cell>
          <cell r="Q89">
            <v>0</v>
          </cell>
          <cell r="R89">
            <v>0</v>
          </cell>
          <cell r="S89">
            <v>0</v>
          </cell>
          <cell r="T89">
            <v>0</v>
          </cell>
          <cell r="U89">
            <v>0</v>
          </cell>
          <cell r="V89">
            <v>16223.900000000001</v>
          </cell>
          <cell r="W89">
            <v>23</v>
          </cell>
          <cell r="X89">
            <v>1</v>
          </cell>
          <cell r="Y89">
            <v>0</v>
          </cell>
          <cell r="Z89">
            <v>0</v>
          </cell>
          <cell r="AA89">
            <v>0</v>
          </cell>
          <cell r="AB89">
            <v>0</v>
          </cell>
          <cell r="AC89">
            <v>0</v>
          </cell>
          <cell r="AD89">
            <v>0</v>
          </cell>
          <cell r="AE89">
            <v>0</v>
          </cell>
          <cell r="AF89">
            <v>0</v>
          </cell>
          <cell r="AG89">
            <v>0</v>
          </cell>
          <cell r="AH89">
            <v>0</v>
          </cell>
          <cell r="AI89">
            <v>0</v>
          </cell>
          <cell r="AJ89">
            <v>0</v>
          </cell>
          <cell r="AK89">
            <v>16590.820833333331</v>
          </cell>
          <cell r="AL89">
            <v>577.5</v>
          </cell>
          <cell r="AM89">
            <v>5500</v>
          </cell>
          <cell r="AN89">
            <v>3000</v>
          </cell>
          <cell r="AO89">
            <v>0</v>
          </cell>
          <cell r="AP89">
            <v>13010</v>
          </cell>
        </row>
        <row r="90">
          <cell r="B90" t="str">
            <v>NV04</v>
          </cell>
          <cell r="C90" t="str">
            <v>Chề A Sắt</v>
          </cell>
          <cell r="D90" t="str">
            <v>Tổ trưởng bảo vệ</v>
          </cell>
          <cell r="E90">
            <v>41715</v>
          </cell>
          <cell r="F90">
            <v>1</v>
          </cell>
          <cell r="G90">
            <v>4</v>
          </cell>
          <cell r="H90">
            <v>0</v>
          </cell>
          <cell r="I90">
            <v>8</v>
          </cell>
          <cell r="J90">
            <v>7000</v>
          </cell>
          <cell r="K90">
            <v>0</v>
          </cell>
          <cell r="L90">
            <v>500</v>
          </cell>
          <cell r="M90">
            <v>280</v>
          </cell>
          <cell r="N90">
            <v>0</v>
          </cell>
          <cell r="O90">
            <v>200</v>
          </cell>
          <cell r="P90">
            <v>300</v>
          </cell>
          <cell r="Q90">
            <v>0</v>
          </cell>
          <cell r="R90">
            <v>0</v>
          </cell>
          <cell r="S90">
            <v>0</v>
          </cell>
          <cell r="T90">
            <v>0</v>
          </cell>
          <cell r="U90">
            <v>2000</v>
          </cell>
          <cell r="V90">
            <v>9980</v>
          </cell>
          <cell r="W90">
            <v>23</v>
          </cell>
          <cell r="X90">
            <v>5</v>
          </cell>
          <cell r="Y90">
            <v>0</v>
          </cell>
          <cell r="Z90">
            <v>0</v>
          </cell>
          <cell r="AA90">
            <v>0</v>
          </cell>
          <cell r="AB90">
            <v>0</v>
          </cell>
          <cell r="AC90">
            <v>0</v>
          </cell>
          <cell r="AD90">
            <v>0</v>
          </cell>
          <cell r="AE90">
            <v>0</v>
          </cell>
          <cell r="AF90">
            <v>0</v>
          </cell>
          <cell r="AG90">
            <v>0</v>
          </cell>
          <cell r="AH90">
            <v>0</v>
          </cell>
          <cell r="AI90">
            <v>0</v>
          </cell>
          <cell r="AJ90">
            <v>0</v>
          </cell>
          <cell r="AK90">
            <v>9747.8571428571431</v>
          </cell>
          <cell r="AL90">
            <v>535.5</v>
          </cell>
          <cell r="AM90">
            <v>5100</v>
          </cell>
          <cell r="AN90">
            <v>5000</v>
          </cell>
          <cell r="AO90">
            <v>0</v>
          </cell>
          <cell r="AP90">
            <v>4210</v>
          </cell>
        </row>
        <row r="91">
          <cell r="B91" t="str">
            <v>NV05</v>
          </cell>
          <cell r="C91" t="str">
            <v>Nguyễn Tiến Khanh</v>
          </cell>
          <cell r="D91" t="str">
            <v>Tổ trưởng bảo vệ</v>
          </cell>
          <cell r="E91">
            <v>42969</v>
          </cell>
          <cell r="F91">
            <v>1</v>
          </cell>
          <cell r="G91">
            <v>0</v>
          </cell>
          <cell r="H91">
            <v>7</v>
          </cell>
          <cell r="I91">
            <v>3</v>
          </cell>
          <cell r="J91">
            <v>7000</v>
          </cell>
          <cell r="K91">
            <v>0</v>
          </cell>
          <cell r="L91">
            <v>500</v>
          </cell>
          <cell r="M91">
            <v>0</v>
          </cell>
          <cell r="N91">
            <v>0</v>
          </cell>
          <cell r="O91">
            <v>200</v>
          </cell>
          <cell r="P91">
            <v>300</v>
          </cell>
          <cell r="Q91">
            <v>0</v>
          </cell>
          <cell r="R91">
            <v>0</v>
          </cell>
          <cell r="S91">
            <v>0</v>
          </cell>
          <cell r="T91">
            <v>0</v>
          </cell>
          <cell r="U91">
            <v>2000</v>
          </cell>
          <cell r="V91">
            <v>9700</v>
          </cell>
          <cell r="W91">
            <v>28</v>
          </cell>
          <cell r="X91">
            <v>0</v>
          </cell>
          <cell r="Y91">
            <v>0</v>
          </cell>
          <cell r="Z91">
            <v>0</v>
          </cell>
          <cell r="AA91">
            <v>0</v>
          </cell>
          <cell r="AB91">
            <v>0</v>
          </cell>
          <cell r="AC91">
            <v>0</v>
          </cell>
          <cell r="AD91">
            <v>0</v>
          </cell>
          <cell r="AE91">
            <v>0</v>
          </cell>
          <cell r="AF91">
            <v>0</v>
          </cell>
          <cell r="AG91">
            <v>0</v>
          </cell>
          <cell r="AH91">
            <v>0</v>
          </cell>
          <cell r="AI91">
            <v>0</v>
          </cell>
          <cell r="AJ91">
            <v>0</v>
          </cell>
          <cell r="AK91">
            <v>10000</v>
          </cell>
          <cell r="AL91">
            <v>0</v>
          </cell>
          <cell r="AM91">
            <v>0</v>
          </cell>
          <cell r="AN91">
            <v>0</v>
          </cell>
          <cell r="AO91">
            <v>0</v>
          </cell>
          <cell r="AP91">
            <v>10000</v>
          </cell>
        </row>
        <row r="92">
          <cell r="B92">
            <v>0</v>
          </cell>
          <cell r="C92" t="str">
            <v>ĐIỀU ĐỘ KẾ HOẠCH</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29490</v>
          </cell>
          <cell r="AL92">
            <v>535.5</v>
          </cell>
          <cell r="AM92">
            <v>5100</v>
          </cell>
          <cell r="AN92">
            <v>5000</v>
          </cell>
          <cell r="AO92">
            <v>0</v>
          </cell>
          <cell r="AP92">
            <v>23950</v>
          </cell>
        </row>
        <row r="93">
          <cell r="B93" t="str">
            <v>KH01</v>
          </cell>
          <cell r="C93" t="str">
            <v>Nguyễn Hữu Thái</v>
          </cell>
          <cell r="D93" t="str">
            <v>Trưởng phòng điều độ kế hoạch</v>
          </cell>
          <cell r="E93">
            <v>43132</v>
          </cell>
          <cell r="F93">
            <v>5</v>
          </cell>
          <cell r="G93">
            <v>0</v>
          </cell>
          <cell r="H93">
            <v>1</v>
          </cell>
          <cell r="I93">
            <v>24</v>
          </cell>
          <cell r="J93">
            <v>18300</v>
          </cell>
          <cell r="K93">
            <v>0</v>
          </cell>
          <cell r="L93">
            <v>1000</v>
          </cell>
          <cell r="M93">
            <v>0</v>
          </cell>
          <cell r="N93">
            <v>0</v>
          </cell>
          <cell r="O93">
            <v>500</v>
          </cell>
          <cell r="P93">
            <v>200</v>
          </cell>
          <cell r="Q93">
            <v>0</v>
          </cell>
          <cell r="R93">
            <v>0</v>
          </cell>
          <cell r="S93">
            <v>0</v>
          </cell>
          <cell r="T93">
            <v>0</v>
          </cell>
          <cell r="U93">
            <v>0</v>
          </cell>
          <cell r="V93">
            <v>19800</v>
          </cell>
          <cell r="W93">
            <v>24</v>
          </cell>
          <cell r="X93">
            <v>0</v>
          </cell>
          <cell r="Y93">
            <v>0</v>
          </cell>
          <cell r="Z93">
            <v>0</v>
          </cell>
          <cell r="AA93">
            <v>0</v>
          </cell>
          <cell r="AB93">
            <v>0</v>
          </cell>
          <cell r="AC93">
            <v>0</v>
          </cell>
          <cell r="AD93">
            <v>0</v>
          </cell>
          <cell r="AE93">
            <v>0</v>
          </cell>
          <cell r="AF93">
            <v>0</v>
          </cell>
          <cell r="AG93">
            <v>0</v>
          </cell>
          <cell r="AH93">
            <v>0</v>
          </cell>
          <cell r="AI93">
            <v>0</v>
          </cell>
          <cell r="AJ93">
            <v>0</v>
          </cell>
          <cell r="AK93">
            <v>20000</v>
          </cell>
          <cell r="AL93">
            <v>0</v>
          </cell>
          <cell r="AM93">
            <v>0</v>
          </cell>
          <cell r="AN93">
            <v>0</v>
          </cell>
          <cell r="AO93">
            <v>0</v>
          </cell>
          <cell r="AP93">
            <v>20000</v>
          </cell>
        </row>
        <row r="94">
          <cell r="B94" t="str">
            <v xml:space="preserve"> XD05 </v>
          </cell>
          <cell r="C94" t="str">
            <v xml:space="preserve"> Đào Ngọc Long </v>
          </cell>
          <cell r="D94" t="str">
            <v>Tổ trưởng điều độ sản xuất</v>
          </cell>
          <cell r="E94">
            <v>42339</v>
          </cell>
          <cell r="F94">
            <v>1</v>
          </cell>
          <cell r="G94">
            <v>2</v>
          </cell>
          <cell r="H94">
            <v>3</v>
          </cell>
          <cell r="I94">
            <v>24</v>
          </cell>
          <cell r="J94">
            <v>8490</v>
          </cell>
          <cell r="K94">
            <v>0</v>
          </cell>
          <cell r="L94">
            <v>500</v>
          </cell>
          <cell r="M94">
            <v>0</v>
          </cell>
          <cell r="N94">
            <v>0</v>
          </cell>
          <cell r="O94">
            <v>200</v>
          </cell>
          <cell r="P94">
            <v>300</v>
          </cell>
          <cell r="Q94">
            <v>0</v>
          </cell>
          <cell r="R94">
            <v>0</v>
          </cell>
          <cell r="S94">
            <v>0</v>
          </cell>
          <cell r="T94">
            <v>0</v>
          </cell>
          <cell r="U94">
            <v>0</v>
          </cell>
          <cell r="V94">
            <v>9190</v>
          </cell>
          <cell r="W94">
            <v>24</v>
          </cell>
          <cell r="X94">
            <v>0</v>
          </cell>
          <cell r="Y94">
            <v>0</v>
          </cell>
          <cell r="Z94">
            <v>0</v>
          </cell>
          <cell r="AA94">
            <v>0</v>
          </cell>
          <cell r="AB94">
            <v>0</v>
          </cell>
          <cell r="AC94">
            <v>0</v>
          </cell>
          <cell r="AD94">
            <v>0</v>
          </cell>
          <cell r="AE94">
            <v>0</v>
          </cell>
          <cell r="AF94">
            <v>0</v>
          </cell>
          <cell r="AG94">
            <v>0</v>
          </cell>
          <cell r="AH94">
            <v>0</v>
          </cell>
          <cell r="AI94">
            <v>0</v>
          </cell>
          <cell r="AJ94">
            <v>0</v>
          </cell>
          <cell r="AK94">
            <v>9490</v>
          </cell>
          <cell r="AL94">
            <v>535.5</v>
          </cell>
          <cell r="AM94">
            <v>5100</v>
          </cell>
          <cell r="AN94">
            <v>5000</v>
          </cell>
          <cell r="AO94">
            <v>0</v>
          </cell>
          <cell r="AP94">
            <v>3950</v>
          </cell>
        </row>
        <row r="95">
          <cell r="B95">
            <v>0</v>
          </cell>
          <cell r="C95" t="str">
            <v>ĐIỀU ĐỘ CƠ GIỚI</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26632.421875</v>
          </cell>
          <cell r="AL95">
            <v>1081.5</v>
          </cell>
          <cell r="AM95">
            <v>10300</v>
          </cell>
          <cell r="AN95">
            <v>9000</v>
          </cell>
          <cell r="AO95">
            <v>0</v>
          </cell>
          <cell r="AP95">
            <v>16550</v>
          </cell>
        </row>
        <row r="96">
          <cell r="B96" t="str">
            <v xml:space="preserve"> XD06 </v>
          </cell>
          <cell r="C96" t="str">
            <v xml:space="preserve"> Nguyễn Ngọc Đông </v>
          </cell>
          <cell r="D96" t="str">
            <v>Trưởng phòng điều độ cơ giới</v>
          </cell>
          <cell r="E96">
            <v>42542</v>
          </cell>
          <cell r="F96">
            <v>2</v>
          </cell>
          <cell r="G96">
            <v>1</v>
          </cell>
          <cell r="H96">
            <v>9</v>
          </cell>
          <cell r="I96">
            <v>4</v>
          </cell>
          <cell r="J96">
            <v>13030</v>
          </cell>
          <cell r="K96">
            <v>0</v>
          </cell>
          <cell r="L96">
            <v>1000</v>
          </cell>
          <cell r="M96">
            <v>0</v>
          </cell>
          <cell r="N96">
            <v>0</v>
          </cell>
          <cell r="O96">
            <v>500</v>
          </cell>
          <cell r="P96">
            <v>500</v>
          </cell>
          <cell r="Q96">
            <v>0</v>
          </cell>
          <cell r="R96">
            <v>0</v>
          </cell>
          <cell r="S96">
            <v>0</v>
          </cell>
          <cell r="T96">
            <v>0</v>
          </cell>
          <cell r="U96">
            <v>0</v>
          </cell>
          <cell r="V96">
            <v>14530</v>
          </cell>
          <cell r="W96">
            <v>24</v>
          </cell>
          <cell r="X96">
            <v>0</v>
          </cell>
          <cell r="Y96">
            <v>0</v>
          </cell>
          <cell r="Z96">
            <v>0</v>
          </cell>
          <cell r="AA96">
            <v>0</v>
          </cell>
          <cell r="AB96">
            <v>0</v>
          </cell>
          <cell r="AC96">
            <v>0</v>
          </cell>
          <cell r="AD96">
            <v>0</v>
          </cell>
          <cell r="AE96">
            <v>0</v>
          </cell>
          <cell r="AF96">
            <v>0</v>
          </cell>
          <cell r="AG96">
            <v>0</v>
          </cell>
          <cell r="AH96">
            <v>0</v>
          </cell>
          <cell r="AI96">
            <v>0</v>
          </cell>
          <cell r="AJ96">
            <v>0</v>
          </cell>
          <cell r="AK96">
            <v>15030</v>
          </cell>
          <cell r="AL96">
            <v>577.5</v>
          </cell>
          <cell r="AM96">
            <v>5500</v>
          </cell>
          <cell r="AN96">
            <v>5000</v>
          </cell>
          <cell r="AO96">
            <v>0</v>
          </cell>
          <cell r="AP96">
            <v>9450</v>
          </cell>
        </row>
        <row r="97">
          <cell r="B97" t="str">
            <v>NV14</v>
          </cell>
          <cell r="C97" t="str">
            <v>Đồng Tấn Tài</v>
          </cell>
          <cell r="D97" t="str">
            <v>Nhân viên thống kê vận hành</v>
          </cell>
          <cell r="E97">
            <v>42443</v>
          </cell>
          <cell r="F97">
            <v>2</v>
          </cell>
          <cell r="G97">
            <v>2</v>
          </cell>
          <cell r="H97">
            <v>0</v>
          </cell>
          <cell r="I97">
            <v>11</v>
          </cell>
          <cell r="J97">
            <v>7590</v>
          </cell>
          <cell r="K97">
            <v>0</v>
          </cell>
          <cell r="L97">
            <v>0</v>
          </cell>
          <cell r="M97">
            <v>0</v>
          </cell>
          <cell r="N97">
            <v>0</v>
          </cell>
          <cell r="O97">
            <v>0</v>
          </cell>
          <cell r="P97">
            <v>0</v>
          </cell>
          <cell r="Q97">
            <v>0</v>
          </cell>
          <cell r="R97">
            <v>0</v>
          </cell>
          <cell r="S97">
            <v>0</v>
          </cell>
          <cell r="T97">
            <v>0</v>
          </cell>
          <cell r="U97">
            <v>0</v>
          </cell>
          <cell r="V97">
            <v>7590</v>
          </cell>
          <cell r="W97">
            <v>23</v>
          </cell>
          <cell r="X97">
            <v>1</v>
          </cell>
          <cell r="Y97">
            <v>0</v>
          </cell>
          <cell r="Z97">
            <v>8</v>
          </cell>
          <cell r="AA97">
            <v>57</v>
          </cell>
          <cell r="AB97">
            <v>0</v>
          </cell>
          <cell r="AC97">
            <v>0</v>
          </cell>
          <cell r="AD97">
            <v>0</v>
          </cell>
          <cell r="AE97">
            <v>0</v>
          </cell>
          <cell r="AF97">
            <v>0</v>
          </cell>
          <cell r="AG97">
            <v>0</v>
          </cell>
          <cell r="AH97">
            <v>0</v>
          </cell>
          <cell r="AI97">
            <v>0</v>
          </cell>
          <cell r="AJ97">
            <v>0</v>
          </cell>
          <cell r="AK97">
            <v>11602.421875</v>
          </cell>
          <cell r="AL97">
            <v>504</v>
          </cell>
          <cell r="AM97">
            <v>4800</v>
          </cell>
          <cell r="AN97">
            <v>4000</v>
          </cell>
          <cell r="AO97">
            <v>0</v>
          </cell>
          <cell r="AP97">
            <v>7100</v>
          </cell>
        </row>
        <row r="98">
          <cell r="B98">
            <v>0</v>
          </cell>
          <cell r="C98" t="str">
            <v>QUẢN LÝ CHẤT LƯỢNG SẢN PHẨM</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15350.949999999999</v>
          </cell>
          <cell r="AL98">
            <v>577.5</v>
          </cell>
          <cell r="AM98">
            <v>5500</v>
          </cell>
          <cell r="AN98">
            <v>5000</v>
          </cell>
          <cell r="AO98">
            <v>0</v>
          </cell>
          <cell r="AP98">
            <v>9770</v>
          </cell>
        </row>
        <row r="99">
          <cell r="B99" t="str">
            <v xml:space="preserve"> NB01 </v>
          </cell>
          <cell r="C99" t="str">
            <v xml:space="preserve"> Nguyễn Thọ Ngọc </v>
          </cell>
          <cell r="D99" t="str">
            <v>Trưởng phòng quản lý chất lượng sản phẩm</v>
          </cell>
          <cell r="E99">
            <v>38579</v>
          </cell>
          <cell r="F99">
            <v>1</v>
          </cell>
          <cell r="G99">
            <v>12</v>
          </cell>
          <cell r="H99">
            <v>7</v>
          </cell>
          <cell r="I99">
            <v>10</v>
          </cell>
          <cell r="J99">
            <v>12030</v>
          </cell>
          <cell r="K99">
            <v>0</v>
          </cell>
          <cell r="L99">
            <v>1000</v>
          </cell>
          <cell r="M99">
            <v>1443.6</v>
          </cell>
          <cell r="N99">
            <v>0</v>
          </cell>
          <cell r="O99">
            <v>500</v>
          </cell>
          <cell r="P99">
            <v>500</v>
          </cell>
          <cell r="Q99">
            <v>0</v>
          </cell>
          <cell r="R99">
            <v>0</v>
          </cell>
          <cell r="S99">
            <v>0</v>
          </cell>
          <cell r="T99">
            <v>0</v>
          </cell>
          <cell r="U99">
            <v>0</v>
          </cell>
          <cell r="V99">
            <v>14973.6</v>
          </cell>
          <cell r="W99">
            <v>23</v>
          </cell>
          <cell r="X99">
            <v>1</v>
          </cell>
          <cell r="Y99">
            <v>0</v>
          </cell>
          <cell r="Z99">
            <v>0</v>
          </cell>
          <cell r="AA99">
            <v>0</v>
          </cell>
          <cell r="AB99">
            <v>0</v>
          </cell>
          <cell r="AC99">
            <v>0</v>
          </cell>
          <cell r="AD99">
            <v>0</v>
          </cell>
          <cell r="AE99">
            <v>0</v>
          </cell>
          <cell r="AF99">
            <v>0</v>
          </cell>
          <cell r="AG99">
            <v>0</v>
          </cell>
          <cell r="AH99">
            <v>0</v>
          </cell>
          <cell r="AI99">
            <v>0</v>
          </cell>
          <cell r="AJ99">
            <v>0</v>
          </cell>
          <cell r="AK99">
            <v>15350.949999999999</v>
          </cell>
          <cell r="AL99">
            <v>577.5</v>
          </cell>
          <cell r="AM99">
            <v>5500</v>
          </cell>
          <cell r="AN99">
            <v>5000</v>
          </cell>
          <cell r="AO99">
            <v>0</v>
          </cell>
          <cell r="AP99">
            <v>9770</v>
          </cell>
        </row>
        <row r="100">
          <cell r="B100" t="str">
            <v>KINH DOANH</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row>
        <row r="101">
          <cell r="B101">
            <v>0</v>
          </cell>
          <cell r="C101" t="str">
            <v>GIÁM ĐỐC KINH DOANH</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53190</v>
          </cell>
          <cell r="AL101">
            <v>0</v>
          </cell>
          <cell r="AM101">
            <v>0</v>
          </cell>
          <cell r="AN101">
            <v>0</v>
          </cell>
          <cell r="AO101">
            <v>0</v>
          </cell>
          <cell r="AP101">
            <v>53190</v>
          </cell>
        </row>
        <row r="102">
          <cell r="B102" t="str">
            <v>KDV1</v>
          </cell>
          <cell r="C102" t="str">
            <v>Huỳnh Kim Hải</v>
          </cell>
          <cell r="D102" t="str">
            <v>GIÁM ĐỐC KINH DOANH</v>
          </cell>
          <cell r="E102">
            <v>43115</v>
          </cell>
          <cell r="F102">
            <v>5</v>
          </cell>
          <cell r="G102">
            <v>0</v>
          </cell>
          <cell r="H102">
            <v>2</v>
          </cell>
          <cell r="I102">
            <v>10</v>
          </cell>
          <cell r="J102">
            <v>48190</v>
          </cell>
          <cell r="K102">
            <v>0</v>
          </cell>
          <cell r="L102">
            <v>3000</v>
          </cell>
          <cell r="M102">
            <v>0</v>
          </cell>
          <cell r="N102">
            <v>0</v>
          </cell>
          <cell r="O102">
            <v>1000</v>
          </cell>
          <cell r="P102">
            <v>1000</v>
          </cell>
          <cell r="Q102">
            <v>0</v>
          </cell>
          <cell r="R102">
            <v>0</v>
          </cell>
          <cell r="S102">
            <v>0</v>
          </cell>
          <cell r="T102">
            <v>0</v>
          </cell>
          <cell r="U102">
            <v>0</v>
          </cell>
          <cell r="V102">
            <v>52190</v>
          </cell>
          <cell r="W102">
            <v>24</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53190</v>
          </cell>
          <cell r="AL102">
            <v>0</v>
          </cell>
          <cell r="AM102">
            <v>0</v>
          </cell>
          <cell r="AN102">
            <v>0</v>
          </cell>
          <cell r="AO102">
            <v>0</v>
          </cell>
          <cell r="AP102">
            <v>53190</v>
          </cell>
        </row>
        <row r="103">
          <cell r="B103">
            <v>0</v>
          </cell>
          <cell r="C103" t="str">
            <v xml:space="preserve"> Qlý + Sale Admin </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8701.5277777777774</v>
          </cell>
          <cell r="AL103">
            <v>504</v>
          </cell>
          <cell r="AM103">
            <v>4800</v>
          </cell>
          <cell r="AN103">
            <v>0</v>
          </cell>
          <cell r="AO103">
            <v>0</v>
          </cell>
          <cell r="AP103">
            <v>8200</v>
          </cell>
        </row>
        <row r="104">
          <cell r="B104" t="str">
            <v xml:space="preserve"> KDV2 </v>
          </cell>
          <cell r="C104" t="str">
            <v xml:space="preserve"> Thạch Minh Châu </v>
          </cell>
          <cell r="D104" t="str">
            <v>Sale admin</v>
          </cell>
          <cell r="E104">
            <v>42513</v>
          </cell>
          <cell r="F104">
            <v>2</v>
          </cell>
          <cell r="G104">
            <v>1</v>
          </cell>
          <cell r="H104">
            <v>10</v>
          </cell>
          <cell r="I104">
            <v>2</v>
          </cell>
          <cell r="J104">
            <v>5960</v>
          </cell>
          <cell r="K104">
            <v>0</v>
          </cell>
          <cell r="L104">
            <v>0</v>
          </cell>
          <cell r="M104">
            <v>0</v>
          </cell>
          <cell r="N104">
            <v>0</v>
          </cell>
          <cell r="O104">
            <v>0</v>
          </cell>
          <cell r="P104">
            <v>300</v>
          </cell>
          <cell r="Q104">
            <v>0</v>
          </cell>
          <cell r="R104">
            <v>0</v>
          </cell>
          <cell r="S104">
            <v>0</v>
          </cell>
          <cell r="T104">
            <v>0</v>
          </cell>
          <cell r="U104">
            <v>0</v>
          </cell>
          <cell r="V104">
            <v>5960</v>
          </cell>
          <cell r="W104">
            <v>23</v>
          </cell>
          <cell r="X104">
            <v>1</v>
          </cell>
          <cell r="Y104">
            <v>0</v>
          </cell>
          <cell r="Z104">
            <v>0</v>
          </cell>
          <cell r="AA104">
            <v>0</v>
          </cell>
          <cell r="AB104">
            <v>0</v>
          </cell>
          <cell r="AC104">
            <v>0</v>
          </cell>
          <cell r="AD104">
            <v>4163950</v>
          </cell>
          <cell r="AE104">
            <v>2441.5277777777778</v>
          </cell>
          <cell r="AF104">
            <v>0</v>
          </cell>
          <cell r="AG104">
            <v>0</v>
          </cell>
          <cell r="AH104">
            <v>0</v>
          </cell>
          <cell r="AI104">
            <v>0</v>
          </cell>
          <cell r="AJ104">
            <v>0</v>
          </cell>
          <cell r="AK104">
            <v>8701.5277777777774</v>
          </cell>
          <cell r="AL104">
            <v>504</v>
          </cell>
          <cell r="AM104">
            <v>4800</v>
          </cell>
          <cell r="AN104">
            <v>0</v>
          </cell>
          <cell r="AO104">
            <v>0</v>
          </cell>
          <cell r="AP104">
            <v>8200</v>
          </cell>
        </row>
        <row r="105">
          <cell r="B105">
            <v>0</v>
          </cell>
          <cell r="C105" t="str">
            <v xml:space="preserve"> Sale </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75041.546666666662</v>
          </cell>
          <cell r="AL105">
            <v>2551.5</v>
          </cell>
          <cell r="AM105">
            <v>24300</v>
          </cell>
          <cell r="AN105">
            <v>0</v>
          </cell>
          <cell r="AO105">
            <v>0</v>
          </cell>
          <cell r="AP105">
            <v>72490</v>
          </cell>
        </row>
        <row r="106">
          <cell r="B106" t="str">
            <v xml:space="preserve"> KDS2 </v>
          </cell>
          <cell r="C106" t="str">
            <v xml:space="preserve"> Phan Thanh Tùng </v>
          </cell>
          <cell r="D106" t="str">
            <v>NV sale</v>
          </cell>
          <cell r="E106">
            <v>39508</v>
          </cell>
          <cell r="F106">
            <v>4</v>
          </cell>
          <cell r="G106">
            <v>10</v>
          </cell>
          <cell r="H106">
            <v>0</v>
          </cell>
          <cell r="I106">
            <v>24</v>
          </cell>
          <cell r="J106">
            <v>6820</v>
          </cell>
          <cell r="K106">
            <v>0</v>
          </cell>
          <cell r="L106">
            <v>0</v>
          </cell>
          <cell r="M106">
            <v>682</v>
          </cell>
          <cell r="N106">
            <v>0</v>
          </cell>
          <cell r="O106">
            <v>500</v>
          </cell>
          <cell r="P106">
            <v>200</v>
          </cell>
          <cell r="Q106">
            <v>500</v>
          </cell>
          <cell r="R106">
            <v>0</v>
          </cell>
          <cell r="S106">
            <v>0</v>
          </cell>
          <cell r="T106">
            <v>0</v>
          </cell>
          <cell r="U106">
            <v>0</v>
          </cell>
          <cell r="V106">
            <v>8502</v>
          </cell>
          <cell r="W106">
            <v>24</v>
          </cell>
          <cell r="X106">
            <v>0</v>
          </cell>
          <cell r="Y106">
            <v>0</v>
          </cell>
          <cell r="Z106">
            <v>0</v>
          </cell>
          <cell r="AA106">
            <v>0</v>
          </cell>
          <cell r="AB106">
            <v>0</v>
          </cell>
          <cell r="AC106">
            <v>240</v>
          </cell>
          <cell r="AD106">
            <v>949661</v>
          </cell>
          <cell r="AE106">
            <v>4462.1466666666665</v>
          </cell>
          <cell r="AF106">
            <v>0</v>
          </cell>
          <cell r="AG106">
            <v>0</v>
          </cell>
          <cell r="AH106">
            <v>0</v>
          </cell>
          <cell r="AI106">
            <v>0</v>
          </cell>
          <cell r="AJ106">
            <v>0</v>
          </cell>
          <cell r="AK106">
            <v>13404.146666666667</v>
          </cell>
          <cell r="AL106">
            <v>504</v>
          </cell>
          <cell r="AM106">
            <v>4800</v>
          </cell>
          <cell r="AN106">
            <v>0</v>
          </cell>
          <cell r="AO106">
            <v>0</v>
          </cell>
          <cell r="AP106">
            <v>12900</v>
          </cell>
        </row>
        <row r="107">
          <cell r="B107" t="str">
            <v xml:space="preserve"> KDS4 </v>
          </cell>
          <cell r="C107" t="str">
            <v xml:space="preserve"> Trịnh Minh Hảo (Trưởng BP sale) </v>
          </cell>
          <cell r="D107" t="str">
            <v>Trưởng sale TP</v>
          </cell>
          <cell r="E107">
            <v>42280</v>
          </cell>
          <cell r="F107">
            <v>7</v>
          </cell>
          <cell r="G107">
            <v>2</v>
          </cell>
          <cell r="H107">
            <v>5</v>
          </cell>
          <cell r="I107">
            <v>22</v>
          </cell>
          <cell r="J107">
            <v>15220</v>
          </cell>
          <cell r="K107">
            <v>0</v>
          </cell>
          <cell r="L107">
            <v>0</v>
          </cell>
          <cell r="M107">
            <v>0</v>
          </cell>
          <cell r="N107">
            <v>0</v>
          </cell>
          <cell r="O107">
            <v>500</v>
          </cell>
          <cell r="P107">
            <v>300</v>
          </cell>
          <cell r="Q107">
            <v>500</v>
          </cell>
          <cell r="R107">
            <v>0</v>
          </cell>
          <cell r="S107">
            <v>0</v>
          </cell>
          <cell r="T107">
            <v>0</v>
          </cell>
          <cell r="U107">
            <v>0</v>
          </cell>
          <cell r="V107">
            <v>16220</v>
          </cell>
          <cell r="W107">
            <v>24</v>
          </cell>
          <cell r="X107">
            <v>0</v>
          </cell>
          <cell r="Y107">
            <v>0</v>
          </cell>
          <cell r="Z107">
            <v>0</v>
          </cell>
          <cell r="AA107">
            <v>0</v>
          </cell>
          <cell r="AB107">
            <v>0</v>
          </cell>
          <cell r="AC107">
            <v>0</v>
          </cell>
          <cell r="AD107">
            <v>2870397</v>
          </cell>
          <cell r="AE107">
            <v>5409.76</v>
          </cell>
          <cell r="AF107">
            <v>0</v>
          </cell>
          <cell r="AG107">
            <v>0</v>
          </cell>
          <cell r="AH107">
            <v>0</v>
          </cell>
          <cell r="AI107">
            <v>0</v>
          </cell>
          <cell r="AJ107">
            <v>200</v>
          </cell>
          <cell r="AK107">
            <v>22129.760000000002</v>
          </cell>
          <cell r="AL107">
            <v>535.5</v>
          </cell>
          <cell r="AM107">
            <v>5100</v>
          </cell>
          <cell r="AN107">
            <v>0</v>
          </cell>
          <cell r="AO107">
            <v>0</v>
          </cell>
          <cell r="AP107">
            <v>21590</v>
          </cell>
        </row>
        <row r="108">
          <cell r="B108" t="str">
            <v xml:space="preserve"> KDS6 </v>
          </cell>
          <cell r="C108" t="str">
            <v xml:space="preserve"> Lê Nho Khánh </v>
          </cell>
          <cell r="D108" t="str">
            <v>NV sale</v>
          </cell>
          <cell r="E108">
            <v>42495</v>
          </cell>
          <cell r="F108">
            <v>2</v>
          </cell>
          <cell r="G108">
            <v>1</v>
          </cell>
          <cell r="H108">
            <v>10</v>
          </cell>
          <cell r="I108">
            <v>20</v>
          </cell>
          <cell r="J108">
            <v>6190</v>
          </cell>
          <cell r="K108">
            <v>0</v>
          </cell>
          <cell r="L108">
            <v>0</v>
          </cell>
          <cell r="M108">
            <v>0</v>
          </cell>
          <cell r="N108">
            <v>0</v>
          </cell>
          <cell r="O108">
            <v>500</v>
          </cell>
          <cell r="P108">
            <v>200</v>
          </cell>
          <cell r="Q108">
            <v>500</v>
          </cell>
          <cell r="R108">
            <v>0</v>
          </cell>
          <cell r="S108">
            <v>0</v>
          </cell>
          <cell r="T108">
            <v>0</v>
          </cell>
          <cell r="U108">
            <v>0</v>
          </cell>
          <cell r="V108">
            <v>7190</v>
          </cell>
          <cell r="W108">
            <v>24</v>
          </cell>
          <cell r="X108">
            <v>0</v>
          </cell>
          <cell r="Y108">
            <v>0</v>
          </cell>
          <cell r="Z108">
            <v>0</v>
          </cell>
          <cell r="AA108">
            <v>0</v>
          </cell>
          <cell r="AB108">
            <v>0</v>
          </cell>
          <cell r="AC108">
            <v>0</v>
          </cell>
          <cell r="AD108">
            <v>1293553</v>
          </cell>
          <cell r="AE108">
            <v>6700</v>
          </cell>
          <cell r="AF108">
            <v>0</v>
          </cell>
          <cell r="AG108">
            <v>0</v>
          </cell>
          <cell r="AH108">
            <v>0</v>
          </cell>
          <cell r="AI108">
            <v>0</v>
          </cell>
          <cell r="AJ108">
            <v>200</v>
          </cell>
          <cell r="AK108">
            <v>14290</v>
          </cell>
          <cell r="AL108">
            <v>504</v>
          </cell>
          <cell r="AM108">
            <v>4800</v>
          </cell>
          <cell r="AN108">
            <v>0</v>
          </cell>
          <cell r="AO108">
            <v>0</v>
          </cell>
          <cell r="AP108">
            <v>13790</v>
          </cell>
        </row>
        <row r="109">
          <cell r="B109" t="str">
            <v xml:space="preserve"> KDS8 </v>
          </cell>
          <cell r="C109" t="str">
            <v xml:space="preserve"> Nguyễn Đức Trung </v>
          </cell>
          <cell r="D109" t="str">
            <v>NV sale</v>
          </cell>
          <cell r="E109">
            <v>42639</v>
          </cell>
          <cell r="F109">
            <v>2</v>
          </cell>
          <cell r="G109">
            <v>1</v>
          </cell>
          <cell r="H109">
            <v>5</v>
          </cell>
          <cell r="I109">
            <v>27</v>
          </cell>
          <cell r="J109">
            <v>6190</v>
          </cell>
          <cell r="K109">
            <v>0</v>
          </cell>
          <cell r="L109">
            <v>0</v>
          </cell>
          <cell r="M109">
            <v>0</v>
          </cell>
          <cell r="N109">
            <v>0</v>
          </cell>
          <cell r="O109">
            <v>500</v>
          </cell>
          <cell r="P109">
            <v>200</v>
          </cell>
          <cell r="Q109">
            <v>500</v>
          </cell>
          <cell r="R109">
            <v>0</v>
          </cell>
          <cell r="S109">
            <v>0</v>
          </cell>
          <cell r="T109">
            <v>0</v>
          </cell>
          <cell r="U109">
            <v>0</v>
          </cell>
          <cell r="V109">
            <v>7190</v>
          </cell>
          <cell r="W109">
            <v>24</v>
          </cell>
          <cell r="X109">
            <v>0</v>
          </cell>
          <cell r="Y109">
            <v>0</v>
          </cell>
          <cell r="Z109">
            <v>0</v>
          </cell>
          <cell r="AA109">
            <v>0</v>
          </cell>
          <cell r="AB109">
            <v>0</v>
          </cell>
          <cell r="AC109">
            <v>240</v>
          </cell>
          <cell r="AD109">
            <v>802323</v>
          </cell>
          <cell r="AE109">
            <v>2497.64</v>
          </cell>
          <cell r="AF109">
            <v>0</v>
          </cell>
          <cell r="AG109">
            <v>0</v>
          </cell>
          <cell r="AH109">
            <v>0</v>
          </cell>
          <cell r="AI109">
            <v>0</v>
          </cell>
          <cell r="AJ109">
            <v>0</v>
          </cell>
          <cell r="AK109">
            <v>10127.64</v>
          </cell>
          <cell r="AL109">
            <v>504</v>
          </cell>
          <cell r="AM109">
            <v>4800</v>
          </cell>
          <cell r="AN109">
            <v>0</v>
          </cell>
          <cell r="AO109">
            <v>0</v>
          </cell>
          <cell r="AP109">
            <v>9620</v>
          </cell>
        </row>
        <row r="110">
          <cell r="B110" t="str">
            <v xml:space="preserve"> KDS9 </v>
          </cell>
          <cell r="C110" t="str">
            <v xml:space="preserve"> Nguyễn Minh Đại </v>
          </cell>
          <cell r="D110" t="str">
            <v>NV sale</v>
          </cell>
          <cell r="E110">
            <v>42786</v>
          </cell>
          <cell r="F110">
            <v>2</v>
          </cell>
          <cell r="G110">
            <v>1</v>
          </cell>
          <cell r="H110">
            <v>1</v>
          </cell>
          <cell r="I110">
            <v>5</v>
          </cell>
          <cell r="J110">
            <v>6190</v>
          </cell>
          <cell r="K110">
            <v>0</v>
          </cell>
          <cell r="L110">
            <v>0</v>
          </cell>
          <cell r="M110">
            <v>0</v>
          </cell>
          <cell r="N110">
            <v>0</v>
          </cell>
          <cell r="O110">
            <v>500</v>
          </cell>
          <cell r="P110">
            <v>200</v>
          </cell>
          <cell r="Q110">
            <v>500</v>
          </cell>
          <cell r="R110">
            <v>0</v>
          </cell>
          <cell r="S110">
            <v>0</v>
          </cell>
          <cell r="T110">
            <v>0</v>
          </cell>
          <cell r="U110">
            <v>0</v>
          </cell>
          <cell r="V110">
            <v>7190</v>
          </cell>
          <cell r="W110">
            <v>24</v>
          </cell>
          <cell r="X110">
            <v>0</v>
          </cell>
          <cell r="Y110">
            <v>0</v>
          </cell>
          <cell r="Z110">
            <v>0</v>
          </cell>
          <cell r="AA110">
            <v>0</v>
          </cell>
          <cell r="AB110">
            <v>0</v>
          </cell>
          <cell r="AC110">
            <v>0</v>
          </cell>
          <cell r="AD110">
            <v>1118413</v>
          </cell>
          <cell r="AE110">
            <v>6700</v>
          </cell>
          <cell r="AF110">
            <v>0</v>
          </cell>
          <cell r="AG110">
            <v>0</v>
          </cell>
          <cell r="AH110">
            <v>0</v>
          </cell>
          <cell r="AI110">
            <v>1000</v>
          </cell>
          <cell r="AJ110">
            <v>0</v>
          </cell>
          <cell r="AK110">
            <v>15090</v>
          </cell>
          <cell r="AL110">
            <v>504</v>
          </cell>
          <cell r="AM110">
            <v>4800</v>
          </cell>
          <cell r="AN110">
            <v>0</v>
          </cell>
          <cell r="AO110">
            <v>0</v>
          </cell>
          <cell r="AP110">
            <v>14590</v>
          </cell>
        </row>
        <row r="111">
          <cell r="B111">
            <v>0</v>
          </cell>
          <cell r="C111" t="str">
            <v xml:space="preserve"> Tổ lái </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29754.699999999997</v>
          </cell>
          <cell r="AL111">
            <v>3559.5</v>
          </cell>
          <cell r="AM111">
            <v>33900</v>
          </cell>
          <cell r="AN111">
            <v>10000</v>
          </cell>
          <cell r="AO111">
            <v>0</v>
          </cell>
          <cell r="AP111">
            <v>18710</v>
          </cell>
        </row>
        <row r="112">
          <cell r="B112" t="str">
            <v xml:space="preserve"> KDX1 </v>
          </cell>
          <cell r="C112" t="str">
            <v xml:space="preserve"> Ngô Mạnh Linh trưởng bộ phận </v>
          </cell>
          <cell r="D112" t="str">
            <v>Trưởng đội vận chuyển</v>
          </cell>
          <cell r="E112">
            <v>39539</v>
          </cell>
          <cell r="F112">
            <v>1</v>
          </cell>
          <cell r="G112">
            <v>9</v>
          </cell>
          <cell r="H112">
            <v>11</v>
          </cell>
          <cell r="I112">
            <v>24</v>
          </cell>
          <cell r="J112">
            <v>7770</v>
          </cell>
          <cell r="K112">
            <v>0</v>
          </cell>
          <cell r="L112">
            <v>500</v>
          </cell>
          <cell r="M112">
            <v>699.3</v>
          </cell>
          <cell r="N112">
            <v>0</v>
          </cell>
          <cell r="O112">
            <v>200</v>
          </cell>
          <cell r="P112">
            <v>300</v>
          </cell>
          <cell r="Q112">
            <v>0</v>
          </cell>
          <cell r="R112">
            <v>3000</v>
          </cell>
          <cell r="S112">
            <v>0</v>
          </cell>
          <cell r="T112">
            <v>6500</v>
          </cell>
          <cell r="U112">
            <v>0</v>
          </cell>
          <cell r="V112">
            <v>18669.3</v>
          </cell>
          <cell r="W112">
            <v>24</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18969.3</v>
          </cell>
          <cell r="AL112">
            <v>535.5</v>
          </cell>
          <cell r="AM112">
            <v>5100</v>
          </cell>
          <cell r="AN112">
            <v>10000</v>
          </cell>
          <cell r="AO112">
            <v>0</v>
          </cell>
          <cell r="AP112">
            <v>8430</v>
          </cell>
        </row>
        <row r="113">
          <cell r="B113" t="str">
            <v xml:space="preserve"> KDX2 </v>
          </cell>
          <cell r="C113" t="str">
            <v xml:space="preserve"> Nguyễn Cường  </v>
          </cell>
          <cell r="D113" t="str">
            <v>Tài xế</v>
          </cell>
          <cell r="E113">
            <v>40486</v>
          </cell>
          <cell r="F113">
            <v>1</v>
          </cell>
          <cell r="G113">
            <v>7</v>
          </cell>
          <cell r="H113">
            <v>4</v>
          </cell>
          <cell r="I113">
            <v>21</v>
          </cell>
          <cell r="J113">
            <v>5220</v>
          </cell>
          <cell r="K113">
            <v>0</v>
          </cell>
          <cell r="L113">
            <v>200</v>
          </cell>
          <cell r="M113">
            <v>365.40000000000003</v>
          </cell>
          <cell r="N113">
            <v>0</v>
          </cell>
          <cell r="O113">
            <v>0</v>
          </cell>
          <cell r="P113">
            <v>0</v>
          </cell>
          <cell r="Q113">
            <v>0</v>
          </cell>
          <cell r="R113">
            <v>0</v>
          </cell>
          <cell r="S113">
            <v>0</v>
          </cell>
          <cell r="T113">
            <v>0</v>
          </cell>
          <cell r="U113">
            <v>0</v>
          </cell>
          <cell r="V113">
            <v>5785.4</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504</v>
          </cell>
          <cell r="AM113">
            <v>4800</v>
          </cell>
          <cell r="AN113">
            <v>0</v>
          </cell>
          <cell r="AO113">
            <v>0</v>
          </cell>
          <cell r="AP113">
            <v>0</v>
          </cell>
        </row>
        <row r="114">
          <cell r="B114" t="str">
            <v xml:space="preserve"> KDX3 </v>
          </cell>
          <cell r="C114" t="str">
            <v xml:space="preserve"> Nguyễn Văn Chung </v>
          </cell>
          <cell r="D114" t="str">
            <v>Admin điều vận</v>
          </cell>
          <cell r="E114">
            <v>41682</v>
          </cell>
          <cell r="F114">
            <v>1</v>
          </cell>
          <cell r="G114">
            <v>4</v>
          </cell>
          <cell r="H114">
            <v>1</v>
          </cell>
          <cell r="I114">
            <v>13</v>
          </cell>
          <cell r="J114">
            <v>7010</v>
          </cell>
          <cell r="K114">
            <v>0</v>
          </cell>
          <cell r="L114">
            <v>200</v>
          </cell>
          <cell r="M114">
            <v>280.40000000000003</v>
          </cell>
          <cell r="N114">
            <v>0</v>
          </cell>
          <cell r="O114">
            <v>0</v>
          </cell>
          <cell r="P114">
            <v>0</v>
          </cell>
          <cell r="Q114">
            <v>0</v>
          </cell>
          <cell r="R114">
            <v>0</v>
          </cell>
          <cell r="S114">
            <v>0</v>
          </cell>
          <cell r="T114">
            <v>2600</v>
          </cell>
          <cell r="U114">
            <v>0</v>
          </cell>
          <cell r="V114">
            <v>10090.4</v>
          </cell>
          <cell r="W114">
            <v>24</v>
          </cell>
          <cell r="X114">
            <v>0</v>
          </cell>
          <cell r="Y114">
            <v>0</v>
          </cell>
          <cell r="Z114">
            <v>0</v>
          </cell>
          <cell r="AA114">
            <v>0</v>
          </cell>
          <cell r="AB114">
            <v>0</v>
          </cell>
          <cell r="AC114">
            <v>0</v>
          </cell>
          <cell r="AD114">
            <v>0</v>
          </cell>
          <cell r="AE114">
            <v>0</v>
          </cell>
          <cell r="AF114">
            <v>0</v>
          </cell>
          <cell r="AG114">
            <v>0</v>
          </cell>
          <cell r="AH114">
            <v>0</v>
          </cell>
          <cell r="AI114">
            <v>0</v>
          </cell>
          <cell r="AJ114">
            <v>695</v>
          </cell>
          <cell r="AK114">
            <v>10785.4</v>
          </cell>
          <cell r="AL114">
            <v>504</v>
          </cell>
          <cell r="AM114">
            <v>4800</v>
          </cell>
          <cell r="AN114">
            <v>0</v>
          </cell>
          <cell r="AO114">
            <v>0</v>
          </cell>
          <cell r="AP114">
            <v>10280</v>
          </cell>
        </row>
        <row r="115">
          <cell r="B115" t="str">
            <v xml:space="preserve"> KDX4 </v>
          </cell>
          <cell r="C115" t="str">
            <v xml:space="preserve"> Nguyễn Văn Tuấn </v>
          </cell>
          <cell r="D115" t="str">
            <v>Tài xế</v>
          </cell>
          <cell r="E115">
            <v>42217</v>
          </cell>
          <cell r="F115">
            <v>1</v>
          </cell>
          <cell r="G115">
            <v>2</v>
          </cell>
          <cell r="H115">
            <v>7</v>
          </cell>
          <cell r="I115">
            <v>24</v>
          </cell>
          <cell r="J115">
            <v>5220</v>
          </cell>
          <cell r="K115">
            <v>0</v>
          </cell>
          <cell r="L115">
            <v>200</v>
          </cell>
          <cell r="M115">
            <v>0</v>
          </cell>
          <cell r="N115">
            <v>0</v>
          </cell>
          <cell r="O115">
            <v>0</v>
          </cell>
          <cell r="P115">
            <v>0</v>
          </cell>
          <cell r="Q115">
            <v>0</v>
          </cell>
          <cell r="R115">
            <v>0</v>
          </cell>
          <cell r="S115">
            <v>0</v>
          </cell>
          <cell r="T115">
            <v>0</v>
          </cell>
          <cell r="U115">
            <v>0</v>
          </cell>
          <cell r="V115">
            <v>5420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504</v>
          </cell>
          <cell r="AM115">
            <v>4800</v>
          </cell>
          <cell r="AN115">
            <v>0</v>
          </cell>
          <cell r="AO115">
            <v>0</v>
          </cell>
          <cell r="AP115">
            <v>0</v>
          </cell>
        </row>
        <row r="116">
          <cell r="B116" t="str">
            <v xml:space="preserve"> KDX5 </v>
          </cell>
          <cell r="C116" t="str">
            <v xml:space="preserve"> Nguyễn Hoài Thanh </v>
          </cell>
          <cell r="D116" t="str">
            <v>Tài xế</v>
          </cell>
          <cell r="E116">
            <v>42248</v>
          </cell>
          <cell r="F116">
            <v>1</v>
          </cell>
          <cell r="G116">
            <v>2</v>
          </cell>
          <cell r="H116">
            <v>6</v>
          </cell>
          <cell r="I116">
            <v>24</v>
          </cell>
          <cell r="J116">
            <v>5220</v>
          </cell>
          <cell r="K116">
            <v>0</v>
          </cell>
          <cell r="L116">
            <v>200</v>
          </cell>
          <cell r="M116">
            <v>0</v>
          </cell>
          <cell r="N116">
            <v>0</v>
          </cell>
          <cell r="O116">
            <v>0</v>
          </cell>
          <cell r="P116">
            <v>0</v>
          </cell>
          <cell r="Q116">
            <v>0</v>
          </cell>
          <cell r="R116">
            <v>0</v>
          </cell>
          <cell r="S116">
            <v>0</v>
          </cell>
          <cell r="T116">
            <v>0</v>
          </cell>
          <cell r="U116">
            <v>0</v>
          </cell>
          <cell r="V116">
            <v>5420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504</v>
          </cell>
          <cell r="AM116">
            <v>4800</v>
          </cell>
          <cell r="AN116">
            <v>0</v>
          </cell>
          <cell r="AO116">
            <v>0</v>
          </cell>
          <cell r="AP116">
            <v>0</v>
          </cell>
        </row>
        <row r="117">
          <cell r="B117" t="str">
            <v xml:space="preserve"> KDX6 </v>
          </cell>
          <cell r="C117" t="str">
            <v xml:space="preserve"> Nguyễn Đình Hướng </v>
          </cell>
          <cell r="D117" t="str">
            <v>Tài xế</v>
          </cell>
          <cell r="E117">
            <v>42597</v>
          </cell>
          <cell r="F117">
            <v>1</v>
          </cell>
          <cell r="G117">
            <v>1</v>
          </cell>
          <cell r="H117">
            <v>7</v>
          </cell>
          <cell r="I117">
            <v>10</v>
          </cell>
          <cell r="J117">
            <v>5220</v>
          </cell>
          <cell r="K117">
            <v>0</v>
          </cell>
          <cell r="L117">
            <v>200</v>
          </cell>
          <cell r="M117">
            <v>0</v>
          </cell>
          <cell r="N117">
            <v>0</v>
          </cell>
          <cell r="O117">
            <v>0</v>
          </cell>
          <cell r="P117">
            <v>0</v>
          </cell>
          <cell r="Q117">
            <v>0</v>
          </cell>
          <cell r="R117">
            <v>0</v>
          </cell>
          <cell r="S117">
            <v>0</v>
          </cell>
          <cell r="T117">
            <v>0</v>
          </cell>
          <cell r="U117">
            <v>0</v>
          </cell>
          <cell r="V117">
            <v>5420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0</v>
          </cell>
          <cell r="AL117">
            <v>504</v>
          </cell>
          <cell r="AM117">
            <v>4800</v>
          </cell>
          <cell r="AN117">
            <v>0</v>
          </cell>
          <cell r="AO117">
            <v>0</v>
          </cell>
          <cell r="AP117">
            <v>0</v>
          </cell>
        </row>
        <row r="118">
          <cell r="B118" t="str">
            <v xml:space="preserve"> KDPX3 </v>
          </cell>
          <cell r="C118" t="str">
            <v xml:space="preserve"> Đặng Quốc Cọp </v>
          </cell>
          <cell r="D118" t="str">
            <v>Tài xế</v>
          </cell>
          <cell r="E118">
            <v>42441</v>
          </cell>
          <cell r="F118">
            <v>1</v>
          </cell>
          <cell r="G118">
            <v>2</v>
          </cell>
          <cell r="H118">
            <v>0</v>
          </cell>
          <cell r="I118">
            <v>13</v>
          </cell>
          <cell r="J118">
            <v>5220</v>
          </cell>
          <cell r="K118">
            <v>0</v>
          </cell>
          <cell r="L118">
            <v>200</v>
          </cell>
          <cell r="M118">
            <v>0</v>
          </cell>
          <cell r="N118">
            <v>0</v>
          </cell>
          <cell r="O118">
            <v>0</v>
          </cell>
          <cell r="P118">
            <v>0</v>
          </cell>
          <cell r="Q118">
            <v>0</v>
          </cell>
          <cell r="R118">
            <v>0</v>
          </cell>
          <cell r="S118">
            <v>0</v>
          </cell>
          <cell r="T118">
            <v>0</v>
          </cell>
          <cell r="U118">
            <v>0</v>
          </cell>
          <cell r="V118">
            <v>5420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504</v>
          </cell>
          <cell r="AM118">
            <v>4800</v>
          </cell>
          <cell r="AN118">
            <v>0</v>
          </cell>
          <cell r="AO118">
            <v>0</v>
          </cell>
          <cell r="AP118">
            <v>0</v>
          </cell>
        </row>
        <row r="119">
          <cell r="B119" t="str">
            <v xml:space="preserve"> KDX7 </v>
          </cell>
          <cell r="C119" t="str">
            <v xml:space="preserve"> Châu Kim Lượng </v>
          </cell>
          <cell r="D119" t="str">
            <v>Tài xế</v>
          </cell>
          <cell r="E119">
            <v>42788</v>
          </cell>
          <cell r="F119">
            <v>1</v>
          </cell>
          <cell r="G119">
            <v>1</v>
          </cell>
          <cell r="H119">
            <v>1</v>
          </cell>
          <cell r="I119">
            <v>3</v>
          </cell>
          <cell r="J119">
            <v>5220</v>
          </cell>
          <cell r="K119">
            <v>0</v>
          </cell>
          <cell r="L119">
            <v>200</v>
          </cell>
          <cell r="M119">
            <v>0</v>
          </cell>
          <cell r="N119">
            <v>0</v>
          </cell>
          <cell r="O119">
            <v>0</v>
          </cell>
          <cell r="P119">
            <v>0</v>
          </cell>
          <cell r="Q119">
            <v>0</v>
          </cell>
          <cell r="R119">
            <v>0</v>
          </cell>
          <cell r="S119">
            <v>0</v>
          </cell>
          <cell r="T119">
            <v>0</v>
          </cell>
          <cell r="U119">
            <v>0</v>
          </cell>
          <cell r="V119">
            <v>5420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row>
        <row r="120">
          <cell r="B120" t="str">
            <v xml:space="preserve"> KDX8 </v>
          </cell>
          <cell r="C120" t="str">
            <v xml:space="preserve"> Huỳnh Trọng Nghĩa </v>
          </cell>
          <cell r="D120" t="str">
            <v>Tài xế</v>
          </cell>
          <cell r="E120">
            <v>42805</v>
          </cell>
          <cell r="F120">
            <v>1</v>
          </cell>
          <cell r="G120">
            <v>1</v>
          </cell>
          <cell r="H120">
            <v>0</v>
          </cell>
          <cell r="I120">
            <v>14</v>
          </cell>
          <cell r="J120">
            <v>5220</v>
          </cell>
          <cell r="K120">
            <v>0</v>
          </cell>
          <cell r="L120">
            <v>200</v>
          </cell>
          <cell r="M120">
            <v>0</v>
          </cell>
          <cell r="N120">
            <v>0</v>
          </cell>
          <cell r="O120">
            <v>0</v>
          </cell>
          <cell r="P120">
            <v>0</v>
          </cell>
          <cell r="Q120">
            <v>0</v>
          </cell>
          <cell r="R120">
            <v>0</v>
          </cell>
          <cell r="S120">
            <v>0</v>
          </cell>
          <cell r="T120">
            <v>0</v>
          </cell>
          <cell r="U120">
            <v>0</v>
          </cell>
          <cell r="V120">
            <v>5420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row>
        <row r="121">
          <cell r="B121" t="str">
            <v xml:space="preserve"> KDX10 </v>
          </cell>
          <cell r="C121" t="str">
            <v xml:space="preserve"> Nguyễn Ngọc Hiển </v>
          </cell>
          <cell r="D121" t="str">
            <v>Tài xế</v>
          </cell>
          <cell r="E121">
            <v>42863</v>
          </cell>
          <cell r="F121">
            <v>1</v>
          </cell>
          <cell r="G121">
            <v>0</v>
          </cell>
          <cell r="H121">
            <v>10</v>
          </cell>
          <cell r="I121">
            <v>17</v>
          </cell>
          <cell r="J121">
            <v>5220</v>
          </cell>
          <cell r="K121">
            <v>0</v>
          </cell>
          <cell r="L121">
            <v>200</v>
          </cell>
          <cell r="M121">
            <v>0</v>
          </cell>
          <cell r="N121">
            <v>0</v>
          </cell>
          <cell r="O121">
            <v>0</v>
          </cell>
          <cell r="P121">
            <v>0</v>
          </cell>
          <cell r="Q121">
            <v>0</v>
          </cell>
          <cell r="R121">
            <v>0</v>
          </cell>
          <cell r="S121">
            <v>0</v>
          </cell>
          <cell r="T121">
            <v>0</v>
          </cell>
          <cell r="U121">
            <v>0</v>
          </cell>
          <cell r="V121">
            <v>5420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row>
        <row r="122">
          <cell r="B122" t="str">
            <v xml:space="preserve"> KDX11 </v>
          </cell>
          <cell r="C122" t="str">
            <v xml:space="preserve"> Lê Văn Mạnh </v>
          </cell>
          <cell r="D122" t="str">
            <v>Tài xế</v>
          </cell>
          <cell r="E122">
            <v>42948</v>
          </cell>
          <cell r="F122">
            <v>1</v>
          </cell>
          <cell r="G122">
            <v>0</v>
          </cell>
          <cell r="H122">
            <v>7</v>
          </cell>
          <cell r="I122">
            <v>24</v>
          </cell>
          <cell r="J122">
            <v>5220</v>
          </cell>
          <cell r="K122">
            <v>0</v>
          </cell>
          <cell r="L122">
            <v>200</v>
          </cell>
          <cell r="M122">
            <v>0</v>
          </cell>
          <cell r="N122">
            <v>0</v>
          </cell>
          <cell r="O122">
            <v>0</v>
          </cell>
          <cell r="P122">
            <v>0</v>
          </cell>
          <cell r="Q122">
            <v>0</v>
          </cell>
          <cell r="R122">
            <v>0</v>
          </cell>
          <cell r="S122">
            <v>0</v>
          </cell>
          <cell r="T122">
            <v>0</v>
          </cell>
          <cell r="U122">
            <v>0</v>
          </cell>
          <cell r="V122">
            <v>5420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row>
        <row r="123">
          <cell r="B123">
            <v>0</v>
          </cell>
          <cell r="C123" t="str">
            <v xml:space="preserve"> Phụ xe </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104606.438488</v>
          </cell>
          <cell r="AL123">
            <v>1441.7549999999999</v>
          </cell>
          <cell r="AM123">
            <v>13731</v>
          </cell>
          <cell r="AN123">
            <v>33000</v>
          </cell>
          <cell r="AO123">
            <v>0</v>
          </cell>
          <cell r="AP123">
            <v>70150</v>
          </cell>
        </row>
        <row r="124">
          <cell r="B124" t="str">
            <v xml:space="preserve"> KDPX1 </v>
          </cell>
          <cell r="C124" t="str">
            <v xml:space="preserve"> Lê Hoàng Phúc </v>
          </cell>
          <cell r="D124" t="str">
            <v>NV Giao nhận/ Phụ xe</v>
          </cell>
          <cell r="E124">
            <v>41831</v>
          </cell>
          <cell r="F124">
            <v>1</v>
          </cell>
          <cell r="G124">
            <v>3</v>
          </cell>
          <cell r="H124">
            <v>8</v>
          </cell>
          <cell r="I124">
            <v>14</v>
          </cell>
          <cell r="J124">
            <v>4500</v>
          </cell>
          <cell r="K124">
            <v>0</v>
          </cell>
          <cell r="L124">
            <v>0</v>
          </cell>
          <cell r="M124">
            <v>135</v>
          </cell>
          <cell r="N124">
            <v>0</v>
          </cell>
          <cell r="O124">
            <v>0</v>
          </cell>
          <cell r="P124">
            <v>0</v>
          </cell>
          <cell r="Q124">
            <v>0</v>
          </cell>
          <cell r="R124">
            <v>0</v>
          </cell>
          <cell r="S124">
            <v>0</v>
          </cell>
          <cell r="T124">
            <v>0</v>
          </cell>
          <cell r="U124">
            <v>0</v>
          </cell>
          <cell r="V124">
            <v>4635</v>
          </cell>
          <cell r="W124">
            <v>24</v>
          </cell>
          <cell r="X124">
            <v>0</v>
          </cell>
          <cell r="Y124">
            <v>0</v>
          </cell>
          <cell r="Z124">
            <v>0</v>
          </cell>
          <cell r="AA124">
            <v>0</v>
          </cell>
          <cell r="AB124">
            <v>0</v>
          </cell>
          <cell r="AC124">
            <v>180</v>
          </cell>
          <cell r="AD124">
            <v>169245.125</v>
          </cell>
          <cell r="AE124">
            <v>2030.9414999999999</v>
          </cell>
          <cell r="AF124">
            <v>0</v>
          </cell>
          <cell r="AG124">
            <v>0</v>
          </cell>
          <cell r="AH124">
            <v>0</v>
          </cell>
          <cell r="AI124">
            <v>0</v>
          </cell>
          <cell r="AJ124">
            <v>0</v>
          </cell>
          <cell r="AK124">
            <v>6845.9414999999999</v>
          </cell>
          <cell r="AL124">
            <v>480.58499999999998</v>
          </cell>
          <cell r="AM124">
            <v>4577</v>
          </cell>
          <cell r="AN124">
            <v>3000</v>
          </cell>
          <cell r="AO124">
            <v>0</v>
          </cell>
          <cell r="AP124">
            <v>3370</v>
          </cell>
        </row>
        <row r="125">
          <cell r="B125" t="str">
            <v xml:space="preserve"> KDPX2 </v>
          </cell>
          <cell r="C125" t="str">
            <v xml:space="preserve"> Dương Tấn Đạt </v>
          </cell>
          <cell r="D125" t="str">
            <v>NV Giao nhận/ Phụ xe</v>
          </cell>
          <cell r="E125">
            <v>42390</v>
          </cell>
          <cell r="F125">
            <v>1</v>
          </cell>
          <cell r="G125">
            <v>2</v>
          </cell>
          <cell r="H125">
            <v>2</v>
          </cell>
          <cell r="I125">
            <v>4</v>
          </cell>
          <cell r="J125">
            <v>4500</v>
          </cell>
          <cell r="K125">
            <v>0</v>
          </cell>
          <cell r="L125">
            <v>0</v>
          </cell>
          <cell r="M125">
            <v>0</v>
          </cell>
          <cell r="N125">
            <v>0</v>
          </cell>
          <cell r="O125">
            <v>0</v>
          </cell>
          <cell r="P125">
            <v>0</v>
          </cell>
          <cell r="Q125">
            <v>0</v>
          </cell>
          <cell r="R125">
            <v>0</v>
          </cell>
          <cell r="S125">
            <v>0</v>
          </cell>
          <cell r="T125">
            <v>0</v>
          </cell>
          <cell r="U125">
            <v>0</v>
          </cell>
          <cell r="V125">
            <v>4500</v>
          </cell>
          <cell r="W125">
            <v>24</v>
          </cell>
          <cell r="X125">
            <v>0</v>
          </cell>
          <cell r="Y125">
            <v>0</v>
          </cell>
          <cell r="Z125">
            <v>0</v>
          </cell>
          <cell r="AA125">
            <v>0</v>
          </cell>
          <cell r="AB125">
            <v>0</v>
          </cell>
          <cell r="AC125">
            <v>1080</v>
          </cell>
          <cell r="AD125">
            <v>207179.70800000001</v>
          </cell>
          <cell r="AE125">
            <v>2486.1564960000001</v>
          </cell>
          <cell r="AF125">
            <v>0</v>
          </cell>
          <cell r="AG125">
            <v>0</v>
          </cell>
          <cell r="AH125">
            <v>0</v>
          </cell>
          <cell r="AI125">
            <v>0</v>
          </cell>
          <cell r="AJ125">
            <v>0</v>
          </cell>
          <cell r="AK125">
            <v>8066.1564959999996</v>
          </cell>
          <cell r="AL125">
            <v>480.58499999999998</v>
          </cell>
          <cell r="AM125">
            <v>4577</v>
          </cell>
          <cell r="AN125">
            <v>3000</v>
          </cell>
          <cell r="AO125">
            <v>0</v>
          </cell>
          <cell r="AP125">
            <v>4590</v>
          </cell>
        </row>
        <row r="126">
          <cell r="B126" t="str">
            <v xml:space="preserve"> KDPX5 </v>
          </cell>
          <cell r="C126" t="str">
            <v xml:space="preserve"> Lê Tấn Dũng </v>
          </cell>
          <cell r="D126" t="str">
            <v>NV Giao nhận/ Phụ xe</v>
          </cell>
          <cell r="E126">
            <v>42217</v>
          </cell>
          <cell r="F126">
            <v>1</v>
          </cell>
          <cell r="G126">
            <v>2</v>
          </cell>
          <cell r="H126">
            <v>7</v>
          </cell>
          <cell r="I126">
            <v>24</v>
          </cell>
          <cell r="J126">
            <v>4500</v>
          </cell>
          <cell r="K126">
            <v>0</v>
          </cell>
          <cell r="L126">
            <v>0</v>
          </cell>
          <cell r="M126">
            <v>0</v>
          </cell>
          <cell r="N126">
            <v>0</v>
          </cell>
          <cell r="O126">
            <v>0</v>
          </cell>
          <cell r="P126">
            <v>0</v>
          </cell>
          <cell r="Q126">
            <v>0</v>
          </cell>
          <cell r="R126">
            <v>0</v>
          </cell>
          <cell r="S126">
            <v>0</v>
          </cell>
          <cell r="T126">
            <v>0</v>
          </cell>
          <cell r="U126">
            <v>0</v>
          </cell>
          <cell r="V126">
            <v>4500</v>
          </cell>
          <cell r="W126">
            <v>23</v>
          </cell>
          <cell r="X126">
            <v>1</v>
          </cell>
          <cell r="Y126">
            <v>0</v>
          </cell>
          <cell r="Z126">
            <v>0</v>
          </cell>
          <cell r="AA126">
            <v>0</v>
          </cell>
          <cell r="AB126">
            <v>0</v>
          </cell>
          <cell r="AC126">
            <v>720</v>
          </cell>
          <cell r="AD126">
            <v>192773.875</v>
          </cell>
          <cell r="AE126">
            <v>2313.2865000000002</v>
          </cell>
          <cell r="AF126">
            <v>0</v>
          </cell>
          <cell r="AG126">
            <v>0</v>
          </cell>
          <cell r="AH126">
            <v>0</v>
          </cell>
          <cell r="AI126">
            <v>0</v>
          </cell>
          <cell r="AJ126">
            <v>0</v>
          </cell>
          <cell r="AK126">
            <v>7533.2865000000002</v>
          </cell>
          <cell r="AL126">
            <v>480.58499999999998</v>
          </cell>
          <cell r="AM126">
            <v>4577</v>
          </cell>
          <cell r="AN126">
            <v>0</v>
          </cell>
          <cell r="AO126">
            <v>0</v>
          </cell>
          <cell r="AP126">
            <v>7050</v>
          </cell>
        </row>
        <row r="127">
          <cell r="B127" t="str">
            <v xml:space="preserve"> KDPX6 </v>
          </cell>
          <cell r="C127" t="str">
            <v xml:space="preserve"> Nguyễn Văn Huy </v>
          </cell>
          <cell r="D127" t="str">
            <v>NV Giao nhận/ Phụ xe</v>
          </cell>
          <cell r="E127">
            <v>42865</v>
          </cell>
          <cell r="F127">
            <v>1</v>
          </cell>
          <cell r="G127">
            <v>0</v>
          </cell>
          <cell r="H127">
            <v>10</v>
          </cell>
          <cell r="I127">
            <v>15</v>
          </cell>
          <cell r="J127">
            <v>4500</v>
          </cell>
          <cell r="K127">
            <v>0</v>
          </cell>
          <cell r="L127">
            <v>0</v>
          </cell>
          <cell r="M127">
            <v>0</v>
          </cell>
          <cell r="N127">
            <v>0</v>
          </cell>
          <cell r="O127">
            <v>0</v>
          </cell>
          <cell r="P127">
            <v>0</v>
          </cell>
          <cell r="Q127">
            <v>0</v>
          </cell>
          <cell r="R127">
            <v>0</v>
          </cell>
          <cell r="S127">
            <v>0</v>
          </cell>
          <cell r="T127">
            <v>0</v>
          </cell>
          <cell r="U127">
            <v>0</v>
          </cell>
          <cell r="V127">
            <v>4500</v>
          </cell>
          <cell r="W127">
            <v>23</v>
          </cell>
          <cell r="X127">
            <v>1</v>
          </cell>
          <cell r="Y127">
            <v>0</v>
          </cell>
          <cell r="Z127">
            <v>0</v>
          </cell>
          <cell r="AA127">
            <v>0</v>
          </cell>
          <cell r="AB127">
            <v>0</v>
          </cell>
          <cell r="AC127">
            <v>1500</v>
          </cell>
          <cell r="AD127">
            <v>200400.54199999999</v>
          </cell>
          <cell r="AE127">
            <v>2404.8065040000001</v>
          </cell>
          <cell r="AF127">
            <v>0</v>
          </cell>
          <cell r="AG127">
            <v>0</v>
          </cell>
          <cell r="AH127">
            <v>0</v>
          </cell>
          <cell r="AI127">
            <v>0</v>
          </cell>
          <cell r="AJ127">
            <v>0</v>
          </cell>
          <cell r="AK127">
            <v>8404.8065040000001</v>
          </cell>
          <cell r="AL127">
            <v>0</v>
          </cell>
          <cell r="AM127">
            <v>0</v>
          </cell>
          <cell r="AN127">
            <v>3000</v>
          </cell>
          <cell r="AO127">
            <v>0</v>
          </cell>
          <cell r="AP127">
            <v>5400</v>
          </cell>
        </row>
        <row r="128">
          <cell r="B128" t="str">
            <v xml:space="preserve"> KDPX7 </v>
          </cell>
          <cell r="C128" t="str">
            <v xml:space="preserve"> Danh Thừa </v>
          </cell>
          <cell r="D128" t="str">
            <v>NV Giao nhận/ Phụ xe</v>
          </cell>
          <cell r="E128">
            <v>42689</v>
          </cell>
          <cell r="F128">
            <v>1</v>
          </cell>
          <cell r="G128">
            <v>1</v>
          </cell>
          <cell r="H128">
            <v>4</v>
          </cell>
          <cell r="I128">
            <v>10</v>
          </cell>
          <cell r="J128">
            <v>4500</v>
          </cell>
          <cell r="K128">
            <v>0</v>
          </cell>
          <cell r="L128">
            <v>0</v>
          </cell>
          <cell r="M128">
            <v>0</v>
          </cell>
          <cell r="N128">
            <v>0</v>
          </cell>
          <cell r="O128">
            <v>0</v>
          </cell>
          <cell r="P128">
            <v>0</v>
          </cell>
          <cell r="Q128">
            <v>0</v>
          </cell>
          <cell r="R128">
            <v>0</v>
          </cell>
          <cell r="S128">
            <v>0</v>
          </cell>
          <cell r="T128">
            <v>0</v>
          </cell>
          <cell r="U128">
            <v>0</v>
          </cell>
          <cell r="V128">
            <v>4500</v>
          </cell>
          <cell r="W128">
            <v>24</v>
          </cell>
          <cell r="X128">
            <v>0</v>
          </cell>
          <cell r="Y128">
            <v>0</v>
          </cell>
          <cell r="Z128">
            <v>0</v>
          </cell>
          <cell r="AA128">
            <v>0</v>
          </cell>
          <cell r="AB128">
            <v>0</v>
          </cell>
          <cell r="AC128">
            <v>360</v>
          </cell>
          <cell r="AD128">
            <v>192272.04199999999</v>
          </cell>
          <cell r="AE128">
            <v>2307.2645040000002</v>
          </cell>
          <cell r="AF128">
            <v>0</v>
          </cell>
          <cell r="AG128">
            <v>0</v>
          </cell>
          <cell r="AH128">
            <v>0</v>
          </cell>
          <cell r="AI128">
            <v>0</v>
          </cell>
          <cell r="AJ128">
            <v>0</v>
          </cell>
          <cell r="AK128">
            <v>7167.2645040000007</v>
          </cell>
          <cell r="AL128">
            <v>0</v>
          </cell>
          <cell r="AM128">
            <v>0</v>
          </cell>
          <cell r="AN128">
            <v>3000</v>
          </cell>
          <cell r="AO128">
            <v>0</v>
          </cell>
          <cell r="AP128">
            <v>4170</v>
          </cell>
        </row>
        <row r="129">
          <cell r="B129" t="str">
            <v xml:space="preserve"> KDPX9 </v>
          </cell>
          <cell r="C129" t="str">
            <v xml:space="preserve"> Triệu Minh Thắng </v>
          </cell>
          <cell r="D129" t="str">
            <v>NV Giao nhận/ Phụ xe</v>
          </cell>
          <cell r="E129">
            <v>42923</v>
          </cell>
          <cell r="F129">
            <v>1</v>
          </cell>
          <cell r="G129">
            <v>0</v>
          </cell>
          <cell r="H129">
            <v>8</v>
          </cell>
          <cell r="I129">
            <v>18</v>
          </cell>
          <cell r="J129">
            <v>4500</v>
          </cell>
          <cell r="K129">
            <v>0</v>
          </cell>
          <cell r="L129">
            <v>0</v>
          </cell>
          <cell r="M129">
            <v>0</v>
          </cell>
          <cell r="N129">
            <v>0</v>
          </cell>
          <cell r="O129">
            <v>0</v>
          </cell>
          <cell r="P129">
            <v>0</v>
          </cell>
          <cell r="Q129">
            <v>0</v>
          </cell>
          <cell r="R129">
            <v>0</v>
          </cell>
          <cell r="S129">
            <v>0</v>
          </cell>
          <cell r="T129">
            <v>0</v>
          </cell>
          <cell r="U129">
            <v>0</v>
          </cell>
          <cell r="V129">
            <v>4500</v>
          </cell>
          <cell r="W129">
            <v>23</v>
          </cell>
          <cell r="X129">
            <v>0</v>
          </cell>
          <cell r="Y129">
            <v>0</v>
          </cell>
          <cell r="Z129">
            <v>0</v>
          </cell>
          <cell r="AA129">
            <v>0</v>
          </cell>
          <cell r="AB129">
            <v>0</v>
          </cell>
          <cell r="AC129">
            <v>1500</v>
          </cell>
          <cell r="AD129">
            <v>187464.20800000001</v>
          </cell>
          <cell r="AE129">
            <v>2249.5704960000003</v>
          </cell>
          <cell r="AF129">
            <v>0</v>
          </cell>
          <cell r="AG129">
            <v>0</v>
          </cell>
          <cell r="AH129">
            <v>0</v>
          </cell>
          <cell r="AI129">
            <v>0</v>
          </cell>
          <cell r="AJ129">
            <v>0</v>
          </cell>
          <cell r="AK129">
            <v>8062.0704960000003</v>
          </cell>
          <cell r="AL129">
            <v>0</v>
          </cell>
          <cell r="AM129">
            <v>0</v>
          </cell>
          <cell r="AN129">
            <v>3000</v>
          </cell>
          <cell r="AO129">
            <v>0</v>
          </cell>
          <cell r="AP129">
            <v>5060</v>
          </cell>
        </row>
        <row r="130">
          <cell r="B130" t="str">
            <v xml:space="preserve"> KDPX10 </v>
          </cell>
          <cell r="C130" t="str">
            <v xml:space="preserve"> Danh Ngòi </v>
          </cell>
          <cell r="D130" t="str">
            <v>NV Giao nhận/ Phụ xe</v>
          </cell>
          <cell r="E130">
            <v>42971</v>
          </cell>
          <cell r="F130">
            <v>1</v>
          </cell>
          <cell r="G130">
            <v>0</v>
          </cell>
          <cell r="H130">
            <v>7</v>
          </cell>
          <cell r="I130">
            <v>1</v>
          </cell>
          <cell r="J130">
            <v>4500</v>
          </cell>
          <cell r="K130">
            <v>0</v>
          </cell>
          <cell r="L130">
            <v>0</v>
          </cell>
          <cell r="M130">
            <v>0</v>
          </cell>
          <cell r="N130">
            <v>0</v>
          </cell>
          <cell r="O130">
            <v>0</v>
          </cell>
          <cell r="P130">
            <v>0</v>
          </cell>
          <cell r="Q130">
            <v>0</v>
          </cell>
          <cell r="R130">
            <v>0</v>
          </cell>
          <cell r="S130">
            <v>0</v>
          </cell>
          <cell r="T130">
            <v>0</v>
          </cell>
          <cell r="U130">
            <v>0</v>
          </cell>
          <cell r="V130">
            <v>4500</v>
          </cell>
          <cell r="W130">
            <v>24</v>
          </cell>
          <cell r="X130">
            <v>0</v>
          </cell>
          <cell r="Y130">
            <v>0</v>
          </cell>
          <cell r="Z130">
            <v>0</v>
          </cell>
          <cell r="AA130">
            <v>0</v>
          </cell>
          <cell r="AB130">
            <v>0</v>
          </cell>
          <cell r="AC130">
            <v>900</v>
          </cell>
          <cell r="AD130">
            <v>206465.08300000001</v>
          </cell>
          <cell r="AE130">
            <v>2477.5809960000001</v>
          </cell>
          <cell r="AF130">
            <v>0</v>
          </cell>
          <cell r="AG130">
            <v>0</v>
          </cell>
          <cell r="AH130">
            <v>0</v>
          </cell>
          <cell r="AI130">
            <v>0</v>
          </cell>
          <cell r="AJ130">
            <v>0</v>
          </cell>
          <cell r="AK130">
            <v>7877.5809960000006</v>
          </cell>
          <cell r="AL130">
            <v>0</v>
          </cell>
          <cell r="AM130">
            <v>0</v>
          </cell>
          <cell r="AN130">
            <v>0</v>
          </cell>
          <cell r="AO130">
            <v>0</v>
          </cell>
          <cell r="AP130">
            <v>7880</v>
          </cell>
        </row>
        <row r="131">
          <cell r="B131" t="str">
            <v xml:space="preserve"> KDPX11 </v>
          </cell>
          <cell r="C131" t="str">
            <v xml:space="preserve"> Nguyễn Hồng Hiệp </v>
          </cell>
          <cell r="D131" t="str">
            <v>NV Giao nhận/ Phụ xe</v>
          </cell>
          <cell r="E131">
            <v>42982</v>
          </cell>
          <cell r="F131">
            <v>1</v>
          </cell>
          <cell r="G131">
            <v>0</v>
          </cell>
          <cell r="H131">
            <v>6</v>
          </cell>
          <cell r="I131">
            <v>21</v>
          </cell>
          <cell r="J131">
            <v>4500</v>
          </cell>
          <cell r="K131">
            <v>0</v>
          </cell>
          <cell r="L131">
            <v>0</v>
          </cell>
          <cell r="M131">
            <v>0</v>
          </cell>
          <cell r="N131">
            <v>0</v>
          </cell>
          <cell r="O131">
            <v>0</v>
          </cell>
          <cell r="P131">
            <v>0</v>
          </cell>
          <cell r="Q131">
            <v>0</v>
          </cell>
          <cell r="R131">
            <v>0</v>
          </cell>
          <cell r="S131">
            <v>0</v>
          </cell>
          <cell r="T131">
            <v>0</v>
          </cell>
          <cell r="U131">
            <v>0</v>
          </cell>
          <cell r="V131">
            <v>4500</v>
          </cell>
          <cell r="W131">
            <v>23</v>
          </cell>
          <cell r="X131">
            <v>1</v>
          </cell>
          <cell r="Y131">
            <v>0</v>
          </cell>
          <cell r="Z131">
            <v>0</v>
          </cell>
          <cell r="AA131">
            <v>0</v>
          </cell>
          <cell r="AB131">
            <v>0</v>
          </cell>
          <cell r="AC131">
            <v>1260</v>
          </cell>
          <cell r="AD131">
            <v>223329.70800000001</v>
          </cell>
          <cell r="AE131">
            <v>2679.9564960000002</v>
          </cell>
          <cell r="AF131">
            <v>0</v>
          </cell>
          <cell r="AG131">
            <v>0</v>
          </cell>
          <cell r="AH131">
            <v>0</v>
          </cell>
          <cell r="AI131">
            <v>0</v>
          </cell>
          <cell r="AJ131">
            <v>0</v>
          </cell>
          <cell r="AK131">
            <v>8439.9564960000007</v>
          </cell>
          <cell r="AL131">
            <v>0</v>
          </cell>
          <cell r="AM131">
            <v>0</v>
          </cell>
          <cell r="AN131">
            <v>3000</v>
          </cell>
          <cell r="AO131">
            <v>0</v>
          </cell>
          <cell r="AP131">
            <v>5440</v>
          </cell>
        </row>
        <row r="132">
          <cell r="B132" t="str">
            <v xml:space="preserve"> KDPX12 </v>
          </cell>
          <cell r="C132" t="str">
            <v xml:space="preserve"> Nguyễn Hữu Hưng </v>
          </cell>
          <cell r="D132" t="str">
            <v>NV Giao nhận/ Phụ xe</v>
          </cell>
          <cell r="E132">
            <v>43005</v>
          </cell>
          <cell r="F132">
            <v>1</v>
          </cell>
          <cell r="G132">
            <v>0</v>
          </cell>
          <cell r="H132">
            <v>5</v>
          </cell>
          <cell r="I132">
            <v>26</v>
          </cell>
          <cell r="J132">
            <v>4500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cell r="AE132">
            <v>0</v>
          </cell>
          <cell r="AF132">
            <v>0</v>
          </cell>
          <cell r="AG132">
            <v>0</v>
          </cell>
          <cell r="AH132">
            <v>0</v>
          </cell>
          <cell r="AI132">
            <v>0</v>
          </cell>
          <cell r="AJ132">
            <v>0</v>
          </cell>
          <cell r="AK132">
            <v>0</v>
          </cell>
          <cell r="AL132">
            <v>0</v>
          </cell>
          <cell r="AM132">
            <v>0</v>
          </cell>
          <cell r="AN132">
            <v>0</v>
          </cell>
          <cell r="AO132">
            <v>0</v>
          </cell>
          <cell r="AP132">
            <v>0</v>
          </cell>
        </row>
        <row r="133">
          <cell r="B133" t="str">
            <v xml:space="preserve"> KDPX14 </v>
          </cell>
          <cell r="C133" t="str">
            <v xml:space="preserve"> Châu Văn Thanh </v>
          </cell>
          <cell r="D133" t="str">
            <v>NV Giao nhận/ Phụ xe</v>
          </cell>
          <cell r="E133">
            <v>43006</v>
          </cell>
          <cell r="F133">
            <v>1</v>
          </cell>
          <cell r="G133">
            <v>0</v>
          </cell>
          <cell r="H133">
            <v>5</v>
          </cell>
          <cell r="I133">
            <v>25</v>
          </cell>
          <cell r="J133">
            <v>4500</v>
          </cell>
          <cell r="K133">
            <v>0</v>
          </cell>
          <cell r="L133">
            <v>0</v>
          </cell>
          <cell r="M133">
            <v>0</v>
          </cell>
          <cell r="N133">
            <v>0</v>
          </cell>
          <cell r="O133">
            <v>0</v>
          </cell>
          <cell r="P133">
            <v>0</v>
          </cell>
          <cell r="Q133">
            <v>0</v>
          </cell>
          <cell r="R133">
            <v>0</v>
          </cell>
          <cell r="S133">
            <v>0</v>
          </cell>
          <cell r="T133">
            <v>0</v>
          </cell>
          <cell r="U133">
            <v>0</v>
          </cell>
          <cell r="V133">
            <v>4500</v>
          </cell>
          <cell r="W133">
            <v>24</v>
          </cell>
          <cell r="X133">
            <v>0</v>
          </cell>
          <cell r="Y133">
            <v>0</v>
          </cell>
          <cell r="Z133">
            <v>0</v>
          </cell>
          <cell r="AA133">
            <v>0</v>
          </cell>
          <cell r="AB133">
            <v>0</v>
          </cell>
          <cell r="AC133">
            <v>720</v>
          </cell>
          <cell r="AD133">
            <v>195392.54199999999</v>
          </cell>
          <cell r="AE133">
            <v>2344.7105040000001</v>
          </cell>
          <cell r="AF133">
            <v>0</v>
          </cell>
          <cell r="AG133">
            <v>0</v>
          </cell>
          <cell r="AH133">
            <v>0</v>
          </cell>
          <cell r="AI133">
            <v>0</v>
          </cell>
          <cell r="AJ133">
            <v>0</v>
          </cell>
          <cell r="AK133">
            <v>7564.7105040000006</v>
          </cell>
          <cell r="AL133">
            <v>0</v>
          </cell>
          <cell r="AM133">
            <v>0</v>
          </cell>
          <cell r="AN133">
            <v>3000</v>
          </cell>
          <cell r="AO133">
            <v>0</v>
          </cell>
          <cell r="AP133">
            <v>4560</v>
          </cell>
        </row>
        <row r="134">
          <cell r="B134" t="str">
            <v xml:space="preserve"> KDPX15 </v>
          </cell>
          <cell r="C134" t="str">
            <v xml:space="preserve"> Châu Văn Hữu </v>
          </cell>
          <cell r="D134" t="str">
            <v>NV Giao nhận/ Phụ xe</v>
          </cell>
          <cell r="E134">
            <v>42998</v>
          </cell>
          <cell r="F134">
            <v>1</v>
          </cell>
          <cell r="G134">
            <v>0</v>
          </cell>
          <cell r="H134">
            <v>6</v>
          </cell>
          <cell r="I134">
            <v>5</v>
          </cell>
          <cell r="J134">
            <v>4500</v>
          </cell>
          <cell r="K134">
            <v>0</v>
          </cell>
          <cell r="L134">
            <v>0</v>
          </cell>
          <cell r="M134">
            <v>0</v>
          </cell>
          <cell r="N134">
            <v>0</v>
          </cell>
          <cell r="O134">
            <v>0</v>
          </cell>
          <cell r="P134">
            <v>0</v>
          </cell>
          <cell r="Q134">
            <v>0</v>
          </cell>
          <cell r="R134">
            <v>0</v>
          </cell>
          <cell r="S134">
            <v>0</v>
          </cell>
          <cell r="T134">
            <v>0</v>
          </cell>
          <cell r="U134">
            <v>0</v>
          </cell>
          <cell r="V134">
            <v>4500</v>
          </cell>
          <cell r="W134">
            <v>24</v>
          </cell>
          <cell r="X134">
            <v>0</v>
          </cell>
          <cell r="Y134">
            <v>0</v>
          </cell>
          <cell r="Z134">
            <v>0</v>
          </cell>
          <cell r="AA134">
            <v>0</v>
          </cell>
          <cell r="AB134">
            <v>0</v>
          </cell>
          <cell r="AC134">
            <v>900</v>
          </cell>
          <cell r="AD134">
            <v>212551.66699999999</v>
          </cell>
          <cell r="AE134">
            <v>2550.6200040000003</v>
          </cell>
          <cell r="AF134">
            <v>0</v>
          </cell>
          <cell r="AG134">
            <v>0</v>
          </cell>
          <cell r="AH134">
            <v>0</v>
          </cell>
          <cell r="AI134">
            <v>0</v>
          </cell>
          <cell r="AJ134">
            <v>0</v>
          </cell>
          <cell r="AK134">
            <v>7950.6200040000003</v>
          </cell>
          <cell r="AL134">
            <v>0</v>
          </cell>
          <cell r="AM134">
            <v>0</v>
          </cell>
          <cell r="AN134">
            <v>3000</v>
          </cell>
          <cell r="AO134">
            <v>0</v>
          </cell>
          <cell r="AP134">
            <v>4950</v>
          </cell>
        </row>
        <row r="135">
          <cell r="B135" t="str">
            <v xml:space="preserve"> KDPX16 </v>
          </cell>
          <cell r="C135" t="str">
            <v xml:space="preserve"> Lê Hoàng Sơn </v>
          </cell>
          <cell r="D135" t="str">
            <v>NV Giao nhận/ Phụ xe</v>
          </cell>
          <cell r="E135">
            <v>43003</v>
          </cell>
          <cell r="F135">
            <v>1</v>
          </cell>
          <cell r="G135">
            <v>0</v>
          </cell>
          <cell r="H135">
            <v>6</v>
          </cell>
          <cell r="I135">
            <v>0</v>
          </cell>
          <cell r="J135">
            <v>4500</v>
          </cell>
          <cell r="K135">
            <v>0</v>
          </cell>
          <cell r="L135">
            <v>0</v>
          </cell>
          <cell r="M135">
            <v>0</v>
          </cell>
          <cell r="N135">
            <v>0</v>
          </cell>
          <cell r="O135">
            <v>0</v>
          </cell>
          <cell r="P135">
            <v>0</v>
          </cell>
          <cell r="Q135">
            <v>0</v>
          </cell>
          <cell r="R135">
            <v>0</v>
          </cell>
          <cell r="S135">
            <v>0</v>
          </cell>
          <cell r="T135">
            <v>0</v>
          </cell>
          <cell r="U135">
            <v>0</v>
          </cell>
          <cell r="V135">
            <v>4500</v>
          </cell>
          <cell r="W135">
            <v>24</v>
          </cell>
          <cell r="X135">
            <v>0</v>
          </cell>
          <cell r="Y135">
            <v>0</v>
          </cell>
          <cell r="Z135">
            <v>0</v>
          </cell>
          <cell r="AA135">
            <v>0</v>
          </cell>
          <cell r="AB135">
            <v>0</v>
          </cell>
          <cell r="AC135">
            <v>540</v>
          </cell>
          <cell r="AD135">
            <v>207678.45800000001</v>
          </cell>
          <cell r="AE135">
            <v>2492.1414960000002</v>
          </cell>
          <cell r="AF135">
            <v>0</v>
          </cell>
          <cell r="AG135">
            <v>0</v>
          </cell>
          <cell r="AH135">
            <v>0</v>
          </cell>
          <cell r="AI135">
            <v>0</v>
          </cell>
          <cell r="AJ135">
            <v>0</v>
          </cell>
          <cell r="AK135">
            <v>7532.1414960000002</v>
          </cell>
          <cell r="AL135">
            <v>0</v>
          </cell>
          <cell r="AM135">
            <v>0</v>
          </cell>
          <cell r="AN135">
            <v>3000</v>
          </cell>
          <cell r="AO135">
            <v>0</v>
          </cell>
          <cell r="AP135">
            <v>4530</v>
          </cell>
        </row>
      </sheetData>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y che"/>
      <sheetName val="Thang luong"/>
      <sheetName val="Luong VP"/>
      <sheetName val="Luong KD"/>
      <sheetName val="DT-DS"/>
      <sheetName val="ho tro ngoai"/>
      <sheetName val="Tam ung"/>
      <sheetName val="theluongkd"/>
      <sheetName val="TH cong"/>
      <sheetName val="Doanh so"/>
      <sheetName val="The luongvp"/>
      <sheetName val="Cham cong"/>
      <sheetName val="TH ngay phep"/>
    </sheetNames>
    <sheetDataSet>
      <sheetData sheetId="0"/>
      <sheetData sheetId="1"/>
      <sheetData sheetId="2">
        <row r="26">
          <cell r="C26" t="str">
            <v>Toång coäng</v>
          </cell>
        </row>
      </sheetData>
      <sheetData sheetId="3"/>
      <sheetData sheetId="4"/>
      <sheetData sheetId="5"/>
      <sheetData sheetId="6"/>
      <sheetData sheetId="7"/>
      <sheetData sheetId="8"/>
      <sheetData sheetId="9"/>
      <sheetData sheetId="10"/>
      <sheetData sheetId="1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ANG B.LUONG"/>
      <sheetName val="Luong VP"/>
      <sheetName val="DS"/>
      <sheetName val="T3-18"/>
      <sheetName val="The luongvp"/>
      <sheetName val="Cham cong"/>
      <sheetName val="DT-DS"/>
      <sheetName val="TH ngay phep"/>
      <sheetName val="phep"/>
      <sheetName val="Phép năm"/>
      <sheetName val="Sheet1"/>
    </sheetNames>
    <sheetDataSet>
      <sheetData sheetId="0">
        <row r="49">
          <cell r="B49" t="str">
            <v>Tài xế</v>
          </cell>
        </row>
        <row r="53">
          <cell r="B53" t="str">
            <v>NV Giao nhận/ Phụ xe</v>
          </cell>
        </row>
        <row r="59">
          <cell r="A59">
            <v>55</v>
          </cell>
        </row>
        <row r="73">
          <cell r="A73">
            <v>69</v>
          </cell>
        </row>
        <row r="93">
          <cell r="B93" t="str">
            <v>Nhân viên vận hành máy</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Q238"/>
  <sheetViews>
    <sheetView zoomScale="85" zoomScaleNormal="85" workbookViewId="0">
      <pane xSplit="2" ySplit="4" topLeftCell="C41" activePane="bottomRight" state="frozen"/>
      <selection pane="topRight"/>
      <selection pane="bottomLeft"/>
      <selection pane="bottomRight" activeCell="C60" sqref="C60"/>
    </sheetView>
  </sheetViews>
  <sheetFormatPr defaultColWidth="9.140625" defaultRowHeight="14.25"/>
  <cols>
    <col min="1" max="1" width="4.42578125" style="1132" customWidth="1"/>
    <col min="2" max="2" width="34.85546875" style="1133" customWidth="1"/>
    <col min="3" max="3" width="10.42578125" style="1134" customWidth="1"/>
    <col min="4" max="4" width="11.7109375" style="1135" customWidth="1"/>
    <col min="5" max="5" width="12.28515625" style="1135" customWidth="1"/>
    <col min="6" max="6" width="12.5703125" style="1135" customWidth="1"/>
    <col min="7" max="9" width="13.85546875" style="1135" customWidth="1"/>
    <col min="10" max="12" width="13.85546875" style="1133" customWidth="1"/>
    <col min="13" max="13" width="1.85546875" style="1136" customWidth="1"/>
    <col min="14" max="14" width="9.42578125" style="1137" customWidth="1"/>
    <col min="15" max="15" width="15.7109375" style="1138" customWidth="1"/>
    <col min="16" max="16" width="10.140625" style="1133" customWidth="1"/>
    <col min="17" max="16384" width="9.140625" style="1133"/>
  </cols>
  <sheetData>
    <row r="1" spans="1:15" s="1128" customFormat="1" ht="26.25">
      <c r="A1" s="1549" t="s">
        <v>0</v>
      </c>
      <c r="B1" s="1549"/>
      <c r="C1" s="1549"/>
      <c r="D1" s="1549"/>
      <c r="E1" s="1549"/>
      <c r="F1" s="1549"/>
      <c r="G1" s="1549"/>
      <c r="H1" s="1549"/>
      <c r="I1" s="1549"/>
      <c r="J1" s="1550" t="s">
        <v>1</v>
      </c>
      <c r="K1" s="1550"/>
      <c r="M1" s="1164"/>
      <c r="N1" s="1165"/>
      <c r="O1" s="1166"/>
    </row>
    <row r="2" spans="1:15">
      <c r="D2" s="1139"/>
    </row>
    <row r="3" spans="1:15" s="1129" customFormat="1" ht="19.5" customHeight="1">
      <c r="A3" s="1140" t="s">
        <v>2</v>
      </c>
      <c r="B3" s="1140" t="s">
        <v>3</v>
      </c>
      <c r="C3" s="1551" t="s">
        <v>4</v>
      </c>
      <c r="D3" s="1552"/>
      <c r="E3" s="1552"/>
      <c r="F3" s="1552"/>
      <c r="G3" s="1552"/>
      <c r="H3" s="1552"/>
      <c r="I3" s="1552"/>
      <c r="J3" s="1552"/>
      <c r="K3" s="1552"/>
      <c r="L3" s="1552"/>
      <c r="M3" s="1167"/>
      <c r="N3" s="1553" t="s">
        <v>5</v>
      </c>
      <c r="O3" s="1555" t="s">
        <v>6</v>
      </c>
    </row>
    <row r="4" spans="1:15" s="1129" customFormat="1" ht="19.5" customHeight="1">
      <c r="A4" s="1141"/>
      <c r="B4" s="1141"/>
      <c r="C4" s="1142">
        <v>1</v>
      </c>
      <c r="D4" s="1142">
        <v>2</v>
      </c>
      <c r="E4" s="1142">
        <v>3</v>
      </c>
      <c r="F4" s="1142">
        <v>4</v>
      </c>
      <c r="G4" s="1142">
        <v>5</v>
      </c>
      <c r="H4" s="1142">
        <v>6</v>
      </c>
      <c r="I4" s="1142">
        <v>7</v>
      </c>
      <c r="J4" s="1142">
        <v>8</v>
      </c>
      <c r="K4" s="1142">
        <v>9</v>
      </c>
      <c r="L4" s="1168">
        <v>10</v>
      </c>
      <c r="M4" s="1169"/>
      <c r="N4" s="1554"/>
      <c r="O4" s="1555"/>
    </row>
    <row r="5" spans="1:15" ht="19.5" customHeight="1">
      <c r="A5" s="1143">
        <f>COUNTA($B$4:B5)</f>
        <v>1</v>
      </c>
      <c r="B5" s="1144" t="s">
        <v>7</v>
      </c>
      <c r="C5" s="1145">
        <v>80000</v>
      </c>
      <c r="D5" s="1145">
        <f>ROUND(C5*$N$5,-2)</f>
        <v>104000</v>
      </c>
      <c r="E5" s="1145">
        <f t="shared" ref="E5:H6" si="0">ROUND(D5*$N$5,-2)</f>
        <v>135200</v>
      </c>
      <c r="F5" s="1145">
        <f t="shared" si="0"/>
        <v>175800</v>
      </c>
      <c r="G5" s="1145">
        <f t="shared" si="0"/>
        <v>228500</v>
      </c>
      <c r="H5" s="1145">
        <f t="shared" si="0"/>
        <v>297100</v>
      </c>
      <c r="I5" s="1145"/>
      <c r="J5" s="1145"/>
      <c r="K5" s="1145"/>
      <c r="L5" s="1145"/>
      <c r="M5" s="1170"/>
      <c r="N5" s="1171">
        <v>1.3</v>
      </c>
      <c r="O5" s="1172"/>
    </row>
    <row r="6" spans="1:15" s="1130" customFormat="1" ht="19.5" customHeight="1">
      <c r="A6" s="1143">
        <f>COUNTA($B$4:B6)</f>
        <v>2</v>
      </c>
      <c r="B6" s="1144" t="s">
        <v>8</v>
      </c>
      <c r="C6" s="1145">
        <v>80000</v>
      </c>
      <c r="D6" s="1145">
        <f>ROUND(C6*$N$5,-2)</f>
        <v>104000</v>
      </c>
      <c r="E6" s="1145">
        <f t="shared" si="0"/>
        <v>135200</v>
      </c>
      <c r="F6" s="1145">
        <f t="shared" si="0"/>
        <v>175800</v>
      </c>
      <c r="G6" s="1145">
        <f t="shared" si="0"/>
        <v>228500</v>
      </c>
      <c r="H6" s="1145">
        <f t="shared" si="0"/>
        <v>297100</v>
      </c>
      <c r="I6" s="1145"/>
      <c r="J6" s="1145"/>
      <c r="K6" s="1145"/>
      <c r="L6" s="1145"/>
      <c r="M6" s="1170"/>
      <c r="N6" s="1171">
        <v>1.3</v>
      </c>
      <c r="O6" s="1172"/>
    </row>
    <row r="7" spans="1:15" ht="19.5" customHeight="1">
      <c r="A7" s="1143">
        <f>COUNTA($B$4:B7)</f>
        <v>3</v>
      </c>
      <c r="B7" s="1144" t="s">
        <v>9</v>
      </c>
      <c r="C7" s="1146">
        <f t="shared" ref="C7:C12" si="1">ROUND(D7/N7,-1)</f>
        <v>25120</v>
      </c>
      <c r="D7" s="1146">
        <f t="shared" ref="D7:D12" si="2">ROUND(E7/N7,-1)</f>
        <v>30140</v>
      </c>
      <c r="E7" s="1147">
        <f t="shared" ref="E7:E12" si="3">ROUND(O7,-1)</f>
        <v>36170</v>
      </c>
      <c r="F7" s="1147">
        <f t="shared" ref="F7:L22" si="4">ROUND(E7*$N7,-1)</f>
        <v>43400</v>
      </c>
      <c r="G7" s="1147">
        <f t="shared" si="4"/>
        <v>52080</v>
      </c>
      <c r="H7" s="1147">
        <f t="shared" si="4"/>
        <v>62500</v>
      </c>
      <c r="I7" s="1147">
        <f t="shared" si="4"/>
        <v>75000</v>
      </c>
      <c r="J7" s="1147">
        <f t="shared" si="4"/>
        <v>90000</v>
      </c>
      <c r="K7" s="1147">
        <f t="shared" si="4"/>
        <v>108000</v>
      </c>
      <c r="L7" s="1147">
        <f>ROUND(K7*$N7,-1)</f>
        <v>129600</v>
      </c>
      <c r="M7" s="1170"/>
      <c r="N7" s="1171">
        <v>1.2</v>
      </c>
      <c r="O7" s="1172">
        <v>36170.760697305901</v>
      </c>
    </row>
    <row r="8" spans="1:15" s="1130" customFormat="1" ht="19.5" customHeight="1">
      <c r="A8" s="1143">
        <f>COUNTA($B$4:B8)</f>
        <v>4</v>
      </c>
      <c r="B8" s="1144" t="s">
        <v>10</v>
      </c>
      <c r="C8" s="1146">
        <f t="shared" si="1"/>
        <v>25120</v>
      </c>
      <c r="D8" s="1146">
        <f t="shared" si="2"/>
        <v>30140</v>
      </c>
      <c r="E8" s="1147">
        <f t="shared" si="3"/>
        <v>36170</v>
      </c>
      <c r="F8" s="1147">
        <f t="shared" si="4"/>
        <v>43400</v>
      </c>
      <c r="G8" s="1147">
        <f t="shared" si="4"/>
        <v>52080</v>
      </c>
      <c r="H8" s="1147">
        <f t="shared" si="4"/>
        <v>62500</v>
      </c>
      <c r="I8" s="1147">
        <f t="shared" si="4"/>
        <v>75000</v>
      </c>
      <c r="J8" s="1147">
        <f t="shared" si="4"/>
        <v>90000</v>
      </c>
      <c r="K8" s="1147">
        <f t="shared" si="4"/>
        <v>108000</v>
      </c>
      <c r="L8" s="1147">
        <f t="shared" si="4"/>
        <v>129600</v>
      </c>
      <c r="M8" s="1170"/>
      <c r="N8" s="1171">
        <v>1.2</v>
      </c>
      <c r="O8" s="1172">
        <v>36170.760697305901</v>
      </c>
    </row>
    <row r="9" spans="1:15" ht="19.5" customHeight="1">
      <c r="A9" s="1148">
        <f>COUNTA($B$4:B9)</f>
        <v>5</v>
      </c>
      <c r="B9" s="1149" t="s">
        <v>11</v>
      </c>
      <c r="C9" s="1150">
        <f t="shared" ref="C9:C11" si="5">ROUND(O9,-1)</f>
        <v>11430</v>
      </c>
      <c r="D9" s="1151">
        <f t="shared" ref="D9:E11" si="6">ROUND(C9*$N9,-1)</f>
        <v>12690</v>
      </c>
      <c r="E9" s="1151">
        <f t="shared" si="6"/>
        <v>14090</v>
      </c>
      <c r="F9" s="1151">
        <f t="shared" si="4"/>
        <v>15640</v>
      </c>
      <c r="G9" s="1151">
        <f t="shared" si="4"/>
        <v>17360</v>
      </c>
      <c r="H9" s="1151">
        <f t="shared" si="4"/>
        <v>19270</v>
      </c>
      <c r="I9" s="1151">
        <f t="shared" si="4"/>
        <v>21390</v>
      </c>
      <c r="J9" s="1151">
        <f t="shared" si="4"/>
        <v>23740</v>
      </c>
      <c r="K9" s="1151">
        <f t="shared" si="4"/>
        <v>26350</v>
      </c>
      <c r="L9" s="1151">
        <f t="shared" si="4"/>
        <v>29250</v>
      </c>
      <c r="M9" s="1173"/>
      <c r="N9" s="1174">
        <v>1.1100000000000001</v>
      </c>
      <c r="O9" s="1175">
        <v>11433.8235294118</v>
      </c>
    </row>
    <row r="10" spans="1:15" ht="19.5" customHeight="1">
      <c r="A10" s="1148">
        <f>COUNTA($B$4:B10)</f>
        <v>6</v>
      </c>
      <c r="B10" s="1149" t="s">
        <v>12</v>
      </c>
      <c r="C10" s="1150">
        <f t="shared" si="5"/>
        <v>11630</v>
      </c>
      <c r="D10" s="1151">
        <f t="shared" si="6"/>
        <v>12910</v>
      </c>
      <c r="E10" s="1151">
        <f t="shared" si="6"/>
        <v>14330</v>
      </c>
      <c r="F10" s="1151">
        <f t="shared" si="4"/>
        <v>15910</v>
      </c>
      <c r="G10" s="1151">
        <f t="shared" si="4"/>
        <v>17660</v>
      </c>
      <c r="H10" s="1151">
        <f t="shared" si="4"/>
        <v>19600</v>
      </c>
      <c r="I10" s="1151">
        <f t="shared" si="4"/>
        <v>21760</v>
      </c>
      <c r="J10" s="1151">
        <f t="shared" si="4"/>
        <v>24150</v>
      </c>
      <c r="K10" s="1151">
        <f t="shared" si="4"/>
        <v>26810</v>
      </c>
      <c r="L10" s="1151">
        <f t="shared" si="4"/>
        <v>29760</v>
      </c>
      <c r="M10" s="1176"/>
      <c r="N10" s="1177">
        <v>1.1100000000000001</v>
      </c>
      <c r="O10" s="1175">
        <v>11625</v>
      </c>
    </row>
    <row r="11" spans="1:15" ht="19.5" customHeight="1">
      <c r="A11" s="1148">
        <f>COUNTA($B$4:B11)</f>
        <v>7</v>
      </c>
      <c r="B11" s="1149" t="s">
        <v>13</v>
      </c>
      <c r="C11" s="1150">
        <f t="shared" si="5"/>
        <v>11200</v>
      </c>
      <c r="D11" s="1151">
        <f t="shared" si="6"/>
        <v>12430</v>
      </c>
      <c r="E11" s="1151">
        <f t="shared" si="6"/>
        <v>13800</v>
      </c>
      <c r="F11" s="1151">
        <f t="shared" si="4"/>
        <v>15320</v>
      </c>
      <c r="G11" s="1151">
        <f t="shared" si="4"/>
        <v>17010</v>
      </c>
      <c r="H11" s="1151">
        <f t="shared" si="4"/>
        <v>18880</v>
      </c>
      <c r="I11" s="1151">
        <f t="shared" si="4"/>
        <v>20960</v>
      </c>
      <c r="J11" s="1151">
        <f t="shared" si="4"/>
        <v>23270</v>
      </c>
      <c r="K11" s="1151">
        <f t="shared" si="4"/>
        <v>25830</v>
      </c>
      <c r="L11" s="1151">
        <f t="shared" si="4"/>
        <v>28670</v>
      </c>
      <c r="M11" s="1176"/>
      <c r="N11" s="1177">
        <v>1.1100000000000001</v>
      </c>
      <c r="O11" s="1175">
        <v>11198.529411764701</v>
      </c>
    </row>
    <row r="12" spans="1:15" s="1130" customFormat="1" ht="19.5" customHeight="1">
      <c r="A12" s="1143">
        <f>COUNTA($B$4:B12)</f>
        <v>8</v>
      </c>
      <c r="B12" s="1144" t="s">
        <v>14</v>
      </c>
      <c r="C12" s="1145">
        <f t="shared" si="1"/>
        <v>25120</v>
      </c>
      <c r="D12" s="1145">
        <f t="shared" si="2"/>
        <v>30140</v>
      </c>
      <c r="E12" s="1147">
        <f t="shared" si="3"/>
        <v>36170</v>
      </c>
      <c r="F12" s="1147">
        <f t="shared" si="4"/>
        <v>43400</v>
      </c>
      <c r="G12" s="1147">
        <f t="shared" si="4"/>
        <v>52080</v>
      </c>
      <c r="H12" s="1147">
        <f t="shared" si="4"/>
        <v>62500</v>
      </c>
      <c r="I12" s="1147">
        <f t="shared" si="4"/>
        <v>75000</v>
      </c>
      <c r="J12" s="1147">
        <f t="shared" si="4"/>
        <v>90000</v>
      </c>
      <c r="K12" s="1147">
        <f t="shared" si="4"/>
        <v>108000</v>
      </c>
      <c r="L12" s="1147">
        <f t="shared" si="4"/>
        <v>129600</v>
      </c>
      <c r="M12" s="1170"/>
      <c r="N12" s="1171">
        <v>1.2</v>
      </c>
      <c r="O12" s="1172">
        <v>36170.760697305901</v>
      </c>
    </row>
    <row r="13" spans="1:15" ht="19.5" customHeight="1">
      <c r="A13" s="1148">
        <f>COUNTA($B$4:B13)</f>
        <v>9</v>
      </c>
      <c r="B13" s="1149" t="s">
        <v>15</v>
      </c>
      <c r="C13" s="1150">
        <f>ROUND(O13,-1)</f>
        <v>7760</v>
      </c>
      <c r="D13" s="1152">
        <f>ROUND(C13*$N13,-1)</f>
        <v>8540</v>
      </c>
      <c r="E13" s="1152">
        <f>ROUND(D13*$N13,-1)</f>
        <v>9390</v>
      </c>
      <c r="F13" s="1152">
        <f t="shared" si="4"/>
        <v>10330</v>
      </c>
      <c r="G13" s="1152">
        <f t="shared" si="4"/>
        <v>11360</v>
      </c>
      <c r="H13" s="1152">
        <f t="shared" si="4"/>
        <v>12500</v>
      </c>
      <c r="I13" s="1152">
        <f t="shared" si="4"/>
        <v>13750</v>
      </c>
      <c r="J13" s="1152">
        <f t="shared" si="4"/>
        <v>15130</v>
      </c>
      <c r="K13" s="1152">
        <f t="shared" si="4"/>
        <v>16640</v>
      </c>
      <c r="L13" s="1152">
        <f t="shared" si="4"/>
        <v>18300</v>
      </c>
      <c r="M13" s="1178"/>
      <c r="N13" s="1177">
        <v>1.1000000000000001</v>
      </c>
      <c r="O13" s="1175">
        <v>7757.3529411764703</v>
      </c>
    </row>
    <row r="14" spans="1:15" ht="19.5" customHeight="1">
      <c r="A14" s="1148">
        <f>COUNTA($B$4:B14)</f>
        <v>10</v>
      </c>
      <c r="B14" s="1149" t="s">
        <v>16</v>
      </c>
      <c r="C14" s="1150">
        <f>ROUND(O14,-1)</f>
        <v>9510</v>
      </c>
      <c r="D14" s="1152">
        <f>ROUND(C14*$N14,-1)</f>
        <v>10460</v>
      </c>
      <c r="E14" s="1152">
        <f>ROUND(D14*$N14,-1)</f>
        <v>11510</v>
      </c>
      <c r="F14" s="1152">
        <f t="shared" si="4"/>
        <v>12660</v>
      </c>
      <c r="G14" s="1152">
        <f t="shared" si="4"/>
        <v>13930</v>
      </c>
      <c r="H14" s="1152">
        <f t="shared" si="4"/>
        <v>15320</v>
      </c>
      <c r="I14" s="1152">
        <f t="shared" si="4"/>
        <v>16850</v>
      </c>
      <c r="J14" s="1152">
        <f t="shared" si="4"/>
        <v>18540</v>
      </c>
      <c r="K14" s="1152">
        <f t="shared" si="4"/>
        <v>20390</v>
      </c>
      <c r="L14" s="1152">
        <f t="shared" si="4"/>
        <v>22430</v>
      </c>
      <c r="M14" s="1173"/>
      <c r="N14" s="1174">
        <v>1.1000000000000001</v>
      </c>
      <c r="O14" s="1175">
        <v>9507.3529411764703</v>
      </c>
    </row>
    <row r="15" spans="1:15" ht="19.5" customHeight="1">
      <c r="A15" s="1153">
        <f>COUNTA($B$4:B15)</f>
        <v>11</v>
      </c>
      <c r="B15" s="1154" t="s">
        <v>17</v>
      </c>
      <c r="C15" s="1155">
        <f t="shared" ref="C15:C20" si="7">ROUND(O15,-1)</f>
        <v>10290</v>
      </c>
      <c r="D15" s="1155">
        <f t="shared" ref="D15:L31" si="8">ROUND(C15*$N15,-1)</f>
        <v>11630</v>
      </c>
      <c r="E15" s="1155">
        <f t="shared" si="8"/>
        <v>13140</v>
      </c>
      <c r="F15" s="1155">
        <f t="shared" si="8"/>
        <v>14850</v>
      </c>
      <c r="G15" s="1155">
        <f t="shared" si="8"/>
        <v>16780</v>
      </c>
      <c r="H15" s="1155">
        <f t="shared" si="8"/>
        <v>18960</v>
      </c>
      <c r="I15" s="1155">
        <f t="shared" si="8"/>
        <v>21420</v>
      </c>
      <c r="J15" s="1155">
        <f t="shared" si="8"/>
        <v>24200</v>
      </c>
      <c r="K15" s="1155">
        <f t="shared" si="8"/>
        <v>27350</v>
      </c>
      <c r="L15" s="1155">
        <f t="shared" si="4"/>
        <v>30910</v>
      </c>
      <c r="M15" s="1179"/>
      <c r="N15" s="1180">
        <v>1.1299999999999999</v>
      </c>
      <c r="O15" s="1181">
        <v>10294.1176470588</v>
      </c>
    </row>
    <row r="16" spans="1:15" ht="19.5" customHeight="1">
      <c r="A16" s="1153">
        <f>COUNTA($B$4:B16)</f>
        <v>12</v>
      </c>
      <c r="B16" s="1154" t="s">
        <v>18</v>
      </c>
      <c r="C16" s="1156">
        <f t="shared" si="7"/>
        <v>9330</v>
      </c>
      <c r="D16" s="1156">
        <f t="shared" si="8"/>
        <v>10260</v>
      </c>
      <c r="E16" s="1156">
        <f t="shared" si="8"/>
        <v>11290</v>
      </c>
      <c r="F16" s="1156">
        <f t="shared" si="8"/>
        <v>12420</v>
      </c>
      <c r="G16" s="1156">
        <f t="shared" si="8"/>
        <v>13660</v>
      </c>
      <c r="H16" s="1156">
        <f t="shared" si="8"/>
        <v>15030</v>
      </c>
      <c r="I16" s="1156">
        <f t="shared" si="8"/>
        <v>16530</v>
      </c>
      <c r="J16" s="1156">
        <f t="shared" si="8"/>
        <v>18180</v>
      </c>
      <c r="K16" s="1156">
        <f t="shared" si="8"/>
        <v>20000</v>
      </c>
      <c r="L16" s="1156">
        <f t="shared" si="4"/>
        <v>22000</v>
      </c>
      <c r="M16" s="1182"/>
      <c r="N16" s="1183">
        <v>1.1000000000000001</v>
      </c>
      <c r="O16" s="1181">
        <v>9332.3589285714297</v>
      </c>
    </row>
    <row r="17" spans="1:15" ht="19.5" customHeight="1">
      <c r="A17" s="1148">
        <f>COUNTA($B$4:B17)</f>
        <v>13</v>
      </c>
      <c r="B17" s="1149" t="s">
        <v>19</v>
      </c>
      <c r="C17" s="1150">
        <f t="shared" si="7"/>
        <v>12670</v>
      </c>
      <c r="D17" s="1152">
        <f t="shared" si="8"/>
        <v>14190</v>
      </c>
      <c r="E17" s="1152">
        <f t="shared" si="8"/>
        <v>15890</v>
      </c>
      <c r="F17" s="1152">
        <f t="shared" si="8"/>
        <v>17800</v>
      </c>
      <c r="G17" s="1152">
        <f t="shared" si="8"/>
        <v>19940</v>
      </c>
      <c r="H17" s="1152">
        <f t="shared" si="8"/>
        <v>22330</v>
      </c>
      <c r="I17" s="1152">
        <f t="shared" si="8"/>
        <v>25010</v>
      </c>
      <c r="J17" s="1152">
        <f t="shared" si="8"/>
        <v>28010</v>
      </c>
      <c r="K17" s="1152">
        <f t="shared" si="8"/>
        <v>31370</v>
      </c>
      <c r="L17" s="1152">
        <f t="shared" si="4"/>
        <v>35130</v>
      </c>
      <c r="M17" s="1176"/>
      <c r="N17" s="1177">
        <v>1.1200000000000001</v>
      </c>
      <c r="O17" s="1175">
        <v>12672.0588235294</v>
      </c>
    </row>
    <row r="18" spans="1:15" ht="19.5" customHeight="1">
      <c r="A18" s="1148">
        <f>COUNTA($B$4:B18)</f>
        <v>14</v>
      </c>
      <c r="B18" s="1149" t="s">
        <v>20</v>
      </c>
      <c r="C18" s="1150">
        <f t="shared" si="7"/>
        <v>7570</v>
      </c>
      <c r="D18" s="1152">
        <f t="shared" si="8"/>
        <v>8330</v>
      </c>
      <c r="E18" s="1152">
        <f t="shared" si="8"/>
        <v>9160</v>
      </c>
      <c r="F18" s="1152">
        <f t="shared" si="8"/>
        <v>10080</v>
      </c>
      <c r="G18" s="1152">
        <f t="shared" si="8"/>
        <v>11090</v>
      </c>
      <c r="H18" s="1152">
        <f t="shared" si="8"/>
        <v>12200</v>
      </c>
      <c r="I18" s="1152">
        <f t="shared" si="8"/>
        <v>13420</v>
      </c>
      <c r="J18" s="1152">
        <f t="shared" si="8"/>
        <v>14760</v>
      </c>
      <c r="K18" s="1152">
        <f t="shared" si="8"/>
        <v>16240</v>
      </c>
      <c r="L18" s="1152">
        <f t="shared" si="4"/>
        <v>17860</v>
      </c>
      <c r="M18" s="1176"/>
      <c r="N18" s="1177">
        <v>1.1000000000000001</v>
      </c>
      <c r="O18" s="1175">
        <v>7573.5294117646999</v>
      </c>
    </row>
    <row r="19" spans="1:15" ht="19.5" customHeight="1">
      <c r="A19" s="1148">
        <f>COUNTA($B$4:B19)</f>
        <v>15</v>
      </c>
      <c r="B19" s="1149" t="s">
        <v>21</v>
      </c>
      <c r="C19" s="1150">
        <f t="shared" si="7"/>
        <v>5590</v>
      </c>
      <c r="D19" s="1152">
        <f t="shared" si="8"/>
        <v>5870</v>
      </c>
      <c r="E19" s="1152">
        <f t="shared" si="8"/>
        <v>6160</v>
      </c>
      <c r="F19" s="1152">
        <f t="shared" si="8"/>
        <v>6470</v>
      </c>
      <c r="G19" s="1152">
        <f t="shared" si="8"/>
        <v>6790</v>
      </c>
      <c r="H19" s="1152">
        <f t="shared" si="8"/>
        <v>7130</v>
      </c>
      <c r="I19" s="1152">
        <f t="shared" si="8"/>
        <v>7490</v>
      </c>
      <c r="J19" s="1152">
        <f t="shared" si="8"/>
        <v>7860</v>
      </c>
      <c r="K19" s="1152">
        <f t="shared" si="8"/>
        <v>8250</v>
      </c>
      <c r="L19" s="1152">
        <f t="shared" si="4"/>
        <v>8660</v>
      </c>
      <c r="M19" s="1173"/>
      <c r="N19" s="1174">
        <v>1.05</v>
      </c>
      <c r="O19" s="1175">
        <v>5593.75</v>
      </c>
    </row>
    <row r="20" spans="1:15" ht="19.5" customHeight="1">
      <c r="A20" s="1148">
        <f>COUNTA($B$4:B20)</f>
        <v>16</v>
      </c>
      <c r="B20" s="1149" t="s">
        <v>22</v>
      </c>
      <c r="C20" s="1150">
        <f t="shared" si="7"/>
        <v>4500</v>
      </c>
      <c r="D20" s="1152">
        <f t="shared" si="8"/>
        <v>4730</v>
      </c>
      <c r="E20" s="1152">
        <f t="shared" si="8"/>
        <v>4970</v>
      </c>
      <c r="F20" s="1152">
        <f t="shared" si="8"/>
        <v>5220</v>
      </c>
      <c r="G20" s="1152">
        <f t="shared" si="8"/>
        <v>5480</v>
      </c>
      <c r="H20" s="1152">
        <f t="shared" si="8"/>
        <v>5750</v>
      </c>
      <c r="I20" s="1152">
        <f t="shared" si="8"/>
        <v>6040</v>
      </c>
      <c r="J20" s="1152">
        <f t="shared" si="8"/>
        <v>6340</v>
      </c>
      <c r="K20" s="1152">
        <f t="shared" si="8"/>
        <v>6660</v>
      </c>
      <c r="L20" s="1152">
        <f t="shared" si="4"/>
        <v>6990</v>
      </c>
      <c r="M20" s="1176"/>
      <c r="N20" s="1177">
        <v>1.05</v>
      </c>
      <c r="O20" s="1175">
        <v>4500</v>
      </c>
    </row>
    <row r="21" spans="1:15" ht="19.5" customHeight="1">
      <c r="A21" s="1143">
        <f>COUNTA($B$4:B21)</f>
        <v>17</v>
      </c>
      <c r="B21" s="1144" t="s">
        <v>23</v>
      </c>
      <c r="C21" s="1145">
        <f>ROUND(D21/N21,-1)</f>
        <v>25480</v>
      </c>
      <c r="D21" s="1145">
        <f>ROUND(E21/N21,-1)</f>
        <v>30570</v>
      </c>
      <c r="E21" s="1147">
        <f>ROUND(O21,-1)</f>
        <v>36680</v>
      </c>
      <c r="F21" s="1147">
        <f t="shared" si="8"/>
        <v>44020</v>
      </c>
      <c r="G21" s="1147">
        <f t="shared" si="8"/>
        <v>52820</v>
      </c>
      <c r="H21" s="1147">
        <f t="shared" si="8"/>
        <v>63380</v>
      </c>
      <c r="I21" s="1147">
        <f t="shared" si="8"/>
        <v>76060</v>
      </c>
      <c r="J21" s="1147">
        <f t="shared" si="8"/>
        <v>91270</v>
      </c>
      <c r="K21" s="1147">
        <f t="shared" si="8"/>
        <v>109520</v>
      </c>
      <c r="L21" s="1147">
        <f t="shared" si="4"/>
        <v>131420</v>
      </c>
      <c r="M21" s="1170"/>
      <c r="N21" s="1171">
        <v>1.2</v>
      </c>
      <c r="O21" s="1172">
        <v>36675.911251981001</v>
      </c>
    </row>
    <row r="22" spans="1:15" s="1130" customFormat="1" ht="19.5" customHeight="1">
      <c r="A22" s="1148">
        <f>COUNTA($B$4:B22)</f>
        <v>18</v>
      </c>
      <c r="B22" s="1157" t="s">
        <v>24</v>
      </c>
      <c r="C22" s="1150">
        <f>ROUND(O22,-1)</f>
        <v>13840</v>
      </c>
      <c r="D22" s="1152">
        <f>ROUND(C22*$N22,-1)</f>
        <v>16610</v>
      </c>
      <c r="E22" s="1152">
        <f>ROUND(D22*$N22,-1)</f>
        <v>19930</v>
      </c>
      <c r="F22" s="1152">
        <f t="shared" si="8"/>
        <v>23920</v>
      </c>
      <c r="G22" s="1152">
        <f t="shared" si="8"/>
        <v>28700</v>
      </c>
      <c r="H22" s="1152">
        <f t="shared" si="8"/>
        <v>34440</v>
      </c>
      <c r="I22" s="1152">
        <f t="shared" si="8"/>
        <v>41330</v>
      </c>
      <c r="J22" s="1152">
        <f t="shared" si="8"/>
        <v>49600</v>
      </c>
      <c r="K22" s="1152">
        <f t="shared" si="8"/>
        <v>59520</v>
      </c>
      <c r="L22" s="1152">
        <f t="shared" si="4"/>
        <v>71420</v>
      </c>
      <c r="M22" s="1176"/>
      <c r="N22" s="1177">
        <v>1.2</v>
      </c>
      <c r="O22" s="1184">
        <v>13838.2352941176</v>
      </c>
    </row>
    <row r="23" spans="1:15" ht="19.5" customHeight="1">
      <c r="A23" s="1148">
        <f>COUNTA($B$4:B23)</f>
        <v>19</v>
      </c>
      <c r="B23" s="1149" t="s">
        <v>25</v>
      </c>
      <c r="C23" s="1150">
        <f t="shared" ref="C23:C33" si="9">ROUND(O23,-1)</f>
        <v>12180</v>
      </c>
      <c r="D23" s="1152">
        <f t="shared" ref="D23:L39" si="10">ROUND(C23*$N23,-1)</f>
        <v>13640</v>
      </c>
      <c r="E23" s="1152">
        <f t="shared" si="10"/>
        <v>15280</v>
      </c>
      <c r="F23" s="1152">
        <f t="shared" si="8"/>
        <v>17110</v>
      </c>
      <c r="G23" s="1152">
        <f t="shared" si="8"/>
        <v>19160</v>
      </c>
      <c r="H23" s="1152">
        <f t="shared" si="8"/>
        <v>21460</v>
      </c>
      <c r="I23" s="1152">
        <f t="shared" si="8"/>
        <v>24040</v>
      </c>
      <c r="J23" s="1152">
        <f t="shared" si="8"/>
        <v>26920</v>
      </c>
      <c r="K23" s="1152">
        <f t="shared" si="8"/>
        <v>30150</v>
      </c>
      <c r="L23" s="1152">
        <f t="shared" si="8"/>
        <v>33770</v>
      </c>
      <c r="M23" s="1176"/>
      <c r="N23" s="1177">
        <v>1.1200000000000001</v>
      </c>
      <c r="O23" s="1175">
        <v>12183.8235294118</v>
      </c>
    </row>
    <row r="24" spans="1:15" ht="19.5" customHeight="1">
      <c r="A24" s="1148">
        <f>COUNTA($B$4:B24)</f>
        <v>20</v>
      </c>
      <c r="B24" s="1149" t="s">
        <v>26</v>
      </c>
      <c r="C24" s="1150">
        <v>12200</v>
      </c>
      <c r="D24" s="1152">
        <f t="shared" si="10"/>
        <v>13420</v>
      </c>
      <c r="E24" s="1152">
        <f t="shared" si="10"/>
        <v>14760</v>
      </c>
      <c r="F24" s="1152">
        <f t="shared" si="8"/>
        <v>16240</v>
      </c>
      <c r="G24" s="1152">
        <f t="shared" si="8"/>
        <v>17860</v>
      </c>
      <c r="H24" s="1152">
        <f t="shared" si="8"/>
        <v>19650</v>
      </c>
      <c r="I24" s="1152">
        <f t="shared" si="8"/>
        <v>21620</v>
      </c>
      <c r="J24" s="1152">
        <f t="shared" si="8"/>
        <v>23780</v>
      </c>
      <c r="K24" s="1152">
        <f t="shared" si="8"/>
        <v>26160</v>
      </c>
      <c r="L24" s="1152">
        <f t="shared" si="8"/>
        <v>28780</v>
      </c>
      <c r="M24" s="1176"/>
      <c r="N24" s="1177">
        <v>1.1000000000000001</v>
      </c>
      <c r="O24" s="1175"/>
    </row>
    <row r="25" spans="1:15" ht="19.5" customHeight="1">
      <c r="A25" s="1148">
        <f>COUNTA($B$4:B25)</f>
        <v>21</v>
      </c>
      <c r="B25" s="1149" t="s">
        <v>27</v>
      </c>
      <c r="C25" s="1150">
        <f t="shared" si="9"/>
        <v>11720</v>
      </c>
      <c r="D25" s="1152">
        <f t="shared" si="10"/>
        <v>13240</v>
      </c>
      <c r="E25" s="1152">
        <f t="shared" si="10"/>
        <v>14960</v>
      </c>
      <c r="F25" s="1152">
        <f t="shared" si="8"/>
        <v>16900</v>
      </c>
      <c r="G25" s="1152">
        <f t="shared" si="8"/>
        <v>19100</v>
      </c>
      <c r="H25" s="1152">
        <f t="shared" si="8"/>
        <v>21580</v>
      </c>
      <c r="I25" s="1152">
        <f t="shared" si="8"/>
        <v>24390</v>
      </c>
      <c r="J25" s="1152">
        <f t="shared" si="8"/>
        <v>27560</v>
      </c>
      <c r="K25" s="1152">
        <f t="shared" si="8"/>
        <v>31140</v>
      </c>
      <c r="L25" s="1152">
        <f t="shared" si="8"/>
        <v>35190</v>
      </c>
      <c r="M25" s="1176"/>
      <c r="N25" s="1177">
        <v>1.1299999999999999</v>
      </c>
      <c r="O25" s="1175">
        <v>11723.529411764701</v>
      </c>
    </row>
    <row r="26" spans="1:15" ht="19.5" customHeight="1">
      <c r="A26" s="1148">
        <f>COUNTA($B$4:B26)</f>
        <v>22</v>
      </c>
      <c r="B26" s="1149" t="s">
        <v>28</v>
      </c>
      <c r="C26" s="1150">
        <f t="shared" si="9"/>
        <v>11460</v>
      </c>
      <c r="D26" s="1152">
        <f t="shared" si="10"/>
        <v>12950</v>
      </c>
      <c r="E26" s="1152">
        <f t="shared" si="10"/>
        <v>14630</v>
      </c>
      <c r="F26" s="1152">
        <f t="shared" si="8"/>
        <v>16530</v>
      </c>
      <c r="G26" s="1152">
        <f t="shared" si="8"/>
        <v>18680</v>
      </c>
      <c r="H26" s="1152">
        <f t="shared" si="8"/>
        <v>21110</v>
      </c>
      <c r="I26" s="1152">
        <f t="shared" si="8"/>
        <v>23850</v>
      </c>
      <c r="J26" s="1152">
        <f t="shared" si="8"/>
        <v>26950</v>
      </c>
      <c r="K26" s="1152">
        <f t="shared" si="8"/>
        <v>30450</v>
      </c>
      <c r="L26" s="1152">
        <f t="shared" si="8"/>
        <v>34410</v>
      </c>
      <c r="M26" s="1176"/>
      <c r="N26" s="1177">
        <v>1.1299999999999999</v>
      </c>
      <c r="O26" s="1175">
        <v>11458.8235294118</v>
      </c>
    </row>
    <row r="27" spans="1:15" ht="19.5" customHeight="1">
      <c r="A27" s="1148">
        <f>COUNTA($B$4:B27)</f>
        <v>23</v>
      </c>
      <c r="B27" s="1149" t="s">
        <v>29</v>
      </c>
      <c r="C27" s="1150">
        <f t="shared" si="9"/>
        <v>7530</v>
      </c>
      <c r="D27" s="1152">
        <f t="shared" si="10"/>
        <v>8280</v>
      </c>
      <c r="E27" s="1152">
        <f t="shared" si="10"/>
        <v>9110</v>
      </c>
      <c r="F27" s="1152">
        <f t="shared" si="8"/>
        <v>10020</v>
      </c>
      <c r="G27" s="1152">
        <f t="shared" si="8"/>
        <v>11020</v>
      </c>
      <c r="H27" s="1152">
        <f t="shared" si="8"/>
        <v>12120</v>
      </c>
      <c r="I27" s="1152">
        <f t="shared" si="8"/>
        <v>13330</v>
      </c>
      <c r="J27" s="1152">
        <f t="shared" si="8"/>
        <v>14660</v>
      </c>
      <c r="K27" s="1152">
        <f t="shared" si="8"/>
        <v>16130</v>
      </c>
      <c r="L27" s="1152">
        <f t="shared" si="8"/>
        <v>17740</v>
      </c>
      <c r="M27" s="1176"/>
      <c r="N27" s="1177">
        <v>1.1000000000000001</v>
      </c>
      <c r="O27" s="1175">
        <v>7529.4117647058802</v>
      </c>
    </row>
    <row r="28" spans="1:15" ht="19.5" customHeight="1">
      <c r="A28" s="1148">
        <f>COUNTA($B$4:B28)</f>
        <v>24</v>
      </c>
      <c r="B28" s="1149" t="s">
        <v>30</v>
      </c>
      <c r="C28" s="1150">
        <f t="shared" si="9"/>
        <v>7530</v>
      </c>
      <c r="D28" s="1152">
        <f t="shared" si="10"/>
        <v>8280</v>
      </c>
      <c r="E28" s="1152">
        <f t="shared" si="10"/>
        <v>9110</v>
      </c>
      <c r="F28" s="1152">
        <f t="shared" si="8"/>
        <v>10020</v>
      </c>
      <c r="G28" s="1152">
        <f t="shared" si="8"/>
        <v>11020</v>
      </c>
      <c r="H28" s="1152">
        <f t="shared" si="8"/>
        <v>12120</v>
      </c>
      <c r="I28" s="1152">
        <f t="shared" si="8"/>
        <v>13330</v>
      </c>
      <c r="J28" s="1152">
        <f t="shared" si="8"/>
        <v>14660</v>
      </c>
      <c r="K28" s="1152">
        <f t="shared" si="8"/>
        <v>16130</v>
      </c>
      <c r="L28" s="1152">
        <f t="shared" si="8"/>
        <v>17740</v>
      </c>
      <c r="M28" s="1176"/>
      <c r="N28" s="1177">
        <v>1.1000000000000001</v>
      </c>
      <c r="O28" s="1175">
        <v>7529.4117647058802</v>
      </c>
    </row>
    <row r="29" spans="1:15" ht="19.5" customHeight="1">
      <c r="A29" s="1148">
        <f>COUNTA($B$4:B29)</f>
        <v>25</v>
      </c>
      <c r="B29" s="1149" t="s">
        <v>31</v>
      </c>
      <c r="C29" s="1150">
        <f t="shared" si="9"/>
        <v>7400</v>
      </c>
      <c r="D29" s="1152">
        <f t="shared" si="10"/>
        <v>8140</v>
      </c>
      <c r="E29" s="1152">
        <f t="shared" si="10"/>
        <v>8950</v>
      </c>
      <c r="F29" s="1152">
        <f t="shared" si="8"/>
        <v>9850</v>
      </c>
      <c r="G29" s="1152">
        <f t="shared" si="8"/>
        <v>10840</v>
      </c>
      <c r="H29" s="1152">
        <f t="shared" si="8"/>
        <v>11920</v>
      </c>
      <c r="I29" s="1152">
        <f t="shared" si="8"/>
        <v>13110</v>
      </c>
      <c r="J29" s="1152">
        <f t="shared" si="8"/>
        <v>14420</v>
      </c>
      <c r="K29" s="1152">
        <f t="shared" si="8"/>
        <v>15860</v>
      </c>
      <c r="L29" s="1152">
        <f t="shared" si="8"/>
        <v>17450</v>
      </c>
      <c r="M29" s="1176"/>
      <c r="N29" s="1177">
        <v>1.1000000000000001</v>
      </c>
      <c r="O29" s="1175">
        <v>7397.0588235294099</v>
      </c>
    </row>
    <row r="30" spans="1:15" ht="19.5" customHeight="1">
      <c r="A30" s="1148">
        <f>COUNTA($B$4:B30)</f>
        <v>26</v>
      </c>
      <c r="B30" s="1149" t="s">
        <v>32</v>
      </c>
      <c r="C30" s="1150">
        <f t="shared" si="9"/>
        <v>7710</v>
      </c>
      <c r="D30" s="1152">
        <f t="shared" ref="D30:L30" si="11">ROUND(C30*$N30,-1)</f>
        <v>8480</v>
      </c>
      <c r="E30" s="1152">
        <f t="shared" si="11"/>
        <v>9330</v>
      </c>
      <c r="F30" s="1152">
        <f t="shared" si="11"/>
        <v>10260</v>
      </c>
      <c r="G30" s="1152">
        <f t="shared" si="11"/>
        <v>11290</v>
      </c>
      <c r="H30" s="1152">
        <f t="shared" si="11"/>
        <v>12420</v>
      </c>
      <c r="I30" s="1152">
        <f t="shared" si="11"/>
        <v>13660</v>
      </c>
      <c r="J30" s="1152">
        <f t="shared" si="11"/>
        <v>15030</v>
      </c>
      <c r="K30" s="1152">
        <f t="shared" si="11"/>
        <v>16530</v>
      </c>
      <c r="L30" s="1152">
        <f t="shared" si="11"/>
        <v>18180</v>
      </c>
      <c r="M30" s="1176"/>
      <c r="N30" s="1177">
        <v>1.1000000000000001</v>
      </c>
      <c r="O30" s="1175">
        <v>7706</v>
      </c>
    </row>
    <row r="31" spans="1:15" ht="19.5" customHeight="1">
      <c r="A31" s="1148">
        <f>COUNTA($B$4:B31)</f>
        <v>27</v>
      </c>
      <c r="B31" s="1149" t="s">
        <v>33</v>
      </c>
      <c r="C31" s="1150">
        <f t="shared" si="9"/>
        <v>7040</v>
      </c>
      <c r="D31" s="1152">
        <f t="shared" si="10"/>
        <v>7740</v>
      </c>
      <c r="E31" s="1152">
        <f t="shared" si="10"/>
        <v>8510</v>
      </c>
      <c r="F31" s="1152">
        <f t="shared" si="8"/>
        <v>9360</v>
      </c>
      <c r="G31" s="1152">
        <f t="shared" si="8"/>
        <v>10300</v>
      </c>
      <c r="H31" s="1152">
        <f t="shared" si="8"/>
        <v>11330</v>
      </c>
      <c r="I31" s="1152">
        <f t="shared" si="8"/>
        <v>12460</v>
      </c>
      <c r="J31" s="1152">
        <f t="shared" si="8"/>
        <v>13710</v>
      </c>
      <c r="K31" s="1152">
        <f t="shared" si="8"/>
        <v>15080</v>
      </c>
      <c r="L31" s="1152">
        <f t="shared" si="8"/>
        <v>16590</v>
      </c>
      <c r="M31" s="1176"/>
      <c r="N31" s="1177">
        <v>1.1000000000000001</v>
      </c>
      <c r="O31" s="1185">
        <v>7036.7647058823504</v>
      </c>
    </row>
    <row r="32" spans="1:15" ht="19.5" customHeight="1">
      <c r="A32" s="1148">
        <f>COUNTA($B$4:B32)</f>
        <v>28</v>
      </c>
      <c r="B32" s="1149" t="s">
        <v>34</v>
      </c>
      <c r="C32" s="1150">
        <f t="shared" si="9"/>
        <v>8300</v>
      </c>
      <c r="D32" s="1152">
        <f t="shared" si="10"/>
        <v>9210</v>
      </c>
      <c r="E32" s="1152">
        <f t="shared" si="10"/>
        <v>10220</v>
      </c>
      <c r="F32" s="1152">
        <f t="shared" si="10"/>
        <v>11340</v>
      </c>
      <c r="G32" s="1152">
        <f t="shared" si="10"/>
        <v>12590</v>
      </c>
      <c r="H32" s="1152">
        <f t="shared" si="10"/>
        <v>13970</v>
      </c>
      <c r="I32" s="1152">
        <f t="shared" si="10"/>
        <v>15510</v>
      </c>
      <c r="J32" s="1152">
        <f t="shared" si="10"/>
        <v>17220</v>
      </c>
      <c r="K32" s="1152">
        <f t="shared" si="10"/>
        <v>19110</v>
      </c>
      <c r="L32" s="1152">
        <f t="shared" si="10"/>
        <v>21210</v>
      </c>
      <c r="M32" s="1176"/>
      <c r="N32" s="1177">
        <v>1.1100000000000001</v>
      </c>
      <c r="O32" s="1175">
        <v>8301.4705882352901</v>
      </c>
    </row>
    <row r="33" spans="1:16" ht="19.5" customHeight="1">
      <c r="A33" s="1148">
        <f>COUNTA($B$4:B79)</f>
        <v>75</v>
      </c>
      <c r="B33" s="1149" t="s">
        <v>35</v>
      </c>
      <c r="C33" s="1150">
        <f t="shared" si="9"/>
        <v>5230</v>
      </c>
      <c r="D33" s="1152">
        <f t="shared" si="10"/>
        <v>5750</v>
      </c>
      <c r="E33" s="1152">
        <f t="shared" si="10"/>
        <v>6330</v>
      </c>
      <c r="F33" s="1152">
        <f t="shared" si="10"/>
        <v>6960</v>
      </c>
      <c r="G33" s="1152">
        <f t="shared" si="10"/>
        <v>7660</v>
      </c>
      <c r="H33" s="1152">
        <f t="shared" si="10"/>
        <v>8430</v>
      </c>
      <c r="I33" s="1152">
        <f t="shared" si="10"/>
        <v>9270</v>
      </c>
      <c r="J33" s="1152">
        <f t="shared" si="10"/>
        <v>10200</v>
      </c>
      <c r="K33" s="1152">
        <f t="shared" si="10"/>
        <v>11220</v>
      </c>
      <c r="L33" s="1152">
        <f t="shared" si="10"/>
        <v>12340</v>
      </c>
      <c r="M33" s="1176"/>
      <c r="N33" s="1177">
        <v>1.1000000000000001</v>
      </c>
      <c r="O33" s="1175">
        <v>5228.4172619047604</v>
      </c>
    </row>
    <row r="34" spans="1:16" ht="19.5" customHeight="1">
      <c r="A34" s="1143">
        <f>COUNTA($B$4:B34)</f>
        <v>30</v>
      </c>
      <c r="B34" s="1144" t="s">
        <v>36</v>
      </c>
      <c r="C34" s="1146">
        <f t="shared" ref="C34:C39" si="12">ROUND(D34/N34,-1)</f>
        <v>17640</v>
      </c>
      <c r="D34" s="1147">
        <f t="shared" ref="D34:D39" si="13">ROUND(E34/N34,-1)</f>
        <v>21170</v>
      </c>
      <c r="E34" s="1145">
        <f t="shared" ref="E34:E39" si="14">ROUND(O34,-1)</f>
        <v>25400</v>
      </c>
      <c r="F34" s="1145">
        <f t="shared" si="10"/>
        <v>30480</v>
      </c>
      <c r="G34" s="1145">
        <f t="shared" si="10"/>
        <v>36580</v>
      </c>
      <c r="H34" s="1145">
        <f t="shared" si="10"/>
        <v>43900</v>
      </c>
      <c r="I34" s="1145">
        <f t="shared" si="10"/>
        <v>52680</v>
      </c>
      <c r="J34" s="1145">
        <f t="shared" si="10"/>
        <v>63220</v>
      </c>
      <c r="K34" s="1145">
        <f t="shared" si="10"/>
        <v>75860</v>
      </c>
      <c r="L34" s="1145">
        <f t="shared" si="10"/>
        <v>91030</v>
      </c>
      <c r="M34" s="1176"/>
      <c r="N34" s="1171">
        <v>1.2</v>
      </c>
      <c r="O34" s="1172">
        <v>25400.158478605401</v>
      </c>
    </row>
    <row r="35" spans="1:16" ht="19.5" customHeight="1">
      <c r="A35" s="1148">
        <f>COUNTA($B$4:B35)</f>
        <v>31</v>
      </c>
      <c r="B35" s="1149" t="s">
        <v>37</v>
      </c>
      <c r="C35" s="1150">
        <f t="shared" ref="C35:C38" si="15">ROUND(O35,-1)</f>
        <v>6710</v>
      </c>
      <c r="D35" s="1152">
        <f t="shared" ref="D35:D38" si="16">ROUND(C35*$N35,-1)</f>
        <v>7380</v>
      </c>
      <c r="E35" s="1152">
        <f t="shared" ref="E35:E38" si="17">ROUND(D35*$N35,-1)</f>
        <v>8120</v>
      </c>
      <c r="F35" s="1152">
        <f t="shared" si="10"/>
        <v>8930</v>
      </c>
      <c r="G35" s="1152">
        <f t="shared" si="10"/>
        <v>9820</v>
      </c>
      <c r="H35" s="1152">
        <f t="shared" si="10"/>
        <v>10800</v>
      </c>
      <c r="I35" s="1152">
        <f t="shared" si="10"/>
        <v>11880</v>
      </c>
      <c r="J35" s="1152">
        <f t="shared" si="10"/>
        <v>13070</v>
      </c>
      <c r="K35" s="1152">
        <f t="shared" si="10"/>
        <v>14380</v>
      </c>
      <c r="L35" s="1152">
        <f t="shared" si="10"/>
        <v>15820</v>
      </c>
      <c r="M35" s="1176"/>
      <c r="N35" s="1177">
        <v>1.1000000000000001</v>
      </c>
      <c r="O35" s="1175">
        <v>6713.2352941176496</v>
      </c>
    </row>
    <row r="36" spans="1:16" ht="19.5" customHeight="1">
      <c r="A36" s="1148">
        <f>COUNTA($B$4:B36)</f>
        <v>32</v>
      </c>
      <c r="B36" s="1149" t="s">
        <v>38</v>
      </c>
      <c r="C36" s="1150">
        <f t="shared" si="15"/>
        <v>7900</v>
      </c>
      <c r="D36" s="1152">
        <f t="shared" si="16"/>
        <v>8690</v>
      </c>
      <c r="E36" s="1152">
        <f t="shared" si="17"/>
        <v>9560</v>
      </c>
      <c r="F36" s="1152">
        <f t="shared" si="10"/>
        <v>10520</v>
      </c>
      <c r="G36" s="1152">
        <f t="shared" si="10"/>
        <v>11570</v>
      </c>
      <c r="H36" s="1152">
        <f t="shared" si="10"/>
        <v>12730</v>
      </c>
      <c r="I36" s="1152">
        <f t="shared" si="10"/>
        <v>14000</v>
      </c>
      <c r="J36" s="1152">
        <f t="shared" si="10"/>
        <v>15400</v>
      </c>
      <c r="K36" s="1152">
        <f t="shared" si="10"/>
        <v>16940</v>
      </c>
      <c r="L36" s="1152">
        <f t="shared" si="10"/>
        <v>18630</v>
      </c>
      <c r="M36" s="1176"/>
      <c r="N36" s="1177">
        <v>1.1000000000000001</v>
      </c>
      <c r="O36" s="1175">
        <v>7904.4117647058802</v>
      </c>
    </row>
    <row r="37" spans="1:16" s="1130" customFormat="1" ht="19.5" customHeight="1">
      <c r="A37" s="1143">
        <f>COUNTA($B$4:B37)</f>
        <v>33</v>
      </c>
      <c r="B37" s="1144" t="s">
        <v>39</v>
      </c>
      <c r="C37" s="1147">
        <f t="shared" si="12"/>
        <v>22810</v>
      </c>
      <c r="D37" s="1147">
        <f t="shared" si="13"/>
        <v>27370</v>
      </c>
      <c r="E37" s="1145">
        <f t="shared" si="14"/>
        <v>32840</v>
      </c>
      <c r="F37" s="1145">
        <f t="shared" si="10"/>
        <v>39410</v>
      </c>
      <c r="G37" s="1145">
        <f t="shared" si="10"/>
        <v>47290</v>
      </c>
      <c r="H37" s="1145">
        <f t="shared" si="10"/>
        <v>56750</v>
      </c>
      <c r="I37" s="1145">
        <f t="shared" si="10"/>
        <v>68100</v>
      </c>
      <c r="J37" s="1145">
        <f t="shared" si="10"/>
        <v>81720</v>
      </c>
      <c r="K37" s="1145">
        <f t="shared" si="10"/>
        <v>98060</v>
      </c>
      <c r="L37" s="1145">
        <f t="shared" si="10"/>
        <v>117670</v>
      </c>
      <c r="M37" s="1170"/>
      <c r="N37" s="1171">
        <v>1.2</v>
      </c>
      <c r="O37" s="1172">
        <v>32842.709984152098</v>
      </c>
    </row>
    <row r="38" spans="1:16" ht="19.5" customHeight="1">
      <c r="A38" s="1148">
        <f>COUNTA($B$4:B38)</f>
        <v>34</v>
      </c>
      <c r="B38" s="1149" t="s">
        <v>40</v>
      </c>
      <c r="C38" s="1150">
        <f t="shared" si="15"/>
        <v>10990</v>
      </c>
      <c r="D38" s="1152">
        <f t="shared" si="16"/>
        <v>12200</v>
      </c>
      <c r="E38" s="1152">
        <f t="shared" si="17"/>
        <v>13540</v>
      </c>
      <c r="F38" s="1152">
        <f t="shared" si="10"/>
        <v>15030</v>
      </c>
      <c r="G38" s="1152">
        <f t="shared" si="10"/>
        <v>16680</v>
      </c>
      <c r="H38" s="1152">
        <f t="shared" si="10"/>
        <v>18510</v>
      </c>
      <c r="I38" s="1152">
        <f t="shared" si="10"/>
        <v>20550</v>
      </c>
      <c r="J38" s="1152">
        <f t="shared" si="10"/>
        <v>22810</v>
      </c>
      <c r="K38" s="1152">
        <f t="shared" si="10"/>
        <v>25320</v>
      </c>
      <c r="L38" s="1152">
        <f t="shared" si="10"/>
        <v>28110</v>
      </c>
      <c r="M38" s="1176"/>
      <c r="N38" s="1177">
        <v>1.1100000000000001</v>
      </c>
      <c r="O38" s="1175">
        <v>10992.647058823501</v>
      </c>
    </row>
    <row r="39" spans="1:16" s="1130" customFormat="1" ht="19.5" customHeight="1">
      <c r="A39" s="1143">
        <f>COUNTA($B$4:B39)</f>
        <v>35</v>
      </c>
      <c r="B39" s="1144" t="s">
        <v>41</v>
      </c>
      <c r="C39" s="1146">
        <f t="shared" si="12"/>
        <v>21760</v>
      </c>
      <c r="D39" s="1147">
        <f t="shared" si="13"/>
        <v>26110</v>
      </c>
      <c r="E39" s="1146">
        <f t="shared" si="14"/>
        <v>31330</v>
      </c>
      <c r="F39" s="1146">
        <f t="shared" si="10"/>
        <v>37600</v>
      </c>
      <c r="G39" s="1146">
        <f t="shared" si="10"/>
        <v>45120</v>
      </c>
      <c r="H39" s="1146">
        <f t="shared" si="10"/>
        <v>54140</v>
      </c>
      <c r="I39" s="1146">
        <f t="shared" si="10"/>
        <v>64970</v>
      </c>
      <c r="J39" s="1146">
        <f t="shared" si="10"/>
        <v>77960</v>
      </c>
      <c r="K39" s="1146">
        <f t="shared" si="10"/>
        <v>93550</v>
      </c>
      <c r="L39" s="1146">
        <f t="shared" si="10"/>
        <v>112260</v>
      </c>
      <c r="M39" s="1170"/>
      <c r="N39" s="1171">
        <v>1.2</v>
      </c>
      <c r="O39" s="1172">
        <v>31327.258320126799</v>
      </c>
    </row>
    <row r="40" spans="1:16" ht="19.5" customHeight="1">
      <c r="A40" s="1148">
        <f>COUNTA($B$4:B40)</f>
        <v>36</v>
      </c>
      <c r="B40" s="1149" t="s">
        <v>42</v>
      </c>
      <c r="C40" s="1150">
        <f t="shared" ref="C40:C43" si="18">ROUND(O40,-1)</f>
        <v>9760</v>
      </c>
      <c r="D40" s="1152">
        <f t="shared" ref="D40:D43" si="19">ROUND(C40*$N40,-1)</f>
        <v>10830</v>
      </c>
      <c r="E40" s="1152">
        <f t="shared" ref="E40:E44" si="20">ROUND(D40*$N40,-1)</f>
        <v>12020</v>
      </c>
      <c r="F40" s="1152">
        <f t="shared" ref="F40:L65" si="21">ROUND(E40*$N40,-1)</f>
        <v>13340</v>
      </c>
      <c r="G40" s="1152">
        <f t="shared" si="21"/>
        <v>14810</v>
      </c>
      <c r="H40" s="1152">
        <f t="shared" si="21"/>
        <v>16440</v>
      </c>
      <c r="I40" s="1152">
        <f t="shared" si="21"/>
        <v>18250</v>
      </c>
      <c r="J40" s="1152">
        <f t="shared" si="21"/>
        <v>20260</v>
      </c>
      <c r="K40" s="1152">
        <f t="shared" si="21"/>
        <v>22490</v>
      </c>
      <c r="L40" s="1152">
        <f t="shared" si="21"/>
        <v>24960</v>
      </c>
      <c r="M40" s="1176"/>
      <c r="N40" s="1177">
        <v>1.1100000000000001</v>
      </c>
      <c r="O40" s="1175">
        <v>9757.3529411764703</v>
      </c>
    </row>
    <row r="41" spans="1:16" ht="19.5" customHeight="1">
      <c r="A41" s="1148"/>
      <c r="B41" s="1149" t="s">
        <v>43</v>
      </c>
      <c r="C41" s="1152">
        <f>ROUND(D41/$N41,-1)</f>
        <v>7330</v>
      </c>
      <c r="D41" s="1152">
        <f>ROUND(E41/$N41,-1)</f>
        <v>8060</v>
      </c>
      <c r="E41" s="1152">
        <f>ROUND(F41/$N41,-1)</f>
        <v>8870</v>
      </c>
      <c r="F41" s="1152">
        <f>C40</f>
        <v>9760</v>
      </c>
      <c r="G41" s="1152">
        <f t="shared" ref="G41:L42" si="22">ROUND(F41*$N41,-1)</f>
        <v>10740</v>
      </c>
      <c r="H41" s="1152">
        <f t="shared" si="22"/>
        <v>11810</v>
      </c>
      <c r="I41" s="1152">
        <f t="shared" si="22"/>
        <v>12990</v>
      </c>
      <c r="J41" s="1152">
        <f t="shared" si="22"/>
        <v>14290</v>
      </c>
      <c r="K41" s="1152">
        <f t="shared" si="22"/>
        <v>15720</v>
      </c>
      <c r="L41" s="1152">
        <f t="shared" si="22"/>
        <v>17290</v>
      </c>
      <c r="M41" s="1176"/>
      <c r="N41" s="1177">
        <v>1.1000000000000001</v>
      </c>
      <c r="O41" s="1175"/>
    </row>
    <row r="42" spans="1:16" ht="19.5" customHeight="1">
      <c r="A42" s="1148"/>
      <c r="B42" s="1149" t="s">
        <v>44</v>
      </c>
      <c r="C42" s="1150">
        <f t="shared" si="18"/>
        <v>10950</v>
      </c>
      <c r="D42" s="1152">
        <f t="shared" si="19"/>
        <v>12150</v>
      </c>
      <c r="E42" s="1152">
        <f t="shared" si="20"/>
        <v>13490</v>
      </c>
      <c r="F42" s="1152">
        <f>ROUND(E42*$N42,-1)</f>
        <v>14970</v>
      </c>
      <c r="G42" s="1152">
        <f t="shared" si="22"/>
        <v>16620</v>
      </c>
      <c r="H42" s="1152">
        <f t="shared" si="22"/>
        <v>18450</v>
      </c>
      <c r="I42" s="1152">
        <f t="shared" si="22"/>
        <v>20480</v>
      </c>
      <c r="J42" s="1152">
        <f t="shared" si="22"/>
        <v>22730</v>
      </c>
      <c r="K42" s="1152">
        <f t="shared" si="22"/>
        <v>25230</v>
      </c>
      <c r="L42" s="1152">
        <f t="shared" si="22"/>
        <v>28010</v>
      </c>
      <c r="M42" s="1176"/>
      <c r="N42" s="1177">
        <v>1.1100000000000001</v>
      </c>
      <c r="O42" s="1175">
        <v>10949</v>
      </c>
    </row>
    <row r="43" spans="1:16" ht="19.5" customHeight="1">
      <c r="A43" s="1148">
        <f>COUNTA($B$4:B43)</f>
        <v>39</v>
      </c>
      <c r="B43" s="1149" t="s">
        <v>45</v>
      </c>
      <c r="C43" s="1150">
        <f t="shared" si="18"/>
        <v>10350</v>
      </c>
      <c r="D43" s="1152">
        <f t="shared" si="19"/>
        <v>11490</v>
      </c>
      <c r="E43" s="1152">
        <f t="shared" si="20"/>
        <v>12750</v>
      </c>
      <c r="F43" s="1152">
        <f t="shared" si="21"/>
        <v>14150</v>
      </c>
      <c r="G43" s="1152">
        <f t="shared" si="21"/>
        <v>15710</v>
      </c>
      <c r="H43" s="1152">
        <f t="shared" si="21"/>
        <v>17440</v>
      </c>
      <c r="I43" s="1152">
        <f t="shared" si="21"/>
        <v>19360</v>
      </c>
      <c r="J43" s="1152">
        <f t="shared" si="21"/>
        <v>21490</v>
      </c>
      <c r="K43" s="1152">
        <f t="shared" si="21"/>
        <v>23850</v>
      </c>
      <c r="L43" s="1152">
        <f t="shared" si="21"/>
        <v>26470</v>
      </c>
      <c r="M43" s="1176"/>
      <c r="N43" s="1177">
        <v>1.1100000000000001</v>
      </c>
      <c r="O43" s="1175">
        <v>10352.9411764706</v>
      </c>
    </row>
    <row r="44" spans="1:16" ht="19.5" customHeight="1">
      <c r="A44" s="1148">
        <f>COUNTA($B$4:B44)</f>
        <v>40</v>
      </c>
      <c r="B44" s="1158" t="s">
        <v>46</v>
      </c>
      <c r="C44" s="1151">
        <f>ROUND(D44/N44,-1)</f>
        <v>12030</v>
      </c>
      <c r="D44" s="1150">
        <f>ROUND(O44,-1)</f>
        <v>13350</v>
      </c>
      <c r="E44" s="1152">
        <f t="shared" si="20"/>
        <v>14820</v>
      </c>
      <c r="F44" s="1152">
        <f t="shared" si="21"/>
        <v>16450</v>
      </c>
      <c r="G44" s="1152">
        <f t="shared" si="21"/>
        <v>18260</v>
      </c>
      <c r="H44" s="1152">
        <f t="shared" si="21"/>
        <v>20270</v>
      </c>
      <c r="I44" s="1152">
        <f t="shared" si="21"/>
        <v>22500</v>
      </c>
      <c r="J44" s="1152">
        <f t="shared" si="21"/>
        <v>24980</v>
      </c>
      <c r="K44" s="1152">
        <f t="shared" si="21"/>
        <v>27730</v>
      </c>
      <c r="L44" s="1152">
        <f t="shared" si="21"/>
        <v>30780</v>
      </c>
      <c r="M44" s="1176"/>
      <c r="N44" s="1177">
        <v>1.1100000000000001</v>
      </c>
      <c r="O44" s="1175">
        <v>13352.9411764706</v>
      </c>
    </row>
    <row r="45" spans="1:16" s="1130" customFormat="1" ht="19.5" customHeight="1">
      <c r="A45" s="1143">
        <f>COUNTA($B$4:B45)</f>
        <v>41</v>
      </c>
      <c r="B45" s="1144" t="s">
        <v>47</v>
      </c>
      <c r="C45" s="1146">
        <f>ROUND(D45/N45,-1)</f>
        <v>22200</v>
      </c>
      <c r="D45" s="1147">
        <f>ROUND(E45/N45,-1)</f>
        <v>26640</v>
      </c>
      <c r="E45" s="1146">
        <f>ROUND(O45,-1)</f>
        <v>31970</v>
      </c>
      <c r="F45" s="1146">
        <f t="shared" si="21"/>
        <v>38360</v>
      </c>
      <c r="G45" s="1146">
        <f t="shared" si="21"/>
        <v>46030</v>
      </c>
      <c r="H45" s="1146">
        <f t="shared" si="21"/>
        <v>55240</v>
      </c>
      <c r="I45" s="1146">
        <f t="shared" si="21"/>
        <v>66290</v>
      </c>
      <c r="J45" s="1146">
        <f t="shared" si="21"/>
        <v>79550</v>
      </c>
      <c r="K45" s="1146">
        <f t="shared" si="21"/>
        <v>95460</v>
      </c>
      <c r="L45" s="1146">
        <f t="shared" si="21"/>
        <v>114550</v>
      </c>
      <c r="M45" s="1170"/>
      <c r="N45" s="1171">
        <v>1.2</v>
      </c>
      <c r="O45" s="1172">
        <v>31967.115689381899</v>
      </c>
    </row>
    <row r="46" spans="1:16" ht="19.5" customHeight="1">
      <c r="A46" s="1148">
        <f>COUNTA($B$4:B46)</f>
        <v>42</v>
      </c>
      <c r="B46" s="1149" t="s">
        <v>48</v>
      </c>
      <c r="C46" s="1150">
        <f t="shared" ref="C46:C49" si="23">ROUND(O46,-1)</f>
        <v>7760</v>
      </c>
      <c r="D46" s="1152">
        <f t="shared" ref="D46:E49" si="24">ROUND(C46*$N46,-1)</f>
        <v>8540</v>
      </c>
      <c r="E46" s="1152">
        <f t="shared" si="24"/>
        <v>9390</v>
      </c>
      <c r="F46" s="1152">
        <f t="shared" si="21"/>
        <v>10330</v>
      </c>
      <c r="G46" s="1152">
        <f t="shared" si="21"/>
        <v>11360</v>
      </c>
      <c r="H46" s="1152">
        <f t="shared" si="21"/>
        <v>12500</v>
      </c>
      <c r="I46" s="1152">
        <f t="shared" si="21"/>
        <v>13750</v>
      </c>
      <c r="J46" s="1152">
        <f t="shared" si="21"/>
        <v>15130</v>
      </c>
      <c r="K46" s="1152">
        <f t="shared" si="21"/>
        <v>16640</v>
      </c>
      <c r="L46" s="1152">
        <f t="shared" si="21"/>
        <v>18300</v>
      </c>
      <c r="M46" s="1176"/>
      <c r="N46" s="1177">
        <v>1.1000000000000001</v>
      </c>
      <c r="O46" s="1175">
        <v>7757.3529411764703</v>
      </c>
      <c r="P46" s="1133" t="str">
        <f>B13</f>
        <v>Nhân viên hành chính/ HCNS NM</v>
      </c>
    </row>
    <row r="47" spans="1:16" ht="19.5" customHeight="1">
      <c r="A47" s="1148"/>
      <c r="B47" s="1149" t="s">
        <v>49</v>
      </c>
      <c r="C47" s="1150">
        <f t="shared" si="23"/>
        <v>7010</v>
      </c>
      <c r="D47" s="1152">
        <f t="shared" si="24"/>
        <v>7710</v>
      </c>
      <c r="E47" s="1152">
        <f t="shared" si="24"/>
        <v>8480</v>
      </c>
      <c r="F47" s="1152">
        <f t="shared" ref="F47:L47" si="25">ROUND(E47*$N47,-1)</f>
        <v>9330</v>
      </c>
      <c r="G47" s="1152">
        <f t="shared" si="25"/>
        <v>10260</v>
      </c>
      <c r="H47" s="1152">
        <f t="shared" si="25"/>
        <v>11290</v>
      </c>
      <c r="I47" s="1152">
        <f t="shared" si="25"/>
        <v>12420</v>
      </c>
      <c r="J47" s="1152">
        <f t="shared" si="25"/>
        <v>13660</v>
      </c>
      <c r="K47" s="1152">
        <f t="shared" si="25"/>
        <v>15030</v>
      </c>
      <c r="L47" s="1152">
        <f t="shared" si="25"/>
        <v>16530</v>
      </c>
      <c r="M47" s="1176"/>
      <c r="N47" s="1177">
        <v>1.1000000000000001</v>
      </c>
      <c r="O47" s="1175">
        <v>7007.3529411764703</v>
      </c>
    </row>
    <row r="48" spans="1:16" ht="19.5" customHeight="1">
      <c r="A48" s="1148">
        <f>COUNTA($B$4:B48)</f>
        <v>44</v>
      </c>
      <c r="B48" s="1149" t="s">
        <v>50</v>
      </c>
      <c r="C48" s="1150">
        <f t="shared" si="23"/>
        <v>7010</v>
      </c>
      <c r="D48" s="1152">
        <f t="shared" si="24"/>
        <v>7780</v>
      </c>
      <c r="E48" s="1152">
        <f t="shared" si="24"/>
        <v>8640</v>
      </c>
      <c r="F48" s="1152">
        <f t="shared" si="21"/>
        <v>9590</v>
      </c>
      <c r="G48" s="1152">
        <f t="shared" si="21"/>
        <v>10640</v>
      </c>
      <c r="H48" s="1152">
        <f t="shared" si="21"/>
        <v>11810</v>
      </c>
      <c r="I48" s="1152">
        <f t="shared" si="21"/>
        <v>13110</v>
      </c>
      <c r="J48" s="1152">
        <f t="shared" si="21"/>
        <v>14550</v>
      </c>
      <c r="K48" s="1152">
        <f t="shared" si="21"/>
        <v>16150</v>
      </c>
      <c r="L48" s="1152">
        <f t="shared" si="21"/>
        <v>17930</v>
      </c>
      <c r="M48" s="1176"/>
      <c r="N48" s="1177">
        <v>1.1100000000000001</v>
      </c>
      <c r="O48" s="1175">
        <v>7007.3529411764703</v>
      </c>
    </row>
    <row r="49" spans="1:15" ht="19.5" customHeight="1">
      <c r="A49" s="1148">
        <f>COUNTA($B$4:B49)</f>
        <v>45</v>
      </c>
      <c r="B49" s="1149" t="s">
        <v>51</v>
      </c>
      <c r="C49" s="1150">
        <f t="shared" si="23"/>
        <v>6020</v>
      </c>
      <c r="D49" s="1152">
        <f t="shared" si="24"/>
        <v>6620</v>
      </c>
      <c r="E49" s="1152">
        <f t="shared" si="24"/>
        <v>7280</v>
      </c>
      <c r="F49" s="1152">
        <f t="shared" si="21"/>
        <v>8010</v>
      </c>
      <c r="G49" s="1152">
        <f t="shared" si="21"/>
        <v>8810</v>
      </c>
      <c r="H49" s="1152">
        <f t="shared" si="21"/>
        <v>9690</v>
      </c>
      <c r="I49" s="1152">
        <f t="shared" si="21"/>
        <v>10660</v>
      </c>
      <c r="J49" s="1152">
        <f t="shared" si="21"/>
        <v>11730</v>
      </c>
      <c r="K49" s="1152">
        <f t="shared" si="21"/>
        <v>12900</v>
      </c>
      <c r="L49" s="1152">
        <f t="shared" si="21"/>
        <v>14190</v>
      </c>
      <c r="M49" s="1176"/>
      <c r="N49" s="1177">
        <v>1.1000000000000001</v>
      </c>
      <c r="O49" s="1175">
        <v>6020.0839285714301</v>
      </c>
    </row>
    <row r="50" spans="1:15" ht="19.5" customHeight="1">
      <c r="A50" s="1148">
        <f>COUNTA($B$4:B50)</f>
        <v>46</v>
      </c>
      <c r="B50" s="1149" t="s">
        <v>52</v>
      </c>
      <c r="C50" s="1152">
        <f t="shared" ref="C50:G50" si="26">ROUND(D50/$N$50,-1)</f>
        <v>7770</v>
      </c>
      <c r="D50" s="1152">
        <f t="shared" si="26"/>
        <v>8310</v>
      </c>
      <c r="E50" s="1152">
        <f t="shared" si="26"/>
        <v>8890</v>
      </c>
      <c r="F50" s="1152">
        <f t="shared" si="26"/>
        <v>9510</v>
      </c>
      <c r="G50" s="1152">
        <f t="shared" si="26"/>
        <v>10180</v>
      </c>
      <c r="H50" s="1150">
        <v>10890</v>
      </c>
      <c r="I50" s="1152">
        <f t="shared" ref="I50:L50" si="27">H50*$N$50</f>
        <v>11652.300000000001</v>
      </c>
      <c r="J50" s="1152">
        <f t="shared" si="27"/>
        <v>12467.961000000001</v>
      </c>
      <c r="K50" s="1152">
        <f t="shared" si="27"/>
        <v>13340.718270000001</v>
      </c>
      <c r="L50" s="1152">
        <f t="shared" si="27"/>
        <v>14274.568548900002</v>
      </c>
      <c r="M50" s="1176"/>
      <c r="N50" s="1177">
        <v>1.07</v>
      </c>
      <c r="O50" s="1175">
        <v>10893.410852713199</v>
      </c>
    </row>
    <row r="51" spans="1:15" ht="19.5" customHeight="1">
      <c r="A51" s="1148">
        <f>COUNTA($B$4:B51)</f>
        <v>47</v>
      </c>
      <c r="B51" s="1149" t="s">
        <v>53</v>
      </c>
      <c r="C51" s="1152">
        <f t="shared" ref="C51:K51" si="28">ROUND(D51/$N$51,-1)</f>
        <v>5220</v>
      </c>
      <c r="D51" s="1152">
        <f t="shared" si="28"/>
        <v>5480</v>
      </c>
      <c r="E51" s="1152">
        <f t="shared" si="28"/>
        <v>5750</v>
      </c>
      <c r="F51" s="1152">
        <f t="shared" si="28"/>
        <v>6040</v>
      </c>
      <c r="G51" s="1152">
        <f t="shared" si="28"/>
        <v>6340</v>
      </c>
      <c r="H51" s="1152">
        <f t="shared" si="28"/>
        <v>6660</v>
      </c>
      <c r="I51" s="1152">
        <f t="shared" si="28"/>
        <v>6990</v>
      </c>
      <c r="J51" s="1152">
        <f t="shared" si="28"/>
        <v>7340</v>
      </c>
      <c r="K51" s="1152">
        <f t="shared" si="28"/>
        <v>7710</v>
      </c>
      <c r="L51" s="1150">
        <v>8100</v>
      </c>
      <c r="M51" s="1176"/>
      <c r="N51" s="1177">
        <v>1.05</v>
      </c>
      <c r="O51" s="1175">
        <v>8920.2886904761908</v>
      </c>
    </row>
    <row r="52" spans="1:15" ht="19.5" customHeight="1">
      <c r="A52" s="1148">
        <f>COUNTA($B$4:B52)</f>
        <v>48</v>
      </c>
      <c r="B52" s="1149" t="s">
        <v>54</v>
      </c>
      <c r="C52" s="1150">
        <f>ROUND(O52,-1)</f>
        <v>6670</v>
      </c>
      <c r="D52" s="1152">
        <f t="shared" ref="D52:L52" si="29">ROUND(C52*$N52,-1)</f>
        <v>7000</v>
      </c>
      <c r="E52" s="1152">
        <f t="shared" si="29"/>
        <v>7350</v>
      </c>
      <c r="F52" s="1152">
        <f t="shared" si="29"/>
        <v>7720</v>
      </c>
      <c r="G52" s="1152">
        <f t="shared" si="29"/>
        <v>8110</v>
      </c>
      <c r="H52" s="1152">
        <f t="shared" si="29"/>
        <v>8520</v>
      </c>
      <c r="I52" s="1152">
        <f t="shared" si="29"/>
        <v>8950</v>
      </c>
      <c r="J52" s="1152">
        <f t="shared" si="29"/>
        <v>9400</v>
      </c>
      <c r="K52" s="1152">
        <f t="shared" si="29"/>
        <v>9870</v>
      </c>
      <c r="L52" s="1152">
        <f t="shared" si="29"/>
        <v>10360</v>
      </c>
      <c r="M52" s="1176"/>
      <c r="N52" s="1177">
        <v>1.05</v>
      </c>
      <c r="O52" s="1175">
        <v>6671.8374999999996</v>
      </c>
    </row>
    <row r="53" spans="1:15" ht="19.5" customHeight="1">
      <c r="A53" s="1148">
        <f>COUNTA($B$4:B53)</f>
        <v>49</v>
      </c>
      <c r="B53" s="1149" t="s">
        <v>55</v>
      </c>
      <c r="C53" s="1152">
        <f>ROUND(D53/$N$53,-1)</f>
        <v>7020</v>
      </c>
      <c r="D53" s="1152">
        <f>ROUND(E53/$N$53,-1)</f>
        <v>7510</v>
      </c>
      <c r="E53" s="1150">
        <v>8038</v>
      </c>
      <c r="F53" s="1152">
        <f t="shared" ref="F53:L53" si="30">E53*$N$53</f>
        <v>8600.66</v>
      </c>
      <c r="G53" s="1152">
        <f t="shared" si="30"/>
        <v>9202.7062000000005</v>
      </c>
      <c r="H53" s="1152">
        <f t="shared" si="30"/>
        <v>9846.8956340000004</v>
      </c>
      <c r="I53" s="1152">
        <f t="shared" si="30"/>
        <v>10536.178328380001</v>
      </c>
      <c r="J53" s="1152">
        <f t="shared" si="30"/>
        <v>11273.710811366602</v>
      </c>
      <c r="K53" s="1152">
        <f t="shared" si="30"/>
        <v>12062.870568162265</v>
      </c>
      <c r="L53" s="1152">
        <f t="shared" si="30"/>
        <v>12907.271507933625</v>
      </c>
      <c r="M53" s="1176"/>
      <c r="N53" s="1177">
        <v>1.07</v>
      </c>
      <c r="O53" s="1175">
        <v>8037.7906976744198</v>
      </c>
    </row>
    <row r="54" spans="1:15" ht="19.5" customHeight="1">
      <c r="A54" s="1148">
        <f>COUNTA($B$4:B54)</f>
        <v>50</v>
      </c>
      <c r="B54" s="1149" t="s">
        <v>56</v>
      </c>
      <c r="C54" s="1150">
        <f>ROUND(O54,-1)</f>
        <v>6190</v>
      </c>
      <c r="D54" s="1152">
        <f t="shared" ref="D54:L54" si="31">ROUND(C54*$N54,-1)</f>
        <v>6500</v>
      </c>
      <c r="E54" s="1152">
        <f t="shared" si="31"/>
        <v>6830</v>
      </c>
      <c r="F54" s="1152">
        <f t="shared" si="31"/>
        <v>7170</v>
      </c>
      <c r="G54" s="1152">
        <f t="shared" si="31"/>
        <v>7530</v>
      </c>
      <c r="H54" s="1152">
        <f t="shared" si="31"/>
        <v>7910</v>
      </c>
      <c r="I54" s="1152">
        <f t="shared" si="31"/>
        <v>8310</v>
      </c>
      <c r="J54" s="1152">
        <f t="shared" si="31"/>
        <v>8730</v>
      </c>
      <c r="K54" s="1152">
        <f t="shared" si="31"/>
        <v>9170</v>
      </c>
      <c r="L54" s="1152">
        <f t="shared" si="31"/>
        <v>9630</v>
      </c>
      <c r="M54" s="1176"/>
      <c r="N54" s="1177">
        <v>1.05</v>
      </c>
      <c r="O54" s="1175">
        <v>6187.5</v>
      </c>
    </row>
    <row r="55" spans="1:15" s="1131" customFormat="1" ht="19.5" customHeight="1">
      <c r="A55" s="1159"/>
      <c r="B55" s="1160" t="s">
        <v>57</v>
      </c>
      <c r="C55" s="1161">
        <f>O55</f>
        <v>4500</v>
      </c>
      <c r="D55" s="1161">
        <f t="shared" ref="D55:L55" si="32">ROUND(C55*$N55,-1)</f>
        <v>4730</v>
      </c>
      <c r="E55" s="1161">
        <f t="shared" si="32"/>
        <v>4970</v>
      </c>
      <c r="F55" s="1161">
        <f t="shared" si="32"/>
        <v>5220</v>
      </c>
      <c r="G55" s="1161">
        <f t="shared" si="32"/>
        <v>5480</v>
      </c>
      <c r="H55" s="1161">
        <f t="shared" si="32"/>
        <v>5750</v>
      </c>
      <c r="I55" s="1161">
        <f t="shared" si="32"/>
        <v>6040</v>
      </c>
      <c r="J55" s="1161">
        <f t="shared" si="32"/>
        <v>6340</v>
      </c>
      <c r="K55" s="1161">
        <f t="shared" si="32"/>
        <v>6660</v>
      </c>
      <c r="L55" s="1161">
        <f t="shared" si="32"/>
        <v>6990</v>
      </c>
      <c r="M55" s="1186"/>
      <c r="N55" s="1187">
        <v>1.05</v>
      </c>
      <c r="O55" s="1188">
        <v>4500</v>
      </c>
    </row>
    <row r="56" spans="1:15" s="1130" customFormat="1" ht="19.5" customHeight="1">
      <c r="A56" s="1143">
        <f>COUNTA($B$4:B56)</f>
        <v>52</v>
      </c>
      <c r="B56" s="1144" t="s">
        <v>58</v>
      </c>
      <c r="C56" s="1146">
        <f>D56/N56</f>
        <v>22777.777777777781</v>
      </c>
      <c r="D56" s="1147">
        <f>E56/N56</f>
        <v>27333.333333333336</v>
      </c>
      <c r="E56" s="1146">
        <f>ROUND(O56,-1)</f>
        <v>32800</v>
      </c>
      <c r="F56" s="1146">
        <f t="shared" si="21"/>
        <v>39360</v>
      </c>
      <c r="G56" s="1146">
        <f t="shared" si="21"/>
        <v>47230</v>
      </c>
      <c r="H56" s="1146">
        <f t="shared" si="21"/>
        <v>56680</v>
      </c>
      <c r="I56" s="1146">
        <f t="shared" si="21"/>
        <v>68020</v>
      </c>
      <c r="J56" s="1146">
        <f t="shared" si="21"/>
        <v>81620</v>
      </c>
      <c r="K56" s="1146">
        <f t="shared" si="21"/>
        <v>97940</v>
      </c>
      <c r="L56" s="1146">
        <f t="shared" si="21"/>
        <v>117530</v>
      </c>
      <c r="M56" s="1170"/>
      <c r="N56" s="1171">
        <v>1.2</v>
      </c>
      <c r="O56" s="1172">
        <v>32803.090332805099</v>
      </c>
    </row>
    <row r="57" spans="1:15" ht="19.5" customHeight="1">
      <c r="A57" s="1148">
        <f>COUNTA($B$4:B57)</f>
        <v>53</v>
      </c>
      <c r="B57" s="1158" t="s">
        <v>59</v>
      </c>
      <c r="C57" s="1151">
        <f t="shared" ref="C57:C59" si="33">ROUND(D57/N57,-1)</f>
        <v>9700</v>
      </c>
      <c r="D57" s="1150">
        <f t="shared" ref="D57:D59" si="34">ROUND(O57,-1)</f>
        <v>10770</v>
      </c>
      <c r="E57" s="1152">
        <f t="shared" ref="E57:E59" si="35">ROUND(D57*$N57,-1)</f>
        <v>11950</v>
      </c>
      <c r="F57" s="1152">
        <f t="shared" si="21"/>
        <v>13260</v>
      </c>
      <c r="G57" s="1152">
        <f t="shared" si="21"/>
        <v>14720</v>
      </c>
      <c r="H57" s="1152">
        <f t="shared" si="21"/>
        <v>16340</v>
      </c>
      <c r="I57" s="1152">
        <f t="shared" si="21"/>
        <v>18140</v>
      </c>
      <c r="J57" s="1152">
        <f t="shared" si="21"/>
        <v>20140</v>
      </c>
      <c r="K57" s="1152">
        <f t="shared" si="21"/>
        <v>22360</v>
      </c>
      <c r="L57" s="1152">
        <f t="shared" si="21"/>
        <v>24820</v>
      </c>
      <c r="M57" s="1176"/>
      <c r="N57" s="1177">
        <v>1.1100000000000001</v>
      </c>
      <c r="O57" s="1175">
        <v>10772.0588235294</v>
      </c>
    </row>
    <row r="58" spans="1:15" ht="19.5" customHeight="1">
      <c r="A58" s="1148">
        <f>COUNTA($B$4:B58)</f>
        <v>54</v>
      </c>
      <c r="B58" s="1158" t="s">
        <v>60</v>
      </c>
      <c r="C58" s="1151">
        <f t="shared" si="33"/>
        <v>9420</v>
      </c>
      <c r="D58" s="1150">
        <f t="shared" si="34"/>
        <v>10460</v>
      </c>
      <c r="E58" s="1152">
        <f t="shared" si="35"/>
        <v>11610</v>
      </c>
      <c r="F58" s="1152">
        <f t="shared" si="21"/>
        <v>12890</v>
      </c>
      <c r="G58" s="1152">
        <f t="shared" si="21"/>
        <v>14310</v>
      </c>
      <c r="H58" s="1152">
        <f t="shared" si="21"/>
        <v>15880</v>
      </c>
      <c r="I58" s="1152">
        <f t="shared" si="21"/>
        <v>17630</v>
      </c>
      <c r="J58" s="1152">
        <f t="shared" si="21"/>
        <v>19570</v>
      </c>
      <c r="K58" s="1152">
        <f t="shared" si="21"/>
        <v>21720</v>
      </c>
      <c r="L58" s="1152">
        <f t="shared" si="21"/>
        <v>24110</v>
      </c>
      <c r="M58" s="1176"/>
      <c r="N58" s="1177">
        <v>1.1100000000000001</v>
      </c>
      <c r="O58" s="1175">
        <v>10463.2352941176</v>
      </c>
    </row>
    <row r="59" spans="1:15" ht="19.5" customHeight="1">
      <c r="A59" s="1148">
        <f>COUNTA($B$4:B59)</f>
        <v>55</v>
      </c>
      <c r="B59" s="1158" t="s">
        <v>61</v>
      </c>
      <c r="C59" s="1151">
        <f t="shared" si="33"/>
        <v>10340</v>
      </c>
      <c r="D59" s="1150">
        <f t="shared" si="34"/>
        <v>11480</v>
      </c>
      <c r="E59" s="1152">
        <f t="shared" si="35"/>
        <v>12740</v>
      </c>
      <c r="F59" s="1152">
        <f t="shared" si="21"/>
        <v>14140</v>
      </c>
      <c r="G59" s="1152">
        <f t="shared" si="21"/>
        <v>15700</v>
      </c>
      <c r="H59" s="1152">
        <f t="shared" si="21"/>
        <v>17430</v>
      </c>
      <c r="I59" s="1152">
        <f t="shared" si="21"/>
        <v>19350</v>
      </c>
      <c r="J59" s="1152">
        <f t="shared" si="21"/>
        <v>21480</v>
      </c>
      <c r="K59" s="1152">
        <f t="shared" si="21"/>
        <v>23840</v>
      </c>
      <c r="L59" s="1152">
        <f t="shared" si="21"/>
        <v>26460</v>
      </c>
      <c r="M59" s="1176"/>
      <c r="N59" s="1177">
        <v>1.1100000000000001</v>
      </c>
      <c r="O59" s="1175">
        <v>11480.8823529412</v>
      </c>
    </row>
    <row r="60" spans="1:15" ht="19.5" customHeight="1">
      <c r="A60" s="1148">
        <f>COUNTA($B$4:B60)</f>
        <v>56</v>
      </c>
      <c r="B60" s="1149" t="s">
        <v>62</v>
      </c>
      <c r="C60" s="1150">
        <f t="shared" ref="C60:C62" si="36">ROUND(O60,-1)</f>
        <v>7310</v>
      </c>
      <c r="D60" s="1152">
        <f t="shared" ref="D60:E62" si="37">ROUND(C60*$N60,-1)</f>
        <v>8040</v>
      </c>
      <c r="E60" s="1152">
        <f t="shared" si="37"/>
        <v>8840</v>
      </c>
      <c r="F60" s="1152">
        <f t="shared" si="21"/>
        <v>9720</v>
      </c>
      <c r="G60" s="1152">
        <f t="shared" si="21"/>
        <v>10690</v>
      </c>
      <c r="H60" s="1152">
        <f t="shared" si="21"/>
        <v>11760</v>
      </c>
      <c r="I60" s="1152">
        <f t="shared" si="21"/>
        <v>12940</v>
      </c>
      <c r="J60" s="1152">
        <f t="shared" si="21"/>
        <v>14230</v>
      </c>
      <c r="K60" s="1152">
        <f t="shared" si="21"/>
        <v>15650</v>
      </c>
      <c r="L60" s="1152">
        <f t="shared" si="21"/>
        <v>17220</v>
      </c>
      <c r="M60" s="1176"/>
      <c r="N60" s="1177">
        <v>1.1000000000000001</v>
      </c>
      <c r="O60" s="1175">
        <v>7308.8235294117603</v>
      </c>
    </row>
    <row r="61" spans="1:15" ht="19.5" customHeight="1">
      <c r="A61" s="1148">
        <f>COUNTA($B$4:B61)</f>
        <v>57</v>
      </c>
      <c r="B61" s="1149" t="s">
        <v>63</v>
      </c>
      <c r="C61" s="1150">
        <f t="shared" si="36"/>
        <v>12030</v>
      </c>
      <c r="D61" s="1152">
        <f t="shared" si="37"/>
        <v>13350</v>
      </c>
      <c r="E61" s="1152">
        <f t="shared" si="37"/>
        <v>14820</v>
      </c>
      <c r="F61" s="1152">
        <f t="shared" si="21"/>
        <v>16450</v>
      </c>
      <c r="G61" s="1152">
        <f t="shared" si="21"/>
        <v>18260</v>
      </c>
      <c r="H61" s="1152">
        <f t="shared" si="21"/>
        <v>20270</v>
      </c>
      <c r="I61" s="1152">
        <f t="shared" si="21"/>
        <v>22500</v>
      </c>
      <c r="J61" s="1152">
        <f t="shared" si="21"/>
        <v>24980</v>
      </c>
      <c r="K61" s="1152">
        <f t="shared" si="21"/>
        <v>27730</v>
      </c>
      <c r="L61" s="1152">
        <f t="shared" si="21"/>
        <v>30780</v>
      </c>
      <c r="M61" s="1176"/>
      <c r="N61" s="1177">
        <v>1.1100000000000001</v>
      </c>
      <c r="O61" s="1175">
        <v>12029.411764705899</v>
      </c>
    </row>
    <row r="62" spans="1:15" ht="21" customHeight="1">
      <c r="A62" s="1148">
        <f>COUNTA($B$4:B123)</f>
        <v>118</v>
      </c>
      <c r="B62" s="1149" t="s">
        <v>64</v>
      </c>
      <c r="C62" s="1150">
        <f t="shared" si="36"/>
        <v>5630</v>
      </c>
      <c r="D62" s="1152">
        <f t="shared" si="37"/>
        <v>5910</v>
      </c>
      <c r="E62" s="1152">
        <f t="shared" si="37"/>
        <v>6210</v>
      </c>
      <c r="F62" s="1152">
        <f t="shared" si="21"/>
        <v>6520</v>
      </c>
      <c r="G62" s="1152">
        <f t="shared" si="21"/>
        <v>6850</v>
      </c>
      <c r="H62" s="1152">
        <f t="shared" si="21"/>
        <v>7190</v>
      </c>
      <c r="I62" s="1152">
        <f t="shared" si="21"/>
        <v>7550</v>
      </c>
      <c r="J62" s="1152">
        <f t="shared" si="21"/>
        <v>7930</v>
      </c>
      <c r="K62" s="1152">
        <f t="shared" si="21"/>
        <v>8330</v>
      </c>
      <c r="L62" s="1152">
        <f t="shared" si="21"/>
        <v>8750</v>
      </c>
      <c r="M62" s="1176"/>
      <c r="N62" s="1177">
        <v>1.05</v>
      </c>
      <c r="O62" s="1175">
        <v>5625</v>
      </c>
    </row>
    <row r="63" spans="1:15" s="1130" customFormat="1" ht="19.5" customHeight="1">
      <c r="A63" s="1143">
        <f>COUNTA($B$4:B63)</f>
        <v>59</v>
      </c>
      <c r="B63" s="1144" t="s">
        <v>65</v>
      </c>
      <c r="C63" s="1146">
        <f t="shared" ref="C63:C66" si="38">ROUND(D63/N63,-1)</f>
        <v>20440</v>
      </c>
      <c r="D63" s="1147">
        <f>ROUND(E63/N63,-1)</f>
        <v>24530</v>
      </c>
      <c r="E63" s="1146">
        <f>ROUND(O63,-1)</f>
        <v>29440</v>
      </c>
      <c r="F63" s="1146">
        <f t="shared" si="21"/>
        <v>35330</v>
      </c>
      <c r="G63" s="1146">
        <f t="shared" si="21"/>
        <v>42400</v>
      </c>
      <c r="H63" s="1146">
        <f t="shared" si="21"/>
        <v>50880</v>
      </c>
      <c r="I63" s="1146">
        <f t="shared" si="21"/>
        <v>61060</v>
      </c>
      <c r="J63" s="1146">
        <f t="shared" si="21"/>
        <v>73270</v>
      </c>
      <c r="K63" s="1146">
        <f t="shared" si="21"/>
        <v>87920</v>
      </c>
      <c r="L63" s="1146">
        <f t="shared" si="21"/>
        <v>105500</v>
      </c>
      <c r="M63" s="1170"/>
      <c r="N63" s="1171">
        <v>1.2</v>
      </c>
      <c r="O63" s="1172">
        <v>29435.419968304301</v>
      </c>
    </row>
    <row r="64" spans="1:15" ht="19.5" customHeight="1">
      <c r="A64" s="1148">
        <f>COUNTA($B$4:B64)</f>
        <v>60</v>
      </c>
      <c r="B64" s="1149" t="s">
        <v>66</v>
      </c>
      <c r="C64" s="1162">
        <f t="shared" ref="C64:C69" si="39">ROUND(O64,-1)</f>
        <v>15380</v>
      </c>
      <c r="D64" s="1163">
        <f t="shared" ref="D64:K69" si="40">ROUND(C64*$N64,-1)</f>
        <v>17230</v>
      </c>
      <c r="E64" s="1163">
        <f t="shared" si="40"/>
        <v>19300</v>
      </c>
      <c r="F64" s="1163">
        <f t="shared" si="21"/>
        <v>21620</v>
      </c>
      <c r="G64" s="1163">
        <f t="shared" si="21"/>
        <v>24210</v>
      </c>
      <c r="H64" s="1163">
        <f t="shared" si="21"/>
        <v>27120</v>
      </c>
      <c r="I64" s="1163">
        <f t="shared" si="21"/>
        <v>30370</v>
      </c>
      <c r="J64" s="1163">
        <f t="shared" si="21"/>
        <v>34010</v>
      </c>
      <c r="K64" s="1163">
        <f t="shared" si="21"/>
        <v>38090</v>
      </c>
      <c r="L64" s="1163">
        <f t="shared" si="21"/>
        <v>42660</v>
      </c>
      <c r="M64" s="1189"/>
      <c r="N64" s="1190">
        <v>1.1200000000000001</v>
      </c>
      <c r="O64" s="1191">
        <v>15380.8823529412</v>
      </c>
    </row>
    <row r="65" spans="1:16" ht="19.5" customHeight="1">
      <c r="A65" s="1148">
        <f>COUNTA($B$4:B65)</f>
        <v>61</v>
      </c>
      <c r="B65" s="1149" t="s">
        <v>67</v>
      </c>
      <c r="C65" s="1192">
        <f t="shared" si="38"/>
        <v>10490</v>
      </c>
      <c r="D65" s="1162">
        <f t="shared" ref="D65:D71" si="41">ROUND(O65,-1)</f>
        <v>11640</v>
      </c>
      <c r="E65" s="1163">
        <f t="shared" si="40"/>
        <v>12920</v>
      </c>
      <c r="F65" s="1163">
        <f t="shared" si="21"/>
        <v>14340</v>
      </c>
      <c r="G65" s="1163">
        <f t="shared" si="21"/>
        <v>15920</v>
      </c>
      <c r="H65" s="1163">
        <f t="shared" si="21"/>
        <v>17670</v>
      </c>
      <c r="I65" s="1163">
        <f t="shared" si="21"/>
        <v>19610</v>
      </c>
      <c r="J65" s="1163">
        <f t="shared" si="21"/>
        <v>21770</v>
      </c>
      <c r="K65" s="1163">
        <f t="shared" si="21"/>
        <v>24160</v>
      </c>
      <c r="L65" s="1163">
        <f t="shared" ref="L65:L71" si="42">ROUND(K65*$N65,-2)</f>
        <v>26800</v>
      </c>
      <c r="M65" s="1189"/>
      <c r="N65" s="1190">
        <v>1.1100000000000001</v>
      </c>
      <c r="O65" s="1191">
        <v>11639.705882352901</v>
      </c>
    </row>
    <row r="66" spans="1:16" ht="19.5" customHeight="1">
      <c r="A66" s="1148">
        <f>COUNTA($B$4:B66)</f>
        <v>62</v>
      </c>
      <c r="B66" s="1149" t="s">
        <v>68</v>
      </c>
      <c r="C66" s="1192">
        <f t="shared" si="38"/>
        <v>10490</v>
      </c>
      <c r="D66" s="1162">
        <f t="shared" si="41"/>
        <v>11640</v>
      </c>
      <c r="E66" s="1163">
        <f t="shared" si="40"/>
        <v>12920</v>
      </c>
      <c r="F66" s="1163">
        <f t="shared" si="40"/>
        <v>14340</v>
      </c>
      <c r="G66" s="1163">
        <f t="shared" si="40"/>
        <v>15920</v>
      </c>
      <c r="H66" s="1163">
        <f t="shared" si="40"/>
        <v>17670</v>
      </c>
      <c r="I66" s="1163">
        <f t="shared" si="40"/>
        <v>19610</v>
      </c>
      <c r="J66" s="1163">
        <f t="shared" si="40"/>
        <v>21770</v>
      </c>
      <c r="K66" s="1163">
        <f t="shared" si="40"/>
        <v>24160</v>
      </c>
      <c r="L66" s="1163">
        <f t="shared" si="42"/>
        <v>26800</v>
      </c>
      <c r="M66" s="1189"/>
      <c r="N66" s="1190">
        <v>1.1100000000000001</v>
      </c>
      <c r="O66" s="1191">
        <v>11639.705882352901</v>
      </c>
      <c r="P66" s="1133" t="str">
        <f>'[1]so sánh 3 bảng'!$C$41</f>
        <v>Giám sát kỹ thuật</v>
      </c>
    </row>
    <row r="67" spans="1:16" ht="19.5" customHeight="1">
      <c r="A67" s="1148">
        <f>COUNTA($B$4:B67)</f>
        <v>63</v>
      </c>
      <c r="B67" s="1149" t="s">
        <v>69</v>
      </c>
      <c r="C67" s="1162">
        <f t="shared" si="39"/>
        <v>12820</v>
      </c>
      <c r="D67" s="1163">
        <f t="shared" ref="D67:D69" si="43">ROUND(C67*$N67,-1)</f>
        <v>14230</v>
      </c>
      <c r="E67" s="1163">
        <f t="shared" si="40"/>
        <v>15800</v>
      </c>
      <c r="F67" s="1163">
        <f t="shared" si="40"/>
        <v>17540</v>
      </c>
      <c r="G67" s="1163">
        <f t="shared" si="40"/>
        <v>19470</v>
      </c>
      <c r="H67" s="1163">
        <f t="shared" si="40"/>
        <v>21610</v>
      </c>
      <c r="I67" s="1163">
        <f t="shared" si="40"/>
        <v>23990</v>
      </c>
      <c r="J67" s="1163">
        <f t="shared" si="40"/>
        <v>26630</v>
      </c>
      <c r="K67" s="1163">
        <f t="shared" si="40"/>
        <v>29560</v>
      </c>
      <c r="L67" s="1163">
        <f t="shared" si="42"/>
        <v>32800</v>
      </c>
      <c r="M67" s="1189"/>
      <c r="N67" s="1190">
        <v>1.1100000000000001</v>
      </c>
      <c r="O67" s="1191">
        <v>12819.1176470588</v>
      </c>
      <c r="P67" s="1133" t="str">
        <f>'[1]so sánh 3 bảng'!$C$41</f>
        <v>Giám sát kỹ thuật</v>
      </c>
    </row>
    <row r="68" spans="1:16" ht="19.5" customHeight="1">
      <c r="A68" s="1148"/>
      <c r="B68" s="1149" t="s">
        <v>70</v>
      </c>
      <c r="C68" s="1162">
        <f t="shared" si="39"/>
        <v>9720</v>
      </c>
      <c r="D68" s="1163">
        <f t="shared" si="43"/>
        <v>10690</v>
      </c>
      <c r="E68" s="1163">
        <f t="shared" si="40"/>
        <v>11760</v>
      </c>
      <c r="F68" s="1163">
        <f t="shared" si="40"/>
        <v>12940</v>
      </c>
      <c r="G68" s="1163">
        <f t="shared" si="40"/>
        <v>14230</v>
      </c>
      <c r="H68" s="1163">
        <f t="shared" si="40"/>
        <v>15650</v>
      </c>
      <c r="I68" s="1163">
        <f t="shared" si="40"/>
        <v>17220</v>
      </c>
      <c r="J68" s="1163">
        <f t="shared" si="40"/>
        <v>18940</v>
      </c>
      <c r="K68" s="1163">
        <f t="shared" si="40"/>
        <v>20830</v>
      </c>
      <c r="L68" s="1163">
        <f t="shared" si="42"/>
        <v>22900</v>
      </c>
      <c r="M68" s="1189"/>
      <c r="N68" s="1190">
        <v>1.1000000000000001</v>
      </c>
      <c r="O68" s="1191">
        <v>9720.5882352941208</v>
      </c>
    </row>
    <row r="69" spans="1:16" ht="19.5" customHeight="1">
      <c r="A69" s="1148"/>
      <c r="B69" s="1149" t="s">
        <v>71</v>
      </c>
      <c r="C69" s="1162">
        <f t="shared" si="39"/>
        <v>12980</v>
      </c>
      <c r="D69" s="1163">
        <f t="shared" si="43"/>
        <v>14540</v>
      </c>
      <c r="E69" s="1163">
        <f t="shared" ref="E69:E71" si="44">ROUND(D69*$N69,-1)</f>
        <v>16280</v>
      </c>
      <c r="F69" s="1163">
        <f t="shared" si="40"/>
        <v>18230</v>
      </c>
      <c r="G69" s="1163">
        <f t="shared" si="40"/>
        <v>20420</v>
      </c>
      <c r="H69" s="1163">
        <f t="shared" si="40"/>
        <v>22870</v>
      </c>
      <c r="I69" s="1163">
        <f t="shared" si="40"/>
        <v>25610</v>
      </c>
      <c r="J69" s="1163">
        <f t="shared" si="40"/>
        <v>28680</v>
      </c>
      <c r="K69" s="1163">
        <f t="shared" si="40"/>
        <v>32120</v>
      </c>
      <c r="L69" s="1163">
        <f t="shared" si="42"/>
        <v>36000</v>
      </c>
      <c r="M69" s="1189"/>
      <c r="N69" s="1190">
        <v>1.1200000000000001</v>
      </c>
      <c r="O69" s="1191">
        <v>12980.8823529412</v>
      </c>
    </row>
    <row r="70" spans="1:16" ht="19.5" customHeight="1">
      <c r="A70" s="1148"/>
      <c r="B70" s="1149" t="s">
        <v>72</v>
      </c>
      <c r="C70" s="1192">
        <f t="shared" ref="C70:C72" si="45">ROUND(D70/N70,-1)</f>
        <v>10490</v>
      </c>
      <c r="D70" s="1162">
        <f t="shared" si="41"/>
        <v>11640</v>
      </c>
      <c r="E70" s="1163">
        <f t="shared" si="44"/>
        <v>12920</v>
      </c>
      <c r="F70" s="1163">
        <f t="shared" ref="F70:K71" si="46">ROUND(E70*$N70,-1)</f>
        <v>14340</v>
      </c>
      <c r="G70" s="1163">
        <f t="shared" si="46"/>
        <v>15920</v>
      </c>
      <c r="H70" s="1163">
        <f t="shared" si="46"/>
        <v>17670</v>
      </c>
      <c r="I70" s="1163">
        <f t="shared" si="46"/>
        <v>19610</v>
      </c>
      <c r="J70" s="1163">
        <f t="shared" si="46"/>
        <v>21770</v>
      </c>
      <c r="K70" s="1163">
        <f t="shared" si="46"/>
        <v>24160</v>
      </c>
      <c r="L70" s="1163">
        <f t="shared" si="42"/>
        <v>26800</v>
      </c>
      <c r="M70" s="1189"/>
      <c r="N70" s="1190">
        <v>1.1100000000000001</v>
      </c>
      <c r="O70" s="1191">
        <v>11639.705882352901</v>
      </c>
    </row>
    <row r="71" spans="1:16" ht="19.5" customHeight="1">
      <c r="A71" s="1148">
        <f>COUNTA($B$4:B71)</f>
        <v>67</v>
      </c>
      <c r="B71" s="1149" t="s">
        <v>73</v>
      </c>
      <c r="C71" s="1192">
        <f t="shared" si="45"/>
        <v>10490</v>
      </c>
      <c r="D71" s="1162">
        <f t="shared" si="41"/>
        <v>11640</v>
      </c>
      <c r="E71" s="1163">
        <f t="shared" si="44"/>
        <v>12920</v>
      </c>
      <c r="F71" s="1163">
        <f t="shared" si="46"/>
        <v>14340</v>
      </c>
      <c r="G71" s="1163">
        <f t="shared" si="46"/>
        <v>15920</v>
      </c>
      <c r="H71" s="1163">
        <f t="shared" si="46"/>
        <v>17670</v>
      </c>
      <c r="I71" s="1163">
        <f t="shared" si="46"/>
        <v>19610</v>
      </c>
      <c r="J71" s="1163">
        <f t="shared" si="46"/>
        <v>21770</v>
      </c>
      <c r="K71" s="1163">
        <f t="shared" si="46"/>
        <v>24160</v>
      </c>
      <c r="L71" s="1163">
        <f t="shared" si="42"/>
        <v>26800</v>
      </c>
      <c r="M71" s="1189"/>
      <c r="N71" s="1190">
        <v>1.1100000000000001</v>
      </c>
      <c r="O71" s="1191">
        <v>11639.705882352901</v>
      </c>
    </row>
    <row r="72" spans="1:16" s="1130" customFormat="1" ht="19.5" customHeight="1">
      <c r="A72" s="1143">
        <f>COUNTA($B$4:B72)</f>
        <v>68</v>
      </c>
      <c r="B72" s="1144" t="s">
        <v>74</v>
      </c>
      <c r="C72" s="1146">
        <f t="shared" si="45"/>
        <v>23240</v>
      </c>
      <c r="D72" s="1147">
        <f>ROUND(E72/N72,-1)</f>
        <v>27890</v>
      </c>
      <c r="E72" s="1146">
        <f>ROUND(O72,-1)</f>
        <v>33470</v>
      </c>
      <c r="F72" s="1146">
        <f t="shared" ref="F72:L79" si="47">ROUND(E72*$N72,-1)</f>
        <v>40160</v>
      </c>
      <c r="G72" s="1146">
        <f t="shared" si="47"/>
        <v>48190</v>
      </c>
      <c r="H72" s="1146">
        <f t="shared" si="47"/>
        <v>57830</v>
      </c>
      <c r="I72" s="1146">
        <f t="shared" si="47"/>
        <v>69400</v>
      </c>
      <c r="J72" s="1146">
        <f t="shared" si="47"/>
        <v>83280</v>
      </c>
      <c r="K72" s="1146">
        <f t="shared" si="47"/>
        <v>99940</v>
      </c>
      <c r="L72" s="1146">
        <f>ROUND(K72*$N72,-1)</f>
        <v>119930</v>
      </c>
      <c r="M72" s="1170"/>
      <c r="N72" s="1171">
        <v>1.2</v>
      </c>
      <c r="O72" s="1172">
        <v>33466.719492868498</v>
      </c>
      <c r="P72" s="1548" t="s">
        <v>75</v>
      </c>
    </row>
    <row r="73" spans="1:16" ht="19.5" customHeight="1">
      <c r="A73" s="1148">
        <f>COUNTA($B$4:B73)</f>
        <v>69</v>
      </c>
      <c r="B73" s="1149" t="s">
        <v>76</v>
      </c>
      <c r="C73" s="1152">
        <f t="shared" ref="C73:G73" si="48">ROUND(D73/$N$73,-1)</f>
        <v>5680</v>
      </c>
      <c r="D73" s="1152">
        <f t="shared" si="48"/>
        <v>5960</v>
      </c>
      <c r="E73" s="1152">
        <f t="shared" si="48"/>
        <v>6260</v>
      </c>
      <c r="F73" s="1152">
        <f t="shared" si="48"/>
        <v>6570</v>
      </c>
      <c r="G73" s="1152">
        <f t="shared" si="48"/>
        <v>6900</v>
      </c>
      <c r="H73" s="1150">
        <f>ROUND(O73,-1)</f>
        <v>7240</v>
      </c>
      <c r="I73" s="1152">
        <f t="shared" si="47"/>
        <v>7600</v>
      </c>
      <c r="J73" s="1152">
        <f t="shared" si="47"/>
        <v>7980</v>
      </c>
      <c r="K73" s="1152">
        <f t="shared" si="47"/>
        <v>8380</v>
      </c>
      <c r="L73" s="1152">
        <f t="shared" si="47"/>
        <v>8800</v>
      </c>
      <c r="M73" s="1176"/>
      <c r="N73" s="1177">
        <v>1.05</v>
      </c>
      <c r="O73" s="1175">
        <v>7242.6470588235297</v>
      </c>
      <c r="P73" s="1548"/>
    </row>
    <row r="74" spans="1:16" ht="19.5" customHeight="1">
      <c r="A74" s="1148">
        <f>COUNTA($B$4:B74)</f>
        <v>70</v>
      </c>
      <c r="B74" s="1149" t="s">
        <v>77</v>
      </c>
      <c r="C74" s="1152">
        <f t="shared" ref="C74:E75" si="49">ROUND(D74/$N$74,-1)</f>
        <v>10140</v>
      </c>
      <c r="D74" s="1152">
        <f t="shared" si="49"/>
        <v>10850</v>
      </c>
      <c r="E74" s="1152">
        <f t="shared" si="49"/>
        <v>11610</v>
      </c>
      <c r="F74" s="1150">
        <f t="shared" ref="F74:F77" si="50">ROUND(O74,-1)</f>
        <v>12420</v>
      </c>
      <c r="G74" s="1152">
        <f t="shared" si="47"/>
        <v>13290</v>
      </c>
      <c r="H74" s="1152">
        <f t="shared" si="47"/>
        <v>14220</v>
      </c>
      <c r="I74" s="1152">
        <f t="shared" si="47"/>
        <v>15220</v>
      </c>
      <c r="J74" s="1152">
        <f t="shared" si="47"/>
        <v>16290</v>
      </c>
      <c r="K74" s="1152">
        <f t="shared" si="47"/>
        <v>17430</v>
      </c>
      <c r="L74" s="1152">
        <f>ROUND(K74*$N74,-1)</f>
        <v>18650</v>
      </c>
      <c r="M74" s="1176"/>
      <c r="N74" s="1177">
        <v>1.07</v>
      </c>
      <c r="O74" s="1175">
        <v>12422.0588235294</v>
      </c>
      <c r="P74" s="1548"/>
    </row>
    <row r="75" spans="1:16" ht="19.5" customHeight="1">
      <c r="A75" s="1148"/>
      <c r="B75" s="1149" t="s">
        <v>78</v>
      </c>
      <c r="C75" s="1152">
        <f t="shared" si="49"/>
        <v>10140</v>
      </c>
      <c r="D75" s="1152">
        <f t="shared" si="49"/>
        <v>10850</v>
      </c>
      <c r="E75" s="1152">
        <f t="shared" si="49"/>
        <v>11610</v>
      </c>
      <c r="F75" s="1150">
        <f t="shared" si="50"/>
        <v>12420</v>
      </c>
      <c r="G75" s="1152">
        <f t="shared" ref="G75:L75" si="51">ROUND(F75*$N75,-1)</f>
        <v>13290</v>
      </c>
      <c r="H75" s="1152">
        <f t="shared" si="51"/>
        <v>14220</v>
      </c>
      <c r="I75" s="1152">
        <f t="shared" si="51"/>
        <v>15220</v>
      </c>
      <c r="J75" s="1152">
        <f t="shared" si="51"/>
        <v>16290</v>
      </c>
      <c r="K75" s="1152">
        <f t="shared" si="51"/>
        <v>17430</v>
      </c>
      <c r="L75" s="1152">
        <f t="shared" si="51"/>
        <v>18650</v>
      </c>
      <c r="M75" s="1176"/>
      <c r="N75" s="1177">
        <v>1.07</v>
      </c>
      <c r="O75" s="1175">
        <v>12422.0588235294</v>
      </c>
      <c r="P75" s="1548"/>
    </row>
    <row r="76" spans="1:16" ht="19.5" customHeight="1">
      <c r="A76" s="1148">
        <f>COUNTA($B$4:B76)</f>
        <v>72</v>
      </c>
      <c r="B76" s="1149" t="s">
        <v>79</v>
      </c>
      <c r="C76" s="1152">
        <f t="shared" ref="C76:J76" si="52">ROUND(D76/$N$76,-1)</f>
        <v>5900</v>
      </c>
      <c r="D76" s="1152">
        <f t="shared" si="52"/>
        <v>6190</v>
      </c>
      <c r="E76" s="1152">
        <f t="shared" si="52"/>
        <v>6500</v>
      </c>
      <c r="F76" s="1152">
        <f t="shared" si="52"/>
        <v>6820</v>
      </c>
      <c r="G76" s="1152">
        <f t="shared" si="52"/>
        <v>7160</v>
      </c>
      <c r="H76" s="1152">
        <f t="shared" si="52"/>
        <v>7520</v>
      </c>
      <c r="I76" s="1152">
        <f t="shared" si="52"/>
        <v>7900</v>
      </c>
      <c r="J76" s="1152">
        <f t="shared" si="52"/>
        <v>8290</v>
      </c>
      <c r="K76" s="1150">
        <f>ROUND(O76,-1)</f>
        <v>8700</v>
      </c>
      <c r="L76" s="1152">
        <f t="shared" si="47"/>
        <v>9140</v>
      </c>
      <c r="M76" s="1176"/>
      <c r="N76" s="1177">
        <v>1.05</v>
      </c>
      <c r="O76" s="1175">
        <v>8698.5294117647009</v>
      </c>
      <c r="P76" s="1548"/>
    </row>
    <row r="77" spans="1:16" ht="19.5" customHeight="1">
      <c r="A77" s="1148">
        <f>COUNTA($B$4:B77)</f>
        <v>73</v>
      </c>
      <c r="B77" s="1149" t="s">
        <v>80</v>
      </c>
      <c r="C77" s="1152">
        <f>ROUND(D77/$N$77,-1)</f>
        <v>10140</v>
      </c>
      <c r="D77" s="1152">
        <f>ROUND(E77/$N$77,-1)</f>
        <v>10850</v>
      </c>
      <c r="E77" s="1152">
        <f>ROUND(F77/$N$77,-1)</f>
        <v>11610</v>
      </c>
      <c r="F77" s="1150">
        <f t="shared" si="50"/>
        <v>12420</v>
      </c>
      <c r="G77" s="1152">
        <f t="shared" si="47"/>
        <v>13290</v>
      </c>
      <c r="H77" s="1152">
        <f t="shared" si="47"/>
        <v>14220</v>
      </c>
      <c r="I77" s="1152">
        <f t="shared" si="47"/>
        <v>15220</v>
      </c>
      <c r="J77" s="1152">
        <f t="shared" si="47"/>
        <v>16290</v>
      </c>
      <c r="K77" s="1152">
        <f t="shared" si="47"/>
        <v>17430</v>
      </c>
      <c r="L77" s="1152">
        <f t="shared" si="47"/>
        <v>18650</v>
      </c>
      <c r="M77" s="1176"/>
      <c r="N77" s="1177">
        <v>1.07</v>
      </c>
      <c r="O77" s="1175">
        <v>12422.0588235294</v>
      </c>
    </row>
    <row r="78" spans="1:16" ht="19.5" customHeight="1">
      <c r="A78" s="1148">
        <f>COUNTA($B$4:B78)</f>
        <v>74</v>
      </c>
      <c r="B78" s="1149" t="s">
        <v>81</v>
      </c>
      <c r="C78" s="1150">
        <f>ROUND(O78,-1)</f>
        <v>8700</v>
      </c>
      <c r="D78" s="1152">
        <f>ROUND(C78*$N78,-1)</f>
        <v>9140</v>
      </c>
      <c r="E78" s="1152">
        <f>ROUND(D78*$N78,-1)</f>
        <v>9600</v>
      </c>
      <c r="F78" s="1152">
        <f t="shared" si="47"/>
        <v>10080</v>
      </c>
      <c r="G78" s="1152">
        <f t="shared" si="47"/>
        <v>10580</v>
      </c>
      <c r="H78" s="1152">
        <f t="shared" si="47"/>
        <v>11110</v>
      </c>
      <c r="I78" s="1152">
        <f t="shared" si="47"/>
        <v>11670</v>
      </c>
      <c r="J78" s="1152">
        <f t="shared" si="47"/>
        <v>12250</v>
      </c>
      <c r="K78" s="1152">
        <f t="shared" si="47"/>
        <v>12860</v>
      </c>
      <c r="L78" s="1152">
        <f t="shared" si="47"/>
        <v>13500</v>
      </c>
      <c r="M78" s="1176"/>
      <c r="N78" s="1177">
        <v>1.05</v>
      </c>
      <c r="O78" s="1175">
        <v>8698.5294117647009</v>
      </c>
    </row>
    <row r="79" spans="1:16" ht="19.5" customHeight="1">
      <c r="A79" s="1143">
        <f>COUNTA($B$4:B79)</f>
        <v>75</v>
      </c>
      <c r="B79" s="1144" t="s">
        <v>82</v>
      </c>
      <c r="C79" s="1146">
        <f>ROUND(D79/N79,-1)</f>
        <v>26580</v>
      </c>
      <c r="D79" s="1146">
        <f>ROUND(E79/N79,-1)</f>
        <v>31890</v>
      </c>
      <c r="E79" s="1147">
        <f>ROUND(O79,-1)</f>
        <v>38270</v>
      </c>
      <c r="F79" s="1147">
        <f t="shared" si="47"/>
        <v>45920</v>
      </c>
      <c r="G79" s="1147">
        <f t="shared" si="47"/>
        <v>55100</v>
      </c>
      <c r="H79" s="1147">
        <f t="shared" si="47"/>
        <v>66120</v>
      </c>
      <c r="I79" s="1147">
        <f t="shared" si="47"/>
        <v>79340</v>
      </c>
      <c r="J79" s="1147">
        <f t="shared" si="47"/>
        <v>95210</v>
      </c>
      <c r="K79" s="1147">
        <f t="shared" si="47"/>
        <v>114250</v>
      </c>
      <c r="L79" s="1147">
        <f t="shared" si="47"/>
        <v>137100</v>
      </c>
      <c r="M79" s="1176"/>
      <c r="N79" s="1171">
        <v>1.2</v>
      </c>
      <c r="O79" s="1172">
        <v>38266.640253565798</v>
      </c>
    </row>
    <row r="80" spans="1:16" ht="19.5" customHeight="1">
      <c r="A80" s="1193">
        <f>COUNTA($B$4:B109)</f>
        <v>105</v>
      </c>
      <c r="B80" s="1194" t="s">
        <v>83</v>
      </c>
      <c r="C80" s="1195">
        <v>22000</v>
      </c>
      <c r="D80" s="1196">
        <f>ROUND(C80*$N80,-2)</f>
        <v>25300</v>
      </c>
      <c r="E80" s="1197">
        <f>ROUND(D80*$N80,-2)</f>
        <v>29100</v>
      </c>
      <c r="F80" s="1197">
        <f t="shared" ref="F80:L99" si="53">ROUND(E80*$N80,-1)</f>
        <v>33470</v>
      </c>
      <c r="G80" s="1197">
        <f t="shared" si="53"/>
        <v>38490</v>
      </c>
      <c r="H80" s="1197">
        <f t="shared" si="53"/>
        <v>44260</v>
      </c>
      <c r="I80" s="1197">
        <f t="shared" si="53"/>
        <v>50900</v>
      </c>
      <c r="J80" s="1197">
        <f t="shared" si="53"/>
        <v>58540</v>
      </c>
      <c r="K80" s="1197">
        <f t="shared" si="53"/>
        <v>67320</v>
      </c>
      <c r="L80" s="1197">
        <f t="shared" si="53"/>
        <v>77420</v>
      </c>
      <c r="M80" s="1176"/>
      <c r="N80" s="1207">
        <v>1.1499999999999999</v>
      </c>
      <c r="O80" s="1208">
        <v>27995.245641838399</v>
      </c>
      <c r="P80" s="1209"/>
    </row>
    <row r="81" spans="1:17" ht="19.5" customHeight="1">
      <c r="A81" s="1148">
        <f>COUNTA($B$4:B81)</f>
        <v>77</v>
      </c>
      <c r="B81" s="1198" t="s">
        <v>84</v>
      </c>
      <c r="C81" s="1150">
        <f>ROUND(O81,-1)</f>
        <v>11630</v>
      </c>
      <c r="D81" s="1152">
        <f t="shared" ref="D81:E101" si="54">ROUND(C81*$N81,-1)</f>
        <v>13030</v>
      </c>
      <c r="E81" s="1152">
        <f t="shared" si="54"/>
        <v>14590</v>
      </c>
      <c r="F81" s="1152">
        <f t="shared" si="53"/>
        <v>16340</v>
      </c>
      <c r="G81" s="1152">
        <f t="shared" si="53"/>
        <v>18300</v>
      </c>
      <c r="H81" s="1152">
        <f t="shared" si="53"/>
        <v>20500</v>
      </c>
      <c r="I81" s="1152">
        <f t="shared" si="53"/>
        <v>22960</v>
      </c>
      <c r="J81" s="1152">
        <f t="shared" si="53"/>
        <v>25720</v>
      </c>
      <c r="K81" s="1152">
        <f t="shared" si="53"/>
        <v>28810</v>
      </c>
      <c r="L81" s="1152">
        <f t="shared" si="53"/>
        <v>32270</v>
      </c>
      <c r="M81" s="1176"/>
      <c r="N81" s="1177">
        <v>1.1200000000000001</v>
      </c>
      <c r="O81" s="1175">
        <v>11627.9411764706</v>
      </c>
      <c r="Q81" s="1133" t="s">
        <v>85</v>
      </c>
    </row>
    <row r="82" spans="1:17" ht="19.5" customHeight="1">
      <c r="A82" s="1148">
        <f>COUNTA($B$4:B82)</f>
        <v>78</v>
      </c>
      <c r="B82" s="1149" t="s">
        <v>86</v>
      </c>
      <c r="C82" s="1150">
        <f>C83</f>
        <v>7000</v>
      </c>
      <c r="D82" s="1152">
        <f t="shared" si="54"/>
        <v>7770</v>
      </c>
      <c r="E82" s="1152">
        <f t="shared" si="54"/>
        <v>8620</v>
      </c>
      <c r="F82" s="1152">
        <f t="shared" si="53"/>
        <v>9570</v>
      </c>
      <c r="G82" s="1152">
        <f t="shared" si="53"/>
        <v>10620</v>
      </c>
      <c r="H82" s="1152">
        <f t="shared" si="53"/>
        <v>11790</v>
      </c>
      <c r="I82" s="1152">
        <f t="shared" si="53"/>
        <v>13090</v>
      </c>
      <c r="J82" s="1152">
        <f t="shared" si="53"/>
        <v>14530</v>
      </c>
      <c r="K82" s="1152">
        <f t="shared" si="53"/>
        <v>16130</v>
      </c>
      <c r="L82" s="1152">
        <f t="shared" si="53"/>
        <v>17900</v>
      </c>
      <c r="M82" s="1176"/>
      <c r="N82" s="1177">
        <v>1.1100000000000001</v>
      </c>
      <c r="O82" s="1175">
        <v>0</v>
      </c>
      <c r="P82" s="1133" t="s">
        <v>87</v>
      </c>
    </row>
    <row r="83" spans="1:17" ht="19.5" customHeight="1">
      <c r="A83" s="1148">
        <f>COUNTA($B$4:B83)</f>
        <v>79</v>
      </c>
      <c r="B83" s="1149" t="s">
        <v>88</v>
      </c>
      <c r="C83" s="1150">
        <f t="shared" ref="C83:C88" si="55">ROUND(O83,-1)</f>
        <v>7000</v>
      </c>
      <c r="D83" s="1152">
        <f t="shared" si="54"/>
        <v>7490</v>
      </c>
      <c r="E83" s="1152">
        <f t="shared" si="54"/>
        <v>8010</v>
      </c>
      <c r="F83" s="1152">
        <f t="shared" si="53"/>
        <v>8570</v>
      </c>
      <c r="G83" s="1152">
        <f t="shared" si="53"/>
        <v>9170</v>
      </c>
      <c r="H83" s="1152">
        <f t="shared" si="53"/>
        <v>9810</v>
      </c>
      <c r="I83" s="1152">
        <f t="shared" si="53"/>
        <v>10500</v>
      </c>
      <c r="J83" s="1152">
        <f t="shared" si="53"/>
        <v>11240</v>
      </c>
      <c r="K83" s="1152">
        <f t="shared" si="53"/>
        <v>12030</v>
      </c>
      <c r="L83" s="1152">
        <f t="shared" si="53"/>
        <v>12870</v>
      </c>
      <c r="M83" s="1176"/>
      <c r="N83" s="1177">
        <v>1.07</v>
      </c>
      <c r="O83" s="1175">
        <v>7000</v>
      </c>
      <c r="Q83" s="1133" t="s">
        <v>89</v>
      </c>
    </row>
    <row r="84" spans="1:17" ht="19.5" customHeight="1">
      <c r="A84" s="1148">
        <f>COUNTA($B$4:B84)</f>
        <v>80</v>
      </c>
      <c r="B84" s="1149" t="s">
        <v>90</v>
      </c>
      <c r="C84" s="1150">
        <f t="shared" si="55"/>
        <v>5630</v>
      </c>
      <c r="D84" s="1152">
        <f t="shared" si="54"/>
        <v>5910</v>
      </c>
      <c r="E84" s="1152">
        <f t="shared" si="54"/>
        <v>6210</v>
      </c>
      <c r="F84" s="1152">
        <f t="shared" si="53"/>
        <v>6520</v>
      </c>
      <c r="G84" s="1152">
        <f t="shared" si="53"/>
        <v>6850</v>
      </c>
      <c r="H84" s="1152">
        <f t="shared" si="53"/>
        <v>7190</v>
      </c>
      <c r="I84" s="1152">
        <f t="shared" si="53"/>
        <v>7550</v>
      </c>
      <c r="J84" s="1152">
        <f t="shared" si="53"/>
        <v>7930</v>
      </c>
      <c r="K84" s="1152">
        <f t="shared" si="53"/>
        <v>8330</v>
      </c>
      <c r="L84" s="1152">
        <f t="shared" si="53"/>
        <v>8750</v>
      </c>
      <c r="M84" s="1176"/>
      <c r="N84" s="1177">
        <v>1.05</v>
      </c>
      <c r="O84" s="1175">
        <v>5625</v>
      </c>
    </row>
    <row r="85" spans="1:17" ht="19.5" customHeight="1">
      <c r="A85" s="1148">
        <f>COUNTA($B$4:B85)</f>
        <v>81</v>
      </c>
      <c r="B85" s="1149" t="s">
        <v>91</v>
      </c>
      <c r="C85" s="1150">
        <f t="shared" si="55"/>
        <v>8040</v>
      </c>
      <c r="D85" s="1152">
        <f t="shared" si="54"/>
        <v>8600</v>
      </c>
      <c r="E85" s="1152">
        <f t="shared" si="54"/>
        <v>9200</v>
      </c>
      <c r="F85" s="1152">
        <f t="shared" si="53"/>
        <v>9840</v>
      </c>
      <c r="G85" s="1152">
        <f t="shared" si="53"/>
        <v>10530</v>
      </c>
      <c r="H85" s="1152">
        <f t="shared" si="53"/>
        <v>11270</v>
      </c>
      <c r="I85" s="1152">
        <f t="shared" si="53"/>
        <v>12060</v>
      </c>
      <c r="J85" s="1152">
        <f t="shared" si="53"/>
        <v>12900</v>
      </c>
      <c r="K85" s="1152">
        <f t="shared" si="53"/>
        <v>13800</v>
      </c>
      <c r="L85" s="1152">
        <f t="shared" si="53"/>
        <v>14770</v>
      </c>
      <c r="M85" s="1176"/>
      <c r="N85" s="1177">
        <v>1.07</v>
      </c>
      <c r="O85" s="1175">
        <v>8037.7906976744198</v>
      </c>
      <c r="Q85" s="1133" t="s">
        <v>92</v>
      </c>
    </row>
    <row r="86" spans="1:17" ht="19.5" customHeight="1">
      <c r="A86" s="1148">
        <f>COUNTA($B$4:B86)</f>
        <v>82</v>
      </c>
      <c r="B86" s="1149" t="s">
        <v>93</v>
      </c>
      <c r="C86" s="1150">
        <f t="shared" si="55"/>
        <v>5630</v>
      </c>
      <c r="D86" s="1152">
        <f t="shared" si="54"/>
        <v>5910</v>
      </c>
      <c r="E86" s="1152">
        <f t="shared" si="54"/>
        <v>6210</v>
      </c>
      <c r="F86" s="1152">
        <f t="shared" si="53"/>
        <v>6520</v>
      </c>
      <c r="G86" s="1152">
        <f t="shared" si="53"/>
        <v>6850</v>
      </c>
      <c r="H86" s="1152">
        <f t="shared" si="53"/>
        <v>7190</v>
      </c>
      <c r="I86" s="1152">
        <f t="shared" si="53"/>
        <v>7550</v>
      </c>
      <c r="J86" s="1152">
        <f t="shared" si="53"/>
        <v>7930</v>
      </c>
      <c r="K86" s="1152">
        <f t="shared" si="53"/>
        <v>8330</v>
      </c>
      <c r="L86" s="1152">
        <f t="shared" si="53"/>
        <v>8750</v>
      </c>
      <c r="M86" s="1176"/>
      <c r="N86" s="1177">
        <v>1.05</v>
      </c>
      <c r="O86" s="1175">
        <v>5625</v>
      </c>
    </row>
    <row r="87" spans="1:17" ht="19.5" customHeight="1">
      <c r="A87" s="1148">
        <f>COUNTA($B$4:B87)</f>
        <v>83</v>
      </c>
      <c r="B87" s="1199" t="s">
        <v>94</v>
      </c>
      <c r="C87" s="1150">
        <f t="shared" si="55"/>
        <v>15260</v>
      </c>
      <c r="D87" s="1152">
        <f t="shared" si="54"/>
        <v>17550</v>
      </c>
      <c r="E87" s="1152">
        <f t="shared" si="54"/>
        <v>20180</v>
      </c>
      <c r="F87" s="1200">
        <f t="shared" si="53"/>
        <v>23210</v>
      </c>
      <c r="G87" s="1152">
        <f t="shared" si="53"/>
        <v>26690</v>
      </c>
      <c r="H87" s="1152">
        <f t="shared" si="53"/>
        <v>30690</v>
      </c>
      <c r="I87" s="1152">
        <f t="shared" si="53"/>
        <v>35290</v>
      </c>
      <c r="J87" s="1152">
        <f t="shared" si="53"/>
        <v>40580</v>
      </c>
      <c r="K87" s="1152">
        <f t="shared" si="53"/>
        <v>46670</v>
      </c>
      <c r="L87" s="1152">
        <f t="shared" si="53"/>
        <v>53670</v>
      </c>
      <c r="M87" s="1189"/>
      <c r="N87" s="1210">
        <v>1.1499999999999999</v>
      </c>
      <c r="O87" s="1211">
        <v>15260.294117647099</v>
      </c>
    </row>
    <row r="88" spans="1:17" ht="19.5" customHeight="1">
      <c r="A88" s="1148">
        <f>COUNTA($B$4:B88)</f>
        <v>84</v>
      </c>
      <c r="B88" s="1149" t="s">
        <v>95</v>
      </c>
      <c r="C88" s="1150">
        <f t="shared" si="55"/>
        <v>8490</v>
      </c>
      <c r="D88" s="1152">
        <f t="shared" si="54"/>
        <v>9420</v>
      </c>
      <c r="E88" s="1152">
        <f t="shared" si="54"/>
        <v>10460</v>
      </c>
      <c r="F88" s="1152">
        <f t="shared" si="53"/>
        <v>11610</v>
      </c>
      <c r="G88" s="1152">
        <f t="shared" si="53"/>
        <v>12890</v>
      </c>
      <c r="H88" s="1152">
        <f t="shared" si="53"/>
        <v>14310</v>
      </c>
      <c r="I88" s="1152">
        <f t="shared" si="53"/>
        <v>15880</v>
      </c>
      <c r="J88" s="1152">
        <f t="shared" si="53"/>
        <v>17630</v>
      </c>
      <c r="K88" s="1152">
        <f t="shared" si="53"/>
        <v>19570</v>
      </c>
      <c r="L88" s="1152">
        <f t="shared" si="53"/>
        <v>21720</v>
      </c>
      <c r="M88" s="1176"/>
      <c r="N88" s="1177">
        <v>1.1100000000000001</v>
      </c>
      <c r="O88" s="1175">
        <v>8485.0619047619093</v>
      </c>
      <c r="Q88" s="1133" t="s">
        <v>96</v>
      </c>
    </row>
    <row r="89" spans="1:17" ht="19.5" customHeight="1">
      <c r="A89" s="1148"/>
      <c r="B89" s="1201" t="s">
        <v>97</v>
      </c>
      <c r="C89" s="1150">
        <f t="shared" ref="C89:C95" si="56">ROUND(O89,-1)</f>
        <v>9260</v>
      </c>
      <c r="D89" s="1152">
        <f t="shared" si="54"/>
        <v>10370</v>
      </c>
      <c r="E89" s="1152">
        <f t="shared" si="54"/>
        <v>11610</v>
      </c>
      <c r="F89" s="1152">
        <f t="shared" si="53"/>
        <v>13000</v>
      </c>
      <c r="G89" s="1152">
        <f t="shared" si="53"/>
        <v>14560</v>
      </c>
      <c r="H89" s="1152">
        <f t="shared" si="53"/>
        <v>16310</v>
      </c>
      <c r="I89" s="1152">
        <f t="shared" si="53"/>
        <v>18270</v>
      </c>
      <c r="J89" s="1152">
        <f t="shared" si="53"/>
        <v>20460</v>
      </c>
      <c r="K89" s="1152">
        <f t="shared" si="53"/>
        <v>22920</v>
      </c>
      <c r="L89" s="1152">
        <f t="shared" si="53"/>
        <v>25670</v>
      </c>
      <c r="M89" s="1189"/>
      <c r="N89" s="1210">
        <v>1.1200000000000001</v>
      </c>
      <c r="O89" s="1211">
        <v>9257.3529411764703</v>
      </c>
    </row>
    <row r="90" spans="1:17" ht="19.5" customHeight="1">
      <c r="A90" s="1148"/>
      <c r="B90" s="1201" t="s">
        <v>98</v>
      </c>
      <c r="C90" s="1150">
        <f t="shared" si="56"/>
        <v>7840</v>
      </c>
      <c r="D90" s="1152">
        <f t="shared" si="54"/>
        <v>8620</v>
      </c>
      <c r="E90" s="1152">
        <f t="shared" si="54"/>
        <v>9480</v>
      </c>
      <c r="F90" s="1152">
        <f t="shared" si="53"/>
        <v>10430</v>
      </c>
      <c r="G90" s="1152">
        <f t="shared" si="53"/>
        <v>11470</v>
      </c>
      <c r="H90" s="1152">
        <f t="shared" si="53"/>
        <v>12620</v>
      </c>
      <c r="I90" s="1152">
        <f t="shared" si="53"/>
        <v>13880</v>
      </c>
      <c r="J90" s="1152">
        <f t="shared" si="53"/>
        <v>15270</v>
      </c>
      <c r="K90" s="1152">
        <f t="shared" si="53"/>
        <v>16800</v>
      </c>
      <c r="L90" s="1152">
        <f t="shared" si="53"/>
        <v>18480</v>
      </c>
      <c r="M90" s="1189"/>
      <c r="N90" s="1210">
        <v>1.1000000000000001</v>
      </c>
      <c r="O90" s="1211">
        <v>7840.05297619048</v>
      </c>
    </row>
    <row r="91" spans="1:17" ht="19.5" customHeight="1">
      <c r="A91" s="1148"/>
      <c r="B91" s="1201" t="s">
        <v>99</v>
      </c>
      <c r="C91" s="1150">
        <f t="shared" si="56"/>
        <v>9260</v>
      </c>
      <c r="D91" s="1152">
        <f t="shared" si="54"/>
        <v>10370</v>
      </c>
      <c r="E91" s="1152">
        <f t="shared" si="54"/>
        <v>11610</v>
      </c>
      <c r="F91" s="1152">
        <f t="shared" si="53"/>
        <v>13000</v>
      </c>
      <c r="G91" s="1152">
        <f t="shared" si="53"/>
        <v>14560</v>
      </c>
      <c r="H91" s="1152">
        <f t="shared" si="53"/>
        <v>16310</v>
      </c>
      <c r="I91" s="1152">
        <f t="shared" si="53"/>
        <v>18270</v>
      </c>
      <c r="J91" s="1152">
        <f t="shared" si="53"/>
        <v>20460</v>
      </c>
      <c r="K91" s="1152">
        <f t="shared" si="53"/>
        <v>22920</v>
      </c>
      <c r="L91" s="1152">
        <f t="shared" si="53"/>
        <v>25670</v>
      </c>
      <c r="M91" s="1189"/>
      <c r="N91" s="1210">
        <v>1.1200000000000001</v>
      </c>
      <c r="O91" s="1211">
        <v>9257.3529411764703</v>
      </c>
    </row>
    <row r="92" spans="1:17" ht="19.5" customHeight="1">
      <c r="A92" s="1148">
        <f>COUNTA($B$4:B92)</f>
        <v>88</v>
      </c>
      <c r="B92" s="1201" t="s">
        <v>100</v>
      </c>
      <c r="C92" s="1150">
        <f t="shared" si="56"/>
        <v>7840</v>
      </c>
      <c r="D92" s="1152">
        <f t="shared" si="54"/>
        <v>8620</v>
      </c>
      <c r="E92" s="1152">
        <f t="shared" si="54"/>
        <v>9480</v>
      </c>
      <c r="F92" s="1152">
        <f t="shared" si="53"/>
        <v>10430</v>
      </c>
      <c r="G92" s="1152">
        <f t="shared" si="53"/>
        <v>11470</v>
      </c>
      <c r="H92" s="1152">
        <f t="shared" si="53"/>
        <v>12620</v>
      </c>
      <c r="I92" s="1152">
        <f t="shared" si="53"/>
        <v>13880</v>
      </c>
      <c r="J92" s="1152">
        <f t="shared" si="53"/>
        <v>15270</v>
      </c>
      <c r="K92" s="1152">
        <f t="shared" si="53"/>
        <v>16800</v>
      </c>
      <c r="L92" s="1152">
        <f t="shared" si="53"/>
        <v>18480</v>
      </c>
      <c r="M92" s="1189"/>
      <c r="N92" s="1210">
        <v>1.1000000000000001</v>
      </c>
      <c r="O92" s="1211">
        <v>7840.05297619048</v>
      </c>
      <c r="Q92" s="1133" t="s">
        <v>96</v>
      </c>
    </row>
    <row r="93" spans="1:17" ht="19.5" customHeight="1">
      <c r="A93" s="1148">
        <f>COUNTA($B$4:B93)</f>
        <v>89</v>
      </c>
      <c r="B93" s="1201" t="s">
        <v>101</v>
      </c>
      <c r="C93" s="1150">
        <f t="shared" si="56"/>
        <v>7840</v>
      </c>
      <c r="D93" s="1152">
        <f t="shared" si="54"/>
        <v>8620</v>
      </c>
      <c r="E93" s="1152">
        <f t="shared" si="54"/>
        <v>9480</v>
      </c>
      <c r="F93" s="1152">
        <f t="shared" si="53"/>
        <v>10430</v>
      </c>
      <c r="G93" s="1152">
        <f t="shared" si="53"/>
        <v>11470</v>
      </c>
      <c r="H93" s="1152">
        <f t="shared" si="53"/>
        <v>12620</v>
      </c>
      <c r="I93" s="1152">
        <f t="shared" si="53"/>
        <v>13880</v>
      </c>
      <c r="J93" s="1152">
        <f t="shared" si="53"/>
        <v>15270</v>
      </c>
      <c r="K93" s="1152">
        <f t="shared" si="53"/>
        <v>16800</v>
      </c>
      <c r="L93" s="1152">
        <f t="shared" si="53"/>
        <v>18480</v>
      </c>
      <c r="M93" s="1189"/>
      <c r="N93" s="1210">
        <v>1.1000000000000001</v>
      </c>
      <c r="O93" s="1211">
        <v>7840.05297619048</v>
      </c>
    </row>
    <row r="94" spans="1:17" ht="19.5" customHeight="1">
      <c r="A94" s="1148">
        <f>COUNTA($B$4:B94)</f>
        <v>90</v>
      </c>
      <c r="B94" s="1201" t="s">
        <v>102</v>
      </c>
      <c r="C94" s="1150">
        <f t="shared" si="56"/>
        <v>7840</v>
      </c>
      <c r="D94" s="1152">
        <f t="shared" si="54"/>
        <v>8620</v>
      </c>
      <c r="E94" s="1152">
        <f t="shared" si="54"/>
        <v>9480</v>
      </c>
      <c r="F94" s="1152">
        <f t="shared" si="53"/>
        <v>10430</v>
      </c>
      <c r="G94" s="1152">
        <f t="shared" si="53"/>
        <v>11470</v>
      </c>
      <c r="H94" s="1152">
        <f t="shared" si="53"/>
        <v>12620</v>
      </c>
      <c r="I94" s="1152">
        <f t="shared" si="53"/>
        <v>13880</v>
      </c>
      <c r="J94" s="1152">
        <f t="shared" si="53"/>
        <v>15270</v>
      </c>
      <c r="K94" s="1152">
        <f t="shared" si="53"/>
        <v>16800</v>
      </c>
      <c r="L94" s="1152">
        <f t="shared" si="53"/>
        <v>18480</v>
      </c>
      <c r="M94" s="1189"/>
      <c r="N94" s="1210">
        <v>1.1000000000000001</v>
      </c>
      <c r="O94" s="1211">
        <v>7840.05297619048</v>
      </c>
    </row>
    <row r="95" spans="1:17" ht="19.5" customHeight="1">
      <c r="A95" s="1148">
        <f>COUNTA($B$4:B95)</f>
        <v>91</v>
      </c>
      <c r="B95" s="1198" t="s">
        <v>103</v>
      </c>
      <c r="C95" s="1150">
        <f t="shared" si="56"/>
        <v>11630</v>
      </c>
      <c r="D95" s="1152">
        <f t="shared" si="54"/>
        <v>13030</v>
      </c>
      <c r="E95" s="1152">
        <f t="shared" si="54"/>
        <v>14590</v>
      </c>
      <c r="F95" s="1152">
        <f t="shared" si="53"/>
        <v>16340</v>
      </c>
      <c r="G95" s="1152">
        <f t="shared" si="53"/>
        <v>18300</v>
      </c>
      <c r="H95" s="1152">
        <f t="shared" si="53"/>
        <v>20500</v>
      </c>
      <c r="I95" s="1152">
        <f t="shared" si="53"/>
        <v>22960</v>
      </c>
      <c r="J95" s="1152">
        <f t="shared" si="53"/>
        <v>25720</v>
      </c>
      <c r="K95" s="1152">
        <f t="shared" si="53"/>
        <v>28810</v>
      </c>
      <c r="L95" s="1152">
        <f t="shared" si="53"/>
        <v>32270</v>
      </c>
      <c r="M95" s="1176"/>
      <c r="N95" s="1177">
        <v>1.1200000000000001</v>
      </c>
      <c r="O95" s="1175">
        <v>11627.9411764706</v>
      </c>
      <c r="Q95" s="1133" t="s">
        <v>104</v>
      </c>
    </row>
    <row r="96" spans="1:17" ht="19.5" customHeight="1">
      <c r="A96" s="1148">
        <f>COUNTA($B$4:B96)</f>
        <v>92</v>
      </c>
      <c r="B96" s="1149" t="s">
        <v>105</v>
      </c>
      <c r="C96" s="1150">
        <v>8500</v>
      </c>
      <c r="D96" s="1152">
        <f t="shared" si="54"/>
        <v>9440</v>
      </c>
      <c r="E96" s="1152">
        <f t="shared" si="54"/>
        <v>10480</v>
      </c>
      <c r="F96" s="1152">
        <f t="shared" si="53"/>
        <v>11630</v>
      </c>
      <c r="G96" s="1152">
        <f t="shared" si="53"/>
        <v>12910</v>
      </c>
      <c r="H96" s="1152">
        <f t="shared" si="53"/>
        <v>14330</v>
      </c>
      <c r="I96" s="1152">
        <f t="shared" si="53"/>
        <v>15910</v>
      </c>
      <c r="J96" s="1152">
        <f t="shared" si="53"/>
        <v>17660</v>
      </c>
      <c r="K96" s="1152">
        <f t="shared" si="53"/>
        <v>19600</v>
      </c>
      <c r="L96" s="1152">
        <f t="shared" si="53"/>
        <v>21760</v>
      </c>
      <c r="M96" s="1176"/>
      <c r="N96" s="1177">
        <v>1.1100000000000001</v>
      </c>
      <c r="O96" s="1175"/>
    </row>
    <row r="97" spans="1:17" ht="19.5" customHeight="1">
      <c r="A97" s="1148">
        <f>COUNTA($B$4:B97)</f>
        <v>93</v>
      </c>
      <c r="B97" s="1149" t="s">
        <v>106</v>
      </c>
      <c r="C97" s="1150"/>
      <c r="D97" s="1152">
        <f t="shared" si="54"/>
        <v>0</v>
      </c>
      <c r="E97" s="1152">
        <f t="shared" si="54"/>
        <v>0</v>
      </c>
      <c r="F97" s="1152">
        <f t="shared" si="53"/>
        <v>0</v>
      </c>
      <c r="G97" s="1152">
        <f t="shared" si="53"/>
        <v>0</v>
      </c>
      <c r="H97" s="1152">
        <f t="shared" si="53"/>
        <v>0</v>
      </c>
      <c r="I97" s="1152">
        <f t="shared" si="53"/>
        <v>0</v>
      </c>
      <c r="J97" s="1152">
        <f t="shared" si="53"/>
        <v>0</v>
      </c>
      <c r="K97" s="1152">
        <f t="shared" si="53"/>
        <v>0</v>
      </c>
      <c r="L97" s="1152">
        <f t="shared" si="53"/>
        <v>0</v>
      </c>
      <c r="M97" s="1176"/>
      <c r="N97" s="1177">
        <v>1.05</v>
      </c>
      <c r="O97" s="1175">
        <v>8485.0619047619093</v>
      </c>
    </row>
    <row r="98" spans="1:17" ht="19.5" customHeight="1">
      <c r="A98" s="1148">
        <f>COUNTA($B$4:B98)</f>
        <v>94</v>
      </c>
      <c r="B98" s="1149" t="s">
        <v>107</v>
      </c>
      <c r="C98" s="1150">
        <v>6900</v>
      </c>
      <c r="D98" s="1152">
        <f t="shared" si="54"/>
        <v>7590</v>
      </c>
      <c r="E98" s="1152">
        <f t="shared" si="54"/>
        <v>8350</v>
      </c>
      <c r="F98" s="1152">
        <f t="shared" si="53"/>
        <v>9190</v>
      </c>
      <c r="G98" s="1152">
        <f t="shared" si="53"/>
        <v>10110</v>
      </c>
      <c r="H98" s="1152">
        <f t="shared" si="53"/>
        <v>11120</v>
      </c>
      <c r="I98" s="1152">
        <f t="shared" si="53"/>
        <v>12230</v>
      </c>
      <c r="J98" s="1152">
        <f t="shared" si="53"/>
        <v>13450</v>
      </c>
      <c r="K98" s="1152">
        <f t="shared" si="53"/>
        <v>14800</v>
      </c>
      <c r="L98" s="1152">
        <f t="shared" si="53"/>
        <v>16280</v>
      </c>
      <c r="M98" s="1176"/>
      <c r="N98" s="1177">
        <v>1.1000000000000001</v>
      </c>
      <c r="O98" s="1175"/>
    </row>
    <row r="99" spans="1:17" ht="19.5" customHeight="1">
      <c r="A99" s="1148">
        <f>COUNTA($B$4:B99)</f>
        <v>95</v>
      </c>
      <c r="B99" s="1149" t="s">
        <v>108</v>
      </c>
      <c r="C99" s="1150">
        <v>6900</v>
      </c>
      <c r="D99" s="1152">
        <f t="shared" si="54"/>
        <v>7590</v>
      </c>
      <c r="E99" s="1152">
        <f t="shared" si="54"/>
        <v>8350</v>
      </c>
      <c r="F99" s="1152">
        <f t="shared" si="53"/>
        <v>9190</v>
      </c>
      <c r="G99" s="1152">
        <f t="shared" si="53"/>
        <v>10110</v>
      </c>
      <c r="H99" s="1152">
        <f t="shared" si="53"/>
        <v>11120</v>
      </c>
      <c r="I99" s="1152">
        <f t="shared" si="53"/>
        <v>12230</v>
      </c>
      <c r="J99" s="1152">
        <f t="shared" si="53"/>
        <v>13450</v>
      </c>
      <c r="K99" s="1152">
        <f t="shared" si="53"/>
        <v>14800</v>
      </c>
      <c r="L99" s="1152">
        <f t="shared" si="53"/>
        <v>16280</v>
      </c>
      <c r="M99" s="1176"/>
      <c r="N99" s="1177">
        <v>1.1000000000000001</v>
      </c>
      <c r="O99" s="1175"/>
      <c r="Q99" s="1133" t="s">
        <v>109</v>
      </c>
    </row>
    <row r="100" spans="1:17" ht="19.5" customHeight="1">
      <c r="A100" s="1148">
        <f>COUNTA($B$4:B100)</f>
        <v>96</v>
      </c>
      <c r="B100" s="1198" t="s">
        <v>110</v>
      </c>
      <c r="C100" s="1150">
        <f t="shared" ref="C100:C103" si="57">ROUND(O100,-1)</f>
        <v>11630</v>
      </c>
      <c r="D100" s="1152">
        <f t="shared" si="54"/>
        <v>13030</v>
      </c>
      <c r="E100" s="1152">
        <f t="shared" si="54"/>
        <v>14590</v>
      </c>
      <c r="F100" s="1152">
        <f t="shared" ref="F100:L101" si="58">ROUND(E100*$N100,-1)</f>
        <v>16340</v>
      </c>
      <c r="G100" s="1152">
        <f t="shared" si="58"/>
        <v>18300</v>
      </c>
      <c r="H100" s="1152">
        <f t="shared" si="58"/>
        <v>20500</v>
      </c>
      <c r="I100" s="1152">
        <f t="shared" si="58"/>
        <v>22960</v>
      </c>
      <c r="J100" s="1152">
        <f t="shared" si="58"/>
        <v>25720</v>
      </c>
      <c r="K100" s="1152">
        <f t="shared" si="58"/>
        <v>28810</v>
      </c>
      <c r="L100" s="1152">
        <f t="shared" si="58"/>
        <v>32270</v>
      </c>
      <c r="M100" s="1176"/>
      <c r="N100" s="1177">
        <v>1.1200000000000001</v>
      </c>
      <c r="O100" s="1175">
        <v>11627.9411764706</v>
      </c>
    </row>
    <row r="101" spans="1:17" ht="19.5" customHeight="1">
      <c r="A101" s="1148">
        <f>COUNTA($B$4:B101)</f>
        <v>97</v>
      </c>
      <c r="B101" s="1149" t="s">
        <v>111</v>
      </c>
      <c r="C101" s="1150">
        <f t="shared" si="57"/>
        <v>9410</v>
      </c>
      <c r="D101" s="1152">
        <f t="shared" si="54"/>
        <v>10450</v>
      </c>
      <c r="E101" s="1152">
        <f t="shared" si="54"/>
        <v>11600</v>
      </c>
      <c r="F101" s="1152">
        <f t="shared" si="58"/>
        <v>12880</v>
      </c>
      <c r="G101" s="1152">
        <f t="shared" si="58"/>
        <v>14300</v>
      </c>
      <c r="H101" s="1152">
        <f t="shared" si="58"/>
        <v>15870</v>
      </c>
      <c r="I101" s="1152">
        <f t="shared" si="58"/>
        <v>17620</v>
      </c>
      <c r="J101" s="1152">
        <f t="shared" si="58"/>
        <v>19560</v>
      </c>
      <c r="K101" s="1152">
        <f t="shared" si="58"/>
        <v>21710</v>
      </c>
      <c r="L101" s="1152">
        <f t="shared" si="58"/>
        <v>24100</v>
      </c>
      <c r="M101" s="1176"/>
      <c r="N101" s="1177">
        <v>1.1100000000000001</v>
      </c>
      <c r="O101" s="1175">
        <v>9414.7286821705402</v>
      </c>
      <c r="Q101" s="1133" t="s">
        <v>112</v>
      </c>
    </row>
    <row r="102" spans="1:17" ht="19.5" customHeight="1">
      <c r="A102" s="1148">
        <f>COUNTA($B$4:B102)</f>
        <v>98</v>
      </c>
      <c r="B102" s="1149" t="s">
        <v>113</v>
      </c>
      <c r="C102" s="1150">
        <v>8500</v>
      </c>
      <c r="D102" s="1152">
        <f t="shared" ref="D102:L116" si="59">ROUND(C102*$N102,-1)</f>
        <v>9440</v>
      </c>
      <c r="E102" s="1152">
        <f t="shared" si="59"/>
        <v>10480</v>
      </c>
      <c r="F102" s="1152">
        <f t="shared" si="59"/>
        <v>11630</v>
      </c>
      <c r="G102" s="1152">
        <f t="shared" si="59"/>
        <v>12910</v>
      </c>
      <c r="H102" s="1152">
        <f t="shared" si="59"/>
        <v>14330</v>
      </c>
      <c r="I102" s="1152">
        <f t="shared" si="59"/>
        <v>15910</v>
      </c>
      <c r="J102" s="1152">
        <f t="shared" si="59"/>
        <v>17660</v>
      </c>
      <c r="K102" s="1152">
        <f t="shared" si="59"/>
        <v>19600</v>
      </c>
      <c r="L102" s="1152">
        <f t="shared" si="59"/>
        <v>21760</v>
      </c>
      <c r="M102" s="1176"/>
      <c r="N102" s="1177">
        <v>1.1100000000000001</v>
      </c>
      <c r="O102" s="1175"/>
    </row>
    <row r="103" spans="1:17" ht="19.5" customHeight="1">
      <c r="A103" s="1148">
        <f>COUNTA($B$4:B103)</f>
        <v>99</v>
      </c>
      <c r="B103" s="1149" t="s">
        <v>114</v>
      </c>
      <c r="C103" s="1150">
        <f t="shared" si="57"/>
        <v>6320</v>
      </c>
      <c r="D103" s="1152">
        <f t="shared" si="59"/>
        <v>6950</v>
      </c>
      <c r="E103" s="1152">
        <f t="shared" si="59"/>
        <v>7650</v>
      </c>
      <c r="F103" s="1152">
        <f t="shared" si="59"/>
        <v>8420</v>
      </c>
      <c r="G103" s="1152">
        <f t="shared" si="59"/>
        <v>9260</v>
      </c>
      <c r="H103" s="1152">
        <f t="shared" si="59"/>
        <v>10190</v>
      </c>
      <c r="I103" s="1152">
        <f t="shared" si="59"/>
        <v>11210</v>
      </c>
      <c r="J103" s="1152">
        <f t="shared" si="59"/>
        <v>12330</v>
      </c>
      <c r="K103" s="1152">
        <f t="shared" si="59"/>
        <v>13560</v>
      </c>
      <c r="L103" s="1152">
        <f t="shared" si="59"/>
        <v>14920</v>
      </c>
      <c r="M103" s="1176"/>
      <c r="N103" s="1177">
        <v>1.1000000000000001</v>
      </c>
      <c r="O103" s="1175">
        <v>6315.4476190476198</v>
      </c>
    </row>
    <row r="104" spans="1:17" ht="19.5" customHeight="1">
      <c r="A104" s="1148">
        <f>COUNTA($B$4:B104)</f>
        <v>100</v>
      </c>
      <c r="B104" s="1149" t="s">
        <v>115</v>
      </c>
      <c r="C104" s="1150"/>
      <c r="D104" s="1152">
        <f t="shared" si="59"/>
        <v>0</v>
      </c>
      <c r="E104" s="1152">
        <f t="shared" si="59"/>
        <v>0</v>
      </c>
      <c r="F104" s="1152">
        <f t="shared" si="59"/>
        <v>0</v>
      </c>
      <c r="G104" s="1152">
        <f t="shared" si="59"/>
        <v>0</v>
      </c>
      <c r="H104" s="1152">
        <f t="shared" si="59"/>
        <v>0</v>
      </c>
      <c r="I104" s="1152">
        <f t="shared" si="59"/>
        <v>0</v>
      </c>
      <c r="J104" s="1152">
        <f t="shared" si="59"/>
        <v>0</v>
      </c>
      <c r="K104" s="1152">
        <f t="shared" si="59"/>
        <v>0</v>
      </c>
      <c r="L104" s="1152">
        <f t="shared" si="59"/>
        <v>0</v>
      </c>
      <c r="M104" s="1176"/>
      <c r="N104" s="1177">
        <v>1.1100000000000001</v>
      </c>
      <c r="O104" s="1175">
        <v>9492.6470588235297</v>
      </c>
    </row>
    <row r="105" spans="1:17" ht="19.5" customHeight="1">
      <c r="A105" s="1148">
        <f>COUNTA($B$4:B105)</f>
        <v>101</v>
      </c>
      <c r="B105" s="1149" t="s">
        <v>116</v>
      </c>
      <c r="C105" s="1150"/>
      <c r="D105" s="1152">
        <f t="shared" si="59"/>
        <v>0</v>
      </c>
      <c r="E105" s="1152">
        <f t="shared" si="59"/>
        <v>0</v>
      </c>
      <c r="F105" s="1152">
        <f t="shared" si="59"/>
        <v>0</v>
      </c>
      <c r="G105" s="1152">
        <f t="shared" si="59"/>
        <v>0</v>
      </c>
      <c r="H105" s="1152">
        <f t="shared" si="59"/>
        <v>0</v>
      </c>
      <c r="I105" s="1152">
        <f t="shared" si="59"/>
        <v>0</v>
      </c>
      <c r="J105" s="1152">
        <f t="shared" si="59"/>
        <v>0</v>
      </c>
      <c r="K105" s="1152">
        <f t="shared" si="59"/>
        <v>0</v>
      </c>
      <c r="L105" s="1152">
        <f t="shared" si="59"/>
        <v>0</v>
      </c>
      <c r="M105" s="1176"/>
      <c r="N105" s="1177">
        <v>1.1000000000000001</v>
      </c>
      <c r="O105" s="1175" t="s">
        <v>117</v>
      </c>
    </row>
    <row r="106" spans="1:17" ht="19.5" customHeight="1">
      <c r="A106" s="1148">
        <f>COUNTA($B$4:B106)</f>
        <v>102</v>
      </c>
      <c r="B106" s="1149" t="s">
        <v>118</v>
      </c>
      <c r="C106" s="1150">
        <f t="shared" ref="C106:C109" si="60">ROUND(O106,-1)</f>
        <v>9410</v>
      </c>
      <c r="D106" s="1152">
        <f t="shared" si="59"/>
        <v>10450</v>
      </c>
      <c r="E106" s="1152">
        <f t="shared" si="59"/>
        <v>11600</v>
      </c>
      <c r="F106" s="1152">
        <f t="shared" si="59"/>
        <v>12880</v>
      </c>
      <c r="G106" s="1152">
        <f t="shared" si="59"/>
        <v>14300</v>
      </c>
      <c r="H106" s="1152">
        <f t="shared" si="59"/>
        <v>15870</v>
      </c>
      <c r="I106" s="1152">
        <f t="shared" si="59"/>
        <v>17620</v>
      </c>
      <c r="J106" s="1152">
        <f t="shared" si="59"/>
        <v>19560</v>
      </c>
      <c r="K106" s="1152">
        <f t="shared" si="59"/>
        <v>21710</v>
      </c>
      <c r="L106" s="1152">
        <f t="shared" si="59"/>
        <v>24100</v>
      </c>
      <c r="M106" s="1176"/>
      <c r="N106" s="1177">
        <v>1.1100000000000001</v>
      </c>
      <c r="O106" s="1175">
        <v>9414.7286821705402</v>
      </c>
      <c r="Q106" s="1133" t="s">
        <v>119</v>
      </c>
    </row>
    <row r="107" spans="1:17" ht="19.5" customHeight="1">
      <c r="A107" s="1148"/>
      <c r="B107" s="1149" t="s">
        <v>120</v>
      </c>
      <c r="C107" s="1150">
        <v>8500</v>
      </c>
      <c r="D107" s="1152">
        <f t="shared" si="59"/>
        <v>9440</v>
      </c>
      <c r="E107" s="1152">
        <f t="shared" si="59"/>
        <v>10480</v>
      </c>
      <c r="F107" s="1152">
        <f t="shared" si="59"/>
        <v>11630</v>
      </c>
      <c r="G107" s="1152">
        <f t="shared" si="59"/>
        <v>12910</v>
      </c>
      <c r="H107" s="1152">
        <f t="shared" si="59"/>
        <v>14330</v>
      </c>
      <c r="I107" s="1152">
        <f t="shared" si="59"/>
        <v>15910</v>
      </c>
      <c r="J107" s="1152">
        <f t="shared" si="59"/>
        <v>17660</v>
      </c>
      <c r="K107" s="1152">
        <f t="shared" si="59"/>
        <v>19600</v>
      </c>
      <c r="L107" s="1152">
        <f t="shared" si="59"/>
        <v>21760</v>
      </c>
      <c r="M107" s="1176"/>
      <c r="N107" s="1177">
        <v>1.1100000000000001</v>
      </c>
      <c r="O107" s="1175"/>
      <c r="Q107" s="1133" t="s">
        <v>121</v>
      </c>
    </row>
    <row r="108" spans="1:17" ht="19.5" customHeight="1">
      <c r="A108" s="1148">
        <f>COUNTA($B$4:B108)</f>
        <v>104</v>
      </c>
      <c r="B108" s="1149" t="s">
        <v>122</v>
      </c>
      <c r="C108" s="1150">
        <f t="shared" si="60"/>
        <v>7150</v>
      </c>
      <c r="D108" s="1152">
        <f t="shared" si="59"/>
        <v>7870</v>
      </c>
      <c r="E108" s="1152">
        <f t="shared" si="59"/>
        <v>8660</v>
      </c>
      <c r="F108" s="1152">
        <f t="shared" si="59"/>
        <v>9530</v>
      </c>
      <c r="G108" s="1152">
        <f t="shared" si="59"/>
        <v>10480</v>
      </c>
      <c r="H108" s="1152">
        <f t="shared" si="59"/>
        <v>11530</v>
      </c>
      <c r="I108" s="1152">
        <f t="shared" si="59"/>
        <v>12680</v>
      </c>
      <c r="J108" s="1152">
        <f t="shared" si="59"/>
        <v>13950</v>
      </c>
      <c r="K108" s="1152">
        <f t="shared" si="59"/>
        <v>15350</v>
      </c>
      <c r="L108" s="1152">
        <f t="shared" si="59"/>
        <v>16890</v>
      </c>
      <c r="M108" s="1176"/>
      <c r="N108" s="1177">
        <v>1.1000000000000001</v>
      </c>
      <c r="O108" s="1175">
        <v>7154.7761904761901</v>
      </c>
    </row>
    <row r="109" spans="1:17" ht="19.5" customHeight="1">
      <c r="A109" s="1148">
        <f>COUNTA($B$4:B109)</f>
        <v>105</v>
      </c>
      <c r="B109" s="1149" t="s">
        <v>123</v>
      </c>
      <c r="C109" s="1150">
        <f t="shared" si="60"/>
        <v>6900</v>
      </c>
      <c r="D109" s="1152">
        <f t="shared" si="59"/>
        <v>7590</v>
      </c>
      <c r="E109" s="1152">
        <f t="shared" si="59"/>
        <v>8350</v>
      </c>
      <c r="F109" s="1152">
        <f t="shared" si="59"/>
        <v>9190</v>
      </c>
      <c r="G109" s="1152">
        <f t="shared" si="59"/>
        <v>10110</v>
      </c>
      <c r="H109" s="1152">
        <f t="shared" si="59"/>
        <v>11120</v>
      </c>
      <c r="I109" s="1152">
        <f t="shared" si="59"/>
        <v>12230</v>
      </c>
      <c r="J109" s="1152">
        <f t="shared" si="59"/>
        <v>13450</v>
      </c>
      <c r="K109" s="1152">
        <f t="shared" si="59"/>
        <v>14800</v>
      </c>
      <c r="L109" s="1152">
        <f t="shared" si="59"/>
        <v>16280</v>
      </c>
      <c r="M109" s="1176"/>
      <c r="N109" s="1177">
        <v>1.1000000000000001</v>
      </c>
      <c r="O109" s="1175">
        <v>6904.7761904761901</v>
      </c>
      <c r="Q109" s="1133" t="s">
        <v>124</v>
      </c>
    </row>
    <row r="110" spans="1:17">
      <c r="L110" s="1133">
        <f t="shared" si="59"/>
        <v>0</v>
      </c>
    </row>
    <row r="111" spans="1:17" ht="19.5" customHeight="1">
      <c r="A111" s="1193">
        <f>COUNTA($B$4:B111)</f>
        <v>106</v>
      </c>
      <c r="B111" s="1194" t="s">
        <v>125</v>
      </c>
      <c r="C111" s="1195">
        <f>ROUND(D111/N111,-1)</f>
        <v>18900</v>
      </c>
      <c r="D111" s="1196">
        <f>ROUND(E111/N111,-1)</f>
        <v>21740</v>
      </c>
      <c r="E111" s="1197">
        <f>ROUND(O111,-1)</f>
        <v>25000</v>
      </c>
      <c r="F111" s="1197">
        <f t="shared" ref="F111:L124" si="61">ROUND(E111*$N111,-1)</f>
        <v>28750</v>
      </c>
      <c r="G111" s="1197">
        <f t="shared" si="61"/>
        <v>33060</v>
      </c>
      <c r="H111" s="1197">
        <f t="shared" si="61"/>
        <v>38020</v>
      </c>
      <c r="I111" s="1197">
        <f t="shared" si="61"/>
        <v>43720</v>
      </c>
      <c r="J111" s="1197">
        <f t="shared" si="61"/>
        <v>50280</v>
      </c>
      <c r="K111" s="1197">
        <f t="shared" si="61"/>
        <v>57820</v>
      </c>
      <c r="L111" s="1197">
        <f t="shared" si="59"/>
        <v>66490</v>
      </c>
      <c r="M111" s="1176"/>
      <c r="N111" s="1207">
        <v>1.1499999999999999</v>
      </c>
      <c r="O111" s="1208">
        <v>25000</v>
      </c>
    </row>
    <row r="112" spans="1:17" ht="21" customHeight="1">
      <c r="A112" s="1148">
        <f>COUNTA($B$4:B112)</f>
        <v>107</v>
      </c>
      <c r="B112" s="1198" t="s">
        <v>126</v>
      </c>
      <c r="C112" s="1150">
        <f>ROUND(O112,-1)</f>
        <v>12030</v>
      </c>
      <c r="D112" s="1152">
        <f>ROUND(C112*$N112,-1)</f>
        <v>13470</v>
      </c>
      <c r="E112" s="1152">
        <f>ROUND(D112*$N112,-1)</f>
        <v>15090</v>
      </c>
      <c r="F112" s="1152">
        <f t="shared" si="61"/>
        <v>16900</v>
      </c>
      <c r="G112" s="1152">
        <f t="shared" si="61"/>
        <v>18930</v>
      </c>
      <c r="H112" s="1152">
        <f t="shared" si="61"/>
        <v>21200</v>
      </c>
      <c r="I112" s="1152">
        <f t="shared" si="61"/>
        <v>23740</v>
      </c>
      <c r="J112" s="1152">
        <f t="shared" si="61"/>
        <v>26590</v>
      </c>
      <c r="K112" s="1152">
        <f t="shared" si="61"/>
        <v>29780</v>
      </c>
      <c r="L112" s="1152">
        <f t="shared" si="59"/>
        <v>33350</v>
      </c>
      <c r="M112" s="1176"/>
      <c r="N112" s="1177">
        <v>1.1200000000000001</v>
      </c>
      <c r="O112" s="1175">
        <v>12025</v>
      </c>
      <c r="Q112" s="1133" t="s">
        <v>117</v>
      </c>
    </row>
    <row r="113" spans="1:17" ht="21" customHeight="1">
      <c r="A113" s="1148"/>
      <c r="B113" s="1149" t="s">
        <v>127</v>
      </c>
      <c r="C113" s="1150"/>
      <c r="D113" s="1152"/>
      <c r="E113" s="1152"/>
      <c r="F113" s="1152">
        <f t="shared" si="61"/>
        <v>0</v>
      </c>
      <c r="G113" s="1152">
        <f t="shared" si="61"/>
        <v>0</v>
      </c>
      <c r="H113" s="1152">
        <f t="shared" si="61"/>
        <v>0</v>
      </c>
      <c r="I113" s="1152">
        <f t="shared" si="61"/>
        <v>0</v>
      </c>
      <c r="J113" s="1152">
        <f t="shared" si="61"/>
        <v>0</v>
      </c>
      <c r="K113" s="1152">
        <f t="shared" si="61"/>
        <v>0</v>
      </c>
      <c r="L113" s="1152">
        <f t="shared" si="59"/>
        <v>0</v>
      </c>
      <c r="M113" s="1176"/>
      <c r="N113" s="1177"/>
      <c r="O113" s="1175"/>
    </row>
    <row r="114" spans="1:17" ht="21" customHeight="1">
      <c r="A114" s="1148">
        <f>COUNTA($B$4:B114)</f>
        <v>109</v>
      </c>
      <c r="B114" s="1149" t="s">
        <v>128</v>
      </c>
      <c r="C114" s="1150">
        <f t="shared" ref="C114:C124" si="62">ROUND(O114,-1)</f>
        <v>7440</v>
      </c>
      <c r="D114" s="1152">
        <f>ROUND(C114*$N114,-1)</f>
        <v>8180</v>
      </c>
      <c r="E114" s="1152">
        <f>ROUND(D114*$N114,-1)</f>
        <v>9000</v>
      </c>
      <c r="F114" s="1152">
        <f t="shared" si="61"/>
        <v>9900</v>
      </c>
      <c r="G114" s="1152">
        <f t="shared" si="61"/>
        <v>10890</v>
      </c>
      <c r="H114" s="1152">
        <f t="shared" si="61"/>
        <v>11980</v>
      </c>
      <c r="I114" s="1152">
        <f t="shared" si="61"/>
        <v>13180</v>
      </c>
      <c r="J114" s="1152">
        <f t="shared" si="61"/>
        <v>14500</v>
      </c>
      <c r="K114" s="1152">
        <f t="shared" si="61"/>
        <v>15950</v>
      </c>
      <c r="L114" s="1152">
        <f t="shared" si="59"/>
        <v>17550</v>
      </c>
      <c r="M114" s="1176"/>
      <c r="N114" s="1177">
        <v>1.1000000000000001</v>
      </c>
      <c r="O114" s="1175">
        <v>7441.1764705882297</v>
      </c>
    </row>
    <row r="115" spans="1:17" ht="21" customHeight="1">
      <c r="A115" s="1148"/>
      <c r="B115" s="1149" t="s">
        <v>129</v>
      </c>
      <c r="C115" s="1150"/>
      <c r="D115" s="1152"/>
      <c r="E115" s="1152"/>
      <c r="F115" s="1152">
        <f t="shared" si="61"/>
        <v>0</v>
      </c>
      <c r="G115" s="1152">
        <f t="shared" si="61"/>
        <v>0</v>
      </c>
      <c r="H115" s="1152">
        <f t="shared" si="61"/>
        <v>0</v>
      </c>
      <c r="I115" s="1152">
        <f t="shared" si="61"/>
        <v>0</v>
      </c>
      <c r="J115" s="1152">
        <f t="shared" si="61"/>
        <v>0</v>
      </c>
      <c r="K115" s="1152">
        <f t="shared" si="61"/>
        <v>0</v>
      </c>
      <c r="L115" s="1152">
        <f t="shared" si="59"/>
        <v>0</v>
      </c>
      <c r="M115" s="1176"/>
      <c r="N115" s="1177"/>
      <c r="O115" s="1175"/>
    </row>
    <row r="116" spans="1:17" ht="21" customHeight="1">
      <c r="A116" s="1148">
        <f>COUNTA($B$4:B116)</f>
        <v>111</v>
      </c>
      <c r="B116" s="1149" t="s">
        <v>130</v>
      </c>
      <c r="C116" s="1150">
        <f t="shared" si="62"/>
        <v>7260</v>
      </c>
      <c r="D116" s="1152">
        <f t="shared" ref="D116:E119" si="63">ROUND(C116*$N116,-1)</f>
        <v>7990</v>
      </c>
      <c r="E116" s="1152">
        <f t="shared" si="63"/>
        <v>8790</v>
      </c>
      <c r="F116" s="1152">
        <f t="shared" si="61"/>
        <v>9670</v>
      </c>
      <c r="G116" s="1152">
        <f t="shared" si="61"/>
        <v>10640</v>
      </c>
      <c r="H116" s="1152">
        <f t="shared" si="61"/>
        <v>11700</v>
      </c>
      <c r="I116" s="1152">
        <f t="shared" si="61"/>
        <v>12870</v>
      </c>
      <c r="J116" s="1152">
        <f t="shared" si="61"/>
        <v>14160</v>
      </c>
      <c r="K116" s="1152">
        <f t="shared" si="61"/>
        <v>15580</v>
      </c>
      <c r="L116" s="1152">
        <f t="shared" si="59"/>
        <v>17140</v>
      </c>
      <c r="M116" s="1176"/>
      <c r="N116" s="1177">
        <v>1.1000000000000001</v>
      </c>
      <c r="O116" s="1175">
        <v>7264.7058823529396</v>
      </c>
    </row>
    <row r="117" spans="1:17" ht="21" customHeight="1">
      <c r="A117" s="1148">
        <f>COUNTA($B$4:B117)</f>
        <v>112</v>
      </c>
      <c r="B117" s="1149" t="s">
        <v>131</v>
      </c>
      <c r="C117" s="1150">
        <f t="shared" si="62"/>
        <v>0</v>
      </c>
      <c r="D117" s="1152">
        <f t="shared" si="63"/>
        <v>0</v>
      </c>
      <c r="E117" s="1152">
        <f t="shared" si="63"/>
        <v>0</v>
      </c>
      <c r="F117" s="1152">
        <f t="shared" si="61"/>
        <v>0</v>
      </c>
      <c r="G117" s="1152">
        <f t="shared" si="61"/>
        <v>0</v>
      </c>
      <c r="H117" s="1152">
        <f t="shared" si="61"/>
        <v>0</v>
      </c>
      <c r="I117" s="1152">
        <f t="shared" si="61"/>
        <v>0</v>
      </c>
      <c r="J117" s="1152">
        <f t="shared" si="61"/>
        <v>0</v>
      </c>
      <c r="K117" s="1152">
        <f t="shared" si="61"/>
        <v>0</v>
      </c>
      <c r="L117" s="1152">
        <f t="shared" si="61"/>
        <v>0</v>
      </c>
      <c r="M117" s="1176"/>
      <c r="N117" s="1177"/>
      <c r="O117" s="1175"/>
    </row>
    <row r="118" spans="1:17" ht="21" customHeight="1">
      <c r="A118" s="1148"/>
      <c r="B118" s="1198" t="s">
        <v>132</v>
      </c>
      <c r="C118" s="1150">
        <f t="shared" si="62"/>
        <v>12030</v>
      </c>
      <c r="D118" s="1152">
        <f t="shared" si="63"/>
        <v>13470</v>
      </c>
      <c r="E118" s="1152">
        <f t="shared" si="63"/>
        <v>15090</v>
      </c>
      <c r="F118" s="1152">
        <f t="shared" si="61"/>
        <v>16900</v>
      </c>
      <c r="G118" s="1152">
        <f t="shared" si="61"/>
        <v>18930</v>
      </c>
      <c r="H118" s="1152">
        <f t="shared" si="61"/>
        <v>21200</v>
      </c>
      <c r="I118" s="1152">
        <f t="shared" si="61"/>
        <v>23740</v>
      </c>
      <c r="J118" s="1152">
        <f t="shared" si="61"/>
        <v>26590</v>
      </c>
      <c r="K118" s="1152">
        <f t="shared" si="61"/>
        <v>29780</v>
      </c>
      <c r="L118" s="1152">
        <f t="shared" si="61"/>
        <v>33350</v>
      </c>
      <c r="M118" s="1176"/>
      <c r="N118" s="1177">
        <v>1.1200000000000001</v>
      </c>
      <c r="O118" s="1175">
        <v>12025</v>
      </c>
      <c r="P118" s="1212" t="s">
        <v>133</v>
      </c>
    </row>
    <row r="119" spans="1:17" ht="21" customHeight="1">
      <c r="A119" s="1148"/>
      <c r="B119" s="1149" t="s">
        <v>134</v>
      </c>
      <c r="C119" s="1150">
        <f t="shared" si="62"/>
        <v>11370</v>
      </c>
      <c r="D119" s="1152">
        <f t="shared" si="63"/>
        <v>12620</v>
      </c>
      <c r="E119" s="1152">
        <f t="shared" si="63"/>
        <v>14010</v>
      </c>
      <c r="F119" s="1152">
        <f t="shared" si="61"/>
        <v>15550</v>
      </c>
      <c r="G119" s="1152">
        <f t="shared" si="61"/>
        <v>17260</v>
      </c>
      <c r="H119" s="1152">
        <f t="shared" si="61"/>
        <v>19160</v>
      </c>
      <c r="I119" s="1152">
        <f t="shared" si="61"/>
        <v>21270</v>
      </c>
      <c r="J119" s="1152">
        <f t="shared" si="61"/>
        <v>23610</v>
      </c>
      <c r="K119" s="1152">
        <f t="shared" si="61"/>
        <v>26210</v>
      </c>
      <c r="L119" s="1152">
        <f t="shared" si="61"/>
        <v>29090</v>
      </c>
      <c r="M119" s="1176"/>
      <c r="N119" s="1177">
        <v>1.1100000000000001</v>
      </c>
      <c r="O119" s="1175">
        <v>11368.217054263599</v>
      </c>
      <c r="P119" s="1212" t="s">
        <v>135</v>
      </c>
    </row>
    <row r="120" spans="1:17" ht="21" customHeight="1">
      <c r="A120" s="1148"/>
      <c r="B120" s="1149" t="s">
        <v>136</v>
      </c>
      <c r="C120" s="1150"/>
      <c r="D120" s="1152"/>
      <c r="E120" s="1152"/>
      <c r="F120" s="1152">
        <f t="shared" si="61"/>
        <v>0</v>
      </c>
      <c r="G120" s="1152">
        <f t="shared" si="61"/>
        <v>0</v>
      </c>
      <c r="H120" s="1152">
        <f t="shared" si="61"/>
        <v>0</v>
      </c>
      <c r="I120" s="1152">
        <f t="shared" si="61"/>
        <v>0</v>
      </c>
      <c r="J120" s="1152">
        <f t="shared" si="61"/>
        <v>0</v>
      </c>
      <c r="K120" s="1152">
        <f t="shared" si="61"/>
        <v>0</v>
      </c>
      <c r="L120" s="1152">
        <f t="shared" si="61"/>
        <v>0</v>
      </c>
      <c r="M120" s="1176"/>
      <c r="N120" s="1177"/>
      <c r="O120" s="1175"/>
      <c r="P120" s="1212" t="s">
        <v>137</v>
      </c>
    </row>
    <row r="121" spans="1:17" ht="21" customHeight="1">
      <c r="A121" s="1148">
        <f>COUNTA($B$4:B123)</f>
        <v>118</v>
      </c>
      <c r="B121" s="1149" t="s">
        <v>138</v>
      </c>
      <c r="C121" s="1150">
        <f t="shared" si="62"/>
        <v>5340</v>
      </c>
      <c r="D121" s="1152">
        <f t="shared" ref="D121:E124" si="64">ROUND(C121*$N121,-1)</f>
        <v>5610</v>
      </c>
      <c r="E121" s="1152">
        <f t="shared" si="64"/>
        <v>5890</v>
      </c>
      <c r="F121" s="1152">
        <f t="shared" si="61"/>
        <v>6180</v>
      </c>
      <c r="G121" s="1152">
        <f t="shared" si="61"/>
        <v>6490</v>
      </c>
      <c r="H121" s="1152">
        <f t="shared" si="61"/>
        <v>6810</v>
      </c>
      <c r="I121" s="1152">
        <f t="shared" si="61"/>
        <v>7150</v>
      </c>
      <c r="J121" s="1152">
        <f t="shared" si="61"/>
        <v>7510</v>
      </c>
      <c r="K121" s="1152">
        <f t="shared" si="61"/>
        <v>7890</v>
      </c>
      <c r="L121" s="1152">
        <f t="shared" si="61"/>
        <v>8280</v>
      </c>
      <c r="M121" s="1176"/>
      <c r="N121" s="1177">
        <v>1.05</v>
      </c>
      <c r="O121" s="1175">
        <v>5343.75</v>
      </c>
    </row>
    <row r="122" spans="1:17" ht="21" customHeight="1">
      <c r="A122" s="1148"/>
      <c r="B122" s="1149" t="s">
        <v>139</v>
      </c>
      <c r="C122" s="1150">
        <f t="shared" si="62"/>
        <v>11370</v>
      </c>
      <c r="D122" s="1152">
        <f t="shared" si="64"/>
        <v>12620</v>
      </c>
      <c r="E122" s="1152">
        <f t="shared" si="64"/>
        <v>14010</v>
      </c>
      <c r="F122" s="1152">
        <f t="shared" si="61"/>
        <v>15550</v>
      </c>
      <c r="G122" s="1152">
        <f t="shared" si="61"/>
        <v>17260</v>
      </c>
      <c r="H122" s="1152">
        <f t="shared" si="61"/>
        <v>19160</v>
      </c>
      <c r="I122" s="1152">
        <f t="shared" si="61"/>
        <v>21270</v>
      </c>
      <c r="J122" s="1152">
        <f t="shared" si="61"/>
        <v>23610</v>
      </c>
      <c r="K122" s="1152">
        <f t="shared" si="61"/>
        <v>26210</v>
      </c>
      <c r="L122" s="1152">
        <f t="shared" si="61"/>
        <v>29090</v>
      </c>
      <c r="M122" s="1176"/>
      <c r="N122" s="1177">
        <v>1.1100000000000001</v>
      </c>
      <c r="O122" s="1175">
        <v>11368.217054263599</v>
      </c>
    </row>
    <row r="123" spans="1:17" ht="21" customHeight="1">
      <c r="A123" s="1148"/>
      <c r="B123" s="1149" t="s">
        <v>140</v>
      </c>
      <c r="C123" s="1150">
        <f t="shared" si="62"/>
        <v>0</v>
      </c>
      <c r="D123" s="1152">
        <f t="shared" si="64"/>
        <v>0</v>
      </c>
      <c r="E123" s="1152">
        <f t="shared" si="64"/>
        <v>0</v>
      </c>
      <c r="F123" s="1152">
        <f t="shared" si="61"/>
        <v>0</v>
      </c>
      <c r="G123" s="1152">
        <f t="shared" si="61"/>
        <v>0</v>
      </c>
      <c r="H123" s="1152">
        <f t="shared" si="61"/>
        <v>0</v>
      </c>
      <c r="I123" s="1152">
        <f t="shared" si="61"/>
        <v>0</v>
      </c>
      <c r="J123" s="1152">
        <f t="shared" si="61"/>
        <v>0</v>
      </c>
      <c r="K123" s="1152">
        <f t="shared" si="61"/>
        <v>0</v>
      </c>
      <c r="L123" s="1152">
        <f t="shared" si="61"/>
        <v>0</v>
      </c>
      <c r="M123" s="1176"/>
      <c r="N123" s="1177"/>
      <c r="O123" s="1175"/>
    </row>
    <row r="124" spans="1:17" ht="21" customHeight="1">
      <c r="A124" s="1148">
        <f>COUNTA($B$4:B124)</f>
        <v>119</v>
      </c>
      <c r="B124" s="1149" t="s">
        <v>141</v>
      </c>
      <c r="C124" s="1150">
        <f t="shared" si="62"/>
        <v>0</v>
      </c>
      <c r="D124" s="1152">
        <f t="shared" si="64"/>
        <v>0</v>
      </c>
      <c r="E124" s="1152">
        <f t="shared" si="64"/>
        <v>0</v>
      </c>
      <c r="F124" s="1152">
        <f t="shared" si="61"/>
        <v>0</v>
      </c>
      <c r="G124" s="1152">
        <f t="shared" si="61"/>
        <v>0</v>
      </c>
      <c r="H124" s="1152">
        <f t="shared" si="61"/>
        <v>0</v>
      </c>
      <c r="I124" s="1152">
        <f t="shared" si="61"/>
        <v>0</v>
      </c>
      <c r="J124" s="1152">
        <f t="shared" si="61"/>
        <v>0</v>
      </c>
      <c r="K124" s="1152">
        <f t="shared" si="61"/>
        <v>0</v>
      </c>
      <c r="L124" s="1152">
        <f t="shared" si="61"/>
        <v>0</v>
      </c>
      <c r="M124" s="1176"/>
      <c r="N124" s="1177"/>
      <c r="O124" s="1175"/>
      <c r="Q124" s="1212" t="s">
        <v>133</v>
      </c>
    </row>
    <row r="126" spans="1:17" ht="15">
      <c r="A126" s="1143">
        <v>70</v>
      </c>
      <c r="B126" s="1144" t="s">
        <v>82</v>
      </c>
      <c r="C126" s="1202">
        <v>26580</v>
      </c>
      <c r="D126" s="1202">
        <v>31890</v>
      </c>
      <c r="E126" s="1203">
        <v>38270</v>
      </c>
      <c r="F126" s="1204">
        <v>45920</v>
      </c>
      <c r="G126" s="1204">
        <v>55100</v>
      </c>
      <c r="H126" s="1204">
        <v>66120</v>
      </c>
      <c r="I126" s="1204">
        <v>79340</v>
      </c>
      <c r="J126" s="1204">
        <v>95210</v>
      </c>
      <c r="K126" s="1204">
        <v>114250</v>
      </c>
      <c r="L126" s="1204">
        <v>137100</v>
      </c>
      <c r="M126" s="1189"/>
      <c r="N126" s="1210">
        <v>1.2</v>
      </c>
      <c r="O126" s="1211">
        <v>38266.640253565798</v>
      </c>
    </row>
    <row r="127" spans="1:17" ht="15">
      <c r="A127" s="1143"/>
      <c r="B127" s="1205" t="s">
        <v>142</v>
      </c>
      <c r="C127" s="1202">
        <v>22300</v>
      </c>
      <c r="D127" s="1202">
        <v>26090</v>
      </c>
      <c r="E127" s="1203">
        <v>30530</v>
      </c>
      <c r="F127" s="1204">
        <v>35720</v>
      </c>
      <c r="G127" s="1204">
        <v>41790</v>
      </c>
      <c r="H127" s="1204">
        <v>48890</v>
      </c>
      <c r="I127" s="1204">
        <v>57200</v>
      </c>
      <c r="J127" s="1204">
        <v>66920</v>
      </c>
      <c r="K127" s="1204">
        <v>78300</v>
      </c>
      <c r="L127" s="1204">
        <v>91600</v>
      </c>
      <c r="M127" s="1189"/>
      <c r="N127" s="1210">
        <v>1.17</v>
      </c>
      <c r="O127" s="1211">
        <v>30526.941362916001</v>
      </c>
    </row>
    <row r="128" spans="1:17" ht="15">
      <c r="A128" s="1143"/>
      <c r="B128" s="1199" t="s">
        <v>94</v>
      </c>
      <c r="C128" s="1203">
        <v>15260</v>
      </c>
      <c r="D128" s="1204">
        <v>17550</v>
      </c>
      <c r="E128" s="1204">
        <v>20180</v>
      </c>
      <c r="F128" s="1206">
        <v>23210</v>
      </c>
      <c r="G128" s="1204">
        <v>26690</v>
      </c>
      <c r="H128" s="1204">
        <v>30690</v>
      </c>
      <c r="I128" s="1204">
        <v>35290</v>
      </c>
      <c r="J128" s="1204">
        <v>40600</v>
      </c>
      <c r="K128" s="1204">
        <v>46700</v>
      </c>
      <c r="L128" s="1204">
        <v>53700</v>
      </c>
      <c r="M128" s="1189"/>
      <c r="N128" s="1210">
        <v>1.1499999999999999</v>
      </c>
      <c r="O128" s="1211">
        <v>15260.294117647099</v>
      </c>
    </row>
    <row r="129" spans="1:15">
      <c r="A129" s="1143"/>
      <c r="B129" s="1201" t="s">
        <v>97</v>
      </c>
      <c r="C129" s="1203">
        <v>9260</v>
      </c>
      <c r="D129" s="1204">
        <v>10370</v>
      </c>
      <c r="E129" s="1204">
        <v>11610</v>
      </c>
      <c r="F129" s="1204">
        <v>13000</v>
      </c>
      <c r="G129" s="1204">
        <v>14560</v>
      </c>
      <c r="H129" s="1204">
        <v>16310</v>
      </c>
      <c r="I129" s="1204">
        <v>18270</v>
      </c>
      <c r="J129" s="1204">
        <v>20500</v>
      </c>
      <c r="K129" s="1204">
        <v>23000</v>
      </c>
      <c r="L129" s="1204">
        <v>25800</v>
      </c>
      <c r="M129" s="1189"/>
      <c r="N129" s="1210">
        <v>1.1200000000000001</v>
      </c>
      <c r="O129" s="1211">
        <v>9257.3529411764703</v>
      </c>
    </row>
    <row r="130" spans="1:15">
      <c r="A130" s="1143"/>
      <c r="B130" s="1201" t="s">
        <v>98</v>
      </c>
      <c r="C130" s="1203">
        <v>7840</v>
      </c>
      <c r="D130" s="1204">
        <v>8620</v>
      </c>
      <c r="E130" s="1204">
        <v>9480</v>
      </c>
      <c r="F130" s="1204">
        <v>10430</v>
      </c>
      <c r="G130" s="1204">
        <v>11470</v>
      </c>
      <c r="H130" s="1204">
        <v>12620</v>
      </c>
      <c r="I130" s="1204">
        <v>13880</v>
      </c>
      <c r="J130" s="1204">
        <v>15300</v>
      </c>
      <c r="K130" s="1204">
        <v>16800</v>
      </c>
      <c r="L130" s="1204">
        <v>18500</v>
      </c>
      <c r="M130" s="1189"/>
      <c r="N130" s="1210">
        <v>1.1000000000000001</v>
      </c>
      <c r="O130" s="1211">
        <v>7840.05297619048</v>
      </c>
    </row>
    <row r="131" spans="1:15">
      <c r="A131" s="1143"/>
      <c r="B131" s="1201" t="s">
        <v>99</v>
      </c>
      <c r="C131" s="1203">
        <v>9260</v>
      </c>
      <c r="D131" s="1204">
        <v>10370</v>
      </c>
      <c r="E131" s="1204">
        <v>11610</v>
      </c>
      <c r="F131" s="1204">
        <v>13000</v>
      </c>
      <c r="G131" s="1204">
        <v>14560</v>
      </c>
      <c r="H131" s="1204">
        <v>16310</v>
      </c>
      <c r="I131" s="1204">
        <v>18270</v>
      </c>
      <c r="J131" s="1204">
        <v>20500</v>
      </c>
      <c r="K131" s="1204">
        <v>23000</v>
      </c>
      <c r="L131" s="1204">
        <v>25800</v>
      </c>
      <c r="M131" s="1189"/>
      <c r="N131" s="1210">
        <v>1.1200000000000001</v>
      </c>
      <c r="O131" s="1211">
        <v>9257.3529411764703</v>
      </c>
    </row>
    <row r="132" spans="1:15">
      <c r="A132" s="1143"/>
      <c r="B132" s="1201" t="s">
        <v>100</v>
      </c>
      <c r="C132" s="1203">
        <v>7840</v>
      </c>
      <c r="D132" s="1204">
        <v>8620</v>
      </c>
      <c r="E132" s="1204">
        <v>9480</v>
      </c>
      <c r="F132" s="1204">
        <v>10430</v>
      </c>
      <c r="G132" s="1204">
        <v>11470</v>
      </c>
      <c r="H132" s="1204">
        <v>12620</v>
      </c>
      <c r="I132" s="1204">
        <v>13880</v>
      </c>
      <c r="J132" s="1204">
        <v>15300</v>
      </c>
      <c r="K132" s="1204">
        <v>16800</v>
      </c>
      <c r="L132" s="1204">
        <v>18500</v>
      </c>
      <c r="M132" s="1189"/>
      <c r="N132" s="1210">
        <v>1.1000000000000001</v>
      </c>
      <c r="O132" s="1211">
        <v>7840.05297619048</v>
      </c>
    </row>
    <row r="133" spans="1:15">
      <c r="A133" s="1143"/>
      <c r="B133" s="1201" t="s">
        <v>101</v>
      </c>
      <c r="C133" s="1203">
        <v>7840</v>
      </c>
      <c r="D133" s="1204">
        <v>8620</v>
      </c>
      <c r="E133" s="1204">
        <v>9480</v>
      </c>
      <c r="F133" s="1204">
        <v>10430</v>
      </c>
      <c r="G133" s="1204">
        <v>11470</v>
      </c>
      <c r="H133" s="1204">
        <v>12620</v>
      </c>
      <c r="I133" s="1204">
        <v>13880</v>
      </c>
      <c r="J133" s="1204">
        <v>15300</v>
      </c>
      <c r="K133" s="1204">
        <v>16800</v>
      </c>
      <c r="L133" s="1204">
        <v>18500</v>
      </c>
      <c r="M133" s="1189"/>
      <c r="N133" s="1210">
        <v>1.1000000000000001</v>
      </c>
      <c r="O133" s="1211">
        <v>7840.05297619048</v>
      </c>
    </row>
    <row r="134" spans="1:15">
      <c r="A134" s="1143"/>
      <c r="B134" s="1201" t="s">
        <v>102</v>
      </c>
      <c r="C134" s="1203">
        <v>7840</v>
      </c>
      <c r="D134" s="1204">
        <v>8620</v>
      </c>
      <c r="E134" s="1204">
        <v>9480</v>
      </c>
      <c r="F134" s="1204">
        <v>10430</v>
      </c>
      <c r="G134" s="1204">
        <v>11470</v>
      </c>
      <c r="H134" s="1204">
        <v>12620</v>
      </c>
      <c r="I134" s="1204">
        <v>13880</v>
      </c>
      <c r="J134" s="1204">
        <v>15300</v>
      </c>
      <c r="K134" s="1204">
        <v>16800</v>
      </c>
      <c r="L134" s="1204">
        <v>18500</v>
      </c>
      <c r="M134" s="1189"/>
      <c r="N134" s="1210">
        <v>1.1000000000000001</v>
      </c>
      <c r="O134" s="1211">
        <v>7840.05297619048</v>
      </c>
    </row>
    <row r="135" spans="1:15">
      <c r="A135" s="1143"/>
      <c r="B135" s="1201"/>
      <c r="C135" s="1203"/>
      <c r="D135" s="1204"/>
      <c r="E135" s="1204"/>
      <c r="F135" s="1204"/>
      <c r="G135" s="1204"/>
      <c r="H135" s="1204"/>
      <c r="I135" s="1204"/>
      <c r="J135" s="1204"/>
      <c r="K135" s="1204"/>
      <c r="L135" s="1204"/>
      <c r="M135" s="1189"/>
      <c r="N135" s="1210"/>
      <c r="O135" s="1211"/>
    </row>
    <row r="136" spans="1:15">
      <c r="A136" s="1143"/>
      <c r="B136" s="1201" t="s">
        <v>143</v>
      </c>
      <c r="C136" s="1203">
        <v>9650</v>
      </c>
      <c r="D136" s="1204">
        <v>10810</v>
      </c>
      <c r="E136" s="1204">
        <v>12110</v>
      </c>
      <c r="F136" s="1204">
        <v>13560</v>
      </c>
      <c r="G136" s="1204">
        <v>15190</v>
      </c>
      <c r="H136" s="1204">
        <v>17010</v>
      </c>
      <c r="I136" s="1204">
        <v>19050</v>
      </c>
      <c r="J136" s="1204">
        <v>21300</v>
      </c>
      <c r="K136" s="1204">
        <v>23900</v>
      </c>
      <c r="L136" s="1204">
        <v>26800</v>
      </c>
      <c r="M136" s="1189"/>
      <c r="N136" s="1210">
        <v>1.1200000000000001</v>
      </c>
      <c r="O136" s="1211">
        <v>9654.4117647058792</v>
      </c>
    </row>
    <row r="137" spans="1:15">
      <c r="A137" s="1143"/>
      <c r="B137" s="1201" t="s">
        <v>144</v>
      </c>
      <c r="C137" s="1203">
        <v>8400</v>
      </c>
      <c r="D137" s="1204">
        <v>9240</v>
      </c>
      <c r="E137" s="1204">
        <v>10160</v>
      </c>
      <c r="F137" s="1204">
        <v>11180</v>
      </c>
      <c r="G137" s="1204">
        <v>12300</v>
      </c>
      <c r="H137" s="1204">
        <v>13530</v>
      </c>
      <c r="I137" s="1204">
        <v>14880</v>
      </c>
      <c r="J137" s="1204">
        <v>16400</v>
      </c>
      <c r="K137" s="1204">
        <v>18000</v>
      </c>
      <c r="L137" s="1204">
        <v>19800</v>
      </c>
      <c r="M137" s="1189"/>
      <c r="N137" s="1210">
        <v>1.1000000000000001</v>
      </c>
      <c r="O137" s="1211">
        <v>8397.0588235294108</v>
      </c>
    </row>
    <row r="138" spans="1:15">
      <c r="A138" s="1143"/>
      <c r="B138" s="1201" t="s">
        <v>145</v>
      </c>
      <c r="C138" s="1203">
        <v>6320</v>
      </c>
      <c r="D138" s="1204">
        <v>6640</v>
      </c>
      <c r="E138" s="1204">
        <v>6970</v>
      </c>
      <c r="F138" s="1204">
        <v>7320</v>
      </c>
      <c r="G138" s="1204">
        <v>7690</v>
      </c>
      <c r="H138" s="1204">
        <v>8070</v>
      </c>
      <c r="I138" s="1204">
        <v>8470</v>
      </c>
      <c r="J138" s="1204">
        <v>8900</v>
      </c>
      <c r="K138" s="1204">
        <v>9300</v>
      </c>
      <c r="L138" s="1204">
        <v>9800</v>
      </c>
      <c r="M138" s="1189"/>
      <c r="N138" s="1210">
        <v>1.05</v>
      </c>
      <c r="O138" s="1211">
        <v>6315.4476190476198</v>
      </c>
    </row>
    <row r="139" spans="1:15">
      <c r="A139" s="1143"/>
      <c r="B139" s="1201" t="s">
        <v>146</v>
      </c>
      <c r="C139" s="1203">
        <v>8400</v>
      </c>
      <c r="D139" s="1204">
        <v>9240</v>
      </c>
      <c r="E139" s="1204">
        <v>10160</v>
      </c>
      <c r="F139" s="1204">
        <v>11180</v>
      </c>
      <c r="G139" s="1204">
        <v>12300</v>
      </c>
      <c r="H139" s="1204">
        <v>13530</v>
      </c>
      <c r="I139" s="1204">
        <v>14880</v>
      </c>
      <c r="J139" s="1204">
        <v>16400</v>
      </c>
      <c r="K139" s="1204">
        <v>18000</v>
      </c>
      <c r="L139" s="1204">
        <v>19800</v>
      </c>
      <c r="M139" s="1189"/>
      <c r="N139" s="1210">
        <v>1.1000000000000001</v>
      </c>
      <c r="O139" s="1211">
        <v>8397.0588235294108</v>
      </c>
    </row>
    <row r="140" spans="1:15">
      <c r="A140" s="1143"/>
      <c r="B140" s="1201" t="s">
        <v>147</v>
      </c>
      <c r="C140" s="1203">
        <v>6320</v>
      </c>
      <c r="D140" s="1204">
        <v>6640</v>
      </c>
      <c r="E140" s="1204">
        <v>6970</v>
      </c>
      <c r="F140" s="1204">
        <v>7320</v>
      </c>
      <c r="G140" s="1204">
        <v>7690</v>
      </c>
      <c r="H140" s="1204">
        <v>8070</v>
      </c>
      <c r="I140" s="1204">
        <v>8470</v>
      </c>
      <c r="J140" s="1204">
        <v>8900</v>
      </c>
      <c r="K140" s="1204">
        <v>9300</v>
      </c>
      <c r="L140" s="1204">
        <v>9800</v>
      </c>
      <c r="M140" s="1189"/>
      <c r="N140" s="1210">
        <v>1.05</v>
      </c>
      <c r="O140" s="1211">
        <v>6315.4476190476198</v>
      </c>
    </row>
    <row r="141" spans="1:15" ht="15">
      <c r="A141" s="1143"/>
      <c r="B141" s="1199" t="s">
        <v>148</v>
      </c>
      <c r="C141" s="1203">
        <v>15480</v>
      </c>
      <c r="D141" s="1204">
        <v>17800</v>
      </c>
      <c r="E141" s="1204">
        <v>20470</v>
      </c>
      <c r="F141" s="1204">
        <v>23540</v>
      </c>
      <c r="G141" s="1204">
        <v>27070</v>
      </c>
      <c r="H141" s="1204">
        <v>31130</v>
      </c>
      <c r="I141" s="1204">
        <v>35800</v>
      </c>
      <c r="J141" s="1204">
        <v>41200</v>
      </c>
      <c r="K141" s="1204">
        <v>47400</v>
      </c>
      <c r="L141" s="1204">
        <v>54500</v>
      </c>
      <c r="M141" s="1189"/>
      <c r="N141" s="1210">
        <v>1.1499999999999999</v>
      </c>
      <c r="O141" s="1211">
        <v>15478.682170542599</v>
      </c>
    </row>
    <row r="142" spans="1:15">
      <c r="A142" s="1143"/>
      <c r="B142" s="1201" t="s">
        <v>149</v>
      </c>
      <c r="C142" s="1203">
        <v>7000</v>
      </c>
      <c r="D142" s="1204">
        <v>7840</v>
      </c>
      <c r="E142" s="1204">
        <v>8780</v>
      </c>
      <c r="F142" s="1204">
        <v>9830</v>
      </c>
      <c r="G142" s="1204">
        <v>11010</v>
      </c>
      <c r="H142" s="1204">
        <v>12330</v>
      </c>
      <c r="I142" s="1204">
        <v>13810</v>
      </c>
      <c r="J142" s="1204">
        <v>15500</v>
      </c>
      <c r="K142" s="1204">
        <v>17400</v>
      </c>
      <c r="L142" s="1204">
        <v>19500</v>
      </c>
      <c r="M142" s="1189"/>
      <c r="N142" s="1210">
        <v>1.1200000000000001</v>
      </c>
      <c r="O142" s="1211">
        <v>7000</v>
      </c>
    </row>
    <row r="143" spans="1:15">
      <c r="A143" s="1143"/>
      <c r="B143" s="1201" t="s">
        <v>150</v>
      </c>
      <c r="C143" s="1203">
        <v>7000</v>
      </c>
      <c r="D143" s="1204">
        <v>7770</v>
      </c>
      <c r="E143" s="1204">
        <v>8620</v>
      </c>
      <c r="F143" s="1204">
        <v>9570</v>
      </c>
      <c r="G143" s="1204">
        <v>10620</v>
      </c>
      <c r="H143" s="1204">
        <v>11790</v>
      </c>
      <c r="I143" s="1204">
        <v>13090</v>
      </c>
      <c r="J143" s="1204">
        <v>14500</v>
      </c>
      <c r="K143" s="1204">
        <v>16100</v>
      </c>
      <c r="L143" s="1204">
        <v>17900</v>
      </c>
      <c r="M143" s="1189"/>
      <c r="N143" s="1210">
        <v>1.1100000000000001</v>
      </c>
      <c r="O143" s="1211">
        <v>7000</v>
      </c>
    </row>
    <row r="144" spans="1:15">
      <c r="A144" s="1143"/>
      <c r="B144" s="1201" t="s">
        <v>151</v>
      </c>
      <c r="C144" s="1203">
        <v>0</v>
      </c>
      <c r="D144" s="1204">
        <v>0</v>
      </c>
      <c r="E144" s="1204">
        <v>0</v>
      </c>
      <c r="F144" s="1204">
        <v>0</v>
      </c>
      <c r="G144" s="1204">
        <v>0</v>
      </c>
      <c r="H144" s="1204">
        <v>0</v>
      </c>
      <c r="I144" s="1204">
        <v>0</v>
      </c>
      <c r="J144" s="1204">
        <v>0</v>
      </c>
      <c r="K144" s="1204">
        <v>0</v>
      </c>
      <c r="L144" s="1204">
        <v>0</v>
      </c>
      <c r="M144" s="1189"/>
      <c r="N144" s="1210">
        <v>10.5</v>
      </c>
      <c r="O144" s="1211"/>
    </row>
    <row r="145" spans="1:17">
      <c r="A145" s="1143"/>
      <c r="B145" s="1201" t="s">
        <v>152</v>
      </c>
      <c r="C145" s="1203">
        <v>7320</v>
      </c>
      <c r="D145" s="1204">
        <v>8130</v>
      </c>
      <c r="E145" s="1204">
        <v>9020</v>
      </c>
      <c r="F145" s="1204">
        <v>10010</v>
      </c>
      <c r="G145" s="1204">
        <v>11110</v>
      </c>
      <c r="H145" s="1204">
        <v>12330</v>
      </c>
      <c r="I145" s="1204">
        <v>13690</v>
      </c>
      <c r="J145" s="1204">
        <v>15200</v>
      </c>
      <c r="K145" s="1204">
        <v>16900</v>
      </c>
      <c r="L145" s="1204">
        <v>18800</v>
      </c>
      <c r="M145" s="1189"/>
      <c r="N145" s="1210">
        <v>1.1100000000000001</v>
      </c>
      <c r="O145" s="1211"/>
    </row>
    <row r="146" spans="1:17">
      <c r="A146" s="1143"/>
      <c r="B146" s="1201" t="s">
        <v>153</v>
      </c>
      <c r="C146" s="1203">
        <v>6320</v>
      </c>
      <c r="D146" s="1204">
        <v>6640</v>
      </c>
      <c r="E146" s="1204">
        <v>6970</v>
      </c>
      <c r="F146" s="1204">
        <v>7320</v>
      </c>
      <c r="G146" s="1204">
        <v>7690</v>
      </c>
      <c r="H146" s="1204">
        <v>8070</v>
      </c>
      <c r="I146" s="1204">
        <v>8470</v>
      </c>
      <c r="J146" s="1204">
        <v>8900</v>
      </c>
      <c r="K146" s="1204">
        <v>9300</v>
      </c>
      <c r="L146" s="1204">
        <v>9800</v>
      </c>
      <c r="M146" s="1189"/>
      <c r="N146" s="1210">
        <v>1.05</v>
      </c>
      <c r="O146" s="1211">
        <v>6315.4476190476198</v>
      </c>
    </row>
    <row r="147" spans="1:17">
      <c r="A147" s="1143"/>
      <c r="B147" s="1201" t="s">
        <v>154</v>
      </c>
      <c r="C147" s="1203">
        <v>0</v>
      </c>
      <c r="D147" s="1204">
        <v>0</v>
      </c>
      <c r="E147" s="1204">
        <v>0</v>
      </c>
      <c r="F147" s="1204">
        <v>0</v>
      </c>
      <c r="G147" s="1204">
        <v>0</v>
      </c>
      <c r="H147" s="1204">
        <v>0</v>
      </c>
      <c r="I147" s="1204">
        <v>0</v>
      </c>
      <c r="J147" s="1204">
        <v>0</v>
      </c>
      <c r="K147" s="1204">
        <v>0</v>
      </c>
      <c r="L147" s="1204">
        <v>0</v>
      </c>
      <c r="M147" s="1189"/>
      <c r="N147" s="1210">
        <v>1.1200000000000001</v>
      </c>
      <c r="O147" s="1211"/>
    </row>
    <row r="148" spans="1:17">
      <c r="A148" s="1143"/>
      <c r="B148" s="1201" t="s">
        <v>155</v>
      </c>
      <c r="C148" s="1203">
        <v>8490</v>
      </c>
      <c r="D148" s="1204">
        <v>8910</v>
      </c>
      <c r="E148" s="1204">
        <v>9360</v>
      </c>
      <c r="F148" s="1204">
        <v>9830</v>
      </c>
      <c r="G148" s="1204">
        <v>10320</v>
      </c>
      <c r="H148" s="1204">
        <v>10840</v>
      </c>
      <c r="I148" s="1204">
        <v>11380</v>
      </c>
      <c r="J148" s="1204">
        <v>11900</v>
      </c>
      <c r="K148" s="1204">
        <v>12500</v>
      </c>
      <c r="L148" s="1204">
        <v>13100</v>
      </c>
      <c r="M148" s="1189"/>
      <c r="N148" s="1210">
        <v>1.05</v>
      </c>
      <c r="O148" s="1211">
        <v>8485.0619047619093</v>
      </c>
    </row>
    <row r="149" spans="1:17">
      <c r="A149" s="1143"/>
      <c r="B149" s="1201" t="s">
        <v>156</v>
      </c>
      <c r="C149" s="1203">
        <v>7820</v>
      </c>
      <c r="D149" s="1204">
        <v>8600</v>
      </c>
      <c r="E149" s="1204">
        <v>9460</v>
      </c>
      <c r="F149" s="1204">
        <v>10410</v>
      </c>
      <c r="G149" s="1204">
        <v>11450</v>
      </c>
      <c r="H149" s="1204">
        <v>12600</v>
      </c>
      <c r="I149" s="1204">
        <v>13860</v>
      </c>
      <c r="J149" s="1204">
        <v>15200</v>
      </c>
      <c r="K149" s="1204">
        <v>16700</v>
      </c>
      <c r="L149" s="1204">
        <v>18400</v>
      </c>
      <c r="M149" s="1189"/>
      <c r="N149" s="1210">
        <v>1.1000000000000001</v>
      </c>
      <c r="O149" s="1211">
        <v>7823.5294117647099</v>
      </c>
    </row>
    <row r="150" spans="1:17" ht="15">
      <c r="A150" s="1143"/>
      <c r="B150" s="1199" t="s">
        <v>157</v>
      </c>
      <c r="C150" s="1203">
        <v>15480</v>
      </c>
      <c r="D150" s="1204">
        <v>17800</v>
      </c>
      <c r="E150" s="1204">
        <v>20470</v>
      </c>
      <c r="F150" s="1204">
        <v>23540</v>
      </c>
      <c r="G150" s="1204">
        <v>27070</v>
      </c>
      <c r="H150" s="1204">
        <v>31130</v>
      </c>
      <c r="I150" s="1204">
        <v>35800</v>
      </c>
      <c r="J150" s="1204">
        <v>41200</v>
      </c>
      <c r="K150" s="1204">
        <v>47400</v>
      </c>
      <c r="L150" s="1204">
        <v>54500</v>
      </c>
      <c r="M150" s="1189"/>
      <c r="N150" s="1210">
        <v>1.1499999999999999</v>
      </c>
      <c r="O150" s="1211">
        <v>15478.682170542599</v>
      </c>
    </row>
    <row r="151" spans="1:17">
      <c r="A151" s="1143"/>
      <c r="B151" s="1201" t="s">
        <v>158</v>
      </c>
      <c r="C151" s="1203">
        <v>0</v>
      </c>
      <c r="D151" s="1204">
        <v>0</v>
      </c>
      <c r="E151" s="1204">
        <v>0</v>
      </c>
      <c r="F151" s="1204">
        <v>0</v>
      </c>
      <c r="G151" s="1204">
        <v>0</v>
      </c>
      <c r="H151" s="1204">
        <v>0</v>
      </c>
      <c r="I151" s="1204">
        <v>0</v>
      </c>
      <c r="J151" s="1204">
        <v>0</v>
      </c>
      <c r="K151" s="1204">
        <v>0</v>
      </c>
      <c r="L151" s="1204">
        <v>0</v>
      </c>
      <c r="M151" s="1189"/>
      <c r="N151" s="1210">
        <v>1.1200000000000001</v>
      </c>
      <c r="O151" s="1211"/>
    </row>
    <row r="152" spans="1:17">
      <c r="A152" s="1143"/>
      <c r="B152" s="1201" t="s">
        <v>159</v>
      </c>
      <c r="C152" s="1203">
        <v>0</v>
      </c>
      <c r="D152" s="1204">
        <v>0</v>
      </c>
      <c r="E152" s="1204">
        <v>0</v>
      </c>
      <c r="F152" s="1204">
        <v>0</v>
      </c>
      <c r="G152" s="1204">
        <v>0</v>
      </c>
      <c r="H152" s="1204">
        <v>0</v>
      </c>
      <c r="I152" s="1204">
        <v>0</v>
      </c>
      <c r="J152" s="1204">
        <v>0</v>
      </c>
      <c r="K152" s="1204">
        <v>0</v>
      </c>
      <c r="L152" s="1204">
        <v>0</v>
      </c>
      <c r="M152" s="1189"/>
      <c r="N152" s="1210">
        <v>1.1100000000000001</v>
      </c>
      <c r="O152" s="1211"/>
    </row>
    <row r="153" spans="1:17">
      <c r="A153" s="1143"/>
      <c r="B153" s="1201" t="s">
        <v>160</v>
      </c>
      <c r="C153" s="1203">
        <v>0</v>
      </c>
      <c r="D153" s="1204">
        <v>0</v>
      </c>
      <c r="E153" s="1204">
        <v>0</v>
      </c>
      <c r="F153" s="1204">
        <v>0</v>
      </c>
      <c r="G153" s="1204">
        <v>0</v>
      </c>
      <c r="H153" s="1204">
        <v>0</v>
      </c>
      <c r="I153" s="1204">
        <v>0</v>
      </c>
      <c r="J153" s="1204">
        <v>0</v>
      </c>
      <c r="K153" s="1204">
        <v>0</v>
      </c>
      <c r="L153" s="1204">
        <v>0</v>
      </c>
      <c r="M153" s="1189"/>
      <c r="N153" s="1210">
        <v>1.05</v>
      </c>
      <c r="O153" s="1211"/>
    </row>
    <row r="154" spans="1:17">
      <c r="A154" s="1143"/>
      <c r="B154" s="1201" t="s">
        <v>161</v>
      </c>
      <c r="C154" s="1203">
        <v>7320</v>
      </c>
      <c r="D154" s="1204">
        <v>8130</v>
      </c>
      <c r="E154" s="1204">
        <v>9020</v>
      </c>
      <c r="F154" s="1204">
        <v>10010</v>
      </c>
      <c r="G154" s="1204">
        <v>11110</v>
      </c>
      <c r="H154" s="1204">
        <v>12330</v>
      </c>
      <c r="I154" s="1204">
        <v>13690</v>
      </c>
      <c r="J154" s="1204">
        <v>15200</v>
      </c>
      <c r="K154" s="1204">
        <v>16900</v>
      </c>
      <c r="L154" s="1204">
        <v>18800</v>
      </c>
      <c r="M154" s="1189"/>
      <c r="N154" s="1210">
        <v>1.1100000000000001</v>
      </c>
      <c r="O154" s="1211"/>
      <c r="Q154" s="1223">
        <f>C154-C155</f>
        <v>1000</v>
      </c>
    </row>
    <row r="155" spans="1:17">
      <c r="A155" s="1143"/>
      <c r="B155" s="1201" t="s">
        <v>162</v>
      </c>
      <c r="C155" s="1203">
        <v>6320</v>
      </c>
      <c r="D155" s="1204">
        <v>6640</v>
      </c>
      <c r="E155" s="1204">
        <v>6970</v>
      </c>
      <c r="F155" s="1204">
        <v>7320</v>
      </c>
      <c r="G155" s="1204">
        <v>7690</v>
      </c>
      <c r="H155" s="1204">
        <v>8070</v>
      </c>
      <c r="I155" s="1204">
        <v>8470</v>
      </c>
      <c r="J155" s="1204">
        <v>8900</v>
      </c>
      <c r="K155" s="1204">
        <v>9300</v>
      </c>
      <c r="L155" s="1204">
        <v>9800</v>
      </c>
      <c r="M155" s="1189"/>
      <c r="N155" s="1210">
        <v>1.05</v>
      </c>
      <c r="O155" s="1211">
        <v>6315.4476190476198</v>
      </c>
    </row>
    <row r="156" spans="1:17">
      <c r="A156" s="1143"/>
      <c r="B156" s="1201" t="s">
        <v>163</v>
      </c>
      <c r="C156" s="1203">
        <v>8040</v>
      </c>
      <c r="D156" s="1204">
        <v>9000</v>
      </c>
      <c r="E156" s="1204">
        <v>10080</v>
      </c>
      <c r="F156" s="1204">
        <v>11290</v>
      </c>
      <c r="G156" s="1204">
        <v>12640</v>
      </c>
      <c r="H156" s="1204">
        <v>14160</v>
      </c>
      <c r="I156" s="1204">
        <v>15860</v>
      </c>
      <c r="J156" s="1204">
        <v>17800</v>
      </c>
      <c r="K156" s="1204">
        <v>19900</v>
      </c>
      <c r="L156" s="1204">
        <v>22300</v>
      </c>
      <c r="M156" s="1189"/>
      <c r="N156" s="1210">
        <v>1.1200000000000001</v>
      </c>
      <c r="O156" s="1211">
        <v>8037.7906976744198</v>
      </c>
    </row>
    <row r="157" spans="1:17">
      <c r="A157" s="1143"/>
      <c r="B157" s="1201" t="s">
        <v>164</v>
      </c>
      <c r="C157" s="1202">
        <v>7240</v>
      </c>
      <c r="D157" s="1203">
        <v>8040</v>
      </c>
      <c r="E157" s="1204">
        <v>8920</v>
      </c>
      <c r="F157" s="1204">
        <v>9900</v>
      </c>
      <c r="G157" s="1204">
        <v>10990</v>
      </c>
      <c r="H157" s="1204">
        <v>12200</v>
      </c>
      <c r="I157" s="1204">
        <v>13540</v>
      </c>
      <c r="J157" s="1204">
        <v>15000</v>
      </c>
      <c r="K157" s="1204">
        <v>16700</v>
      </c>
      <c r="L157" s="1204">
        <v>18500</v>
      </c>
      <c r="M157" s="1189"/>
      <c r="N157" s="1210">
        <v>1.1100000000000001</v>
      </c>
      <c r="O157" s="1211"/>
    </row>
    <row r="158" spans="1:17">
      <c r="A158" s="1143"/>
      <c r="B158" s="1201" t="s">
        <v>165</v>
      </c>
      <c r="C158" s="1203">
        <v>8490</v>
      </c>
      <c r="D158" s="1204">
        <v>8910</v>
      </c>
      <c r="E158" s="1204">
        <v>9360</v>
      </c>
      <c r="F158" s="1204">
        <v>9830</v>
      </c>
      <c r="G158" s="1204">
        <v>10320</v>
      </c>
      <c r="H158" s="1204">
        <v>10840</v>
      </c>
      <c r="I158" s="1204">
        <v>11380</v>
      </c>
      <c r="J158" s="1204">
        <v>11900</v>
      </c>
      <c r="K158" s="1204">
        <v>12500</v>
      </c>
      <c r="L158" s="1204">
        <v>13100</v>
      </c>
      <c r="M158" s="1189"/>
      <c r="N158" s="1210">
        <v>1.05</v>
      </c>
      <c r="O158" s="1211">
        <v>8485.0619047619093</v>
      </c>
    </row>
    <row r="159" spans="1:17">
      <c r="A159" s="1143"/>
      <c r="B159" s="1201" t="s">
        <v>166</v>
      </c>
      <c r="C159" s="1203">
        <v>8000</v>
      </c>
      <c r="D159" s="1204">
        <v>8800</v>
      </c>
      <c r="E159" s="1204">
        <v>9680</v>
      </c>
      <c r="F159" s="1204">
        <v>10650</v>
      </c>
      <c r="G159" s="1204">
        <v>11720</v>
      </c>
      <c r="H159" s="1204">
        <v>12890</v>
      </c>
      <c r="I159" s="1204">
        <v>14180</v>
      </c>
      <c r="J159" s="1204">
        <v>15600</v>
      </c>
      <c r="K159" s="1204">
        <v>17200</v>
      </c>
      <c r="L159" s="1204">
        <v>18900</v>
      </c>
      <c r="M159" s="1189"/>
      <c r="N159" s="1210">
        <v>1.1000000000000001</v>
      </c>
      <c r="O159" s="1211">
        <v>8000</v>
      </c>
    </row>
    <row r="160" spans="1:17" ht="15">
      <c r="A160" s="1143"/>
      <c r="B160" s="1199" t="s">
        <v>167</v>
      </c>
      <c r="C160" s="1203">
        <v>12910</v>
      </c>
      <c r="D160" s="1204">
        <v>14850</v>
      </c>
      <c r="E160" s="1204">
        <v>17080</v>
      </c>
      <c r="F160" s="1204">
        <v>19640</v>
      </c>
      <c r="G160" s="1204">
        <v>22590</v>
      </c>
      <c r="H160" s="1204">
        <v>25980</v>
      </c>
      <c r="I160" s="1204">
        <v>29880</v>
      </c>
      <c r="J160" s="1204">
        <v>34400</v>
      </c>
      <c r="K160" s="1204">
        <v>39600</v>
      </c>
      <c r="L160" s="1204">
        <v>45500</v>
      </c>
      <c r="M160" s="1189"/>
      <c r="N160" s="1210">
        <v>1.1499999999999999</v>
      </c>
      <c r="O160" s="1211">
        <v>12914.705882352901</v>
      </c>
    </row>
    <row r="161" spans="1:15" ht="15">
      <c r="A161" s="1143"/>
      <c r="B161" s="1199" t="s">
        <v>168</v>
      </c>
      <c r="C161" s="1150">
        <f>ROUND(O161,-1)</f>
        <v>10320</v>
      </c>
      <c r="D161" s="1152">
        <f t="shared" ref="D161:L161" si="65">ROUND(C161*$N161,-1)</f>
        <v>11560</v>
      </c>
      <c r="E161" s="1152">
        <f t="shared" si="65"/>
        <v>12950</v>
      </c>
      <c r="F161" s="1152">
        <f t="shared" si="65"/>
        <v>14500</v>
      </c>
      <c r="G161" s="1152">
        <f t="shared" si="65"/>
        <v>16240</v>
      </c>
      <c r="H161" s="1152">
        <f t="shared" si="65"/>
        <v>18190</v>
      </c>
      <c r="I161" s="1152">
        <f t="shared" si="65"/>
        <v>20370</v>
      </c>
      <c r="J161" s="1152">
        <f t="shared" si="65"/>
        <v>22810</v>
      </c>
      <c r="K161" s="1152">
        <f t="shared" si="65"/>
        <v>25550</v>
      </c>
      <c r="L161" s="1152">
        <f t="shared" si="65"/>
        <v>28620</v>
      </c>
      <c r="M161" s="1189"/>
      <c r="N161" s="1210">
        <v>1.1200000000000001</v>
      </c>
      <c r="O161" s="1211">
        <v>10316</v>
      </c>
    </row>
    <row r="162" spans="1:15">
      <c r="A162" s="1143"/>
      <c r="B162" s="1201" t="s">
        <v>169</v>
      </c>
      <c r="C162" s="1203">
        <v>7530</v>
      </c>
      <c r="D162" s="1204">
        <v>8280</v>
      </c>
      <c r="E162" s="1204">
        <v>9110</v>
      </c>
      <c r="F162" s="1204">
        <v>10020</v>
      </c>
      <c r="G162" s="1204">
        <v>11020</v>
      </c>
      <c r="H162" s="1204">
        <v>12120</v>
      </c>
      <c r="I162" s="1204">
        <v>13330</v>
      </c>
      <c r="J162" s="1204">
        <v>14700</v>
      </c>
      <c r="K162" s="1204">
        <v>16200</v>
      </c>
      <c r="L162" s="1204">
        <v>17800</v>
      </c>
      <c r="M162" s="1189"/>
      <c r="N162" s="1210">
        <v>1.1000000000000001</v>
      </c>
      <c r="O162" s="1211">
        <v>7529.4117647058802</v>
      </c>
    </row>
    <row r="163" spans="1:15">
      <c r="A163" s="1143"/>
      <c r="B163" s="1201" t="s">
        <v>170</v>
      </c>
      <c r="C163" s="1203">
        <v>7530</v>
      </c>
      <c r="D163" s="1204">
        <v>8280</v>
      </c>
      <c r="E163" s="1204">
        <v>9110</v>
      </c>
      <c r="F163" s="1204">
        <v>10020</v>
      </c>
      <c r="G163" s="1204">
        <v>11020</v>
      </c>
      <c r="H163" s="1204">
        <v>12120</v>
      </c>
      <c r="I163" s="1204">
        <v>13330</v>
      </c>
      <c r="J163" s="1204">
        <v>14700</v>
      </c>
      <c r="K163" s="1204">
        <v>16200</v>
      </c>
      <c r="L163" s="1204">
        <v>17800</v>
      </c>
      <c r="M163" s="1189"/>
      <c r="N163" s="1210">
        <v>1.1000000000000001</v>
      </c>
      <c r="O163" s="1211">
        <v>7529.4117647058802</v>
      </c>
    </row>
    <row r="164" spans="1:15">
      <c r="A164" s="1143"/>
      <c r="B164" s="1201" t="s">
        <v>171</v>
      </c>
      <c r="C164" s="1203">
        <v>7010</v>
      </c>
      <c r="D164" s="1204">
        <v>7710</v>
      </c>
      <c r="E164" s="1204">
        <v>8480</v>
      </c>
      <c r="F164" s="1204">
        <v>9330</v>
      </c>
      <c r="G164" s="1204">
        <v>10260</v>
      </c>
      <c r="H164" s="1204">
        <v>11290</v>
      </c>
      <c r="I164" s="1204">
        <v>12420</v>
      </c>
      <c r="J164" s="1204">
        <v>13700</v>
      </c>
      <c r="K164" s="1204">
        <v>15100</v>
      </c>
      <c r="L164" s="1204">
        <v>16600</v>
      </c>
      <c r="M164" s="1189"/>
      <c r="N164" s="1210">
        <v>1.1000000000000001</v>
      </c>
      <c r="O164" s="1211">
        <v>7007.3529411764703</v>
      </c>
    </row>
    <row r="165" spans="1:15" ht="15">
      <c r="A165" s="1143"/>
      <c r="B165" s="1205" t="s">
        <v>172</v>
      </c>
      <c r="C165" s="1203">
        <v>11560</v>
      </c>
      <c r="D165" s="1204">
        <v>13290</v>
      </c>
      <c r="E165" s="1204">
        <v>15280</v>
      </c>
      <c r="F165" s="1204">
        <v>17570</v>
      </c>
      <c r="G165" s="1204">
        <v>20210</v>
      </c>
      <c r="H165" s="1204">
        <v>23240</v>
      </c>
      <c r="I165" s="1204">
        <v>26730</v>
      </c>
      <c r="J165" s="1204">
        <v>30700</v>
      </c>
      <c r="K165" s="1204">
        <v>35300</v>
      </c>
      <c r="L165" s="1204">
        <v>40600</v>
      </c>
      <c r="M165" s="1189"/>
      <c r="N165" s="1210">
        <v>1.1499999999999999</v>
      </c>
      <c r="O165" s="1211">
        <v>11561.7647058824</v>
      </c>
    </row>
    <row r="166" spans="1:15">
      <c r="A166" s="1143"/>
      <c r="B166" s="1201" t="s">
        <v>173</v>
      </c>
      <c r="C166" s="1203">
        <v>7000</v>
      </c>
      <c r="D166" s="1204">
        <v>7700</v>
      </c>
      <c r="E166" s="1204">
        <v>8470</v>
      </c>
      <c r="F166" s="1204">
        <v>9320</v>
      </c>
      <c r="G166" s="1204">
        <v>10250</v>
      </c>
      <c r="H166" s="1204">
        <v>11280</v>
      </c>
      <c r="I166" s="1204">
        <v>12410</v>
      </c>
      <c r="J166" s="1204">
        <v>13700</v>
      </c>
      <c r="K166" s="1204">
        <v>15100</v>
      </c>
      <c r="L166" s="1204">
        <v>16600</v>
      </c>
      <c r="M166" s="1189"/>
      <c r="N166" s="1210">
        <v>1.1000000000000001</v>
      </c>
      <c r="O166" s="1211">
        <v>7000</v>
      </c>
    </row>
    <row r="167" spans="1:15">
      <c r="A167" s="1143"/>
      <c r="B167" s="1201" t="s">
        <v>174</v>
      </c>
      <c r="C167" s="1203">
        <v>9540</v>
      </c>
      <c r="D167" s="1204">
        <v>10680</v>
      </c>
      <c r="E167" s="1204">
        <v>11960</v>
      </c>
      <c r="F167" s="1204">
        <v>13400</v>
      </c>
      <c r="G167" s="1204">
        <v>15010</v>
      </c>
      <c r="H167" s="1204">
        <v>16810</v>
      </c>
      <c r="I167" s="1204">
        <v>18830</v>
      </c>
      <c r="J167" s="1204">
        <v>21100</v>
      </c>
      <c r="K167" s="1204">
        <v>23600</v>
      </c>
      <c r="L167" s="1204">
        <v>26400</v>
      </c>
      <c r="M167" s="1189"/>
      <c r="N167" s="1210">
        <v>1.1200000000000001</v>
      </c>
      <c r="O167" s="1211">
        <v>9536.7647058823495</v>
      </c>
    </row>
    <row r="168" spans="1:15">
      <c r="A168" s="1143"/>
      <c r="B168" s="1201" t="s">
        <v>175</v>
      </c>
      <c r="C168" s="1203">
        <v>5340</v>
      </c>
      <c r="D168" s="1204">
        <v>5610</v>
      </c>
      <c r="E168" s="1204">
        <v>5890</v>
      </c>
      <c r="F168" s="1204">
        <v>6180</v>
      </c>
      <c r="G168" s="1204">
        <v>6490</v>
      </c>
      <c r="H168" s="1204">
        <v>6810</v>
      </c>
      <c r="I168" s="1204">
        <v>7150</v>
      </c>
      <c r="J168" s="1204">
        <v>7500</v>
      </c>
      <c r="K168" s="1204">
        <v>7900</v>
      </c>
      <c r="L168" s="1204">
        <v>8300</v>
      </c>
      <c r="M168" s="1189"/>
      <c r="N168" s="1210">
        <v>1.05</v>
      </c>
      <c r="O168" s="1211">
        <v>5343.75</v>
      </c>
    </row>
    <row r="169" spans="1:15">
      <c r="A169" s="1143"/>
      <c r="B169" s="1201" t="s">
        <v>176</v>
      </c>
      <c r="C169" s="1203">
        <v>8940</v>
      </c>
      <c r="D169" s="1204">
        <v>10010</v>
      </c>
      <c r="E169" s="1204">
        <v>11210</v>
      </c>
      <c r="F169" s="1204">
        <v>12560</v>
      </c>
      <c r="G169" s="1204">
        <v>14070</v>
      </c>
      <c r="H169" s="1204">
        <v>15760</v>
      </c>
      <c r="I169" s="1204">
        <v>17650</v>
      </c>
      <c r="J169" s="1204">
        <v>19800</v>
      </c>
      <c r="K169" s="1204">
        <v>22200</v>
      </c>
      <c r="L169" s="1204">
        <v>24900</v>
      </c>
      <c r="M169" s="1189"/>
      <c r="N169" s="1210">
        <v>1.1200000000000001</v>
      </c>
      <c r="O169" s="1211">
        <v>8941.1764705882397</v>
      </c>
    </row>
    <row r="170" spans="1:15">
      <c r="A170" s="1143"/>
      <c r="B170" s="1201" t="s">
        <v>177</v>
      </c>
      <c r="C170" s="1203">
        <v>7760</v>
      </c>
      <c r="D170" s="1204">
        <v>8540</v>
      </c>
      <c r="E170" s="1204">
        <v>9390</v>
      </c>
      <c r="F170" s="1204">
        <v>10330</v>
      </c>
      <c r="G170" s="1204">
        <v>11360</v>
      </c>
      <c r="H170" s="1204">
        <v>12500</v>
      </c>
      <c r="I170" s="1204">
        <v>13750</v>
      </c>
      <c r="J170" s="1204">
        <v>15100</v>
      </c>
      <c r="K170" s="1204">
        <v>16600</v>
      </c>
      <c r="L170" s="1204">
        <v>18300</v>
      </c>
      <c r="M170" s="1189"/>
      <c r="N170" s="1210">
        <v>1.1000000000000001</v>
      </c>
      <c r="O170" s="1211">
        <v>7757.3529411764703</v>
      </c>
    </row>
    <row r="171" spans="1:15">
      <c r="A171" s="1143"/>
      <c r="B171" s="1201" t="s">
        <v>178</v>
      </c>
      <c r="C171" s="1203">
        <v>7760</v>
      </c>
      <c r="D171" s="1204">
        <v>8540</v>
      </c>
      <c r="E171" s="1204">
        <v>9390</v>
      </c>
      <c r="F171" s="1204">
        <v>10330</v>
      </c>
      <c r="G171" s="1204">
        <v>11360</v>
      </c>
      <c r="H171" s="1204">
        <v>12500</v>
      </c>
      <c r="I171" s="1204">
        <v>13750</v>
      </c>
      <c r="J171" s="1204">
        <v>15100</v>
      </c>
      <c r="K171" s="1204">
        <v>16600</v>
      </c>
      <c r="L171" s="1204">
        <v>18300</v>
      </c>
      <c r="M171" s="1189"/>
      <c r="N171" s="1210">
        <v>1.1000000000000001</v>
      </c>
      <c r="O171" s="1211">
        <v>7757.3529411764703</v>
      </c>
    </row>
    <row r="172" spans="1:15" ht="15">
      <c r="A172" s="1143"/>
      <c r="B172" s="1199" t="s">
        <v>179</v>
      </c>
      <c r="C172" s="1203">
        <v>13910</v>
      </c>
      <c r="D172" s="1204">
        <v>16000</v>
      </c>
      <c r="E172" s="1204">
        <v>18400</v>
      </c>
      <c r="F172" s="1204">
        <v>21160</v>
      </c>
      <c r="G172" s="1204">
        <v>24330</v>
      </c>
      <c r="H172" s="1204">
        <v>27980</v>
      </c>
      <c r="I172" s="1204">
        <v>32180</v>
      </c>
      <c r="J172" s="1204">
        <v>37000</v>
      </c>
      <c r="K172" s="1204">
        <v>42600</v>
      </c>
      <c r="L172" s="1204">
        <v>49000</v>
      </c>
      <c r="M172" s="1189"/>
      <c r="N172" s="1210">
        <v>1.1499999999999999</v>
      </c>
      <c r="O172" s="1211">
        <v>13907.352941176499</v>
      </c>
    </row>
    <row r="173" spans="1:15">
      <c r="A173" s="1143"/>
      <c r="B173" s="1201" t="s">
        <v>180</v>
      </c>
      <c r="C173" s="1203">
        <v>8440</v>
      </c>
      <c r="D173" s="1204">
        <v>9280</v>
      </c>
      <c r="E173" s="1204">
        <v>10210</v>
      </c>
      <c r="F173" s="1204">
        <v>11230</v>
      </c>
      <c r="G173" s="1204">
        <v>12350</v>
      </c>
      <c r="H173" s="1204">
        <v>13590</v>
      </c>
      <c r="I173" s="1204">
        <v>14950</v>
      </c>
      <c r="J173" s="1204">
        <v>16400</v>
      </c>
      <c r="K173" s="1204">
        <v>18000</v>
      </c>
      <c r="L173" s="1204">
        <v>19800</v>
      </c>
      <c r="M173" s="1189"/>
      <c r="N173" s="1210">
        <v>1.1000000000000001</v>
      </c>
      <c r="O173" s="1211">
        <v>8441.1764705882397</v>
      </c>
    </row>
    <row r="174" spans="1:15" ht="15">
      <c r="A174" s="1143"/>
      <c r="B174" s="1144"/>
      <c r="C174" s="1204"/>
      <c r="D174" s="1204"/>
      <c r="E174" s="1203"/>
      <c r="F174" s="1203"/>
      <c r="G174" s="1203"/>
      <c r="H174" s="1203"/>
      <c r="I174" s="1203"/>
      <c r="J174" s="1203"/>
      <c r="K174" s="1203"/>
      <c r="L174" s="1203"/>
      <c r="M174" s="1189"/>
      <c r="N174" s="1210"/>
      <c r="O174" s="1211"/>
    </row>
    <row r="176" spans="1:15" ht="15">
      <c r="A176" s="1213">
        <f>COUNTA($B$4:B176)</f>
        <v>167</v>
      </c>
      <c r="B176" s="1214" t="s">
        <v>82</v>
      </c>
      <c r="C176" s="1215">
        <f>ROUND(D176/N176,-1)</f>
        <v>26580</v>
      </c>
      <c r="D176" s="1215">
        <f>ROUND(E176/N176,-1)</f>
        <v>31890</v>
      </c>
      <c r="E176" s="1216">
        <f>ROUND(O176,-1)</f>
        <v>38270</v>
      </c>
      <c r="F176" s="1215">
        <f t="shared" ref="F176:K191" si="66">ROUND(E176*$N176,-1)</f>
        <v>45920</v>
      </c>
      <c r="G176" s="1215">
        <f t="shared" si="66"/>
        <v>55100</v>
      </c>
      <c r="H176" s="1215">
        <f t="shared" si="66"/>
        <v>66120</v>
      </c>
      <c r="I176" s="1215">
        <f t="shared" si="66"/>
        <v>79340</v>
      </c>
      <c r="J176" s="1215">
        <f t="shared" si="66"/>
        <v>95210</v>
      </c>
      <c r="K176" s="1215">
        <f t="shared" si="66"/>
        <v>114250</v>
      </c>
      <c r="L176" s="1215">
        <f t="shared" ref="L176:L192" si="67">ROUND(K176*$N176,-2)</f>
        <v>137100</v>
      </c>
      <c r="M176" s="1220"/>
      <c r="N176" s="1221">
        <v>1.2</v>
      </c>
      <c r="O176" s="1222">
        <v>38266.640253565798</v>
      </c>
    </row>
    <row r="177" spans="1:15" ht="15">
      <c r="A177" s="1213"/>
      <c r="B177" s="1217" t="s">
        <v>142</v>
      </c>
      <c r="C177" s="1215">
        <f>ROUND(D177/N177,-1)</f>
        <v>21200</v>
      </c>
      <c r="D177" s="1215">
        <f>ROUND(E177/N177,-1)</f>
        <v>25440</v>
      </c>
      <c r="E177" s="1216">
        <f>ROUND(O177,-1)</f>
        <v>30530</v>
      </c>
      <c r="F177" s="1215">
        <f t="shared" si="66"/>
        <v>36640</v>
      </c>
      <c r="G177" s="1215">
        <f t="shared" si="66"/>
        <v>43970</v>
      </c>
      <c r="H177" s="1215">
        <f t="shared" si="66"/>
        <v>52760</v>
      </c>
      <c r="I177" s="1215">
        <f t="shared" si="66"/>
        <v>63310</v>
      </c>
      <c r="J177" s="1215">
        <f t="shared" si="66"/>
        <v>75970</v>
      </c>
      <c r="K177" s="1215">
        <f t="shared" si="66"/>
        <v>91160</v>
      </c>
      <c r="L177" s="1215">
        <f t="shared" si="67"/>
        <v>109400</v>
      </c>
      <c r="M177" s="1220"/>
      <c r="N177" s="1221">
        <v>1.2</v>
      </c>
      <c r="O177" s="1222">
        <v>30526.941362916001</v>
      </c>
    </row>
    <row r="178" spans="1:15" ht="15">
      <c r="A178" s="1213"/>
      <c r="B178" s="1217" t="s">
        <v>181</v>
      </c>
      <c r="C178" s="1216">
        <f t="shared" ref="C178:C202" si="68">ROUND(O178,-1)</f>
        <v>14980</v>
      </c>
      <c r="D178" s="1215">
        <f t="shared" ref="D178:K229" si="69">ROUND(C178*$N178,-1)</f>
        <v>17680</v>
      </c>
      <c r="E178" s="1215">
        <f t="shared" si="69"/>
        <v>20860</v>
      </c>
      <c r="F178" s="1215">
        <f t="shared" si="66"/>
        <v>24610</v>
      </c>
      <c r="G178" s="1215">
        <f t="shared" si="66"/>
        <v>29040</v>
      </c>
      <c r="H178" s="1215">
        <f t="shared" si="66"/>
        <v>34270</v>
      </c>
      <c r="I178" s="1215">
        <f t="shared" si="66"/>
        <v>40440</v>
      </c>
      <c r="J178" s="1215">
        <f t="shared" ref="J178:L236" si="70">ROUND(I178*$N178,-2)</f>
        <v>47700</v>
      </c>
      <c r="K178" s="1215">
        <f t="shared" si="70"/>
        <v>56300</v>
      </c>
      <c r="L178" s="1215">
        <f t="shared" si="67"/>
        <v>66400</v>
      </c>
      <c r="M178" s="1220"/>
      <c r="N178" s="1221">
        <v>1.18</v>
      </c>
      <c r="O178" s="1222">
        <v>14980.8823529412</v>
      </c>
    </row>
    <row r="179" spans="1:15" ht="15">
      <c r="A179" s="1213"/>
      <c r="B179" s="1218" t="s">
        <v>182</v>
      </c>
      <c r="C179" s="1216">
        <f t="shared" si="68"/>
        <v>11630</v>
      </c>
      <c r="D179" s="1215">
        <f t="shared" si="69"/>
        <v>13370</v>
      </c>
      <c r="E179" s="1215">
        <f t="shared" si="69"/>
        <v>15380</v>
      </c>
      <c r="F179" s="1215">
        <f t="shared" si="66"/>
        <v>17690</v>
      </c>
      <c r="G179" s="1215">
        <f t="shared" si="66"/>
        <v>20340</v>
      </c>
      <c r="H179" s="1215">
        <f t="shared" si="66"/>
        <v>23390</v>
      </c>
      <c r="I179" s="1215">
        <f t="shared" si="66"/>
        <v>26900</v>
      </c>
      <c r="J179" s="1215">
        <f t="shared" si="70"/>
        <v>30900</v>
      </c>
      <c r="K179" s="1215">
        <f t="shared" si="70"/>
        <v>35500</v>
      </c>
      <c r="L179" s="1215">
        <f t="shared" si="67"/>
        <v>40800</v>
      </c>
      <c r="M179" s="1220"/>
      <c r="N179" s="1221">
        <v>1.1499999999999999</v>
      </c>
      <c r="O179" s="1222">
        <v>11627.9411764706</v>
      </c>
    </row>
    <row r="180" spans="1:15">
      <c r="A180" s="1213"/>
      <c r="B180" s="1219" t="s">
        <v>183</v>
      </c>
      <c r="C180" s="1216">
        <f t="shared" si="68"/>
        <v>9850</v>
      </c>
      <c r="D180" s="1215">
        <f t="shared" si="69"/>
        <v>11030</v>
      </c>
      <c r="E180" s="1215">
        <f t="shared" si="69"/>
        <v>12350</v>
      </c>
      <c r="F180" s="1215">
        <f t="shared" si="66"/>
        <v>13830</v>
      </c>
      <c r="G180" s="1215">
        <f t="shared" si="66"/>
        <v>15490</v>
      </c>
      <c r="H180" s="1215">
        <f t="shared" si="66"/>
        <v>17350</v>
      </c>
      <c r="I180" s="1215">
        <f t="shared" si="66"/>
        <v>19430</v>
      </c>
      <c r="J180" s="1215">
        <f t="shared" si="70"/>
        <v>21800</v>
      </c>
      <c r="K180" s="1215">
        <f t="shared" si="70"/>
        <v>24400</v>
      </c>
      <c r="L180" s="1215">
        <f t="shared" si="67"/>
        <v>27300</v>
      </c>
      <c r="M180" s="1220"/>
      <c r="N180" s="1221">
        <v>1.1200000000000001</v>
      </c>
      <c r="O180" s="1222">
        <v>9852.9411764705892</v>
      </c>
    </row>
    <row r="181" spans="1:15">
      <c r="A181" s="1213"/>
      <c r="B181" s="1219" t="s">
        <v>184</v>
      </c>
      <c r="C181" s="1216">
        <f t="shared" si="68"/>
        <v>7150</v>
      </c>
      <c r="D181" s="1215">
        <f t="shared" si="69"/>
        <v>7870</v>
      </c>
      <c r="E181" s="1215">
        <f t="shared" si="69"/>
        <v>8660</v>
      </c>
      <c r="F181" s="1215">
        <f t="shared" si="66"/>
        <v>9530</v>
      </c>
      <c r="G181" s="1215">
        <f t="shared" si="66"/>
        <v>10480</v>
      </c>
      <c r="H181" s="1215">
        <f t="shared" si="66"/>
        <v>11530</v>
      </c>
      <c r="I181" s="1215">
        <f t="shared" si="66"/>
        <v>12680</v>
      </c>
      <c r="J181" s="1215">
        <f t="shared" si="70"/>
        <v>13900</v>
      </c>
      <c r="K181" s="1215">
        <f t="shared" si="70"/>
        <v>15300</v>
      </c>
      <c r="L181" s="1215">
        <f t="shared" si="67"/>
        <v>16800</v>
      </c>
      <c r="M181" s="1220"/>
      <c r="N181" s="1221">
        <v>1.1000000000000001</v>
      </c>
      <c r="O181" s="1222">
        <v>7154.7761904761901</v>
      </c>
    </row>
    <row r="182" spans="1:15">
      <c r="A182" s="1213"/>
      <c r="B182" s="1219" t="s">
        <v>185</v>
      </c>
      <c r="C182" s="1216">
        <f t="shared" si="68"/>
        <v>9850</v>
      </c>
      <c r="D182" s="1215">
        <f t="shared" si="69"/>
        <v>11030</v>
      </c>
      <c r="E182" s="1215">
        <f t="shared" si="69"/>
        <v>12350</v>
      </c>
      <c r="F182" s="1215">
        <f t="shared" si="66"/>
        <v>13830</v>
      </c>
      <c r="G182" s="1215">
        <f t="shared" si="66"/>
        <v>15490</v>
      </c>
      <c r="H182" s="1215">
        <f t="shared" si="66"/>
        <v>17350</v>
      </c>
      <c r="I182" s="1215">
        <f t="shared" si="66"/>
        <v>19430</v>
      </c>
      <c r="J182" s="1215">
        <f t="shared" si="70"/>
        <v>21800</v>
      </c>
      <c r="K182" s="1215">
        <f t="shared" si="70"/>
        <v>24400</v>
      </c>
      <c r="L182" s="1215">
        <f t="shared" si="67"/>
        <v>27300</v>
      </c>
      <c r="M182" s="1220"/>
      <c r="N182" s="1221">
        <v>1.1200000000000001</v>
      </c>
      <c r="O182" s="1222">
        <v>9852.9411764705892</v>
      </c>
    </row>
    <row r="183" spans="1:15">
      <c r="A183" s="1213"/>
      <c r="B183" s="1219" t="s">
        <v>186</v>
      </c>
      <c r="C183" s="1216">
        <f t="shared" si="68"/>
        <v>6900</v>
      </c>
      <c r="D183" s="1215">
        <f t="shared" si="69"/>
        <v>7590</v>
      </c>
      <c r="E183" s="1215">
        <f t="shared" si="69"/>
        <v>8350</v>
      </c>
      <c r="F183" s="1215">
        <f t="shared" si="66"/>
        <v>9190</v>
      </c>
      <c r="G183" s="1215">
        <f t="shared" si="66"/>
        <v>10110</v>
      </c>
      <c r="H183" s="1215">
        <f t="shared" si="66"/>
        <v>11120</v>
      </c>
      <c r="I183" s="1215">
        <f t="shared" si="66"/>
        <v>12230</v>
      </c>
      <c r="J183" s="1215">
        <f t="shared" si="70"/>
        <v>13500</v>
      </c>
      <c r="K183" s="1215">
        <f t="shared" si="70"/>
        <v>14900</v>
      </c>
      <c r="L183" s="1215">
        <f t="shared" si="67"/>
        <v>16400</v>
      </c>
      <c r="M183" s="1220"/>
      <c r="N183" s="1221">
        <v>1.1000000000000001</v>
      </c>
      <c r="O183" s="1222">
        <v>6904.7761904761901</v>
      </c>
    </row>
    <row r="184" spans="1:15" ht="15">
      <c r="A184" s="1213"/>
      <c r="B184" s="1218" t="s">
        <v>187</v>
      </c>
      <c r="C184" s="1216">
        <f t="shared" si="68"/>
        <v>11630</v>
      </c>
      <c r="D184" s="1215">
        <f t="shared" si="69"/>
        <v>13370</v>
      </c>
      <c r="E184" s="1215">
        <f t="shared" si="69"/>
        <v>15380</v>
      </c>
      <c r="F184" s="1215">
        <f t="shared" si="66"/>
        <v>17690</v>
      </c>
      <c r="G184" s="1215">
        <f t="shared" si="66"/>
        <v>20340</v>
      </c>
      <c r="H184" s="1215">
        <f t="shared" si="66"/>
        <v>23390</v>
      </c>
      <c r="I184" s="1215">
        <f t="shared" si="66"/>
        <v>26900</v>
      </c>
      <c r="J184" s="1215">
        <f t="shared" si="70"/>
        <v>30900</v>
      </c>
      <c r="K184" s="1215">
        <f t="shared" si="70"/>
        <v>35500</v>
      </c>
      <c r="L184" s="1215">
        <f t="shared" si="67"/>
        <v>40800</v>
      </c>
      <c r="M184" s="1220"/>
      <c r="N184" s="1221">
        <v>1.1499999999999999</v>
      </c>
      <c r="O184" s="1222">
        <v>11627.9411764706</v>
      </c>
    </row>
    <row r="185" spans="1:15">
      <c r="A185" s="1213"/>
      <c r="B185" s="1219" t="s">
        <v>188</v>
      </c>
      <c r="C185" s="1216">
        <f t="shared" si="68"/>
        <v>9490</v>
      </c>
      <c r="D185" s="1215">
        <f t="shared" si="69"/>
        <v>10440</v>
      </c>
      <c r="E185" s="1215">
        <f t="shared" si="69"/>
        <v>11480</v>
      </c>
      <c r="F185" s="1215">
        <f t="shared" si="66"/>
        <v>12630</v>
      </c>
      <c r="G185" s="1215">
        <f t="shared" si="66"/>
        <v>13890</v>
      </c>
      <c r="H185" s="1215">
        <f t="shared" si="66"/>
        <v>15280</v>
      </c>
      <c r="I185" s="1215">
        <f t="shared" si="66"/>
        <v>16810</v>
      </c>
      <c r="J185" s="1215">
        <f t="shared" si="70"/>
        <v>18500</v>
      </c>
      <c r="K185" s="1215">
        <f t="shared" si="70"/>
        <v>20400</v>
      </c>
      <c r="L185" s="1215">
        <f t="shared" si="67"/>
        <v>22400</v>
      </c>
      <c r="M185" s="1220"/>
      <c r="N185" s="1221">
        <v>1.1000000000000001</v>
      </c>
      <c r="O185" s="1222">
        <v>9492.6470588235297</v>
      </c>
    </row>
    <row r="186" spans="1:15" ht="15">
      <c r="A186" s="1213"/>
      <c r="B186" s="1217" t="s">
        <v>189</v>
      </c>
      <c r="C186" s="1216">
        <f t="shared" si="68"/>
        <v>13510</v>
      </c>
      <c r="D186" s="1215">
        <f t="shared" si="69"/>
        <v>15940</v>
      </c>
      <c r="E186" s="1215">
        <f t="shared" si="69"/>
        <v>18810</v>
      </c>
      <c r="F186" s="1215">
        <f t="shared" si="66"/>
        <v>22200</v>
      </c>
      <c r="G186" s="1215">
        <f t="shared" si="66"/>
        <v>26200</v>
      </c>
      <c r="H186" s="1215">
        <f t="shared" si="66"/>
        <v>30920</v>
      </c>
      <c r="I186" s="1215">
        <f t="shared" si="66"/>
        <v>36490</v>
      </c>
      <c r="J186" s="1215">
        <f t="shared" si="70"/>
        <v>43100</v>
      </c>
      <c r="K186" s="1215">
        <f t="shared" si="70"/>
        <v>50900</v>
      </c>
      <c r="L186" s="1215">
        <f t="shared" si="67"/>
        <v>60100</v>
      </c>
      <c r="M186" s="1220"/>
      <c r="N186" s="1221">
        <v>1.18</v>
      </c>
      <c r="O186" s="1222">
        <v>13510.294117647099</v>
      </c>
    </row>
    <row r="187" spans="1:15" ht="15">
      <c r="A187" s="1213"/>
      <c r="B187" s="1218" t="s">
        <v>190</v>
      </c>
      <c r="C187" s="1216">
        <f t="shared" si="68"/>
        <v>11370</v>
      </c>
      <c r="D187" s="1215">
        <f t="shared" si="69"/>
        <v>13080</v>
      </c>
      <c r="E187" s="1215">
        <f t="shared" si="69"/>
        <v>15040</v>
      </c>
      <c r="F187" s="1215">
        <f t="shared" si="66"/>
        <v>17300</v>
      </c>
      <c r="G187" s="1215">
        <f t="shared" si="66"/>
        <v>19900</v>
      </c>
      <c r="H187" s="1215">
        <f t="shared" si="66"/>
        <v>22890</v>
      </c>
      <c r="I187" s="1215">
        <f t="shared" si="66"/>
        <v>26320</v>
      </c>
      <c r="J187" s="1215">
        <f t="shared" si="70"/>
        <v>30300</v>
      </c>
      <c r="K187" s="1215">
        <f t="shared" si="70"/>
        <v>34800</v>
      </c>
      <c r="L187" s="1215">
        <f t="shared" si="67"/>
        <v>40000</v>
      </c>
      <c r="M187" s="1220"/>
      <c r="N187" s="1221">
        <v>1.1499999999999999</v>
      </c>
      <c r="O187" s="1222">
        <v>11368.217054263599</v>
      </c>
    </row>
    <row r="188" spans="1:15">
      <c r="A188" s="1213"/>
      <c r="B188" s="1219" t="s">
        <v>143</v>
      </c>
      <c r="C188" s="1216">
        <f t="shared" si="68"/>
        <v>8540</v>
      </c>
      <c r="D188" s="1215">
        <f t="shared" si="69"/>
        <v>9560</v>
      </c>
      <c r="E188" s="1215">
        <f t="shared" si="69"/>
        <v>10710</v>
      </c>
      <c r="F188" s="1215">
        <f t="shared" si="66"/>
        <v>12000</v>
      </c>
      <c r="G188" s="1215">
        <f t="shared" si="66"/>
        <v>13440</v>
      </c>
      <c r="H188" s="1215">
        <f t="shared" si="66"/>
        <v>15050</v>
      </c>
      <c r="I188" s="1215">
        <f t="shared" si="66"/>
        <v>16860</v>
      </c>
      <c r="J188" s="1215">
        <f t="shared" si="70"/>
        <v>18900</v>
      </c>
      <c r="K188" s="1215">
        <f t="shared" si="70"/>
        <v>21200</v>
      </c>
      <c r="L188" s="1215">
        <f t="shared" si="67"/>
        <v>23700</v>
      </c>
      <c r="M188" s="1220"/>
      <c r="N188" s="1221">
        <v>1.1200000000000001</v>
      </c>
      <c r="O188" s="1222">
        <v>8536.7647058823495</v>
      </c>
    </row>
    <row r="189" spans="1:15">
      <c r="A189" s="1213"/>
      <c r="B189" s="1219" t="s">
        <v>191</v>
      </c>
      <c r="C189" s="1216">
        <f t="shared" si="68"/>
        <v>8400</v>
      </c>
      <c r="D189" s="1215">
        <f t="shared" si="69"/>
        <v>9240</v>
      </c>
      <c r="E189" s="1215">
        <f t="shared" si="69"/>
        <v>10160</v>
      </c>
      <c r="F189" s="1215">
        <f t="shared" si="66"/>
        <v>11180</v>
      </c>
      <c r="G189" s="1215">
        <f t="shared" si="66"/>
        <v>12300</v>
      </c>
      <c r="H189" s="1215">
        <f t="shared" si="66"/>
        <v>13530</v>
      </c>
      <c r="I189" s="1215">
        <f t="shared" si="66"/>
        <v>14880</v>
      </c>
      <c r="J189" s="1215">
        <f t="shared" si="70"/>
        <v>16400</v>
      </c>
      <c r="K189" s="1215">
        <f t="shared" si="70"/>
        <v>18000</v>
      </c>
      <c r="L189" s="1215">
        <f t="shared" si="67"/>
        <v>19800</v>
      </c>
      <c r="M189" s="1220"/>
      <c r="N189" s="1221">
        <v>1.1000000000000001</v>
      </c>
      <c r="O189" s="1222">
        <v>8397.0588235294108</v>
      </c>
    </row>
    <row r="190" spans="1:15">
      <c r="A190" s="1213"/>
      <c r="B190" s="1219" t="s">
        <v>192</v>
      </c>
      <c r="C190" s="1216">
        <f t="shared" si="68"/>
        <v>6320</v>
      </c>
      <c r="D190" s="1215">
        <f t="shared" si="69"/>
        <v>6640</v>
      </c>
      <c r="E190" s="1215">
        <f t="shared" si="69"/>
        <v>6970</v>
      </c>
      <c r="F190" s="1215">
        <f t="shared" si="66"/>
        <v>7320</v>
      </c>
      <c r="G190" s="1215">
        <f t="shared" si="66"/>
        <v>7690</v>
      </c>
      <c r="H190" s="1215">
        <f t="shared" si="66"/>
        <v>8070</v>
      </c>
      <c r="I190" s="1215">
        <f t="shared" si="66"/>
        <v>8470</v>
      </c>
      <c r="J190" s="1215">
        <f t="shared" si="70"/>
        <v>8900</v>
      </c>
      <c r="K190" s="1215">
        <f t="shared" si="70"/>
        <v>9300</v>
      </c>
      <c r="L190" s="1215">
        <f t="shared" si="67"/>
        <v>9800</v>
      </c>
      <c r="M190" s="1220"/>
      <c r="N190" s="1221">
        <v>1.05</v>
      </c>
      <c r="O190" s="1222">
        <v>6315.4476190476198</v>
      </c>
    </row>
    <row r="191" spans="1:15">
      <c r="A191" s="1213"/>
      <c r="B191" s="1219" t="s">
        <v>193</v>
      </c>
      <c r="C191" s="1216">
        <f t="shared" si="68"/>
        <v>8400</v>
      </c>
      <c r="D191" s="1215">
        <f t="shared" si="69"/>
        <v>9240</v>
      </c>
      <c r="E191" s="1215">
        <f t="shared" si="69"/>
        <v>10160</v>
      </c>
      <c r="F191" s="1215">
        <f t="shared" si="66"/>
        <v>11180</v>
      </c>
      <c r="G191" s="1215">
        <f t="shared" si="66"/>
        <v>12300</v>
      </c>
      <c r="H191" s="1215">
        <f t="shared" si="66"/>
        <v>13530</v>
      </c>
      <c r="I191" s="1215">
        <f t="shared" si="66"/>
        <v>14880</v>
      </c>
      <c r="J191" s="1215">
        <f t="shared" si="70"/>
        <v>16400</v>
      </c>
      <c r="K191" s="1215">
        <f t="shared" si="70"/>
        <v>18000</v>
      </c>
      <c r="L191" s="1215">
        <f t="shared" si="67"/>
        <v>19800</v>
      </c>
      <c r="M191" s="1220"/>
      <c r="N191" s="1221">
        <v>1.1000000000000001</v>
      </c>
      <c r="O191" s="1222">
        <v>8397.0588235294108</v>
      </c>
    </row>
    <row r="192" spans="1:15" ht="15">
      <c r="A192" s="1213"/>
      <c r="B192" s="1218" t="s">
        <v>194</v>
      </c>
      <c r="C192" s="1216">
        <f t="shared" si="68"/>
        <v>11370</v>
      </c>
      <c r="D192" s="1215">
        <f t="shared" si="69"/>
        <v>13080</v>
      </c>
      <c r="E192" s="1215">
        <f t="shared" si="69"/>
        <v>15040</v>
      </c>
      <c r="F192" s="1215">
        <f t="shared" si="69"/>
        <v>17300</v>
      </c>
      <c r="G192" s="1215">
        <f t="shared" si="69"/>
        <v>19900</v>
      </c>
      <c r="H192" s="1215">
        <f t="shared" si="69"/>
        <v>22890</v>
      </c>
      <c r="I192" s="1215">
        <f t="shared" si="69"/>
        <v>26320</v>
      </c>
      <c r="J192" s="1215">
        <f t="shared" si="70"/>
        <v>30300</v>
      </c>
      <c r="K192" s="1215">
        <f t="shared" si="70"/>
        <v>34800</v>
      </c>
      <c r="L192" s="1215">
        <f t="shared" si="67"/>
        <v>40000</v>
      </c>
      <c r="M192" s="1220"/>
      <c r="N192" s="1221">
        <v>1.1499999999999999</v>
      </c>
      <c r="O192" s="1222">
        <v>11368.217054263599</v>
      </c>
    </row>
    <row r="193" spans="1:15">
      <c r="A193" s="1213"/>
      <c r="B193" s="1219" t="s">
        <v>195</v>
      </c>
      <c r="C193" s="1216">
        <f t="shared" si="68"/>
        <v>9540</v>
      </c>
      <c r="D193" s="1215">
        <f t="shared" si="69"/>
        <v>10680</v>
      </c>
      <c r="E193" s="1215">
        <f t="shared" si="69"/>
        <v>11960</v>
      </c>
      <c r="F193" s="1215">
        <f t="shared" si="69"/>
        <v>13400</v>
      </c>
      <c r="G193" s="1215">
        <f t="shared" si="69"/>
        <v>15010</v>
      </c>
      <c r="H193" s="1215">
        <f t="shared" si="69"/>
        <v>16810</v>
      </c>
      <c r="I193" s="1215">
        <f t="shared" si="69"/>
        <v>18830</v>
      </c>
      <c r="J193" s="1215">
        <f t="shared" si="70"/>
        <v>21100</v>
      </c>
      <c r="K193" s="1215">
        <f t="shared" si="70"/>
        <v>23600</v>
      </c>
      <c r="L193" s="1215">
        <f t="shared" si="70"/>
        <v>26400</v>
      </c>
      <c r="M193" s="1220"/>
      <c r="N193" s="1221">
        <v>1.1200000000000001</v>
      </c>
      <c r="O193" s="1222">
        <v>9536.7647058823495</v>
      </c>
    </row>
    <row r="194" spans="1:15">
      <c r="A194" s="1213"/>
      <c r="B194" s="1219" t="s">
        <v>175</v>
      </c>
      <c r="C194" s="1216">
        <f t="shared" si="68"/>
        <v>5340</v>
      </c>
      <c r="D194" s="1215">
        <f t="shared" si="69"/>
        <v>5610</v>
      </c>
      <c r="E194" s="1215">
        <f t="shared" si="69"/>
        <v>5890</v>
      </c>
      <c r="F194" s="1215">
        <f t="shared" si="69"/>
        <v>6180</v>
      </c>
      <c r="G194" s="1215">
        <f t="shared" si="69"/>
        <v>6490</v>
      </c>
      <c r="H194" s="1215">
        <f t="shared" si="69"/>
        <v>6810</v>
      </c>
      <c r="I194" s="1215">
        <f t="shared" si="69"/>
        <v>7150</v>
      </c>
      <c r="J194" s="1215">
        <f t="shared" si="70"/>
        <v>7500</v>
      </c>
      <c r="K194" s="1215">
        <f t="shared" si="70"/>
        <v>7900</v>
      </c>
      <c r="L194" s="1215">
        <f t="shared" si="70"/>
        <v>8300</v>
      </c>
      <c r="M194" s="1220"/>
      <c r="N194" s="1221">
        <v>1.05</v>
      </c>
      <c r="O194" s="1222">
        <v>5343.75</v>
      </c>
    </row>
    <row r="195" spans="1:15" ht="15">
      <c r="A195" s="1213"/>
      <c r="B195" s="1224" t="s">
        <v>196</v>
      </c>
      <c r="C195" s="1216">
        <f t="shared" si="68"/>
        <v>16090</v>
      </c>
      <c r="D195" s="1215">
        <f t="shared" si="69"/>
        <v>18990</v>
      </c>
      <c r="E195" s="1215">
        <f t="shared" si="69"/>
        <v>22410</v>
      </c>
      <c r="F195" s="1215">
        <f t="shared" si="69"/>
        <v>26440</v>
      </c>
      <c r="G195" s="1215">
        <f t="shared" si="69"/>
        <v>31200</v>
      </c>
      <c r="H195" s="1215">
        <f t="shared" si="69"/>
        <v>36820</v>
      </c>
      <c r="I195" s="1215">
        <f t="shared" si="69"/>
        <v>43450</v>
      </c>
      <c r="J195" s="1215">
        <f t="shared" si="70"/>
        <v>51300</v>
      </c>
      <c r="K195" s="1215">
        <f t="shared" si="70"/>
        <v>60500</v>
      </c>
      <c r="L195" s="1215">
        <f t="shared" si="70"/>
        <v>71400</v>
      </c>
      <c r="M195" s="1220"/>
      <c r="N195" s="1221">
        <v>1.18</v>
      </c>
      <c r="O195" s="1222">
        <v>16089.147286821701</v>
      </c>
    </row>
    <row r="196" spans="1:15" ht="15">
      <c r="A196" s="1213"/>
      <c r="B196" s="1218" t="s">
        <v>197</v>
      </c>
      <c r="C196" s="1216">
        <f t="shared" si="68"/>
        <v>11130</v>
      </c>
      <c r="D196" s="1215">
        <f t="shared" si="69"/>
        <v>12800</v>
      </c>
      <c r="E196" s="1215">
        <f t="shared" si="69"/>
        <v>14720</v>
      </c>
      <c r="F196" s="1215">
        <f t="shared" si="69"/>
        <v>16930</v>
      </c>
      <c r="G196" s="1215">
        <f t="shared" si="69"/>
        <v>19470</v>
      </c>
      <c r="H196" s="1215">
        <f t="shared" si="69"/>
        <v>22390</v>
      </c>
      <c r="I196" s="1215">
        <f t="shared" si="69"/>
        <v>25750</v>
      </c>
      <c r="J196" s="1215">
        <f t="shared" si="70"/>
        <v>29600</v>
      </c>
      <c r="K196" s="1215">
        <f t="shared" si="70"/>
        <v>34000</v>
      </c>
      <c r="L196" s="1215">
        <f t="shared" si="70"/>
        <v>39100</v>
      </c>
      <c r="M196" s="1220"/>
      <c r="N196" s="1221">
        <v>1.1499999999999999</v>
      </c>
      <c r="O196" s="1222">
        <v>11127.9411764706</v>
      </c>
    </row>
    <row r="197" spans="1:15">
      <c r="A197" s="1213"/>
      <c r="B197" s="1219" t="s">
        <v>156</v>
      </c>
      <c r="C197" s="1216">
        <f t="shared" si="68"/>
        <v>7820</v>
      </c>
      <c r="D197" s="1215">
        <f t="shared" si="69"/>
        <v>8600</v>
      </c>
      <c r="E197" s="1215">
        <f t="shared" si="69"/>
        <v>9460</v>
      </c>
      <c r="F197" s="1215">
        <f t="shared" si="69"/>
        <v>10410</v>
      </c>
      <c r="G197" s="1215">
        <f t="shared" si="69"/>
        <v>11450</v>
      </c>
      <c r="H197" s="1215">
        <f t="shared" si="69"/>
        <v>12600</v>
      </c>
      <c r="I197" s="1215">
        <f t="shared" si="69"/>
        <v>13860</v>
      </c>
      <c r="J197" s="1215">
        <f t="shared" si="70"/>
        <v>15200</v>
      </c>
      <c r="K197" s="1215">
        <f t="shared" si="70"/>
        <v>16700</v>
      </c>
      <c r="L197" s="1215">
        <f t="shared" si="70"/>
        <v>18400</v>
      </c>
      <c r="M197" s="1220"/>
      <c r="N197" s="1221">
        <v>1.1000000000000001</v>
      </c>
      <c r="O197" s="1222">
        <v>7823.5294117647099</v>
      </c>
    </row>
    <row r="198" spans="1:15">
      <c r="A198" s="1213"/>
      <c r="B198" s="1219" t="s">
        <v>166</v>
      </c>
      <c r="C198" s="1216">
        <f t="shared" si="68"/>
        <v>8000</v>
      </c>
      <c r="D198" s="1215">
        <f t="shared" si="69"/>
        <v>8800</v>
      </c>
      <c r="E198" s="1215">
        <f t="shared" si="69"/>
        <v>9680</v>
      </c>
      <c r="F198" s="1215">
        <f t="shared" si="69"/>
        <v>10650</v>
      </c>
      <c r="G198" s="1215">
        <f t="shared" si="69"/>
        <v>11720</v>
      </c>
      <c r="H198" s="1215">
        <f t="shared" si="69"/>
        <v>12890</v>
      </c>
      <c r="I198" s="1215">
        <f t="shared" si="69"/>
        <v>14180</v>
      </c>
      <c r="J198" s="1215">
        <f t="shared" si="70"/>
        <v>15600</v>
      </c>
      <c r="K198" s="1215">
        <f t="shared" si="70"/>
        <v>17200</v>
      </c>
      <c r="L198" s="1215">
        <f t="shared" si="70"/>
        <v>18900</v>
      </c>
      <c r="M198" s="1220"/>
      <c r="N198" s="1221">
        <v>1.1000000000000001</v>
      </c>
      <c r="O198" s="1222">
        <v>8000</v>
      </c>
    </row>
    <row r="199" spans="1:15" ht="15">
      <c r="A199" s="1213"/>
      <c r="B199" s="1218" t="s">
        <v>198</v>
      </c>
      <c r="C199" s="1216">
        <f t="shared" si="68"/>
        <v>11130</v>
      </c>
      <c r="D199" s="1215">
        <f t="shared" si="69"/>
        <v>12800</v>
      </c>
      <c r="E199" s="1215">
        <f t="shared" si="69"/>
        <v>14720</v>
      </c>
      <c r="F199" s="1215">
        <f t="shared" si="69"/>
        <v>16930</v>
      </c>
      <c r="G199" s="1215">
        <f t="shared" si="69"/>
        <v>19470</v>
      </c>
      <c r="H199" s="1215">
        <f t="shared" si="69"/>
        <v>22390</v>
      </c>
      <c r="I199" s="1215">
        <f t="shared" si="69"/>
        <v>25750</v>
      </c>
      <c r="J199" s="1215">
        <f t="shared" si="70"/>
        <v>29600</v>
      </c>
      <c r="K199" s="1215">
        <f t="shared" si="70"/>
        <v>34000</v>
      </c>
      <c r="L199" s="1215">
        <f t="shared" si="70"/>
        <v>39100</v>
      </c>
      <c r="M199" s="1220"/>
      <c r="N199" s="1221">
        <v>1.1499999999999999</v>
      </c>
      <c r="O199" s="1222">
        <v>11127.9411764706</v>
      </c>
    </row>
    <row r="200" spans="1:15">
      <c r="A200" s="1213"/>
      <c r="B200" s="1219" t="s">
        <v>163</v>
      </c>
      <c r="C200" s="1216">
        <f t="shared" si="68"/>
        <v>8040</v>
      </c>
      <c r="D200" s="1215">
        <f t="shared" si="69"/>
        <v>9000</v>
      </c>
      <c r="E200" s="1215">
        <f t="shared" si="69"/>
        <v>10080</v>
      </c>
      <c r="F200" s="1215">
        <f t="shared" si="69"/>
        <v>11290</v>
      </c>
      <c r="G200" s="1215">
        <f t="shared" si="69"/>
        <v>12640</v>
      </c>
      <c r="H200" s="1215">
        <f t="shared" si="69"/>
        <v>14160</v>
      </c>
      <c r="I200" s="1215">
        <f t="shared" si="69"/>
        <v>15860</v>
      </c>
      <c r="J200" s="1215">
        <f t="shared" si="70"/>
        <v>17800</v>
      </c>
      <c r="K200" s="1215">
        <f t="shared" si="70"/>
        <v>19900</v>
      </c>
      <c r="L200" s="1215">
        <f t="shared" si="70"/>
        <v>22300</v>
      </c>
      <c r="M200" s="1220"/>
      <c r="N200" s="1221">
        <v>1.1200000000000001</v>
      </c>
      <c r="O200" s="1222">
        <v>8037.7906976744198</v>
      </c>
    </row>
    <row r="201" spans="1:15">
      <c r="A201" s="1213"/>
      <c r="B201" s="1219" t="s">
        <v>165</v>
      </c>
      <c r="C201" s="1216">
        <f t="shared" si="68"/>
        <v>0</v>
      </c>
      <c r="D201" s="1215">
        <f t="shared" si="69"/>
        <v>0</v>
      </c>
      <c r="E201" s="1215">
        <f t="shared" si="69"/>
        <v>0</v>
      </c>
      <c r="F201" s="1215">
        <f t="shared" si="69"/>
        <v>0</v>
      </c>
      <c r="G201" s="1215">
        <f t="shared" si="69"/>
        <v>0</v>
      </c>
      <c r="H201" s="1215">
        <f t="shared" si="69"/>
        <v>0</v>
      </c>
      <c r="I201" s="1215">
        <f t="shared" si="69"/>
        <v>0</v>
      </c>
      <c r="J201" s="1215">
        <f t="shared" si="70"/>
        <v>0</v>
      </c>
      <c r="K201" s="1215">
        <f t="shared" si="70"/>
        <v>0</v>
      </c>
      <c r="L201" s="1215">
        <f t="shared" si="70"/>
        <v>0</v>
      </c>
      <c r="M201" s="1220"/>
      <c r="N201" s="1221">
        <v>1.05</v>
      </c>
      <c r="O201" s="1222"/>
    </row>
    <row r="202" spans="1:15" ht="15">
      <c r="A202" s="1213"/>
      <c r="B202" s="1218" t="s">
        <v>199</v>
      </c>
      <c r="C202" s="1216">
        <f t="shared" si="68"/>
        <v>11370</v>
      </c>
      <c r="D202" s="1215">
        <f t="shared" si="69"/>
        <v>13080</v>
      </c>
      <c r="E202" s="1215">
        <f t="shared" si="69"/>
        <v>15040</v>
      </c>
      <c r="F202" s="1215">
        <f t="shared" si="69"/>
        <v>17300</v>
      </c>
      <c r="G202" s="1215">
        <f t="shared" si="69"/>
        <v>19900</v>
      </c>
      <c r="H202" s="1215">
        <f t="shared" si="69"/>
        <v>22890</v>
      </c>
      <c r="I202" s="1215">
        <f t="shared" si="69"/>
        <v>26320</v>
      </c>
      <c r="J202" s="1215">
        <f t="shared" si="70"/>
        <v>30300</v>
      </c>
      <c r="K202" s="1215">
        <f t="shared" si="70"/>
        <v>34800</v>
      </c>
      <c r="L202" s="1215">
        <f t="shared" si="70"/>
        <v>40000</v>
      </c>
      <c r="M202" s="1220"/>
      <c r="N202" s="1221">
        <v>1.1499999999999999</v>
      </c>
      <c r="O202" s="1222">
        <v>11368.217054263599</v>
      </c>
    </row>
    <row r="203" spans="1:15">
      <c r="A203" s="1213"/>
      <c r="B203" s="1219" t="s">
        <v>200</v>
      </c>
      <c r="C203" s="1216">
        <f>F207</f>
        <v>7320</v>
      </c>
      <c r="D203" s="1215">
        <f t="shared" si="69"/>
        <v>8130</v>
      </c>
      <c r="E203" s="1215">
        <f t="shared" si="69"/>
        <v>9020</v>
      </c>
      <c r="F203" s="1215">
        <f t="shared" si="69"/>
        <v>10010</v>
      </c>
      <c r="G203" s="1215">
        <f t="shared" si="69"/>
        <v>11110</v>
      </c>
      <c r="H203" s="1215">
        <f t="shared" si="69"/>
        <v>12330</v>
      </c>
      <c r="I203" s="1215">
        <f t="shared" si="69"/>
        <v>13690</v>
      </c>
      <c r="J203" s="1215">
        <f t="shared" si="70"/>
        <v>15200</v>
      </c>
      <c r="K203" s="1215">
        <f t="shared" si="70"/>
        <v>16900</v>
      </c>
      <c r="L203" s="1215">
        <f t="shared" si="70"/>
        <v>18800</v>
      </c>
      <c r="M203" s="1220"/>
      <c r="N203" s="1221">
        <v>1.1100000000000001</v>
      </c>
      <c r="O203" s="1222"/>
    </row>
    <row r="204" spans="1:15">
      <c r="A204" s="1143"/>
      <c r="B204" s="1201" t="s">
        <v>149</v>
      </c>
      <c r="C204" s="1225">
        <f t="shared" ref="C204:C222" si="71">ROUND(O204,-1)</f>
        <v>7000</v>
      </c>
      <c r="D204" s="1226">
        <f t="shared" si="69"/>
        <v>7840</v>
      </c>
      <c r="E204" s="1226">
        <f t="shared" si="69"/>
        <v>8780</v>
      </c>
      <c r="F204" s="1226">
        <f t="shared" si="69"/>
        <v>9830</v>
      </c>
      <c r="G204" s="1226">
        <f t="shared" si="69"/>
        <v>11010</v>
      </c>
      <c r="H204" s="1226">
        <f t="shared" si="69"/>
        <v>12330</v>
      </c>
      <c r="I204" s="1226">
        <f t="shared" si="69"/>
        <v>13810</v>
      </c>
      <c r="J204" s="1226">
        <f t="shared" si="70"/>
        <v>15500</v>
      </c>
      <c r="K204" s="1226">
        <f t="shared" si="70"/>
        <v>17400</v>
      </c>
      <c r="L204" s="1226">
        <f t="shared" si="70"/>
        <v>19500</v>
      </c>
      <c r="M204" s="1235"/>
      <c r="N204" s="1236">
        <v>1.1200000000000001</v>
      </c>
      <c r="O204" s="1237">
        <v>7000</v>
      </c>
    </row>
    <row r="205" spans="1:15">
      <c r="A205" s="1143"/>
      <c r="B205" s="1201" t="s">
        <v>150</v>
      </c>
      <c r="C205" s="1225">
        <f t="shared" si="71"/>
        <v>7000</v>
      </c>
      <c r="D205" s="1226">
        <f t="shared" si="69"/>
        <v>7770</v>
      </c>
      <c r="E205" s="1226">
        <f t="shared" si="69"/>
        <v>8620</v>
      </c>
      <c r="F205" s="1226">
        <f t="shared" si="69"/>
        <v>9570</v>
      </c>
      <c r="G205" s="1226">
        <f t="shared" si="69"/>
        <v>10620</v>
      </c>
      <c r="H205" s="1226">
        <f t="shared" si="69"/>
        <v>11790</v>
      </c>
      <c r="I205" s="1226">
        <f t="shared" si="69"/>
        <v>13090</v>
      </c>
      <c r="J205" s="1226">
        <f t="shared" si="70"/>
        <v>14500</v>
      </c>
      <c r="K205" s="1226">
        <f t="shared" si="70"/>
        <v>16100</v>
      </c>
      <c r="L205" s="1226">
        <f t="shared" si="70"/>
        <v>17900</v>
      </c>
      <c r="M205" s="1235"/>
      <c r="N205" s="1236">
        <v>1.1100000000000001</v>
      </c>
      <c r="O205" s="1237">
        <v>7000</v>
      </c>
    </row>
    <row r="206" spans="1:15">
      <c r="A206" s="1143"/>
      <c r="B206" s="1201" t="s">
        <v>151</v>
      </c>
      <c r="C206" s="1225">
        <f t="shared" si="71"/>
        <v>0</v>
      </c>
      <c r="D206" s="1226">
        <f t="shared" si="69"/>
        <v>0</v>
      </c>
      <c r="E206" s="1226">
        <f t="shared" si="69"/>
        <v>0</v>
      </c>
      <c r="F206" s="1226">
        <f t="shared" si="69"/>
        <v>0</v>
      </c>
      <c r="G206" s="1226">
        <f t="shared" si="69"/>
        <v>0</v>
      </c>
      <c r="H206" s="1226">
        <f t="shared" si="69"/>
        <v>0</v>
      </c>
      <c r="I206" s="1226">
        <f t="shared" si="69"/>
        <v>0</v>
      </c>
      <c r="J206" s="1226">
        <f t="shared" si="70"/>
        <v>0</v>
      </c>
      <c r="K206" s="1226">
        <f t="shared" si="70"/>
        <v>0</v>
      </c>
      <c r="L206" s="1226">
        <f t="shared" si="70"/>
        <v>0</v>
      </c>
      <c r="M206" s="1235"/>
      <c r="N206" s="1236">
        <v>1.05</v>
      </c>
      <c r="O206" s="1237"/>
    </row>
    <row r="207" spans="1:15">
      <c r="A207" s="1143"/>
      <c r="B207" s="1201" t="s">
        <v>153</v>
      </c>
      <c r="C207" s="1225">
        <f t="shared" si="71"/>
        <v>6320</v>
      </c>
      <c r="D207" s="1226">
        <f t="shared" si="69"/>
        <v>6640</v>
      </c>
      <c r="E207" s="1226">
        <f t="shared" si="69"/>
        <v>6970</v>
      </c>
      <c r="F207" s="1226">
        <f t="shared" si="69"/>
        <v>7320</v>
      </c>
      <c r="G207" s="1226">
        <f t="shared" si="69"/>
        <v>7690</v>
      </c>
      <c r="H207" s="1226">
        <f t="shared" si="69"/>
        <v>8070</v>
      </c>
      <c r="I207" s="1226">
        <f t="shared" si="69"/>
        <v>8470</v>
      </c>
      <c r="J207" s="1226">
        <f t="shared" si="70"/>
        <v>8900</v>
      </c>
      <c r="K207" s="1226">
        <f t="shared" si="70"/>
        <v>9300</v>
      </c>
      <c r="L207" s="1226">
        <f t="shared" si="70"/>
        <v>9800</v>
      </c>
      <c r="M207" s="1235"/>
      <c r="N207" s="1236">
        <v>1.05</v>
      </c>
      <c r="O207" s="1237">
        <v>6315.4476190476198</v>
      </c>
    </row>
    <row r="208" spans="1:15">
      <c r="A208" s="1143"/>
      <c r="B208" s="1201" t="s">
        <v>154</v>
      </c>
      <c r="C208" s="1225">
        <f t="shared" si="71"/>
        <v>0</v>
      </c>
      <c r="D208" s="1226">
        <f t="shared" si="69"/>
        <v>0</v>
      </c>
      <c r="E208" s="1226">
        <f t="shared" si="69"/>
        <v>0</v>
      </c>
      <c r="F208" s="1226">
        <f t="shared" si="69"/>
        <v>0</v>
      </c>
      <c r="G208" s="1226">
        <f t="shared" si="69"/>
        <v>0</v>
      </c>
      <c r="H208" s="1226">
        <f t="shared" si="69"/>
        <v>0</v>
      </c>
      <c r="I208" s="1226">
        <f t="shared" si="69"/>
        <v>0</v>
      </c>
      <c r="J208" s="1226">
        <f t="shared" si="70"/>
        <v>0</v>
      </c>
      <c r="K208" s="1226">
        <f t="shared" si="70"/>
        <v>0</v>
      </c>
      <c r="L208" s="1226">
        <f t="shared" si="70"/>
        <v>0</v>
      </c>
      <c r="M208" s="1235"/>
      <c r="N208" s="1236">
        <v>1.1200000000000001</v>
      </c>
      <c r="O208" s="1237"/>
    </row>
    <row r="209" spans="1:15">
      <c r="A209" s="1143"/>
      <c r="B209" s="1201" t="s">
        <v>155</v>
      </c>
      <c r="C209" s="1225">
        <f t="shared" si="71"/>
        <v>8490</v>
      </c>
      <c r="D209" s="1226">
        <f t="shared" si="69"/>
        <v>8910</v>
      </c>
      <c r="E209" s="1226">
        <f t="shared" si="69"/>
        <v>9360</v>
      </c>
      <c r="F209" s="1226">
        <f t="shared" si="69"/>
        <v>9830</v>
      </c>
      <c r="G209" s="1226">
        <f t="shared" si="69"/>
        <v>10320</v>
      </c>
      <c r="H209" s="1226">
        <f t="shared" si="69"/>
        <v>10840</v>
      </c>
      <c r="I209" s="1226">
        <f t="shared" si="69"/>
        <v>11380</v>
      </c>
      <c r="J209" s="1226">
        <f t="shared" si="70"/>
        <v>11900</v>
      </c>
      <c r="K209" s="1226">
        <f t="shared" si="70"/>
        <v>12500</v>
      </c>
      <c r="L209" s="1226">
        <f t="shared" si="70"/>
        <v>13100</v>
      </c>
      <c r="M209" s="1235"/>
      <c r="N209" s="1236">
        <v>1.05</v>
      </c>
      <c r="O209" s="1237">
        <v>8485.0619047619093</v>
      </c>
    </row>
    <row r="210" spans="1:15">
      <c r="A210" s="1143"/>
      <c r="B210" s="1201" t="s">
        <v>158</v>
      </c>
      <c r="C210" s="1225">
        <f t="shared" si="71"/>
        <v>0</v>
      </c>
      <c r="D210" s="1226">
        <f t="shared" si="69"/>
        <v>0</v>
      </c>
      <c r="E210" s="1226">
        <f t="shared" si="69"/>
        <v>0</v>
      </c>
      <c r="F210" s="1226">
        <f t="shared" si="69"/>
        <v>0</v>
      </c>
      <c r="G210" s="1226">
        <f t="shared" si="69"/>
        <v>0</v>
      </c>
      <c r="H210" s="1226">
        <f t="shared" si="69"/>
        <v>0</v>
      </c>
      <c r="I210" s="1226">
        <f t="shared" si="69"/>
        <v>0</v>
      </c>
      <c r="J210" s="1226">
        <f t="shared" si="70"/>
        <v>0</v>
      </c>
      <c r="K210" s="1226">
        <f t="shared" si="70"/>
        <v>0</v>
      </c>
      <c r="L210" s="1226">
        <f t="shared" si="70"/>
        <v>0</v>
      </c>
      <c r="M210" s="1235"/>
      <c r="N210" s="1236">
        <v>1.1200000000000001</v>
      </c>
      <c r="O210" s="1237"/>
    </row>
    <row r="211" spans="1:15">
      <c r="A211" s="1143"/>
      <c r="B211" s="1201" t="s">
        <v>159</v>
      </c>
      <c r="C211" s="1225">
        <f t="shared" si="71"/>
        <v>0</v>
      </c>
      <c r="D211" s="1226">
        <f t="shared" si="69"/>
        <v>0</v>
      </c>
      <c r="E211" s="1226">
        <f t="shared" si="69"/>
        <v>0</v>
      </c>
      <c r="F211" s="1226">
        <f t="shared" si="69"/>
        <v>0</v>
      </c>
      <c r="G211" s="1226">
        <f t="shared" si="69"/>
        <v>0</v>
      </c>
      <c r="H211" s="1226">
        <f t="shared" si="69"/>
        <v>0</v>
      </c>
      <c r="I211" s="1226">
        <f t="shared" si="69"/>
        <v>0</v>
      </c>
      <c r="J211" s="1226">
        <f t="shared" si="70"/>
        <v>0</v>
      </c>
      <c r="K211" s="1226">
        <f t="shared" si="70"/>
        <v>0</v>
      </c>
      <c r="L211" s="1226">
        <f t="shared" si="70"/>
        <v>0</v>
      </c>
      <c r="M211" s="1235"/>
      <c r="N211" s="1236">
        <v>1.1100000000000001</v>
      </c>
      <c r="O211" s="1237"/>
    </row>
    <row r="212" spans="1:15">
      <c r="A212" s="1143"/>
      <c r="B212" s="1201" t="s">
        <v>160</v>
      </c>
      <c r="C212" s="1225">
        <f t="shared" si="71"/>
        <v>0</v>
      </c>
      <c r="D212" s="1226">
        <f t="shared" si="69"/>
        <v>0</v>
      </c>
      <c r="E212" s="1226">
        <f t="shared" si="69"/>
        <v>0</v>
      </c>
      <c r="F212" s="1226">
        <f t="shared" si="69"/>
        <v>0</v>
      </c>
      <c r="G212" s="1226">
        <f t="shared" si="69"/>
        <v>0</v>
      </c>
      <c r="H212" s="1226">
        <f t="shared" si="69"/>
        <v>0</v>
      </c>
      <c r="I212" s="1226">
        <f t="shared" si="69"/>
        <v>0</v>
      </c>
      <c r="J212" s="1226">
        <f t="shared" si="70"/>
        <v>0</v>
      </c>
      <c r="K212" s="1226">
        <f t="shared" si="70"/>
        <v>0</v>
      </c>
      <c r="L212" s="1226">
        <f t="shared" si="70"/>
        <v>0</v>
      </c>
      <c r="M212" s="1235"/>
      <c r="N212" s="1236">
        <v>1.05</v>
      </c>
      <c r="O212" s="1237"/>
    </row>
    <row r="213" spans="1:15">
      <c r="A213" s="1143"/>
      <c r="B213" s="1201" t="s">
        <v>161</v>
      </c>
      <c r="C213" s="1225">
        <f>F214</f>
        <v>7320</v>
      </c>
      <c r="D213" s="1226">
        <f t="shared" si="69"/>
        <v>8130</v>
      </c>
      <c r="E213" s="1226">
        <f t="shared" si="69"/>
        <v>9020</v>
      </c>
      <c r="F213" s="1226">
        <f t="shared" si="69"/>
        <v>10010</v>
      </c>
      <c r="G213" s="1226">
        <f t="shared" si="69"/>
        <v>11110</v>
      </c>
      <c r="H213" s="1226">
        <f t="shared" si="69"/>
        <v>12330</v>
      </c>
      <c r="I213" s="1226">
        <f t="shared" si="69"/>
        <v>13690</v>
      </c>
      <c r="J213" s="1226">
        <f t="shared" si="70"/>
        <v>15200</v>
      </c>
      <c r="K213" s="1226">
        <f t="shared" si="70"/>
        <v>16900</v>
      </c>
      <c r="L213" s="1226">
        <f t="shared" si="70"/>
        <v>18800</v>
      </c>
      <c r="M213" s="1235"/>
      <c r="N213" s="1236">
        <v>1.1100000000000001</v>
      </c>
      <c r="O213" s="1237"/>
    </row>
    <row r="214" spans="1:15">
      <c r="A214" s="1143"/>
      <c r="B214" s="1201" t="s">
        <v>162</v>
      </c>
      <c r="C214" s="1225">
        <f t="shared" si="71"/>
        <v>6320</v>
      </c>
      <c r="D214" s="1226">
        <f t="shared" si="69"/>
        <v>6640</v>
      </c>
      <c r="E214" s="1226">
        <f t="shared" si="69"/>
        <v>6970</v>
      </c>
      <c r="F214" s="1226">
        <f t="shared" si="69"/>
        <v>7320</v>
      </c>
      <c r="G214" s="1226">
        <f t="shared" si="69"/>
        <v>7690</v>
      </c>
      <c r="H214" s="1226">
        <f t="shared" si="69"/>
        <v>8070</v>
      </c>
      <c r="I214" s="1226">
        <f t="shared" si="69"/>
        <v>8470</v>
      </c>
      <c r="J214" s="1226">
        <f t="shared" si="70"/>
        <v>8900</v>
      </c>
      <c r="K214" s="1226">
        <f t="shared" si="70"/>
        <v>9300</v>
      </c>
      <c r="L214" s="1226">
        <f t="shared" si="70"/>
        <v>9800</v>
      </c>
      <c r="M214" s="1235"/>
      <c r="N214" s="1236">
        <v>1.05</v>
      </c>
      <c r="O214" s="1237">
        <v>6315.4476190476198</v>
      </c>
    </row>
    <row r="215" spans="1:15" ht="15">
      <c r="A215" s="1213"/>
      <c r="B215" s="1218" t="s">
        <v>201</v>
      </c>
      <c r="C215" s="1216">
        <f t="shared" si="71"/>
        <v>11370</v>
      </c>
      <c r="D215" s="1215">
        <f t="shared" si="69"/>
        <v>13080</v>
      </c>
      <c r="E215" s="1215">
        <f t="shared" si="69"/>
        <v>15040</v>
      </c>
      <c r="F215" s="1215">
        <f t="shared" si="69"/>
        <v>17300</v>
      </c>
      <c r="G215" s="1215">
        <f t="shared" si="69"/>
        <v>19900</v>
      </c>
      <c r="H215" s="1215">
        <f t="shared" si="69"/>
        <v>22890</v>
      </c>
      <c r="I215" s="1215">
        <f t="shared" si="69"/>
        <v>26320</v>
      </c>
      <c r="J215" s="1215">
        <f t="shared" si="70"/>
        <v>30300</v>
      </c>
      <c r="K215" s="1215">
        <f t="shared" si="70"/>
        <v>34800</v>
      </c>
      <c r="L215" s="1215">
        <f t="shared" si="70"/>
        <v>40000</v>
      </c>
      <c r="M215" s="1220"/>
      <c r="N215" s="1221">
        <v>1.1499999999999999</v>
      </c>
      <c r="O215" s="1222">
        <v>11368.217054263599</v>
      </c>
    </row>
    <row r="216" spans="1:15">
      <c r="A216" s="1213"/>
      <c r="B216" s="1219" t="s">
        <v>97</v>
      </c>
      <c r="C216" s="1216">
        <f t="shared" si="71"/>
        <v>8400</v>
      </c>
      <c r="D216" s="1215">
        <f t="shared" si="69"/>
        <v>9410</v>
      </c>
      <c r="E216" s="1215">
        <f t="shared" si="69"/>
        <v>10540</v>
      </c>
      <c r="F216" s="1215">
        <f t="shared" si="69"/>
        <v>11800</v>
      </c>
      <c r="G216" s="1215">
        <f t="shared" si="69"/>
        <v>13220</v>
      </c>
      <c r="H216" s="1215">
        <f t="shared" si="69"/>
        <v>14810</v>
      </c>
      <c r="I216" s="1215">
        <f t="shared" si="69"/>
        <v>16590</v>
      </c>
      <c r="J216" s="1215">
        <f t="shared" si="70"/>
        <v>18600</v>
      </c>
      <c r="K216" s="1215">
        <f t="shared" si="70"/>
        <v>20800</v>
      </c>
      <c r="L216" s="1215">
        <f t="shared" si="70"/>
        <v>23300</v>
      </c>
      <c r="M216" s="1220"/>
      <c r="N216" s="1221">
        <v>1.1200000000000001</v>
      </c>
      <c r="O216" s="1222">
        <v>8397.0588235294108</v>
      </c>
    </row>
    <row r="217" spans="1:15">
      <c r="A217" s="1213"/>
      <c r="B217" s="1219" t="s">
        <v>98</v>
      </c>
      <c r="C217" s="1216">
        <f t="shared" si="71"/>
        <v>7840</v>
      </c>
      <c r="D217" s="1215">
        <f t="shared" si="69"/>
        <v>8620</v>
      </c>
      <c r="E217" s="1215">
        <f t="shared" si="69"/>
        <v>9480</v>
      </c>
      <c r="F217" s="1215">
        <f t="shared" si="69"/>
        <v>10430</v>
      </c>
      <c r="G217" s="1215">
        <f t="shared" si="69"/>
        <v>11470</v>
      </c>
      <c r="H217" s="1215">
        <f t="shared" si="69"/>
        <v>12620</v>
      </c>
      <c r="I217" s="1215">
        <f t="shared" si="69"/>
        <v>13880</v>
      </c>
      <c r="J217" s="1215">
        <f t="shared" si="70"/>
        <v>15300</v>
      </c>
      <c r="K217" s="1215">
        <f t="shared" si="70"/>
        <v>16800</v>
      </c>
      <c r="L217" s="1215">
        <f t="shared" si="70"/>
        <v>18500</v>
      </c>
      <c r="M217" s="1220"/>
      <c r="N217" s="1221">
        <v>1.1000000000000001</v>
      </c>
      <c r="O217" s="1222">
        <v>7840.05297619048</v>
      </c>
    </row>
    <row r="218" spans="1:15" ht="15">
      <c r="A218" s="1213"/>
      <c r="B218" s="1217" t="s">
        <v>202</v>
      </c>
      <c r="C218" s="1216">
        <f t="shared" si="71"/>
        <v>14900</v>
      </c>
      <c r="D218" s="1215">
        <f t="shared" si="69"/>
        <v>17580</v>
      </c>
      <c r="E218" s="1215">
        <f t="shared" si="69"/>
        <v>20740</v>
      </c>
      <c r="F218" s="1215">
        <f t="shared" si="69"/>
        <v>24470</v>
      </c>
      <c r="G218" s="1215">
        <f t="shared" si="69"/>
        <v>28870</v>
      </c>
      <c r="H218" s="1215">
        <f t="shared" si="69"/>
        <v>34070</v>
      </c>
      <c r="I218" s="1215">
        <f t="shared" si="69"/>
        <v>40200</v>
      </c>
      <c r="J218" s="1215">
        <f t="shared" si="70"/>
        <v>47400</v>
      </c>
      <c r="K218" s="1215">
        <f t="shared" si="70"/>
        <v>55900</v>
      </c>
      <c r="L218" s="1215">
        <f t="shared" si="70"/>
        <v>66000</v>
      </c>
      <c r="M218" s="1220"/>
      <c r="N218" s="1221">
        <v>1.18</v>
      </c>
      <c r="O218" s="1222">
        <v>14904.8449612403</v>
      </c>
    </row>
    <row r="219" spans="1:15" ht="15">
      <c r="A219" s="1213"/>
      <c r="B219" s="1218" t="s">
        <v>203</v>
      </c>
      <c r="C219" s="1216">
        <f t="shared" si="71"/>
        <v>10380</v>
      </c>
      <c r="D219" s="1215">
        <f t="shared" si="69"/>
        <v>11940</v>
      </c>
      <c r="E219" s="1215">
        <f t="shared" si="69"/>
        <v>13730</v>
      </c>
      <c r="F219" s="1215">
        <f t="shared" si="69"/>
        <v>15790</v>
      </c>
      <c r="G219" s="1215">
        <f t="shared" si="69"/>
        <v>18160</v>
      </c>
      <c r="H219" s="1215">
        <f t="shared" si="69"/>
        <v>20880</v>
      </c>
      <c r="I219" s="1215">
        <f t="shared" si="69"/>
        <v>24010</v>
      </c>
      <c r="J219" s="1215">
        <f t="shared" si="70"/>
        <v>27600</v>
      </c>
      <c r="K219" s="1215">
        <f t="shared" si="70"/>
        <v>31700</v>
      </c>
      <c r="L219" s="1215">
        <f t="shared" si="70"/>
        <v>36500</v>
      </c>
      <c r="M219" s="1220"/>
      <c r="N219" s="1221">
        <v>1.1499999999999999</v>
      </c>
      <c r="O219" s="1222">
        <v>10382.352941176499</v>
      </c>
    </row>
    <row r="220" spans="1:15">
      <c r="A220" s="1227"/>
      <c r="B220" s="1228" t="s">
        <v>99</v>
      </c>
      <c r="C220" s="1229">
        <f t="shared" si="71"/>
        <v>8400</v>
      </c>
      <c r="D220" s="1230">
        <f t="shared" si="69"/>
        <v>9410</v>
      </c>
      <c r="E220" s="1230">
        <f t="shared" si="69"/>
        <v>10540</v>
      </c>
      <c r="F220" s="1230">
        <f t="shared" si="69"/>
        <v>11800</v>
      </c>
      <c r="G220" s="1230">
        <f t="shared" si="69"/>
        <v>13220</v>
      </c>
      <c r="H220" s="1230">
        <f t="shared" si="69"/>
        <v>14810</v>
      </c>
      <c r="I220" s="1230">
        <f t="shared" si="69"/>
        <v>16590</v>
      </c>
      <c r="J220" s="1230">
        <f t="shared" si="70"/>
        <v>18600</v>
      </c>
      <c r="K220" s="1230">
        <f t="shared" si="70"/>
        <v>20800</v>
      </c>
      <c r="L220" s="1230">
        <f t="shared" si="70"/>
        <v>23300</v>
      </c>
      <c r="M220" s="1238"/>
      <c r="N220" s="1239">
        <v>1.1200000000000001</v>
      </c>
      <c r="O220" s="1240">
        <v>8397.0588235294108</v>
      </c>
    </row>
    <row r="221" spans="1:15">
      <c r="A221" s="1213"/>
      <c r="B221" s="1219" t="s">
        <v>204</v>
      </c>
      <c r="C221" s="1216">
        <f t="shared" si="71"/>
        <v>7840</v>
      </c>
      <c r="D221" s="1215">
        <f t="shared" si="69"/>
        <v>8620</v>
      </c>
      <c r="E221" s="1215">
        <f t="shared" si="69"/>
        <v>9480</v>
      </c>
      <c r="F221" s="1215">
        <f t="shared" si="69"/>
        <v>10430</v>
      </c>
      <c r="G221" s="1215">
        <f t="shared" si="69"/>
        <v>11470</v>
      </c>
      <c r="H221" s="1215">
        <f t="shared" si="69"/>
        <v>12620</v>
      </c>
      <c r="I221" s="1215">
        <f t="shared" si="69"/>
        <v>13880</v>
      </c>
      <c r="J221" s="1215">
        <f t="shared" si="70"/>
        <v>15300</v>
      </c>
      <c r="K221" s="1215">
        <f t="shared" si="70"/>
        <v>16800</v>
      </c>
      <c r="L221" s="1215">
        <f t="shared" si="70"/>
        <v>18500</v>
      </c>
      <c r="M221" s="1220"/>
      <c r="N221" s="1221">
        <v>1.1000000000000001</v>
      </c>
      <c r="O221" s="1222">
        <v>7840.05297619048</v>
      </c>
    </row>
    <row r="222" spans="1:15">
      <c r="A222" s="1213"/>
      <c r="B222" s="1219" t="s">
        <v>102</v>
      </c>
      <c r="C222" s="1216">
        <f t="shared" si="71"/>
        <v>7840</v>
      </c>
      <c r="D222" s="1215">
        <f t="shared" si="69"/>
        <v>8620</v>
      </c>
      <c r="E222" s="1215">
        <f t="shared" si="69"/>
        <v>9480</v>
      </c>
      <c r="F222" s="1215">
        <f t="shared" si="69"/>
        <v>10430</v>
      </c>
      <c r="G222" s="1215">
        <f t="shared" si="69"/>
        <v>11470</v>
      </c>
      <c r="H222" s="1215">
        <f t="shared" si="69"/>
        <v>12620</v>
      </c>
      <c r="I222" s="1215">
        <f t="shared" si="69"/>
        <v>13880</v>
      </c>
      <c r="J222" s="1215">
        <f t="shared" si="70"/>
        <v>15300</v>
      </c>
      <c r="K222" s="1215">
        <f t="shared" si="70"/>
        <v>16800</v>
      </c>
      <c r="L222" s="1215">
        <f t="shared" si="70"/>
        <v>18500</v>
      </c>
      <c r="M222" s="1220"/>
      <c r="N222" s="1221">
        <v>1.1000000000000001</v>
      </c>
      <c r="O222" s="1222">
        <v>7840.05297619048</v>
      </c>
    </row>
    <row r="223" spans="1:15" ht="15">
      <c r="A223" s="1213"/>
      <c r="B223" s="1218" t="s">
        <v>205</v>
      </c>
      <c r="C223" s="1216">
        <f t="shared" ref="C223:C229" si="72">ROUND(O223,-1)</f>
        <v>10320</v>
      </c>
      <c r="D223" s="1215">
        <f t="shared" si="69"/>
        <v>11560</v>
      </c>
      <c r="E223" s="1215">
        <f t="shared" si="69"/>
        <v>12950</v>
      </c>
      <c r="F223" s="1215">
        <f t="shared" si="69"/>
        <v>14500</v>
      </c>
      <c r="G223" s="1215">
        <f t="shared" si="69"/>
        <v>16240</v>
      </c>
      <c r="H223" s="1215">
        <f t="shared" si="69"/>
        <v>18190</v>
      </c>
      <c r="I223" s="1215">
        <f t="shared" si="69"/>
        <v>20370</v>
      </c>
      <c r="J223" s="1215">
        <f t="shared" si="70"/>
        <v>22800</v>
      </c>
      <c r="K223" s="1215">
        <f t="shared" si="70"/>
        <v>25500</v>
      </c>
      <c r="L223" s="1215">
        <f t="shared" si="70"/>
        <v>28600</v>
      </c>
      <c r="M223" s="1220"/>
      <c r="N223" s="1221">
        <v>1.1200000000000001</v>
      </c>
      <c r="O223" s="1222">
        <v>10316.1764705882</v>
      </c>
    </row>
    <row r="224" spans="1:15">
      <c r="A224" s="1213"/>
      <c r="B224" s="1219" t="s">
        <v>206</v>
      </c>
      <c r="C224" s="1216">
        <f t="shared" si="72"/>
        <v>7010</v>
      </c>
      <c r="D224" s="1215">
        <f t="shared" si="69"/>
        <v>7710</v>
      </c>
      <c r="E224" s="1215">
        <f t="shared" si="69"/>
        <v>8480</v>
      </c>
      <c r="F224" s="1215">
        <f t="shared" si="69"/>
        <v>9330</v>
      </c>
      <c r="G224" s="1215">
        <f t="shared" si="69"/>
        <v>10260</v>
      </c>
      <c r="H224" s="1215">
        <f t="shared" si="69"/>
        <v>11290</v>
      </c>
      <c r="I224" s="1215">
        <f t="shared" si="69"/>
        <v>12420</v>
      </c>
      <c r="J224" s="1215">
        <f t="shared" si="70"/>
        <v>13700</v>
      </c>
      <c r="K224" s="1215">
        <f t="shared" si="70"/>
        <v>15100</v>
      </c>
      <c r="L224" s="1215">
        <f t="shared" si="70"/>
        <v>16600</v>
      </c>
      <c r="M224" s="1220"/>
      <c r="N224" s="1221">
        <v>1.1000000000000001</v>
      </c>
      <c r="O224" s="1222">
        <v>7007.3529411764703</v>
      </c>
    </row>
    <row r="225" spans="1:15">
      <c r="A225" s="1213"/>
      <c r="B225" s="1219" t="s">
        <v>207</v>
      </c>
      <c r="C225" s="1216">
        <f t="shared" si="72"/>
        <v>7840</v>
      </c>
      <c r="D225" s="1231">
        <f t="shared" si="69"/>
        <v>8620</v>
      </c>
      <c r="E225" s="1231">
        <f t="shared" si="69"/>
        <v>9480</v>
      </c>
      <c r="F225" s="1231">
        <f t="shared" si="69"/>
        <v>10430</v>
      </c>
      <c r="G225" s="1231">
        <f t="shared" si="69"/>
        <v>11470</v>
      </c>
      <c r="H225" s="1231">
        <f t="shared" si="69"/>
        <v>12620</v>
      </c>
      <c r="I225" s="1231">
        <f t="shared" si="69"/>
        <v>13880</v>
      </c>
      <c r="J225" s="1231">
        <f t="shared" si="69"/>
        <v>15270</v>
      </c>
      <c r="K225" s="1231">
        <f t="shared" si="69"/>
        <v>16800</v>
      </c>
      <c r="L225" s="1231">
        <f t="shared" si="70"/>
        <v>18500</v>
      </c>
      <c r="M225" s="1220"/>
      <c r="N225" s="1221">
        <v>1.1000000000000001</v>
      </c>
      <c r="O225" s="1222">
        <v>7840.05297619048</v>
      </c>
    </row>
    <row r="226" spans="1:15">
      <c r="A226" s="1213"/>
      <c r="B226" s="1158" t="s">
        <v>35</v>
      </c>
      <c r="C226" s="1216">
        <f t="shared" si="72"/>
        <v>5230</v>
      </c>
      <c r="D226" s="1231">
        <f t="shared" si="69"/>
        <v>5750</v>
      </c>
      <c r="E226" s="1231">
        <f t="shared" si="69"/>
        <v>6330</v>
      </c>
      <c r="F226" s="1231">
        <f t="shared" si="69"/>
        <v>6960</v>
      </c>
      <c r="G226" s="1231">
        <f t="shared" si="69"/>
        <v>7660</v>
      </c>
      <c r="H226" s="1231">
        <f t="shared" si="69"/>
        <v>8430</v>
      </c>
      <c r="I226" s="1231">
        <f t="shared" si="69"/>
        <v>9270</v>
      </c>
      <c r="J226" s="1231">
        <f t="shared" si="69"/>
        <v>10200</v>
      </c>
      <c r="K226" s="1231">
        <f t="shared" si="69"/>
        <v>11220</v>
      </c>
      <c r="L226" s="1231">
        <f>ROUND(K226*$N226,-2)</f>
        <v>12300</v>
      </c>
      <c r="M226" s="1220"/>
      <c r="N226" s="1221">
        <v>1.1000000000000001</v>
      </c>
      <c r="O226" s="1241">
        <v>5228.4172619047604</v>
      </c>
    </row>
    <row r="227" spans="1:15" ht="15">
      <c r="A227" s="1213"/>
      <c r="B227" s="1218" t="s">
        <v>167</v>
      </c>
      <c r="C227" s="1216">
        <f t="shared" si="72"/>
        <v>11720</v>
      </c>
      <c r="D227" s="1215">
        <f t="shared" si="69"/>
        <v>13480</v>
      </c>
      <c r="E227" s="1215">
        <f t="shared" si="69"/>
        <v>15500</v>
      </c>
      <c r="F227" s="1215">
        <f t="shared" si="69"/>
        <v>17830</v>
      </c>
      <c r="G227" s="1215">
        <f t="shared" si="69"/>
        <v>20500</v>
      </c>
      <c r="H227" s="1215">
        <f t="shared" si="69"/>
        <v>23580</v>
      </c>
      <c r="I227" s="1215">
        <f t="shared" si="69"/>
        <v>27120</v>
      </c>
      <c r="J227" s="1215">
        <f t="shared" si="70"/>
        <v>31200</v>
      </c>
      <c r="K227" s="1215">
        <f t="shared" si="70"/>
        <v>35900</v>
      </c>
      <c r="L227" s="1215">
        <f t="shared" si="70"/>
        <v>41300</v>
      </c>
      <c r="M227" s="1220"/>
      <c r="N227" s="1221">
        <v>1.1499999999999999</v>
      </c>
      <c r="O227" s="1222">
        <v>11720</v>
      </c>
    </row>
    <row r="228" spans="1:15">
      <c r="A228" s="1213"/>
      <c r="B228" s="1219" t="s">
        <v>169</v>
      </c>
      <c r="C228" s="1216">
        <f t="shared" si="72"/>
        <v>7530</v>
      </c>
      <c r="D228" s="1215">
        <f t="shared" si="69"/>
        <v>8280</v>
      </c>
      <c r="E228" s="1215">
        <f t="shared" si="69"/>
        <v>9110</v>
      </c>
      <c r="F228" s="1215">
        <f t="shared" si="69"/>
        <v>10020</v>
      </c>
      <c r="G228" s="1215">
        <f t="shared" si="69"/>
        <v>11020</v>
      </c>
      <c r="H228" s="1215">
        <f t="shared" si="69"/>
        <v>12120</v>
      </c>
      <c r="I228" s="1215">
        <f t="shared" si="69"/>
        <v>13330</v>
      </c>
      <c r="J228" s="1215">
        <f t="shared" si="70"/>
        <v>14700</v>
      </c>
      <c r="K228" s="1215">
        <f t="shared" si="70"/>
        <v>16200</v>
      </c>
      <c r="L228" s="1215">
        <f t="shared" si="70"/>
        <v>17800</v>
      </c>
      <c r="M228" s="1220"/>
      <c r="N228" s="1221">
        <v>1.1000000000000001</v>
      </c>
      <c r="O228" s="1222">
        <v>7529.4117647058802</v>
      </c>
    </row>
    <row r="229" spans="1:15">
      <c r="A229" s="1227"/>
      <c r="B229" s="1228" t="s">
        <v>170</v>
      </c>
      <c r="C229" s="1229">
        <f t="shared" si="72"/>
        <v>7530</v>
      </c>
      <c r="D229" s="1230">
        <f t="shared" si="69"/>
        <v>8280</v>
      </c>
      <c r="E229" s="1230">
        <f t="shared" ref="E229:I230" si="73">ROUND(D229*$N229,-1)</f>
        <v>9110</v>
      </c>
      <c r="F229" s="1230">
        <f t="shared" si="73"/>
        <v>10020</v>
      </c>
      <c r="G229" s="1230">
        <f t="shared" si="73"/>
        <v>11020</v>
      </c>
      <c r="H229" s="1230">
        <f t="shared" si="73"/>
        <v>12120</v>
      </c>
      <c r="I229" s="1230">
        <f t="shared" si="73"/>
        <v>13330</v>
      </c>
      <c r="J229" s="1230">
        <f t="shared" si="70"/>
        <v>14700</v>
      </c>
      <c r="K229" s="1230">
        <f t="shared" si="70"/>
        <v>16200</v>
      </c>
      <c r="L229" s="1230">
        <f t="shared" si="70"/>
        <v>17800</v>
      </c>
      <c r="M229" s="1238"/>
      <c r="N229" s="1239">
        <v>1.1000000000000001</v>
      </c>
      <c r="O229" s="1240">
        <v>7529.4117647058802</v>
      </c>
    </row>
    <row r="230" spans="1:15" ht="15">
      <c r="A230" s="1213"/>
      <c r="B230" s="1217" t="s">
        <v>208</v>
      </c>
      <c r="C230" s="1216">
        <f>G231</f>
        <v>14200</v>
      </c>
      <c r="D230" s="1215">
        <f t="shared" ref="D230:I237" si="74">ROUND(C230*$N230,-1)</f>
        <v>16760</v>
      </c>
      <c r="E230" s="1215">
        <f t="shared" si="73"/>
        <v>19780</v>
      </c>
      <c r="F230" s="1215">
        <f t="shared" si="73"/>
        <v>23340</v>
      </c>
      <c r="G230" s="1215">
        <f t="shared" si="73"/>
        <v>27540</v>
      </c>
      <c r="H230" s="1215">
        <f t="shared" si="73"/>
        <v>32500</v>
      </c>
      <c r="I230" s="1215">
        <f t="shared" si="73"/>
        <v>38350</v>
      </c>
      <c r="J230" s="1215">
        <f t="shared" si="70"/>
        <v>45300</v>
      </c>
      <c r="K230" s="1215">
        <f t="shared" si="70"/>
        <v>53500</v>
      </c>
      <c r="L230" s="1215">
        <f t="shared" si="70"/>
        <v>63100</v>
      </c>
      <c r="M230" s="1220"/>
      <c r="N230" s="1221">
        <v>1.18</v>
      </c>
      <c r="O230" s="1222"/>
    </row>
    <row r="231" spans="1:15" ht="15">
      <c r="A231" s="1213"/>
      <c r="B231" s="1218" t="s">
        <v>209</v>
      </c>
      <c r="C231" s="1216">
        <f t="shared" ref="C231:C238" si="75">ROUND(O231,-1)</f>
        <v>9030</v>
      </c>
      <c r="D231" s="1215">
        <f t="shared" si="74"/>
        <v>10110</v>
      </c>
      <c r="E231" s="1215">
        <f t="shared" si="74"/>
        <v>11320</v>
      </c>
      <c r="F231" s="1215">
        <f t="shared" si="74"/>
        <v>12680</v>
      </c>
      <c r="G231" s="1215">
        <f t="shared" si="74"/>
        <v>14200</v>
      </c>
      <c r="H231" s="1215">
        <f t="shared" si="74"/>
        <v>15900</v>
      </c>
      <c r="I231" s="1215">
        <f t="shared" si="74"/>
        <v>17810</v>
      </c>
      <c r="J231" s="1215">
        <f t="shared" ref="J231:L231" si="76">ROUND(I231*$N231,-2)</f>
        <v>19900</v>
      </c>
      <c r="K231" s="1215">
        <f t="shared" si="76"/>
        <v>22300</v>
      </c>
      <c r="L231" s="1215">
        <f t="shared" si="76"/>
        <v>25000</v>
      </c>
      <c r="M231" s="1220"/>
      <c r="N231" s="1221">
        <v>1.1200000000000001</v>
      </c>
      <c r="O231" s="1222">
        <v>9029.4117647058792</v>
      </c>
    </row>
    <row r="232" spans="1:15">
      <c r="A232" s="1213"/>
      <c r="B232" s="1219" t="s">
        <v>210</v>
      </c>
      <c r="C232" s="1216">
        <f t="shared" si="75"/>
        <v>7000</v>
      </c>
      <c r="D232" s="1215">
        <f t="shared" si="74"/>
        <v>7700</v>
      </c>
      <c r="E232" s="1215">
        <f t="shared" si="74"/>
        <v>8470</v>
      </c>
      <c r="F232" s="1215">
        <f t="shared" si="74"/>
        <v>9320</v>
      </c>
      <c r="G232" s="1215">
        <f t="shared" si="74"/>
        <v>10250</v>
      </c>
      <c r="H232" s="1215">
        <f t="shared" si="74"/>
        <v>11280</v>
      </c>
      <c r="I232" s="1215">
        <f t="shared" si="74"/>
        <v>12410</v>
      </c>
      <c r="J232" s="1215">
        <f t="shared" ref="J232:L235" si="77">ROUND(I232*$N232,-2)</f>
        <v>13700</v>
      </c>
      <c r="K232" s="1215">
        <f t="shared" si="77"/>
        <v>15100</v>
      </c>
      <c r="L232" s="1215">
        <f t="shared" si="77"/>
        <v>16600</v>
      </c>
      <c r="M232" s="1220"/>
      <c r="N232" s="1221">
        <v>1.1000000000000001</v>
      </c>
      <c r="O232" s="1222">
        <v>7000</v>
      </c>
    </row>
    <row r="233" spans="1:15" ht="15">
      <c r="A233" s="1213"/>
      <c r="B233" s="1218" t="s">
        <v>211</v>
      </c>
      <c r="C233" s="1216">
        <f t="shared" si="75"/>
        <v>13010</v>
      </c>
      <c r="D233" s="1215">
        <f t="shared" si="74"/>
        <v>14570</v>
      </c>
      <c r="E233" s="1215">
        <f t="shared" si="74"/>
        <v>16320</v>
      </c>
      <c r="F233" s="1215">
        <f t="shared" si="74"/>
        <v>18280</v>
      </c>
      <c r="G233" s="1215">
        <f t="shared" si="74"/>
        <v>20470</v>
      </c>
      <c r="H233" s="1215">
        <f t="shared" si="74"/>
        <v>22930</v>
      </c>
      <c r="I233" s="1215">
        <f t="shared" si="74"/>
        <v>25680</v>
      </c>
      <c r="J233" s="1215">
        <f t="shared" si="77"/>
        <v>28800</v>
      </c>
      <c r="K233" s="1215">
        <f t="shared" si="77"/>
        <v>32300</v>
      </c>
      <c r="L233" s="1215">
        <f t="shared" si="77"/>
        <v>36200</v>
      </c>
      <c r="M233" s="1220"/>
      <c r="N233" s="1221">
        <v>1.1200000000000001</v>
      </c>
      <c r="O233" s="1222">
        <v>13007.352941176499</v>
      </c>
    </row>
    <row r="234" spans="1:15">
      <c r="A234" s="1213"/>
      <c r="B234" s="1219" t="s">
        <v>178</v>
      </c>
      <c r="C234" s="1216">
        <f t="shared" si="75"/>
        <v>7760</v>
      </c>
      <c r="D234" s="1215">
        <f t="shared" si="74"/>
        <v>8540</v>
      </c>
      <c r="E234" s="1215">
        <f t="shared" si="74"/>
        <v>9390</v>
      </c>
      <c r="F234" s="1215">
        <f t="shared" si="74"/>
        <v>10330</v>
      </c>
      <c r="G234" s="1215">
        <f t="shared" si="74"/>
        <v>11360</v>
      </c>
      <c r="H234" s="1215">
        <f t="shared" si="74"/>
        <v>12500</v>
      </c>
      <c r="I234" s="1215">
        <f t="shared" si="74"/>
        <v>13750</v>
      </c>
      <c r="J234" s="1215">
        <f t="shared" si="77"/>
        <v>15100</v>
      </c>
      <c r="K234" s="1215">
        <f t="shared" si="77"/>
        <v>16600</v>
      </c>
      <c r="L234" s="1215">
        <f t="shared" si="77"/>
        <v>18300</v>
      </c>
      <c r="M234" s="1220"/>
      <c r="N234" s="1221">
        <v>1.1000000000000001</v>
      </c>
      <c r="O234" s="1222">
        <v>7757.3529411764703</v>
      </c>
    </row>
    <row r="235" spans="1:15">
      <c r="A235" s="1213"/>
      <c r="B235" s="1219" t="s">
        <v>212</v>
      </c>
      <c r="C235" s="1216">
        <f t="shared" si="75"/>
        <v>7760</v>
      </c>
      <c r="D235" s="1215">
        <f t="shared" si="74"/>
        <v>8540</v>
      </c>
      <c r="E235" s="1215">
        <f t="shared" si="74"/>
        <v>9390</v>
      </c>
      <c r="F235" s="1215">
        <f t="shared" si="74"/>
        <v>10330</v>
      </c>
      <c r="G235" s="1215">
        <f t="shared" si="74"/>
        <v>11360</v>
      </c>
      <c r="H235" s="1215">
        <f t="shared" si="74"/>
        <v>12500</v>
      </c>
      <c r="I235" s="1215">
        <f t="shared" si="74"/>
        <v>13750</v>
      </c>
      <c r="J235" s="1215">
        <f t="shared" si="77"/>
        <v>15100</v>
      </c>
      <c r="K235" s="1215">
        <f t="shared" si="77"/>
        <v>16600</v>
      </c>
      <c r="L235" s="1215">
        <f t="shared" si="77"/>
        <v>18300</v>
      </c>
      <c r="M235" s="1220"/>
      <c r="N235" s="1221">
        <v>1.1000000000000001</v>
      </c>
      <c r="O235" s="1222">
        <v>7757.3529411764703</v>
      </c>
    </row>
    <row r="236" spans="1:15" ht="15">
      <c r="A236" s="1227"/>
      <c r="B236" s="1232" t="s">
        <v>179</v>
      </c>
      <c r="C236" s="1229">
        <f t="shared" si="75"/>
        <v>13910</v>
      </c>
      <c r="D236" s="1230">
        <f t="shared" si="74"/>
        <v>16000</v>
      </c>
      <c r="E236" s="1230">
        <f t="shared" si="74"/>
        <v>18400</v>
      </c>
      <c r="F236" s="1230">
        <f t="shared" si="74"/>
        <v>21160</v>
      </c>
      <c r="G236" s="1230">
        <f t="shared" si="74"/>
        <v>24330</v>
      </c>
      <c r="H236" s="1230">
        <f t="shared" si="74"/>
        <v>27980</v>
      </c>
      <c r="I236" s="1230">
        <f t="shared" si="74"/>
        <v>32180</v>
      </c>
      <c r="J236" s="1230">
        <f t="shared" si="70"/>
        <v>37000</v>
      </c>
      <c r="K236" s="1230">
        <f t="shared" si="70"/>
        <v>42600</v>
      </c>
      <c r="L236" s="1230">
        <f t="shared" si="70"/>
        <v>49000</v>
      </c>
      <c r="M236" s="1238"/>
      <c r="N236" s="1239">
        <v>1.1499999999999999</v>
      </c>
      <c r="O236" s="1240">
        <v>13907.352941176499</v>
      </c>
    </row>
    <row r="237" spans="1:15">
      <c r="A237" s="1227"/>
      <c r="B237" s="1228" t="s">
        <v>180</v>
      </c>
      <c r="C237" s="1229">
        <f t="shared" si="75"/>
        <v>8440</v>
      </c>
      <c r="D237" s="1230">
        <f t="shared" si="74"/>
        <v>9280</v>
      </c>
      <c r="E237" s="1230">
        <f t="shared" si="74"/>
        <v>10210</v>
      </c>
      <c r="F237" s="1230">
        <f t="shared" si="74"/>
        <v>11230</v>
      </c>
      <c r="G237" s="1230">
        <f t="shared" si="74"/>
        <v>12350</v>
      </c>
      <c r="H237" s="1230">
        <f t="shared" si="74"/>
        <v>13590</v>
      </c>
      <c r="I237" s="1230">
        <f t="shared" si="74"/>
        <v>14950</v>
      </c>
      <c r="J237" s="1230">
        <f t="shared" ref="J237:L238" si="78">ROUND(I237*$N237,-2)</f>
        <v>16400</v>
      </c>
      <c r="K237" s="1230">
        <f t="shared" si="78"/>
        <v>18000</v>
      </c>
      <c r="L237" s="1230">
        <f t="shared" si="78"/>
        <v>19800</v>
      </c>
      <c r="M237" s="1238"/>
      <c r="N237" s="1239">
        <v>1.1000000000000001</v>
      </c>
      <c r="O237" s="1240">
        <v>8441.1764705882397</v>
      </c>
    </row>
    <row r="238" spans="1:15" ht="15">
      <c r="A238" s="1233"/>
      <c r="B238" s="1234" t="s">
        <v>213</v>
      </c>
      <c r="C238" s="1229">
        <f t="shared" si="75"/>
        <v>11970</v>
      </c>
      <c r="D238" s="1230">
        <f t="shared" ref="D238:I238" si="79">ROUND(C238*$N238,-1)</f>
        <v>14360</v>
      </c>
      <c r="E238" s="1230">
        <f t="shared" si="79"/>
        <v>17230</v>
      </c>
      <c r="F238" s="1230">
        <f t="shared" si="79"/>
        <v>20680</v>
      </c>
      <c r="G238" s="1230">
        <f t="shared" si="79"/>
        <v>24820</v>
      </c>
      <c r="H238" s="1230">
        <f t="shared" si="79"/>
        <v>29780</v>
      </c>
      <c r="I238" s="1230">
        <f t="shared" si="79"/>
        <v>35740</v>
      </c>
      <c r="J238" s="1230">
        <f t="shared" si="78"/>
        <v>42900</v>
      </c>
      <c r="K238" s="1230">
        <f t="shared" si="78"/>
        <v>51500</v>
      </c>
      <c r="L238" s="1230">
        <f t="shared" si="78"/>
        <v>61800</v>
      </c>
      <c r="M238" s="1220"/>
      <c r="N238" s="1221">
        <v>1.2</v>
      </c>
      <c r="O238" s="1222">
        <v>11970.588235294101</v>
      </c>
    </row>
  </sheetData>
  <mergeCells count="6">
    <mergeCell ref="P72:P76"/>
    <mergeCell ref="A1:I1"/>
    <mergeCell ref="J1:K1"/>
    <mergeCell ref="C3:L3"/>
    <mergeCell ref="N3:N4"/>
    <mergeCell ref="O3:O4"/>
  </mergeCells>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9"/>
  <sheetViews>
    <sheetView topLeftCell="B1" zoomScale="115" zoomScaleNormal="115" workbookViewId="0">
      <pane xSplit="2" ySplit="3" topLeftCell="D4" activePane="bottomRight" state="frozen"/>
      <selection pane="topRight"/>
      <selection pane="bottomLeft"/>
      <selection pane="bottomRight" activeCell="AN7" sqref="AN7"/>
    </sheetView>
  </sheetViews>
  <sheetFormatPr defaultColWidth="9" defaultRowHeight="14.25"/>
  <cols>
    <col min="1" max="1" width="3" customWidth="1"/>
    <col min="2" max="2" width="7.85546875" customWidth="1"/>
    <col min="3" max="3" width="18.42578125" customWidth="1"/>
    <col min="4" max="4" width="7.28515625" customWidth="1"/>
    <col min="5" max="5" width="7.42578125" customWidth="1"/>
    <col min="6" max="6" width="8" customWidth="1"/>
    <col min="7" max="7" width="7.28515625" customWidth="1"/>
    <col min="8" max="8" width="7.5703125" customWidth="1"/>
    <col min="9" max="9" width="7.7109375" customWidth="1"/>
    <col min="10" max="15" width="9.140625" customWidth="1"/>
  </cols>
  <sheetData>
    <row r="2" spans="1:16" ht="23.25">
      <c r="B2" s="264" t="s">
        <v>1001</v>
      </c>
    </row>
    <row r="3" spans="1:16">
      <c r="B3" s="265"/>
      <c r="C3" s="266"/>
      <c r="D3" s="266" t="s">
        <v>1002</v>
      </c>
      <c r="E3" s="266" t="s">
        <v>1003</v>
      </c>
      <c r="F3" s="266" t="s">
        <v>1004</v>
      </c>
      <c r="G3" s="266" t="s">
        <v>1005</v>
      </c>
      <c r="H3" s="266" t="s">
        <v>1006</v>
      </c>
      <c r="I3" s="266" t="s">
        <v>1007</v>
      </c>
      <c r="J3" s="266" t="s">
        <v>1008</v>
      </c>
      <c r="K3" s="266" t="s">
        <v>1009</v>
      </c>
      <c r="L3" s="266" t="s">
        <v>1010</v>
      </c>
      <c r="M3" s="266" t="s">
        <v>1011</v>
      </c>
      <c r="N3" s="266" t="s">
        <v>1012</v>
      </c>
      <c r="O3" s="281" t="s">
        <v>1013</v>
      </c>
      <c r="P3" s="281" t="s">
        <v>1014</v>
      </c>
    </row>
    <row r="4" spans="1:16" s="292" customFormat="1">
      <c r="A4" s="292" t="e">
        <f>#REF!</f>
        <v>#REF!</v>
      </c>
      <c r="B4" s="293">
        <v>1</v>
      </c>
      <c r="C4" s="294" t="s">
        <v>1015</v>
      </c>
      <c r="D4" s="295"/>
      <c r="E4" s="295"/>
      <c r="F4" s="295"/>
      <c r="G4" s="294"/>
      <c r="H4" s="294"/>
      <c r="I4" s="294"/>
      <c r="J4" s="294"/>
      <c r="K4" s="294"/>
      <c r="L4" s="294"/>
      <c r="M4" s="294"/>
      <c r="N4" s="295"/>
      <c r="O4" s="296"/>
      <c r="P4" s="297">
        <f t="shared" ref="P4:P14" si="0">SUM(D4:O4)</f>
        <v>0</v>
      </c>
    </row>
    <row r="5" spans="1:16" s="292" customFormat="1">
      <c r="A5" s="292" t="e">
        <f>#REF!</f>
        <v>#REF!</v>
      </c>
      <c r="B5" s="293">
        <v>2</v>
      </c>
      <c r="C5" s="294" t="s">
        <v>1016</v>
      </c>
      <c r="D5" s="295"/>
      <c r="E5" s="295"/>
      <c r="F5" s="295"/>
      <c r="G5" s="294"/>
      <c r="H5" s="294"/>
      <c r="I5" s="294"/>
      <c r="J5" s="294"/>
      <c r="K5" s="294"/>
      <c r="L5" s="294"/>
      <c r="M5" s="294"/>
      <c r="N5" s="295"/>
      <c r="O5" s="296"/>
      <c r="P5" s="297">
        <f t="shared" si="0"/>
        <v>0</v>
      </c>
    </row>
    <row r="6" spans="1:16">
      <c r="A6" t="e">
        <f>#REF!</f>
        <v>#REF!</v>
      </c>
      <c r="B6" s="271">
        <v>3</v>
      </c>
      <c r="C6" s="272" t="s">
        <v>1017</v>
      </c>
      <c r="D6" s="282">
        <v>1</v>
      </c>
      <c r="E6" s="282">
        <v>3</v>
      </c>
      <c r="F6" s="282">
        <v>1</v>
      </c>
      <c r="G6" s="268">
        <v>1</v>
      </c>
      <c r="H6" s="268"/>
      <c r="I6" s="268">
        <v>2</v>
      </c>
      <c r="J6" s="268"/>
      <c r="K6" s="268"/>
      <c r="L6" s="268"/>
      <c r="M6" s="268"/>
      <c r="N6" s="282"/>
      <c r="O6" s="283"/>
      <c r="P6" s="288">
        <f t="shared" si="0"/>
        <v>8</v>
      </c>
    </row>
    <row r="7" spans="1:16">
      <c r="A7" t="e">
        <f>#REF!</f>
        <v>#REF!</v>
      </c>
      <c r="B7" s="271">
        <v>4</v>
      </c>
      <c r="C7" s="272" t="s">
        <v>1018</v>
      </c>
      <c r="D7" s="282"/>
      <c r="E7" s="282">
        <v>1</v>
      </c>
      <c r="F7" s="282">
        <v>1</v>
      </c>
      <c r="G7" s="268">
        <v>1</v>
      </c>
      <c r="H7" s="268"/>
      <c r="I7" s="268">
        <v>2</v>
      </c>
      <c r="J7" s="268"/>
      <c r="K7" s="268"/>
      <c r="L7" s="268"/>
      <c r="M7" s="268"/>
      <c r="N7" s="282"/>
      <c r="O7" s="283"/>
      <c r="P7" s="288">
        <f t="shared" si="0"/>
        <v>5</v>
      </c>
    </row>
    <row r="8" spans="1:16">
      <c r="A8" t="e">
        <f>#REF!</f>
        <v>#REF!</v>
      </c>
      <c r="B8" s="271">
        <v>5</v>
      </c>
      <c r="C8" s="272" t="s">
        <v>1019</v>
      </c>
      <c r="D8" s="282"/>
      <c r="E8" s="282">
        <v>3</v>
      </c>
      <c r="F8" s="282"/>
      <c r="G8" s="268">
        <v>1</v>
      </c>
      <c r="H8" s="268">
        <v>5</v>
      </c>
      <c r="I8" s="268">
        <v>3</v>
      </c>
      <c r="J8" s="268"/>
      <c r="K8" s="268"/>
      <c r="L8" s="268"/>
      <c r="M8" s="268"/>
      <c r="N8" s="282"/>
      <c r="O8" s="283"/>
      <c r="P8" s="288">
        <f t="shared" si="0"/>
        <v>12</v>
      </c>
    </row>
    <row r="9" spans="1:16">
      <c r="A9" t="e">
        <f>#REF!</f>
        <v>#REF!</v>
      </c>
      <c r="B9" s="271">
        <v>6</v>
      </c>
      <c r="C9" s="272" t="s">
        <v>1020</v>
      </c>
      <c r="D9" s="282"/>
      <c r="E9" s="282"/>
      <c r="F9" s="282"/>
      <c r="G9" s="268"/>
      <c r="H9" s="268"/>
      <c r="I9" s="268"/>
      <c r="J9" s="268"/>
      <c r="K9" s="268"/>
      <c r="L9" s="268"/>
      <c r="M9" s="268"/>
      <c r="N9" s="282"/>
      <c r="O9" s="283"/>
      <c r="P9" s="288">
        <f t="shared" si="0"/>
        <v>0</v>
      </c>
    </row>
    <row r="10" spans="1:16" s="292" customFormat="1">
      <c r="A10" s="292" t="e">
        <f>#REF!</f>
        <v>#REF!</v>
      </c>
      <c r="B10" s="293">
        <v>7</v>
      </c>
      <c r="C10" s="294" t="s">
        <v>1021</v>
      </c>
      <c r="D10" s="295"/>
      <c r="E10" s="295"/>
      <c r="F10" s="295"/>
      <c r="G10" s="294"/>
      <c r="H10" s="294"/>
      <c r="I10" s="294"/>
      <c r="J10" s="294"/>
      <c r="K10" s="294"/>
      <c r="L10" s="294"/>
      <c r="M10" s="294"/>
      <c r="N10" s="295"/>
      <c r="O10" s="296"/>
      <c r="P10" s="297">
        <f t="shared" si="0"/>
        <v>0</v>
      </c>
    </row>
    <row r="11" spans="1:16">
      <c r="A11" t="e">
        <f>#REF!</f>
        <v>#REF!</v>
      </c>
      <c r="B11" s="271">
        <v>8</v>
      </c>
      <c r="C11" s="272" t="s">
        <v>1022</v>
      </c>
      <c r="D11" s="282"/>
      <c r="E11" s="282">
        <v>1</v>
      </c>
      <c r="F11" s="282">
        <v>1</v>
      </c>
      <c r="G11" s="268"/>
      <c r="H11" s="268"/>
      <c r="I11" s="268"/>
      <c r="J11" s="268"/>
      <c r="K11" s="268"/>
      <c r="L11" s="268"/>
      <c r="M11" s="268"/>
      <c r="N11" s="282"/>
      <c r="O11" s="283"/>
      <c r="P11" s="288">
        <f t="shared" si="0"/>
        <v>2</v>
      </c>
    </row>
    <row r="12" spans="1:16">
      <c r="A12" t="e">
        <f>#REF!</f>
        <v>#REF!</v>
      </c>
      <c r="B12" s="271">
        <v>9</v>
      </c>
      <c r="C12" s="272" t="s">
        <v>1023</v>
      </c>
      <c r="D12" s="282">
        <v>2</v>
      </c>
      <c r="E12" s="282">
        <v>5</v>
      </c>
      <c r="F12" s="282"/>
      <c r="G12" s="268"/>
      <c r="H12" s="268"/>
      <c r="I12" s="268"/>
      <c r="J12" s="268"/>
      <c r="K12" s="268"/>
      <c r="L12" s="268"/>
      <c r="M12" s="268"/>
      <c r="N12" s="282"/>
      <c r="O12" s="283"/>
      <c r="P12" s="288">
        <f t="shared" si="0"/>
        <v>7</v>
      </c>
    </row>
    <row r="13" spans="1:16">
      <c r="B13" s="271">
        <v>10</v>
      </c>
      <c r="C13" s="272" t="s">
        <v>1024</v>
      </c>
      <c r="D13" s="282"/>
      <c r="E13" s="282">
        <v>6</v>
      </c>
      <c r="F13" s="282"/>
      <c r="G13" s="268">
        <v>8</v>
      </c>
      <c r="H13" s="268"/>
      <c r="I13" s="268"/>
      <c r="J13" s="268"/>
      <c r="K13" s="268"/>
      <c r="L13" s="268"/>
      <c r="M13" s="268"/>
      <c r="N13" s="282"/>
      <c r="O13" s="283"/>
      <c r="P13" s="288">
        <f t="shared" si="0"/>
        <v>14</v>
      </c>
    </row>
    <row r="14" spans="1:16">
      <c r="B14" s="271">
        <v>11</v>
      </c>
      <c r="C14" s="272" t="s">
        <v>1025</v>
      </c>
      <c r="D14" s="282"/>
      <c r="E14" s="282">
        <v>1</v>
      </c>
      <c r="F14" s="282"/>
      <c r="G14" s="268">
        <v>2</v>
      </c>
      <c r="H14" s="268"/>
      <c r="I14" s="268">
        <v>1</v>
      </c>
      <c r="J14" s="268"/>
      <c r="K14" s="268"/>
      <c r="L14" s="268"/>
      <c r="M14" s="268"/>
      <c r="N14" s="282"/>
      <c r="O14" s="283"/>
      <c r="P14" s="288">
        <f t="shared" si="0"/>
        <v>4</v>
      </c>
    </row>
    <row r="15" spans="1:16" s="292" customFormat="1">
      <c r="B15" s="293">
        <v>12</v>
      </c>
      <c r="C15" s="294" t="s">
        <v>1026</v>
      </c>
      <c r="D15" s="295"/>
      <c r="E15" s="295"/>
      <c r="F15" s="295"/>
      <c r="G15" s="294"/>
      <c r="H15" s="294"/>
      <c r="I15" s="294"/>
      <c r="J15" s="294"/>
      <c r="K15" s="294"/>
      <c r="L15" s="294"/>
      <c r="M15" s="294"/>
      <c r="N15" s="295"/>
      <c r="O15" s="296"/>
      <c r="P15" s="297"/>
    </row>
    <row r="16" spans="1:16" s="292" customFormat="1">
      <c r="B16" s="293">
        <v>13</v>
      </c>
      <c r="C16" s="294" t="s">
        <v>1027</v>
      </c>
      <c r="D16" s="295"/>
      <c r="E16" s="295"/>
      <c r="F16" s="295"/>
      <c r="G16" s="294"/>
      <c r="H16" s="294"/>
      <c r="I16" s="294"/>
      <c r="J16" s="294"/>
      <c r="K16" s="294"/>
      <c r="L16" s="294"/>
      <c r="M16" s="294"/>
      <c r="N16" s="295"/>
      <c r="O16" s="296"/>
      <c r="P16" s="297"/>
    </row>
    <row r="17" spans="2:16">
      <c r="B17" s="271">
        <v>14</v>
      </c>
      <c r="C17" s="272" t="s">
        <v>1028</v>
      </c>
      <c r="D17" s="282"/>
      <c r="E17" s="282"/>
      <c r="F17" s="282"/>
      <c r="G17" s="268"/>
      <c r="H17" s="268"/>
      <c r="I17" s="268"/>
      <c r="J17" s="268"/>
      <c r="K17" s="268"/>
      <c r="L17" s="268"/>
      <c r="M17" s="268"/>
      <c r="N17" s="282"/>
      <c r="O17" s="283"/>
      <c r="P17" s="288">
        <f t="shared" ref="P17:P21" si="1">SUM(D17:O17)</f>
        <v>0</v>
      </c>
    </row>
    <row r="18" spans="2:16" s="292" customFormat="1">
      <c r="B18" s="293">
        <v>15</v>
      </c>
      <c r="C18" s="294" t="s">
        <v>1029</v>
      </c>
      <c r="D18" s="295"/>
      <c r="E18" s="295"/>
      <c r="F18" s="295"/>
      <c r="G18" s="294"/>
      <c r="H18" s="294"/>
      <c r="I18" s="294"/>
      <c r="J18" s="294"/>
      <c r="K18" s="294"/>
      <c r="L18" s="294"/>
      <c r="M18" s="294"/>
      <c r="N18" s="295"/>
      <c r="O18" s="296"/>
      <c r="P18" s="297"/>
    </row>
    <row r="19" spans="2:16">
      <c r="B19" s="271">
        <v>16</v>
      </c>
      <c r="C19" s="272" t="s">
        <v>1030</v>
      </c>
      <c r="D19" s="282"/>
      <c r="E19" s="282"/>
      <c r="F19" s="282"/>
      <c r="G19" s="268"/>
      <c r="H19" s="268"/>
      <c r="I19" s="268"/>
      <c r="J19" s="268"/>
      <c r="K19" s="268"/>
      <c r="L19" s="268"/>
      <c r="M19" s="268"/>
      <c r="N19" s="282"/>
      <c r="O19" s="283"/>
      <c r="P19" s="288">
        <f t="shared" si="1"/>
        <v>0</v>
      </c>
    </row>
    <row r="20" spans="2:16">
      <c r="B20" s="271">
        <v>17</v>
      </c>
      <c r="C20" s="272" t="s">
        <v>1031</v>
      </c>
      <c r="D20" s="282"/>
      <c r="E20" s="282">
        <v>1</v>
      </c>
      <c r="F20" s="282"/>
      <c r="G20" s="268"/>
      <c r="H20" s="268"/>
      <c r="I20" s="268"/>
      <c r="J20" s="268"/>
      <c r="K20" s="268"/>
      <c r="L20" s="268"/>
      <c r="M20" s="268"/>
      <c r="N20" s="282"/>
      <c r="O20" s="283"/>
      <c r="P20" s="288">
        <f t="shared" si="1"/>
        <v>1</v>
      </c>
    </row>
    <row r="21" spans="2:16">
      <c r="B21" s="271">
        <v>18</v>
      </c>
      <c r="C21" s="272" t="s">
        <v>1032</v>
      </c>
      <c r="D21" s="282">
        <v>1</v>
      </c>
      <c r="E21" s="282">
        <v>1</v>
      </c>
      <c r="F21" s="282">
        <v>1</v>
      </c>
      <c r="G21" s="268">
        <v>1</v>
      </c>
      <c r="H21" s="268"/>
      <c r="I21" s="268">
        <v>3</v>
      </c>
      <c r="J21" s="268"/>
      <c r="K21" s="268"/>
      <c r="L21" s="268"/>
      <c r="M21" s="268"/>
      <c r="N21" s="282"/>
      <c r="O21" s="283"/>
      <c r="P21" s="288">
        <f t="shared" si="1"/>
        <v>7</v>
      </c>
    </row>
    <row r="22" spans="2:16" s="292" customFormat="1">
      <c r="B22" s="293">
        <v>19</v>
      </c>
      <c r="C22" s="294" t="s">
        <v>1033</v>
      </c>
      <c r="D22" s="295"/>
      <c r="E22" s="295"/>
      <c r="F22" s="295"/>
      <c r="G22" s="294"/>
      <c r="H22" s="294"/>
      <c r="I22" s="294"/>
      <c r="J22" s="294"/>
      <c r="K22" s="294"/>
      <c r="L22" s="294"/>
      <c r="M22" s="294"/>
      <c r="N22" s="295"/>
      <c r="O22" s="296"/>
      <c r="P22" s="297"/>
    </row>
    <row r="23" spans="2:16">
      <c r="B23" s="271">
        <v>20</v>
      </c>
      <c r="C23" s="272" t="s">
        <v>1034</v>
      </c>
      <c r="D23" s="282"/>
      <c r="E23" s="282">
        <v>1</v>
      </c>
      <c r="F23" s="282"/>
      <c r="G23" s="268"/>
      <c r="H23" s="268"/>
      <c r="I23" s="268"/>
      <c r="J23" s="268"/>
      <c r="K23" s="268"/>
      <c r="L23" s="268"/>
      <c r="M23" s="268"/>
      <c r="N23" s="282"/>
      <c r="O23" s="283"/>
      <c r="P23" s="288"/>
    </row>
    <row r="24" spans="2:16">
      <c r="B24" s="271">
        <v>22</v>
      </c>
      <c r="C24" s="272" t="s">
        <v>1035</v>
      </c>
      <c r="D24" s="282"/>
      <c r="E24" s="282">
        <v>1</v>
      </c>
      <c r="F24" s="282"/>
      <c r="G24" s="268"/>
      <c r="H24" s="268"/>
      <c r="I24" s="268"/>
      <c r="J24" s="268"/>
      <c r="K24" s="268"/>
      <c r="L24" s="268"/>
      <c r="M24" s="268"/>
      <c r="N24" s="282"/>
      <c r="O24" s="283"/>
      <c r="P24" s="288"/>
    </row>
    <row r="25" spans="2:16">
      <c r="B25" s="271">
        <v>23</v>
      </c>
      <c r="C25" s="272" t="s">
        <v>1036</v>
      </c>
      <c r="D25" s="282"/>
      <c r="E25" s="282">
        <v>2</v>
      </c>
      <c r="F25" s="282"/>
      <c r="G25" s="268"/>
      <c r="H25" s="268"/>
      <c r="I25" s="268">
        <v>1</v>
      </c>
      <c r="J25" s="268"/>
      <c r="K25" s="268"/>
      <c r="L25" s="268"/>
      <c r="M25" s="268"/>
      <c r="N25" s="282"/>
      <c r="O25" s="283"/>
      <c r="P25" s="288"/>
    </row>
    <row r="26" spans="2:16">
      <c r="B26" s="271">
        <v>24</v>
      </c>
      <c r="C26" s="272" t="s">
        <v>1037</v>
      </c>
      <c r="D26" s="282"/>
      <c r="E26" s="282">
        <v>1</v>
      </c>
      <c r="F26" s="282"/>
      <c r="G26" s="268"/>
      <c r="H26" s="268"/>
      <c r="I26" s="268"/>
      <c r="J26" s="268"/>
      <c r="K26" s="268"/>
      <c r="L26" s="268"/>
      <c r="M26" s="268"/>
      <c r="N26" s="282"/>
      <c r="O26" s="283"/>
      <c r="P26" s="288"/>
    </row>
    <row r="27" spans="2:16">
      <c r="B27" s="271">
        <v>25</v>
      </c>
      <c r="C27" s="272" t="s">
        <v>1038</v>
      </c>
      <c r="D27" s="282"/>
      <c r="E27" s="282">
        <v>1</v>
      </c>
      <c r="F27" s="282"/>
      <c r="G27" s="268"/>
      <c r="H27" s="268"/>
      <c r="I27" s="268"/>
      <c r="J27" s="268"/>
      <c r="K27" s="268"/>
      <c r="L27" s="268"/>
      <c r="M27" s="268"/>
      <c r="N27" s="282"/>
      <c r="O27" s="283"/>
      <c r="P27" s="288"/>
    </row>
    <row r="28" spans="2:16">
      <c r="B28" s="271">
        <v>26</v>
      </c>
      <c r="C28" s="272" t="s">
        <v>1039</v>
      </c>
      <c r="D28" s="282"/>
      <c r="E28" s="282">
        <v>1</v>
      </c>
      <c r="F28" s="282"/>
      <c r="G28" s="268"/>
      <c r="H28" s="268"/>
      <c r="I28" s="268"/>
      <c r="J28" s="268"/>
      <c r="K28" s="268"/>
      <c r="L28" s="268"/>
      <c r="M28" s="268"/>
      <c r="N28" s="282"/>
      <c r="O28" s="283"/>
      <c r="P28" s="288"/>
    </row>
    <row r="29" spans="2:16">
      <c r="B29" s="271">
        <v>27</v>
      </c>
      <c r="C29" s="272" t="s">
        <v>1040</v>
      </c>
      <c r="D29" s="282"/>
      <c r="E29" s="282">
        <v>1</v>
      </c>
      <c r="F29" s="282"/>
      <c r="G29" s="268"/>
      <c r="H29" s="268"/>
      <c r="I29" s="268"/>
      <c r="J29" s="268"/>
      <c r="K29" s="268"/>
      <c r="L29" s="268"/>
      <c r="M29" s="268"/>
      <c r="N29" s="282"/>
      <c r="O29" s="283"/>
      <c r="P29" s="288"/>
    </row>
    <row r="30" spans="2:16">
      <c r="B30" s="271">
        <v>28</v>
      </c>
      <c r="C30" s="272" t="s">
        <v>1041</v>
      </c>
      <c r="D30" s="282"/>
      <c r="E30" s="282">
        <v>1</v>
      </c>
      <c r="F30" s="282"/>
      <c r="G30" s="268"/>
      <c r="H30" s="268"/>
      <c r="I30" s="268"/>
      <c r="J30" s="268"/>
      <c r="K30" s="268"/>
      <c r="L30" s="268"/>
      <c r="M30" s="268"/>
      <c r="N30" s="282"/>
      <c r="O30" s="283"/>
      <c r="P30" s="288"/>
    </row>
    <row r="31" spans="2:16">
      <c r="B31" s="271">
        <v>29</v>
      </c>
      <c r="C31" s="272" t="s">
        <v>1042</v>
      </c>
      <c r="D31" s="282"/>
      <c r="E31" s="282">
        <v>1</v>
      </c>
      <c r="F31" s="282"/>
      <c r="G31" s="268"/>
      <c r="H31" s="268"/>
      <c r="I31" s="268"/>
      <c r="J31" s="268"/>
      <c r="K31" s="268"/>
      <c r="L31" s="268"/>
      <c r="M31" s="268"/>
      <c r="N31" s="282"/>
      <c r="O31" s="283"/>
      <c r="P31" s="288"/>
    </row>
    <row r="32" spans="2:16">
      <c r="B32" s="271">
        <v>30</v>
      </c>
      <c r="C32" s="272" t="s">
        <v>1022</v>
      </c>
      <c r="D32" s="282"/>
      <c r="E32" s="282">
        <v>1</v>
      </c>
      <c r="F32" s="282"/>
      <c r="G32" s="268"/>
      <c r="H32" s="268"/>
      <c r="I32" s="268"/>
      <c r="J32" s="268"/>
      <c r="K32" s="268"/>
      <c r="L32" s="268"/>
      <c r="M32" s="268"/>
      <c r="N32" s="282"/>
      <c r="O32" s="283"/>
      <c r="P32" s="288"/>
    </row>
    <row r="33" spans="2:16">
      <c r="B33" s="271">
        <v>31</v>
      </c>
      <c r="C33" s="272" t="s">
        <v>1043</v>
      </c>
      <c r="D33" s="282"/>
      <c r="E33" s="282">
        <v>1</v>
      </c>
      <c r="F33" s="282"/>
      <c r="G33" s="268"/>
      <c r="H33" s="268"/>
      <c r="I33" s="268"/>
      <c r="J33" s="268"/>
      <c r="K33" s="268"/>
      <c r="L33" s="268"/>
      <c r="M33" s="268"/>
      <c r="N33" s="282"/>
      <c r="O33" s="283"/>
      <c r="P33" s="288"/>
    </row>
    <row r="34" spans="2:16">
      <c r="B34" s="271">
        <v>32</v>
      </c>
      <c r="C34" s="272" t="s">
        <v>1044</v>
      </c>
      <c r="D34" s="282"/>
      <c r="E34" s="282">
        <v>1</v>
      </c>
      <c r="F34" s="282"/>
      <c r="G34" s="268"/>
      <c r="H34" s="268"/>
      <c r="I34" s="268"/>
      <c r="J34" s="268"/>
      <c r="K34" s="268"/>
      <c r="L34" s="268"/>
      <c r="M34" s="268"/>
      <c r="N34" s="282"/>
      <c r="O34" s="283"/>
      <c r="P34" s="288"/>
    </row>
    <row r="35" spans="2:16">
      <c r="B35" s="271">
        <v>33</v>
      </c>
      <c r="C35" s="272" t="s">
        <v>1045</v>
      </c>
      <c r="D35" s="282"/>
      <c r="E35" s="282">
        <v>1</v>
      </c>
      <c r="F35" s="282"/>
      <c r="G35" s="268"/>
      <c r="H35" s="268"/>
      <c r="I35" s="268"/>
      <c r="J35" s="268"/>
      <c r="K35" s="268"/>
      <c r="L35" s="268"/>
      <c r="M35" s="268"/>
      <c r="N35" s="282"/>
      <c r="O35" s="283"/>
      <c r="P35" s="288"/>
    </row>
    <row r="36" spans="2:16">
      <c r="B36" s="271">
        <v>34</v>
      </c>
      <c r="C36" s="272" t="s">
        <v>1046</v>
      </c>
      <c r="D36" s="282"/>
      <c r="E36" s="282">
        <v>1</v>
      </c>
      <c r="F36" s="282"/>
      <c r="G36" s="268"/>
      <c r="H36" s="268"/>
      <c r="I36" s="268"/>
      <c r="J36" s="268"/>
      <c r="K36" s="268"/>
      <c r="L36" s="268"/>
      <c r="M36" s="268"/>
      <c r="N36" s="282"/>
      <c r="O36" s="283"/>
      <c r="P36" s="288"/>
    </row>
    <row r="37" spans="2:16">
      <c r="B37" s="271">
        <v>35</v>
      </c>
      <c r="C37" s="272" t="s">
        <v>1047</v>
      </c>
      <c r="D37" s="282"/>
      <c r="E37" s="282">
        <v>1</v>
      </c>
      <c r="F37" s="282"/>
      <c r="G37" s="268"/>
      <c r="H37" s="268"/>
      <c r="I37" s="268"/>
      <c r="J37" s="268"/>
      <c r="K37" s="268"/>
      <c r="L37" s="268"/>
      <c r="M37" s="268"/>
      <c r="N37" s="282"/>
      <c r="O37" s="283"/>
      <c r="P37" s="288"/>
    </row>
    <row r="38" spans="2:16">
      <c r="B38" s="271">
        <v>36</v>
      </c>
      <c r="C38" s="272" t="s">
        <v>1048</v>
      </c>
      <c r="D38" s="282"/>
      <c r="E38" s="282">
        <v>1</v>
      </c>
      <c r="F38" s="282"/>
      <c r="G38" s="268"/>
      <c r="H38" s="268"/>
      <c r="I38" s="268"/>
      <c r="J38" s="268"/>
      <c r="K38" s="268"/>
      <c r="L38" s="268"/>
      <c r="M38" s="268"/>
      <c r="N38" s="282"/>
      <c r="O38" s="283"/>
      <c r="P38" s="288"/>
    </row>
    <row r="39" spans="2:16">
      <c r="B39" s="271">
        <v>37</v>
      </c>
      <c r="C39" s="272" t="s">
        <v>1049</v>
      </c>
      <c r="D39" s="282"/>
      <c r="E39" s="282">
        <v>1</v>
      </c>
      <c r="F39" s="282"/>
      <c r="G39" s="268"/>
      <c r="H39" s="268"/>
      <c r="I39" s="268"/>
      <c r="J39" s="268"/>
      <c r="K39" s="268"/>
      <c r="L39" s="268"/>
      <c r="M39" s="268"/>
      <c r="N39" s="282"/>
      <c r="O39" s="283"/>
      <c r="P39" s="288"/>
    </row>
    <row r="40" spans="2:16">
      <c r="B40" s="271">
        <v>38</v>
      </c>
      <c r="C40" s="272" t="s">
        <v>1050</v>
      </c>
      <c r="D40" s="282"/>
      <c r="E40" s="282">
        <v>1</v>
      </c>
      <c r="F40" s="282"/>
      <c r="G40" s="268"/>
      <c r="H40" s="268"/>
      <c r="I40" s="268"/>
      <c r="J40" s="268"/>
      <c r="K40" s="268"/>
      <c r="L40" s="268"/>
      <c r="M40" s="268"/>
      <c r="N40" s="282"/>
      <c r="O40" s="283"/>
      <c r="P40" s="288"/>
    </row>
    <row r="41" spans="2:16">
      <c r="B41" s="271">
        <v>39</v>
      </c>
      <c r="C41" s="272" t="s">
        <v>1051</v>
      </c>
      <c r="D41" s="282"/>
      <c r="E41" s="282">
        <v>1</v>
      </c>
      <c r="F41" s="282"/>
      <c r="G41" s="268"/>
      <c r="H41" s="268"/>
      <c r="I41" s="268"/>
      <c r="J41" s="268"/>
      <c r="K41" s="268"/>
      <c r="L41" s="268"/>
      <c r="M41" s="268"/>
      <c r="N41" s="282"/>
      <c r="O41" s="283"/>
      <c r="P41" s="288"/>
    </row>
    <row r="42" spans="2:16">
      <c r="B42" s="271">
        <v>40</v>
      </c>
      <c r="C42" s="272" t="s">
        <v>1052</v>
      </c>
      <c r="D42" s="282"/>
      <c r="E42" s="282">
        <v>1</v>
      </c>
      <c r="F42" s="282"/>
      <c r="G42" s="268"/>
      <c r="H42" s="268"/>
      <c r="I42" s="268"/>
      <c r="J42" s="268"/>
      <c r="K42" s="268"/>
      <c r="L42" s="268"/>
      <c r="M42" s="268"/>
      <c r="N42" s="282"/>
      <c r="O42" s="283"/>
      <c r="P42" s="288"/>
    </row>
    <row r="43" spans="2:16">
      <c r="B43" s="271">
        <v>41</v>
      </c>
      <c r="C43" s="272" t="s">
        <v>1053</v>
      </c>
      <c r="D43" s="282"/>
      <c r="E43" s="282">
        <v>1</v>
      </c>
      <c r="F43" s="282"/>
      <c r="G43" s="268"/>
      <c r="H43" s="268"/>
      <c r="I43" s="268"/>
      <c r="J43" s="268"/>
      <c r="K43" s="268"/>
      <c r="L43" s="268"/>
      <c r="M43" s="268"/>
      <c r="N43" s="282"/>
      <c r="O43" s="283"/>
      <c r="P43" s="288"/>
    </row>
    <row r="44" spans="2:16">
      <c r="B44" s="271">
        <v>42</v>
      </c>
      <c r="C44" s="272" t="s">
        <v>1054</v>
      </c>
      <c r="D44" s="282"/>
      <c r="E44" s="282">
        <v>1</v>
      </c>
      <c r="F44" s="282"/>
      <c r="G44" s="268"/>
      <c r="H44" s="268"/>
      <c r="I44" s="268"/>
      <c r="J44" s="268"/>
      <c r="K44" s="268"/>
      <c r="L44" s="268"/>
      <c r="M44" s="268"/>
      <c r="N44" s="282"/>
      <c r="O44" s="283"/>
      <c r="P44" s="288"/>
    </row>
    <row r="45" spans="2:16">
      <c r="B45" s="271">
        <v>43</v>
      </c>
      <c r="C45" s="272" t="s">
        <v>1055</v>
      </c>
      <c r="D45" s="282"/>
      <c r="E45" s="282">
        <v>1</v>
      </c>
      <c r="F45" s="282"/>
      <c r="G45" s="268"/>
      <c r="H45" s="268"/>
      <c r="I45" s="268"/>
      <c r="J45" s="268"/>
      <c r="K45" s="268"/>
      <c r="L45" s="268"/>
      <c r="M45" s="268"/>
      <c r="N45" s="282"/>
      <c r="O45" s="283"/>
      <c r="P45" s="288"/>
    </row>
    <row r="46" spans="2:16">
      <c r="B46" s="271">
        <v>44</v>
      </c>
      <c r="C46" s="272" t="s">
        <v>1056</v>
      </c>
      <c r="D46" s="282"/>
      <c r="E46" s="282">
        <v>1</v>
      </c>
      <c r="F46" s="282"/>
      <c r="G46" s="268"/>
      <c r="H46" s="268"/>
      <c r="I46" s="268"/>
      <c r="J46" s="268"/>
      <c r="K46" s="268"/>
      <c r="L46" s="268"/>
      <c r="M46" s="268"/>
      <c r="N46" s="282"/>
      <c r="O46" s="283"/>
      <c r="P46" s="288"/>
    </row>
    <row r="47" spans="2:16">
      <c r="B47" s="271">
        <v>45</v>
      </c>
      <c r="C47" s="272" t="s">
        <v>1057</v>
      </c>
      <c r="D47" s="282"/>
      <c r="E47" s="282">
        <v>1</v>
      </c>
      <c r="F47" s="282"/>
      <c r="G47" s="268"/>
      <c r="H47" s="268"/>
      <c r="I47" s="268"/>
      <c r="J47" s="268"/>
      <c r="K47" s="268"/>
      <c r="L47" s="268"/>
      <c r="M47" s="268"/>
      <c r="N47" s="282"/>
      <c r="O47" s="283"/>
      <c r="P47" s="288"/>
    </row>
    <row r="48" spans="2:16">
      <c r="B48" s="271">
        <v>46</v>
      </c>
      <c r="C48" s="272" t="s">
        <v>1058</v>
      </c>
      <c r="D48" s="282"/>
      <c r="E48" s="282">
        <v>1</v>
      </c>
      <c r="F48" s="282"/>
      <c r="G48" s="268"/>
      <c r="H48" s="268"/>
      <c r="I48" s="268"/>
      <c r="J48" s="268"/>
      <c r="K48" s="268"/>
      <c r="L48" s="268"/>
      <c r="M48" s="268"/>
      <c r="N48" s="282"/>
      <c r="O48" s="283"/>
      <c r="P48" s="288"/>
    </row>
    <row r="49" spans="1:16" s="262" customFormat="1" ht="15.75">
      <c r="A49" s="262" t="e">
        <f>#REF!</f>
        <v>#REF!</v>
      </c>
      <c r="B49" s="275"/>
      <c r="C49" s="276" t="e">
        <f>#REF!</f>
        <v>#REF!</v>
      </c>
      <c r="D49" s="290">
        <v>0</v>
      </c>
      <c r="E49" s="290" t="e">
        <f>'Cham cong'!#REF!</f>
        <v>#REF!</v>
      </c>
      <c r="F49" s="276"/>
      <c r="G49" s="276"/>
      <c r="H49" s="276"/>
      <c r="I49" s="276"/>
      <c r="J49" s="276"/>
      <c r="K49" s="276"/>
      <c r="L49" s="276"/>
      <c r="M49" s="276"/>
      <c r="N49" s="276"/>
      <c r="O49" s="291"/>
      <c r="P49" s="288" t="e">
        <f>SUM(D49:O49)</f>
        <v>#REF!</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B64"/>
  <sheetViews>
    <sheetView workbookViewId="0">
      <pane ySplit="3" topLeftCell="A25" activePane="bottomLeft" state="frozen"/>
      <selection pane="bottomLeft" activeCell="BJ11" sqref="BJ11"/>
    </sheetView>
  </sheetViews>
  <sheetFormatPr defaultColWidth="9" defaultRowHeight="14.25"/>
  <cols>
    <col min="1" max="1" width="3" customWidth="1"/>
    <col min="2" max="2" width="6.85546875" customWidth="1"/>
    <col min="3" max="37" width="3" customWidth="1"/>
    <col min="38" max="38" width="7.85546875" customWidth="1"/>
    <col min="39" max="40" width="29" customWidth="1"/>
    <col min="41" max="41" width="8" customWidth="1"/>
    <col min="42" max="42" width="7.42578125" customWidth="1"/>
    <col min="43" max="43" width="8" customWidth="1"/>
    <col min="44" max="44" width="7.28515625" customWidth="1"/>
    <col min="45" max="45" width="7.5703125" customWidth="1"/>
    <col min="46" max="46" width="7.7109375" customWidth="1"/>
    <col min="47" max="48" width="9.140625" customWidth="1"/>
    <col min="49" max="49" width="9.140625" style="263" customWidth="1"/>
    <col min="50" max="52" width="9.140625" customWidth="1"/>
    <col min="54" max="54" width="10.140625" customWidth="1"/>
  </cols>
  <sheetData>
    <row r="2" spans="2:53" ht="23.25">
      <c r="AL2" s="264" t="s">
        <v>1001</v>
      </c>
    </row>
    <row r="3" spans="2:53">
      <c r="AL3" s="265"/>
      <c r="AM3" s="266"/>
      <c r="AN3" s="266" t="s">
        <v>1059</v>
      </c>
      <c r="AO3" s="266" t="s">
        <v>1002</v>
      </c>
      <c r="AP3" s="266" t="s">
        <v>1003</v>
      </c>
      <c r="AQ3" s="266" t="s">
        <v>1004</v>
      </c>
      <c r="AR3" s="266" t="s">
        <v>1005</v>
      </c>
      <c r="AS3" s="266" t="s">
        <v>1006</v>
      </c>
      <c r="AT3" s="266" t="s">
        <v>1007</v>
      </c>
      <c r="AU3" s="266" t="s">
        <v>1008</v>
      </c>
      <c r="AV3" s="266" t="s">
        <v>1009</v>
      </c>
      <c r="AW3" s="280" t="s">
        <v>1010</v>
      </c>
      <c r="AX3" s="266" t="s">
        <v>1011</v>
      </c>
      <c r="AY3" s="266" t="s">
        <v>1012</v>
      </c>
      <c r="AZ3" s="281" t="s">
        <v>1013</v>
      </c>
      <c r="BA3" s="281" t="s">
        <v>1014</v>
      </c>
    </row>
    <row r="4" spans="2:53" s="259" customFormat="1">
      <c r="B4" s="259" t="e">
        <f>#REF!</f>
        <v>#REF!</v>
      </c>
      <c r="AL4" s="267">
        <v>1</v>
      </c>
      <c r="AM4" s="268" t="s">
        <v>1015</v>
      </c>
      <c r="AN4" s="268"/>
      <c r="AO4" s="277"/>
      <c r="AP4" s="277"/>
      <c r="AQ4" s="277"/>
      <c r="AR4" s="268"/>
      <c r="AS4" s="268"/>
      <c r="AT4" s="268"/>
      <c r="AU4" s="268"/>
      <c r="AV4" s="268"/>
      <c r="AW4" s="282" t="e">
        <f>#REF!</f>
        <v>#REF!</v>
      </c>
      <c r="AX4" s="268"/>
      <c r="AY4" s="277"/>
      <c r="AZ4" s="283"/>
      <c r="BA4" s="284" t="e">
        <f t="shared" ref="BA4:BA13" si="0">SUM(AO4:AZ4)</f>
        <v>#REF!</v>
      </c>
    </row>
    <row r="5" spans="2:53" s="259" customFormat="1">
      <c r="B5" s="259" t="e">
        <f>#REF!</f>
        <v>#REF!</v>
      </c>
      <c r="AL5" s="267">
        <v>2</v>
      </c>
      <c r="AM5" s="268" t="s">
        <v>1016</v>
      </c>
      <c r="AN5" s="268"/>
      <c r="AO5" s="277"/>
      <c r="AP5" s="277"/>
      <c r="AQ5" s="277"/>
      <c r="AR5" s="268"/>
      <c r="AS5" s="268"/>
      <c r="AT5" s="268"/>
      <c r="AU5" s="268"/>
      <c r="AV5" s="268"/>
      <c r="AW5" s="282"/>
      <c r="AX5" s="268"/>
      <c r="AY5" s="277"/>
      <c r="AZ5" s="283"/>
      <c r="BA5" s="284">
        <f t="shared" si="0"/>
        <v>0</v>
      </c>
    </row>
    <row r="6" spans="2:53" s="259" customFormat="1">
      <c r="B6" s="259" t="e">
        <f>#REF!</f>
        <v>#REF!</v>
      </c>
      <c r="AL6" s="267"/>
      <c r="AM6" s="268" t="s">
        <v>1060</v>
      </c>
      <c r="AN6" s="268"/>
      <c r="AO6" s="277"/>
      <c r="AP6" s="277"/>
      <c r="AQ6" s="277"/>
      <c r="AR6" s="268"/>
      <c r="AS6" s="268">
        <v>1</v>
      </c>
      <c r="AT6" s="268"/>
      <c r="AU6" s="268"/>
      <c r="AV6" s="268"/>
      <c r="AW6" s="282">
        <v>2</v>
      </c>
      <c r="AX6" s="268">
        <v>1</v>
      </c>
      <c r="AY6" s="277">
        <v>1</v>
      </c>
      <c r="AZ6" s="283">
        <v>2</v>
      </c>
      <c r="BA6" s="284">
        <f t="shared" si="0"/>
        <v>7</v>
      </c>
    </row>
    <row r="7" spans="2:53" s="259" customFormat="1">
      <c r="B7" s="259" t="e">
        <f>#REF!</f>
        <v>#REF!</v>
      </c>
      <c r="AL7" s="267">
        <v>3</v>
      </c>
      <c r="AM7" s="268" t="s">
        <v>1017</v>
      </c>
      <c r="AN7" s="268"/>
      <c r="AO7" s="277">
        <v>1</v>
      </c>
      <c r="AP7" s="277">
        <v>3</v>
      </c>
      <c r="AQ7" s="277">
        <v>1</v>
      </c>
      <c r="AR7" s="268">
        <v>1</v>
      </c>
      <c r="AS7" s="268">
        <v>1</v>
      </c>
      <c r="AT7" s="268">
        <v>2</v>
      </c>
      <c r="AU7" s="268"/>
      <c r="AV7" s="268">
        <v>1</v>
      </c>
      <c r="AW7" s="282"/>
      <c r="AX7" s="268"/>
      <c r="AY7" s="277"/>
      <c r="AZ7" s="283"/>
      <c r="BA7" s="284">
        <f t="shared" si="0"/>
        <v>10</v>
      </c>
    </row>
    <row r="8" spans="2:53" s="260" customFormat="1">
      <c r="B8" s="259" t="e">
        <f>#REF!</f>
        <v>#REF!</v>
      </c>
      <c r="AL8" s="269">
        <v>4</v>
      </c>
      <c r="AM8" s="270" t="s">
        <v>1018</v>
      </c>
      <c r="AN8" s="270"/>
      <c r="AO8" s="278"/>
      <c r="AP8" s="278">
        <v>1</v>
      </c>
      <c r="AQ8" s="278">
        <v>1</v>
      </c>
      <c r="AR8" s="270">
        <v>1</v>
      </c>
      <c r="AS8" s="270">
        <v>2</v>
      </c>
      <c r="AT8" s="270">
        <v>2</v>
      </c>
      <c r="AU8" s="270"/>
      <c r="AV8" s="270">
        <v>3</v>
      </c>
      <c r="AW8" s="285"/>
      <c r="AX8" s="270">
        <v>1</v>
      </c>
      <c r="AY8" s="278"/>
      <c r="AZ8" s="286"/>
      <c r="BA8" s="287">
        <f t="shared" si="0"/>
        <v>11</v>
      </c>
    </row>
    <row r="9" spans="2:53" s="260" customFormat="1">
      <c r="B9" s="259" t="e">
        <f>#REF!</f>
        <v>#REF!</v>
      </c>
      <c r="AL9" s="269">
        <v>5</v>
      </c>
      <c r="AM9" s="270" t="s">
        <v>1019</v>
      </c>
      <c r="AN9" s="270"/>
      <c r="AO9" s="278"/>
      <c r="AP9" s="278">
        <v>3</v>
      </c>
      <c r="AQ9" s="278"/>
      <c r="AR9" s="270">
        <v>1</v>
      </c>
      <c r="AS9" s="270">
        <v>6</v>
      </c>
      <c r="AT9" s="270">
        <v>3</v>
      </c>
      <c r="AU9" s="270"/>
      <c r="AV9" s="270"/>
      <c r="AW9" s="285"/>
      <c r="AX9" s="270"/>
      <c r="AY9" s="278"/>
      <c r="AZ9" s="286"/>
      <c r="BA9" s="287">
        <f t="shared" si="0"/>
        <v>13</v>
      </c>
    </row>
    <row r="10" spans="2:53" s="259" customFormat="1">
      <c r="B10" s="259" t="e">
        <f>#REF!</f>
        <v>#REF!</v>
      </c>
      <c r="AL10" s="267">
        <v>6</v>
      </c>
      <c r="AM10" s="268" t="s">
        <v>1020</v>
      </c>
      <c r="AN10" s="268"/>
      <c r="AO10" s="277"/>
      <c r="AP10" s="277"/>
      <c r="AQ10" s="277"/>
      <c r="AR10" s="268"/>
      <c r="AS10" s="268"/>
      <c r="AT10" s="268"/>
      <c r="AU10" s="268"/>
      <c r="AV10" s="268"/>
      <c r="AW10" s="282"/>
      <c r="AX10" s="268"/>
      <c r="AY10" s="277"/>
      <c r="AZ10" s="283"/>
      <c r="BA10" s="284">
        <f t="shared" si="0"/>
        <v>0</v>
      </c>
    </row>
    <row r="11" spans="2:53" s="259" customFormat="1">
      <c r="B11" s="259" t="e">
        <f>#REF!</f>
        <v>#REF!</v>
      </c>
      <c r="AL11" s="267">
        <v>7</v>
      </c>
      <c r="AM11" s="268" t="s">
        <v>1021</v>
      </c>
      <c r="AN11" s="268"/>
      <c r="AO11" s="277"/>
      <c r="AP11" s="277"/>
      <c r="AQ11" s="277"/>
      <c r="AR11" s="268"/>
      <c r="AS11" s="268"/>
      <c r="AT11" s="268"/>
      <c r="AU11" s="268"/>
      <c r="AV11" s="268"/>
      <c r="AW11" s="282"/>
      <c r="AX11" s="268"/>
      <c r="AY11" s="277"/>
      <c r="AZ11" s="283"/>
      <c r="BA11" s="284">
        <f t="shared" si="0"/>
        <v>0</v>
      </c>
    </row>
    <row r="12" spans="2:53" s="259" customFormat="1">
      <c r="B12" s="259" t="e">
        <f>#REF!</f>
        <v>#REF!</v>
      </c>
      <c r="AL12" s="267">
        <v>8</v>
      </c>
      <c r="AM12" s="268" t="s">
        <v>1022</v>
      </c>
      <c r="AN12" s="268"/>
      <c r="AO12" s="277"/>
      <c r="AP12" s="277">
        <v>1</v>
      </c>
      <c r="AQ12" s="277"/>
      <c r="AR12" s="268"/>
      <c r="AS12" s="268"/>
      <c r="AT12" s="268"/>
      <c r="AU12" s="268"/>
      <c r="AV12" s="268">
        <v>1</v>
      </c>
      <c r="AW12" s="282"/>
      <c r="AX12" s="268"/>
      <c r="AY12" s="277"/>
      <c r="AZ12" s="283"/>
      <c r="BA12" s="284">
        <f t="shared" si="0"/>
        <v>2</v>
      </c>
    </row>
    <row r="13" spans="2:53" s="259" customFormat="1">
      <c r="B13" s="259" t="e">
        <f>#REF!</f>
        <v>#REF!</v>
      </c>
      <c r="AL13" s="267">
        <v>11</v>
      </c>
      <c r="AM13" s="268" t="s">
        <v>1025</v>
      </c>
      <c r="AN13" s="268"/>
      <c r="AO13" s="277"/>
      <c r="AP13" s="277">
        <v>1</v>
      </c>
      <c r="AQ13" s="277"/>
      <c r="AR13" s="268">
        <v>2</v>
      </c>
      <c r="AS13" s="268"/>
      <c r="AT13" s="268">
        <v>1</v>
      </c>
      <c r="AU13" s="268"/>
      <c r="AV13" s="268"/>
      <c r="AW13" s="282"/>
      <c r="AX13" s="268">
        <v>1</v>
      </c>
      <c r="AY13" s="277"/>
      <c r="AZ13" s="283"/>
      <c r="BA13" s="284">
        <f t="shared" si="0"/>
        <v>5</v>
      </c>
    </row>
    <row r="14" spans="2:53" s="259" customFormat="1">
      <c r="B14" s="259" t="e">
        <f>#REF!</f>
        <v>#REF!</v>
      </c>
      <c r="AL14" s="267">
        <v>12</v>
      </c>
      <c r="AM14" s="268" t="s">
        <v>1026</v>
      </c>
      <c r="AN14" s="268"/>
      <c r="AO14" s="277"/>
      <c r="AP14" s="277"/>
      <c r="AQ14" s="277"/>
      <c r="AR14" s="268"/>
      <c r="AS14" s="268"/>
      <c r="AT14" s="268"/>
      <c r="AU14" s="268"/>
      <c r="AV14" s="268"/>
      <c r="AW14" s="282"/>
      <c r="AX14" s="268"/>
      <c r="AY14" s="277"/>
      <c r="AZ14" s="283"/>
      <c r="BA14" s="284"/>
    </row>
    <row r="15" spans="2:53" s="259" customFormat="1">
      <c r="B15" s="259" t="e">
        <f>#REF!</f>
        <v>#REF!</v>
      </c>
      <c r="AL15" s="267">
        <v>13</v>
      </c>
      <c r="AM15" s="268" t="s">
        <v>1027</v>
      </c>
      <c r="AN15" s="268"/>
      <c r="AO15" s="277"/>
      <c r="AP15" s="277"/>
      <c r="AQ15" s="277"/>
      <c r="AR15" s="268"/>
      <c r="AS15" s="268"/>
      <c r="AT15" s="268"/>
      <c r="AU15" s="268"/>
      <c r="AV15" s="268"/>
      <c r="AW15" s="282"/>
      <c r="AX15" s="268"/>
      <c r="AY15" s="277"/>
      <c r="AZ15" s="283"/>
      <c r="BA15" s="284"/>
    </row>
    <row r="16" spans="2:53" s="259" customFormat="1">
      <c r="B16" s="259" t="e">
        <f>#REF!</f>
        <v>#REF!</v>
      </c>
      <c r="AL16" s="267">
        <v>14</v>
      </c>
      <c r="AM16" s="268" t="s">
        <v>1028</v>
      </c>
      <c r="AN16" s="268"/>
      <c r="AO16" s="277"/>
      <c r="AP16" s="277"/>
      <c r="AQ16" s="277"/>
      <c r="AR16" s="268"/>
      <c r="AS16" s="268"/>
      <c r="AT16" s="268"/>
      <c r="AU16" s="268"/>
      <c r="AV16" s="268">
        <v>3</v>
      </c>
      <c r="AW16" s="282">
        <v>7</v>
      </c>
      <c r="AX16" s="268"/>
      <c r="AY16" s="277"/>
      <c r="AZ16" s="283">
        <v>1</v>
      </c>
      <c r="BA16" s="284">
        <f t="shared" ref="BA16:BA20" si="1">SUM(AO16:AZ16)</f>
        <v>11</v>
      </c>
    </row>
    <row r="17" spans="2:54" s="259" customFormat="1">
      <c r="B17" s="259" t="e">
        <f>#REF!</f>
        <v>#REF!</v>
      </c>
      <c r="AL17" s="267">
        <v>15</v>
      </c>
      <c r="AM17" s="268" t="s">
        <v>1029</v>
      </c>
      <c r="AN17" s="268"/>
      <c r="AO17" s="277"/>
      <c r="AP17" s="277"/>
      <c r="AQ17" s="277"/>
      <c r="AR17" s="268"/>
      <c r="AS17" s="268"/>
      <c r="AT17" s="268"/>
      <c r="AU17" s="268"/>
      <c r="AV17" s="268"/>
      <c r="AW17" s="282"/>
      <c r="AX17" s="268"/>
      <c r="AY17" s="277"/>
      <c r="AZ17" s="283"/>
      <c r="BA17" s="284"/>
    </row>
    <row r="18" spans="2:54" s="259" customFormat="1">
      <c r="B18" s="259" t="e">
        <f>#REF!</f>
        <v>#REF!</v>
      </c>
      <c r="AL18" s="267">
        <v>16</v>
      </c>
      <c r="AM18" s="268" t="s">
        <v>1030</v>
      </c>
      <c r="AN18" s="268"/>
      <c r="AO18" s="277"/>
      <c r="AP18" s="277"/>
      <c r="AQ18" s="277"/>
      <c r="AR18" s="268"/>
      <c r="AS18" s="268"/>
      <c r="AT18" s="268"/>
      <c r="AU18" s="268"/>
      <c r="AV18" s="268"/>
      <c r="AW18" s="282"/>
      <c r="AX18" s="268"/>
      <c r="AY18" s="277"/>
      <c r="AZ18" s="283"/>
      <c r="BA18" s="284">
        <f t="shared" si="1"/>
        <v>0</v>
      </c>
    </row>
    <row r="19" spans="2:54" s="259" customFormat="1">
      <c r="B19" s="259" t="e">
        <f>#REF!</f>
        <v>#REF!</v>
      </c>
      <c r="AL19" s="267">
        <v>17</v>
      </c>
      <c r="AM19" s="268" t="s">
        <v>1031</v>
      </c>
      <c r="AN19" s="268"/>
      <c r="AO19" s="277"/>
      <c r="AP19" s="277">
        <v>1</v>
      </c>
      <c r="AQ19" s="277"/>
      <c r="AR19" s="268"/>
      <c r="AS19" s="268">
        <v>2</v>
      </c>
      <c r="AT19" s="268"/>
      <c r="AU19" s="268"/>
      <c r="AV19" s="268"/>
      <c r="AW19" s="282"/>
      <c r="AX19" s="268"/>
      <c r="AY19" s="277"/>
      <c r="AZ19" s="283">
        <v>6</v>
      </c>
      <c r="BA19" s="284">
        <f t="shared" si="1"/>
        <v>9</v>
      </c>
    </row>
    <row r="20" spans="2:54" s="260" customFormat="1">
      <c r="B20" s="259" t="e">
        <f>#REF!</f>
        <v>#REF!</v>
      </c>
      <c r="AL20" s="269">
        <v>18</v>
      </c>
      <c r="AM20" s="270" t="s">
        <v>1032</v>
      </c>
      <c r="AN20" s="270"/>
      <c r="AO20" s="278">
        <v>1</v>
      </c>
      <c r="AP20" s="278">
        <v>1</v>
      </c>
      <c r="AQ20" s="278">
        <v>1</v>
      </c>
      <c r="AR20" s="270">
        <v>1</v>
      </c>
      <c r="AS20" s="270">
        <v>2</v>
      </c>
      <c r="AT20" s="270">
        <v>3</v>
      </c>
      <c r="AU20" s="270">
        <v>4</v>
      </c>
      <c r="AV20" s="270"/>
      <c r="AW20" s="285"/>
      <c r="AX20" s="270"/>
      <c r="AY20" s="278"/>
      <c r="AZ20" s="286"/>
      <c r="BA20" s="287">
        <f t="shared" si="1"/>
        <v>13</v>
      </c>
    </row>
    <row r="21" spans="2:54" s="259" customFormat="1">
      <c r="B21" s="259" t="e">
        <f>#REF!</f>
        <v>#REF!</v>
      </c>
      <c r="AL21" s="267">
        <v>19</v>
      </c>
      <c r="AM21" s="268" t="s">
        <v>1033</v>
      </c>
      <c r="AN21" s="268"/>
      <c r="AO21" s="277"/>
      <c r="AP21" s="277"/>
      <c r="AQ21" s="277"/>
      <c r="AR21" s="268"/>
      <c r="AS21" s="268"/>
      <c r="AT21" s="268"/>
      <c r="AU21" s="268"/>
      <c r="AV21" s="268"/>
      <c r="AW21" s="282"/>
      <c r="AX21" s="268"/>
      <c r="AY21" s="277"/>
      <c r="AZ21" s="283"/>
      <c r="BA21" s="284"/>
    </row>
    <row r="22" spans="2:54">
      <c r="B22" s="259" t="e">
        <f>#REF!</f>
        <v>#REF!</v>
      </c>
      <c r="AL22" s="271">
        <v>20</v>
      </c>
      <c r="AM22" s="272" t="s">
        <v>1034</v>
      </c>
      <c r="AN22" s="272"/>
      <c r="AO22" s="277"/>
      <c r="AP22" s="277">
        <v>1</v>
      </c>
      <c r="AQ22" s="277"/>
      <c r="AR22" s="268"/>
      <c r="AS22" s="268"/>
      <c r="AT22" s="268"/>
      <c r="AU22" s="268"/>
      <c r="AV22" s="268">
        <v>1</v>
      </c>
      <c r="AW22" s="282">
        <v>1</v>
      </c>
      <c r="AX22" s="268">
        <v>1</v>
      </c>
      <c r="AY22" s="277"/>
      <c r="AZ22" s="283"/>
      <c r="BA22" s="288">
        <f>SUM(AO22:AZ22)</f>
        <v>4</v>
      </c>
    </row>
    <row r="23" spans="2:54" s="261" customFormat="1">
      <c r="B23" s="259" t="e">
        <f>#REF!</f>
        <v>#REF!</v>
      </c>
      <c r="AL23" s="273">
        <v>22</v>
      </c>
      <c r="AM23" s="274" t="s">
        <v>1035</v>
      </c>
      <c r="AN23" s="274"/>
      <c r="AO23" s="278"/>
      <c r="AP23" s="278">
        <v>1</v>
      </c>
      <c r="AQ23" s="278"/>
      <c r="AR23" s="270"/>
      <c r="AS23" s="270"/>
      <c r="AT23" s="270"/>
      <c r="AU23" s="270"/>
      <c r="AV23" s="270"/>
      <c r="AW23" s="285">
        <v>10</v>
      </c>
      <c r="AX23" s="270">
        <v>1</v>
      </c>
      <c r="AY23" s="278"/>
      <c r="AZ23" s="286"/>
      <c r="BA23" s="289">
        <f t="shared" ref="BA23:BA39" si="2">SUM(AO23:AZ23)</f>
        <v>12</v>
      </c>
    </row>
    <row r="24" spans="2:54">
      <c r="B24" s="259" t="e">
        <f>#REF!</f>
        <v>#REF!</v>
      </c>
      <c r="AL24" s="271">
        <v>23</v>
      </c>
      <c r="AM24" s="272" t="s">
        <v>1036</v>
      </c>
      <c r="AN24" s="272"/>
      <c r="AO24" s="277"/>
      <c r="AP24" s="277">
        <v>2</v>
      </c>
      <c r="AQ24" s="277"/>
      <c r="AR24" s="268"/>
      <c r="AS24" s="268"/>
      <c r="AT24" s="268">
        <v>1</v>
      </c>
      <c r="AU24" s="268"/>
      <c r="AV24" s="268">
        <v>3</v>
      </c>
      <c r="AW24" s="282"/>
      <c r="AX24" s="268"/>
      <c r="AY24" s="277"/>
      <c r="AZ24" s="283">
        <v>1</v>
      </c>
      <c r="BA24" s="288">
        <f t="shared" si="2"/>
        <v>7</v>
      </c>
    </row>
    <row r="25" spans="2:54">
      <c r="B25" s="259" t="e">
        <f>#REF!</f>
        <v>#REF!</v>
      </c>
      <c r="AL25" s="271">
        <v>28</v>
      </c>
      <c r="AM25" s="272" t="s">
        <v>1061</v>
      </c>
      <c r="AN25" s="272"/>
      <c r="AO25" s="277"/>
      <c r="AP25" s="277">
        <v>1</v>
      </c>
      <c r="AQ25" s="277"/>
      <c r="AR25" s="268"/>
      <c r="AS25" s="268">
        <v>1</v>
      </c>
      <c r="AT25" s="268"/>
      <c r="AU25" s="268"/>
      <c r="AV25" s="268">
        <v>1</v>
      </c>
      <c r="AW25" s="282">
        <v>1</v>
      </c>
      <c r="AX25" s="268">
        <v>1</v>
      </c>
      <c r="AY25" s="277">
        <v>1</v>
      </c>
      <c r="AZ25" s="283"/>
      <c r="BA25" s="288">
        <f t="shared" si="2"/>
        <v>6</v>
      </c>
    </row>
    <row r="26" spans="2:54">
      <c r="B26" s="259" t="e">
        <f>#REF!</f>
        <v>#REF!</v>
      </c>
      <c r="AL26" s="271">
        <v>29</v>
      </c>
      <c r="AM26" s="272" t="s">
        <v>1042</v>
      </c>
      <c r="AN26" s="272"/>
      <c r="AO26" s="277"/>
      <c r="AP26" s="277">
        <v>1</v>
      </c>
      <c r="AQ26" s="277"/>
      <c r="AR26" s="268"/>
      <c r="AS26" s="268"/>
      <c r="AT26" s="268"/>
      <c r="AU26" s="268"/>
      <c r="AV26" s="268"/>
      <c r="AW26" s="282">
        <v>3</v>
      </c>
      <c r="AX26" s="268"/>
      <c r="AY26" s="277"/>
      <c r="AZ26" s="283"/>
      <c r="BA26" s="288">
        <f t="shared" si="2"/>
        <v>4</v>
      </c>
    </row>
    <row r="27" spans="2:54">
      <c r="B27" s="259" t="e">
        <f>#REF!</f>
        <v>#REF!</v>
      </c>
      <c r="AL27" s="271">
        <v>30</v>
      </c>
      <c r="AM27" s="272" t="s">
        <v>1022</v>
      </c>
      <c r="AN27" s="272"/>
      <c r="AO27" s="277"/>
      <c r="AP27" s="277">
        <v>1</v>
      </c>
      <c r="AQ27" s="277"/>
      <c r="AR27" s="268"/>
      <c r="AS27" s="268"/>
      <c r="AT27" s="268"/>
      <c r="AU27" s="268"/>
      <c r="AV27" s="268"/>
      <c r="AW27" s="282"/>
      <c r="AX27" s="268"/>
      <c r="AY27" s="277"/>
      <c r="AZ27" s="283"/>
      <c r="BA27" s="288">
        <f t="shared" si="2"/>
        <v>1</v>
      </c>
    </row>
    <row r="28" spans="2:54">
      <c r="B28" s="259" t="e">
        <f>#REF!</f>
        <v>#REF!</v>
      </c>
      <c r="AL28" s="271">
        <v>31</v>
      </c>
      <c r="AM28" s="272" t="s">
        <v>1043</v>
      </c>
      <c r="AN28" s="272"/>
      <c r="AO28" s="277"/>
      <c r="AP28" s="277"/>
      <c r="AQ28" s="277"/>
      <c r="AR28" s="268"/>
      <c r="AS28" s="268"/>
      <c r="AT28" s="268"/>
      <c r="AU28" s="268"/>
      <c r="AV28" s="268"/>
      <c r="AW28" s="282"/>
      <c r="AX28" s="268"/>
      <c r="AY28" s="277"/>
      <c r="AZ28" s="283"/>
      <c r="BA28" s="288">
        <f t="shared" si="2"/>
        <v>0</v>
      </c>
    </row>
    <row r="29" spans="2:54">
      <c r="B29" s="259" t="e">
        <f>#REF!</f>
        <v>#REF!</v>
      </c>
      <c r="AL29" s="271">
        <v>33</v>
      </c>
      <c r="AM29" s="272" t="s">
        <v>1045</v>
      </c>
      <c r="AN29" s="272"/>
      <c r="AO29" s="277"/>
      <c r="AP29" s="277"/>
      <c r="AQ29" s="277"/>
      <c r="AR29" s="268"/>
      <c r="AS29" s="268"/>
      <c r="AT29" s="268"/>
      <c r="AU29" s="268"/>
      <c r="AV29" s="268"/>
      <c r="AW29" s="282"/>
      <c r="AX29" s="268"/>
      <c r="AY29" s="277"/>
      <c r="AZ29" s="283"/>
      <c r="BA29" s="288">
        <f t="shared" si="2"/>
        <v>0</v>
      </c>
    </row>
    <row r="30" spans="2:54">
      <c r="B30" s="259" t="e">
        <f>#REF!</f>
        <v>#REF!</v>
      </c>
      <c r="AL30" s="271">
        <v>35</v>
      </c>
      <c r="AM30" s="272" t="s">
        <v>1047</v>
      </c>
      <c r="AN30" s="272"/>
      <c r="AO30" s="277"/>
      <c r="AP30" s="277"/>
      <c r="AQ30" s="277"/>
      <c r="AR30" s="268"/>
      <c r="AS30" s="268"/>
      <c r="AT30" s="268"/>
      <c r="AU30" s="268"/>
      <c r="AV30" s="268"/>
      <c r="AW30" s="282"/>
      <c r="AX30" s="268"/>
      <c r="AY30" s="277"/>
      <c r="AZ30" s="283"/>
      <c r="BA30" s="288">
        <f t="shared" si="2"/>
        <v>0</v>
      </c>
    </row>
    <row r="31" spans="2:54">
      <c r="B31" s="259" t="e">
        <f>#REF!</f>
        <v>#REF!</v>
      </c>
      <c r="AL31" s="271">
        <v>36</v>
      </c>
      <c r="AM31" s="272" t="s">
        <v>1048</v>
      </c>
      <c r="AN31" s="272"/>
      <c r="AO31" s="277"/>
      <c r="AP31" s="277">
        <v>1</v>
      </c>
      <c r="AQ31" s="277"/>
      <c r="AR31" s="268">
        <v>2</v>
      </c>
      <c r="AS31" s="268">
        <v>1</v>
      </c>
      <c r="AT31" s="268"/>
      <c r="AU31" s="268">
        <v>1</v>
      </c>
      <c r="AV31" s="268">
        <v>1</v>
      </c>
      <c r="AW31" s="282"/>
      <c r="AX31" s="268"/>
      <c r="AY31" s="277"/>
      <c r="AZ31" s="283"/>
      <c r="BA31" s="288">
        <f t="shared" si="2"/>
        <v>6</v>
      </c>
    </row>
    <row r="32" spans="2:54">
      <c r="B32" s="259" t="e">
        <f>#REF!</f>
        <v>#REF!</v>
      </c>
      <c r="AL32" s="271">
        <v>40</v>
      </c>
      <c r="AM32" s="272" t="s">
        <v>1052</v>
      </c>
      <c r="AN32" s="272"/>
      <c r="AO32" s="277"/>
      <c r="AP32" s="277">
        <v>1</v>
      </c>
      <c r="AQ32" s="277"/>
      <c r="AR32" s="268"/>
      <c r="AS32" s="268"/>
      <c r="AT32" s="268"/>
      <c r="AU32" s="268"/>
      <c r="AV32" s="268"/>
      <c r="AW32" s="282">
        <v>1</v>
      </c>
      <c r="AX32" s="268"/>
      <c r="AY32" s="277">
        <v>1</v>
      </c>
      <c r="AZ32" s="283">
        <v>1</v>
      </c>
      <c r="BA32" s="288">
        <f t="shared" si="2"/>
        <v>4</v>
      </c>
      <c r="BB32" s="1242" t="s">
        <v>1062</v>
      </c>
    </row>
    <row r="33" spans="2:54">
      <c r="B33" s="259" t="e">
        <f>#REF!</f>
        <v>#REF!</v>
      </c>
      <c r="AL33" s="271">
        <v>41</v>
      </c>
      <c r="AM33" s="272" t="s">
        <v>1053</v>
      </c>
      <c r="AN33" s="272"/>
      <c r="AO33" s="277"/>
      <c r="AP33" s="277">
        <v>1</v>
      </c>
      <c r="AQ33" s="277"/>
      <c r="AR33" s="268"/>
      <c r="AS33" s="268"/>
      <c r="AT33" s="268"/>
      <c r="AU33" s="268">
        <v>1</v>
      </c>
      <c r="AV33" s="268">
        <v>1</v>
      </c>
      <c r="AW33" s="282"/>
      <c r="AX33" s="268">
        <v>2</v>
      </c>
      <c r="AY33" s="277">
        <v>4</v>
      </c>
      <c r="AZ33" s="283">
        <v>1</v>
      </c>
      <c r="BA33" s="288">
        <f t="shared" si="2"/>
        <v>10</v>
      </c>
      <c r="BB33" s="1243" t="s">
        <v>1063</v>
      </c>
    </row>
    <row r="34" spans="2:54">
      <c r="B34" s="259" t="e">
        <f>#REF!</f>
        <v>#REF!</v>
      </c>
      <c r="AL34" s="271">
        <v>42</v>
      </c>
      <c r="AM34" s="272" t="s">
        <v>1054</v>
      </c>
      <c r="AN34" s="272"/>
      <c r="AO34" s="277"/>
      <c r="AP34" s="277">
        <v>1</v>
      </c>
      <c r="AQ34" s="277"/>
      <c r="AR34" s="268">
        <v>1</v>
      </c>
      <c r="AS34" s="268"/>
      <c r="AT34" s="268"/>
      <c r="AU34" s="268"/>
      <c r="AV34" s="268"/>
      <c r="AW34" s="282"/>
      <c r="AX34" s="268"/>
      <c r="AY34" s="277"/>
      <c r="AZ34" s="283">
        <v>1</v>
      </c>
      <c r="BA34" s="288">
        <f t="shared" si="2"/>
        <v>3</v>
      </c>
      <c r="BB34" s="1244" t="s">
        <v>1064</v>
      </c>
    </row>
    <row r="35" spans="2:54">
      <c r="B35" s="259" t="e">
        <f>#REF!</f>
        <v>#REF!</v>
      </c>
      <c r="AL35" s="271">
        <v>43</v>
      </c>
      <c r="AM35" s="272" t="s">
        <v>1055</v>
      </c>
      <c r="AN35" s="272"/>
      <c r="AO35" s="277"/>
      <c r="AP35" s="277">
        <v>1</v>
      </c>
      <c r="AQ35" s="277"/>
      <c r="AR35" s="268"/>
      <c r="AS35" s="268">
        <v>1</v>
      </c>
      <c r="AT35" s="268"/>
      <c r="AU35" s="268"/>
      <c r="AV35" s="268"/>
      <c r="AW35" s="282"/>
      <c r="AX35" s="268"/>
      <c r="AY35" s="277"/>
      <c r="AZ35" s="283">
        <v>1</v>
      </c>
      <c r="BA35" s="288">
        <f t="shared" si="2"/>
        <v>3</v>
      </c>
      <c r="BB35" s="1244" t="s">
        <v>1064</v>
      </c>
    </row>
    <row r="36" spans="2:54">
      <c r="B36" s="259" t="e">
        <f>#REF!</f>
        <v>#REF!</v>
      </c>
      <c r="AL36" s="271">
        <v>44</v>
      </c>
      <c r="AM36" s="272" t="s">
        <v>1056</v>
      </c>
      <c r="AN36" s="272"/>
      <c r="AO36" s="277"/>
      <c r="AP36" s="277">
        <v>1</v>
      </c>
      <c r="AQ36" s="277"/>
      <c r="AR36" s="268"/>
      <c r="AS36" s="268"/>
      <c r="AT36" s="268"/>
      <c r="AU36" s="268"/>
      <c r="AV36" s="268"/>
      <c r="AW36" s="282"/>
      <c r="AX36" s="268"/>
      <c r="AY36" s="277">
        <v>1</v>
      </c>
      <c r="AZ36" s="283"/>
      <c r="BA36" s="288">
        <f t="shared" si="2"/>
        <v>2</v>
      </c>
      <c r="BB36" s="1244" t="s">
        <v>1065</v>
      </c>
    </row>
    <row r="37" spans="2:54">
      <c r="B37" s="259" t="e">
        <f>#REF!</f>
        <v>#REF!</v>
      </c>
      <c r="AL37" s="271">
        <v>45</v>
      </c>
      <c r="AM37" s="272" t="s">
        <v>1057</v>
      </c>
      <c r="AN37" s="272"/>
      <c r="AO37" s="277"/>
      <c r="AP37" s="277">
        <v>1</v>
      </c>
      <c r="AQ37" s="277"/>
      <c r="AR37" s="268"/>
      <c r="AS37" s="268"/>
      <c r="AT37" s="268"/>
      <c r="AU37" s="268"/>
      <c r="AV37" s="268"/>
      <c r="AW37" s="282"/>
      <c r="AX37" s="268"/>
      <c r="AY37" s="277"/>
      <c r="AZ37" s="283"/>
      <c r="BA37" s="288">
        <f t="shared" si="2"/>
        <v>1</v>
      </c>
      <c r="BB37" s="1244" t="s">
        <v>1066</v>
      </c>
    </row>
    <row r="38" spans="2:54">
      <c r="B38" s="259" t="e">
        <f>#REF!</f>
        <v>#REF!</v>
      </c>
      <c r="AL38" s="271">
        <v>46</v>
      </c>
      <c r="AM38" s="272" t="s">
        <v>1058</v>
      </c>
      <c r="AN38" s="272"/>
      <c r="AO38" s="277"/>
      <c r="AP38" s="277">
        <v>1</v>
      </c>
      <c r="AQ38" s="277"/>
      <c r="AR38" s="268"/>
      <c r="AS38" s="268"/>
      <c r="AT38" s="268"/>
      <c r="AU38" s="268"/>
      <c r="AV38" s="268"/>
      <c r="AW38" s="282"/>
      <c r="AX38" s="268"/>
      <c r="AY38" s="277"/>
      <c r="AZ38" s="283"/>
      <c r="BA38" s="288">
        <f t="shared" si="2"/>
        <v>1</v>
      </c>
      <c r="BB38" s="1244" t="s">
        <v>1067</v>
      </c>
    </row>
    <row r="39" spans="2:54" s="262" customFormat="1" ht="15.75">
      <c r="B39" s="259" t="e">
        <f>#REF!</f>
        <v>#REF!</v>
      </c>
      <c r="AL39" s="275"/>
      <c r="AM39" s="276" t="str">
        <f>'[4]Luong VP'!C26</f>
        <v>Toång coäng</v>
      </c>
      <c r="AN39" s="276"/>
      <c r="AO39" s="279">
        <v>0</v>
      </c>
      <c r="AP39" s="279">
        <f>'[4]Cham cong'!AL55</f>
        <v>0</v>
      </c>
      <c r="AQ39" s="276"/>
      <c r="AR39" s="276"/>
      <c r="AS39" s="276"/>
      <c r="AT39" s="276"/>
      <c r="AU39" s="276"/>
      <c r="AV39" s="276"/>
      <c r="AW39" s="290"/>
      <c r="AX39" s="276"/>
      <c r="AY39" s="276"/>
      <c r="AZ39" s="291"/>
      <c r="BA39" s="288">
        <f t="shared" si="2"/>
        <v>0</v>
      </c>
    </row>
    <row r="40" spans="2:54">
      <c r="B40" s="259" t="e">
        <f>#REF!</f>
        <v>#REF!</v>
      </c>
    </row>
    <row r="41" spans="2:54">
      <c r="B41" s="259" t="e">
        <f>#REF!</f>
        <v>#REF!</v>
      </c>
    </row>
    <row r="42" spans="2:54">
      <c r="B42" s="259" t="e">
        <f>#REF!</f>
        <v>#REF!</v>
      </c>
    </row>
    <row r="43" spans="2:54">
      <c r="B43" s="259" t="e">
        <f>#REF!</f>
        <v>#REF!</v>
      </c>
    </row>
    <row r="44" spans="2:54">
      <c r="B44" s="259" t="e">
        <f>#REF!</f>
        <v>#REF!</v>
      </c>
    </row>
    <row r="45" spans="2:54">
      <c r="B45" s="259" t="e">
        <f>#REF!</f>
        <v>#REF!</v>
      </c>
    </row>
    <row r="46" spans="2:54">
      <c r="B46" s="259" t="e">
        <f>#REF!</f>
        <v>#REF!</v>
      </c>
    </row>
    <row r="47" spans="2:54">
      <c r="B47" s="259" t="e">
        <f>#REF!</f>
        <v>#REF!</v>
      </c>
    </row>
    <row r="48" spans="2:54">
      <c r="B48" s="259" t="e">
        <f>#REF!</f>
        <v>#REF!</v>
      </c>
    </row>
    <row r="49" spans="2:2">
      <c r="B49" s="259" t="e">
        <f>#REF!</f>
        <v>#REF!</v>
      </c>
    </row>
    <row r="50" spans="2:2">
      <c r="B50" s="259" t="e">
        <f>#REF!</f>
        <v>#REF!</v>
      </c>
    </row>
    <row r="51" spans="2:2">
      <c r="B51" s="259" t="e">
        <f>#REF!</f>
        <v>#REF!</v>
      </c>
    </row>
    <row r="52" spans="2:2">
      <c r="B52" s="259" t="e">
        <f>#REF!</f>
        <v>#REF!</v>
      </c>
    </row>
    <row r="53" spans="2:2">
      <c r="B53" s="259" t="e">
        <f>#REF!</f>
        <v>#REF!</v>
      </c>
    </row>
    <row r="54" spans="2:2">
      <c r="B54" s="259" t="e">
        <f>#REF!</f>
        <v>#REF!</v>
      </c>
    </row>
    <row r="55" spans="2:2">
      <c r="B55" s="259" t="e">
        <f>#REF!</f>
        <v>#REF!</v>
      </c>
    </row>
    <row r="56" spans="2:2">
      <c r="B56" s="259"/>
    </row>
    <row r="57" spans="2:2">
      <c r="B57" s="259"/>
    </row>
    <row r="58" spans="2:2">
      <c r="B58" s="259"/>
    </row>
    <row r="59" spans="2:2">
      <c r="B59" s="259"/>
    </row>
    <row r="60" spans="2:2">
      <c r="B60" s="259"/>
    </row>
    <row r="61" spans="2:2">
      <c r="B61" s="259"/>
    </row>
    <row r="62" spans="2:2">
      <c r="B62" s="259"/>
    </row>
    <row r="63" spans="2:2">
      <c r="B63" s="259"/>
    </row>
    <row r="64" spans="2:2">
      <c r="B64" s="259"/>
    </row>
  </sheetData>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22"/>
  <sheetViews>
    <sheetView workbookViewId="0">
      <pane xSplit="5" ySplit="4" topLeftCell="AK8" activePane="bottomRight" state="frozen"/>
      <selection pane="topRight"/>
      <selection pane="bottomLeft"/>
      <selection pane="bottomRight" activeCell="AR27" sqref="AR27"/>
    </sheetView>
  </sheetViews>
  <sheetFormatPr defaultColWidth="9.140625" defaultRowHeight="15.75"/>
  <cols>
    <col min="1" max="1" width="3" style="148" customWidth="1"/>
    <col min="2" max="2" width="19" style="148" customWidth="1"/>
    <col min="3" max="3" width="11.140625" style="148" customWidth="1"/>
    <col min="4" max="4" width="4.140625" style="148" customWidth="1"/>
    <col min="5" max="5" width="9.85546875" style="149" customWidth="1"/>
    <col min="6" max="6" width="4.28515625" style="148" customWidth="1"/>
    <col min="7" max="7" width="5.85546875" style="148" customWidth="1"/>
    <col min="8" max="8" width="5" style="148" customWidth="1"/>
    <col min="9" max="20" width="3.7109375" style="148" customWidth="1"/>
    <col min="21" max="21" width="1.42578125" style="150" customWidth="1"/>
    <col min="22" max="29" width="3.7109375" style="148" customWidth="1"/>
    <col min="30" max="30" width="3.7109375" style="151" customWidth="1"/>
    <col min="31" max="33" width="3.7109375" style="148" customWidth="1"/>
    <col min="34" max="34" width="3.7109375" style="152" customWidth="1"/>
    <col min="35" max="35" width="7.7109375" style="148" customWidth="1"/>
    <col min="36" max="36" width="7.5703125" style="148" customWidth="1"/>
    <col min="37" max="37" width="7.7109375" style="148" customWidth="1"/>
    <col min="38" max="38" width="2.140625" style="153" customWidth="1"/>
    <col min="39" max="50" width="3.7109375" style="145" customWidth="1"/>
    <col min="51" max="51" width="3.7109375" style="152" customWidth="1"/>
    <col min="52" max="52" width="7" style="148" customWidth="1"/>
    <col min="53" max="16384" width="9.140625" style="148"/>
  </cols>
  <sheetData>
    <row r="1" spans="1:52" ht="18">
      <c r="A1" s="154">
        <v>12</v>
      </c>
      <c r="B1" s="1698" t="s">
        <v>1068</v>
      </c>
      <c r="C1" s="1698"/>
      <c r="D1" s="1698"/>
      <c r="E1" s="1698"/>
      <c r="F1" s="1698"/>
      <c r="G1" s="1698"/>
      <c r="H1" s="1698"/>
      <c r="I1" s="1698"/>
      <c r="J1" s="1698"/>
      <c r="K1" s="1698"/>
      <c r="L1" s="1698"/>
      <c r="M1" s="1698"/>
      <c r="N1" s="1698"/>
      <c r="O1" s="1698"/>
      <c r="P1" s="1698"/>
      <c r="Q1" s="1698"/>
      <c r="R1" s="1698"/>
      <c r="S1" s="1698"/>
      <c r="T1" s="1698"/>
      <c r="U1" s="1698"/>
      <c r="V1" s="1698"/>
      <c r="W1" s="1698"/>
      <c r="X1" s="1698"/>
      <c r="Y1" s="1698"/>
      <c r="Z1" s="1698"/>
      <c r="AA1" s="1698"/>
      <c r="AB1" s="1698"/>
      <c r="AC1" s="1698"/>
      <c r="AD1" s="1698"/>
      <c r="AE1" s="1698"/>
      <c r="AF1" s="1698"/>
      <c r="AG1" s="1698"/>
      <c r="AH1" s="1698"/>
      <c r="AI1" s="1698"/>
      <c r="AJ1" s="1698"/>
      <c r="AK1" s="1698"/>
      <c r="AL1" s="204"/>
      <c r="AY1" s="148"/>
    </row>
    <row r="2" spans="1:52"/>
    <row r="3" spans="1:52">
      <c r="F3" s="1699" t="s">
        <v>1069</v>
      </c>
      <c r="G3" s="1699"/>
      <c r="H3" s="1699"/>
      <c r="I3" s="1700">
        <v>2015</v>
      </c>
      <c r="J3" s="1701"/>
      <c r="K3" s="1701"/>
      <c r="L3" s="1701"/>
      <c r="M3" s="1701"/>
      <c r="N3" s="1701"/>
      <c r="O3" s="1701"/>
      <c r="P3" s="1701"/>
      <c r="Q3" s="1701"/>
      <c r="R3" s="1701"/>
      <c r="S3" s="1701"/>
      <c r="T3" s="1702"/>
      <c r="U3" s="194"/>
      <c r="V3" s="1703">
        <v>2016</v>
      </c>
      <c r="W3" s="1704"/>
      <c r="X3" s="1704"/>
      <c r="Y3" s="1704"/>
      <c r="Z3" s="1704"/>
      <c r="AA3" s="1704"/>
      <c r="AB3" s="1704"/>
      <c r="AC3" s="1704"/>
      <c r="AD3" s="1704"/>
      <c r="AE3" s="1704"/>
      <c r="AF3" s="1704"/>
      <c r="AG3" s="1705"/>
      <c r="AH3" s="205"/>
      <c r="AI3" s="1709" t="s">
        <v>1070</v>
      </c>
      <c r="AJ3" s="1711" t="s">
        <v>1071</v>
      </c>
      <c r="AK3" s="1709" t="s">
        <v>1072</v>
      </c>
      <c r="AL3" s="206"/>
      <c r="AM3" s="1706">
        <v>2017</v>
      </c>
      <c r="AN3" s="1707"/>
      <c r="AO3" s="1707"/>
      <c r="AP3" s="1707"/>
      <c r="AQ3" s="1707"/>
      <c r="AR3" s="1707"/>
      <c r="AS3" s="1707"/>
      <c r="AT3" s="1707"/>
      <c r="AU3" s="1707"/>
      <c r="AV3" s="1707"/>
      <c r="AW3" s="1707"/>
      <c r="AX3" s="1708"/>
      <c r="AY3" s="205"/>
    </row>
    <row r="4" spans="1:52">
      <c r="B4" s="155" t="s">
        <v>1073</v>
      </c>
      <c r="C4" s="156" t="s">
        <v>1074</v>
      </c>
      <c r="D4" s="156" t="s">
        <v>1075</v>
      </c>
      <c r="E4" s="157" t="s">
        <v>1076</v>
      </c>
      <c r="F4" s="158" t="s">
        <v>1077</v>
      </c>
      <c r="G4" s="158" t="s">
        <v>1078</v>
      </c>
      <c r="H4" s="158" t="s">
        <v>1079</v>
      </c>
      <c r="I4" s="190">
        <v>1</v>
      </c>
      <c r="J4" s="190">
        <v>2</v>
      </c>
      <c r="K4" s="190">
        <v>3</v>
      </c>
      <c r="L4" s="190">
        <v>4</v>
      </c>
      <c r="M4" s="190">
        <v>5</v>
      </c>
      <c r="N4" s="190">
        <v>6</v>
      </c>
      <c r="O4" s="190">
        <v>7</v>
      </c>
      <c r="P4" s="190">
        <v>8</v>
      </c>
      <c r="Q4" s="190">
        <v>9</v>
      </c>
      <c r="R4" s="190">
        <v>10</v>
      </c>
      <c r="S4" s="190">
        <v>11</v>
      </c>
      <c r="T4" s="190">
        <v>12</v>
      </c>
      <c r="U4" s="195"/>
      <c r="V4" s="196">
        <v>1</v>
      </c>
      <c r="W4" s="196">
        <v>2</v>
      </c>
      <c r="X4" s="196">
        <v>3</v>
      </c>
      <c r="Y4" s="196">
        <v>4</v>
      </c>
      <c r="Z4" s="196">
        <v>5</v>
      </c>
      <c r="AA4" s="196">
        <v>6</v>
      </c>
      <c r="AB4" s="196">
        <v>7</v>
      </c>
      <c r="AC4" s="196">
        <v>8</v>
      </c>
      <c r="AD4" s="190">
        <v>9</v>
      </c>
      <c r="AE4" s="196">
        <v>10</v>
      </c>
      <c r="AF4" s="196">
        <v>11</v>
      </c>
      <c r="AG4" s="196">
        <v>12</v>
      </c>
      <c r="AH4" s="207"/>
      <c r="AI4" s="1710"/>
      <c r="AJ4" s="1710"/>
      <c r="AK4" s="1710"/>
      <c r="AL4" s="208"/>
      <c r="AM4" s="209">
        <v>1</v>
      </c>
      <c r="AN4" s="209">
        <v>2</v>
      </c>
      <c r="AO4" s="209">
        <v>3</v>
      </c>
      <c r="AP4" s="209">
        <v>4</v>
      </c>
      <c r="AQ4" s="209">
        <v>5</v>
      </c>
      <c r="AR4" s="209">
        <v>6</v>
      </c>
      <c r="AS4" s="209">
        <v>7</v>
      </c>
      <c r="AT4" s="209">
        <v>8</v>
      </c>
      <c r="AU4" s="209">
        <v>9</v>
      </c>
      <c r="AV4" s="209">
        <v>10</v>
      </c>
      <c r="AW4" s="209">
        <v>11</v>
      </c>
      <c r="AX4" s="209">
        <v>12</v>
      </c>
      <c r="AY4" s="207"/>
    </row>
    <row r="5" spans="1:52">
      <c r="B5" s="159" t="s">
        <v>1015</v>
      </c>
      <c r="C5" s="160">
        <v>37347</v>
      </c>
      <c r="D5" s="161"/>
      <c r="E5" s="1245" t="s">
        <v>1080</v>
      </c>
      <c r="F5" s="162">
        <f t="shared" ref="F5:F10" ca="1" si="0">DATEDIF(C5,TODAY(),"Y")</f>
        <v>17</v>
      </c>
      <c r="G5" s="162">
        <f t="shared" ref="G5:G10" ca="1" si="1">DATEDIF(C5,TODAY(),"YM")</f>
        <v>6</v>
      </c>
      <c r="H5" s="162">
        <f t="shared" ref="H5:H10" ca="1" si="2">DATEDIF(C5,TODAY(),"MD")</f>
        <v>0</v>
      </c>
      <c r="I5" s="191"/>
      <c r="J5" s="191"/>
      <c r="K5" s="191"/>
      <c r="L5" s="191"/>
      <c r="M5" s="191"/>
      <c r="N5" s="191"/>
      <c r="O5" s="191"/>
      <c r="P5" s="191"/>
      <c r="Q5" s="191"/>
      <c r="R5" s="191"/>
      <c r="S5" s="191"/>
      <c r="T5" s="191"/>
      <c r="U5" s="195"/>
      <c r="V5" s="191"/>
      <c r="W5" s="191"/>
      <c r="X5" s="191"/>
      <c r="Y5" s="191"/>
      <c r="Z5" s="191"/>
      <c r="AA5" s="191"/>
      <c r="AB5" s="191"/>
      <c r="AC5" s="191"/>
      <c r="AD5" s="190"/>
      <c r="AE5" s="191"/>
      <c r="AF5" s="191"/>
      <c r="AG5" s="191"/>
      <c r="AH5" s="210">
        <f t="shared" ref="AH5:AH10" si="3">SUM(V5:AG5)</f>
        <v>0</v>
      </c>
      <c r="AI5" s="191"/>
      <c r="AJ5" s="191"/>
      <c r="AK5" s="191"/>
      <c r="AL5" s="196"/>
      <c r="AM5" s="211"/>
      <c r="AN5" s="211"/>
      <c r="AO5" s="211"/>
      <c r="AP5" s="211"/>
      <c r="AQ5" s="211"/>
      <c r="AR5" s="211"/>
      <c r="AS5" s="211"/>
      <c r="AT5" s="211"/>
      <c r="AU5" s="211"/>
      <c r="AV5" s="211"/>
      <c r="AW5" s="211"/>
      <c r="AX5" s="211"/>
      <c r="AY5" s="210">
        <f t="shared" ref="AY5:AY11" si="4">SUM(AM5:AX5)</f>
        <v>0</v>
      </c>
    </row>
    <row r="6" spans="1:52">
      <c r="B6" s="163" t="s">
        <v>1081</v>
      </c>
      <c r="C6" s="164">
        <v>37987</v>
      </c>
      <c r="D6" s="164"/>
      <c r="E6" s="165"/>
      <c r="F6" s="162">
        <f t="shared" ca="1" si="0"/>
        <v>15</v>
      </c>
      <c r="G6" s="162">
        <f t="shared" ca="1" si="1"/>
        <v>9</v>
      </c>
      <c r="H6" s="162">
        <f t="shared" ca="1" si="2"/>
        <v>0</v>
      </c>
      <c r="I6" s="191"/>
      <c r="J6" s="191"/>
      <c r="K6" s="191"/>
      <c r="L6" s="191"/>
      <c r="M6" s="191"/>
      <c r="N6" s="191"/>
      <c r="O6" s="191"/>
      <c r="P6" s="191"/>
      <c r="Q6" s="191"/>
      <c r="R6" s="191"/>
      <c r="S6" s="191"/>
      <c r="T6" s="191"/>
      <c r="U6" s="195"/>
      <c r="V6" s="191"/>
      <c r="W6" s="191"/>
      <c r="X6" s="191"/>
      <c r="Y6" s="191"/>
      <c r="Z6" s="191"/>
      <c r="AA6" s="191"/>
      <c r="AB6" s="191"/>
      <c r="AC6" s="191"/>
      <c r="AD6" s="190"/>
      <c r="AE6" s="191"/>
      <c r="AF6" s="191"/>
      <c r="AG6" s="191"/>
      <c r="AH6" s="210">
        <f t="shared" si="3"/>
        <v>0</v>
      </c>
      <c r="AI6" s="191"/>
      <c r="AJ6" s="191"/>
      <c r="AK6" s="191"/>
      <c r="AL6" s="196"/>
      <c r="AM6" s="211"/>
      <c r="AN6" s="211"/>
      <c r="AO6" s="211"/>
      <c r="AP6" s="211"/>
      <c r="AQ6" s="211"/>
      <c r="AR6" s="211"/>
      <c r="AS6" s="211"/>
      <c r="AT6" s="211"/>
      <c r="AU6" s="211"/>
      <c r="AV6" s="211"/>
      <c r="AW6" s="211"/>
      <c r="AX6" s="211"/>
      <c r="AY6" s="210">
        <f t="shared" si="4"/>
        <v>0</v>
      </c>
    </row>
    <row r="7" spans="1:52" ht="14.25">
      <c r="B7" s="166" t="s">
        <v>1082</v>
      </c>
      <c r="C7" s="167"/>
      <c r="D7" s="167"/>
      <c r="E7" s="168"/>
      <c r="F7" s="167"/>
      <c r="G7" s="167"/>
      <c r="H7" s="167"/>
      <c r="I7" s="167"/>
      <c r="J7" s="167"/>
      <c r="K7" s="167"/>
      <c r="L7" s="167"/>
      <c r="M7" s="167"/>
      <c r="N7" s="167"/>
      <c r="O7" s="167"/>
      <c r="P7" s="167"/>
      <c r="Q7" s="167"/>
      <c r="R7" s="167"/>
      <c r="S7" s="167"/>
      <c r="T7" s="167"/>
      <c r="U7" s="197"/>
      <c r="V7" s="167"/>
      <c r="W7" s="167"/>
      <c r="X7" s="167"/>
      <c r="Y7" s="167"/>
      <c r="Z7" s="167"/>
      <c r="AA7" s="167"/>
      <c r="AB7" s="167"/>
      <c r="AC7" s="167"/>
      <c r="AD7" s="201"/>
      <c r="AE7" s="167"/>
      <c r="AF7" s="167"/>
      <c r="AG7" s="167"/>
      <c r="AH7" s="212"/>
      <c r="AI7" s="167"/>
      <c r="AJ7" s="167"/>
      <c r="AK7" s="167"/>
      <c r="AL7" s="213"/>
      <c r="AM7" s="214"/>
      <c r="AN7" s="214"/>
      <c r="AO7" s="214"/>
      <c r="AP7" s="214"/>
      <c r="AQ7" s="214"/>
      <c r="AR7" s="214"/>
      <c r="AS7" s="214"/>
      <c r="AT7" s="214"/>
      <c r="AU7" s="214"/>
      <c r="AV7" s="214"/>
      <c r="AW7" s="214"/>
      <c r="AX7" s="214"/>
      <c r="AY7" s="212"/>
    </row>
    <row r="8" spans="1:52">
      <c r="B8" s="159" t="s">
        <v>1032</v>
      </c>
      <c r="C8" s="160">
        <v>40040</v>
      </c>
      <c r="D8" s="161"/>
      <c r="E8" s="1245" t="s">
        <v>1083</v>
      </c>
      <c r="F8" s="162">
        <f t="shared" ca="1" si="0"/>
        <v>10</v>
      </c>
      <c r="G8" s="162">
        <f t="shared" ca="1" si="1"/>
        <v>1</v>
      </c>
      <c r="H8" s="162">
        <f t="shared" ca="1" si="2"/>
        <v>16</v>
      </c>
      <c r="I8" s="191"/>
      <c r="J8" s="191"/>
      <c r="K8" s="191"/>
      <c r="L8" s="191"/>
      <c r="M8" s="191"/>
      <c r="N8" s="191"/>
      <c r="O8" s="191"/>
      <c r="P8" s="191"/>
      <c r="Q8" s="191"/>
      <c r="R8" s="191"/>
      <c r="S8" s="191"/>
      <c r="T8" s="191"/>
      <c r="U8" s="195"/>
      <c r="V8" s="191"/>
      <c r="W8" s="191"/>
      <c r="X8" s="191"/>
      <c r="Y8" s="191"/>
      <c r="Z8" s="191"/>
      <c r="AA8" s="191"/>
      <c r="AB8" s="191"/>
      <c r="AC8" s="191"/>
      <c r="AD8" s="190"/>
      <c r="AE8" s="191"/>
      <c r="AF8" s="191"/>
      <c r="AG8" s="191"/>
      <c r="AH8" s="210">
        <f t="shared" si="3"/>
        <v>0</v>
      </c>
      <c r="AI8" s="191"/>
      <c r="AJ8" s="191">
        <f t="shared" ref="AJ8:AJ10" si="5">SUM(V8:AA8)</f>
        <v>0</v>
      </c>
      <c r="AK8" s="191">
        <f ca="1">IF(AI8&gt;=AJ8,INT($F8/5)+$A$1-SUM(AB8:AG8),INT($F8/5)+$A$1-(SUM(V8:AG8)-AI8))</f>
        <v>14</v>
      </c>
      <c r="AL8" s="196"/>
      <c r="AM8" s="211"/>
      <c r="AN8" s="211"/>
      <c r="AO8" s="211"/>
      <c r="AP8" s="211"/>
      <c r="AQ8" s="211"/>
      <c r="AR8" s="211"/>
      <c r="AS8" s="211"/>
      <c r="AT8" s="211"/>
      <c r="AU8" s="211"/>
      <c r="AV8" s="211"/>
      <c r="AW8" s="211"/>
      <c r="AX8" s="211"/>
      <c r="AY8" s="210">
        <f t="shared" si="4"/>
        <v>0</v>
      </c>
    </row>
    <row r="9" spans="1:52">
      <c r="B9" s="159" t="s">
        <v>1020</v>
      </c>
      <c r="C9" s="160">
        <v>41838</v>
      </c>
      <c r="D9" s="160"/>
      <c r="E9" s="169" t="s">
        <v>1084</v>
      </c>
      <c r="F9" s="162">
        <f t="shared" ca="1" si="0"/>
        <v>5</v>
      </c>
      <c r="G9" s="162">
        <f t="shared" ca="1" si="1"/>
        <v>2</v>
      </c>
      <c r="H9" s="162">
        <f t="shared" ca="1" si="2"/>
        <v>13</v>
      </c>
      <c r="I9" s="191"/>
      <c r="J9" s="191"/>
      <c r="K9" s="191"/>
      <c r="L9" s="191"/>
      <c r="M9" s="191"/>
      <c r="N9" s="191"/>
      <c r="O9" s="191"/>
      <c r="P9" s="191"/>
      <c r="Q9" s="191"/>
      <c r="R9" s="191"/>
      <c r="S9" s="191"/>
      <c r="T9" s="191"/>
      <c r="U9" s="195"/>
      <c r="V9" s="191"/>
      <c r="W9" s="191"/>
      <c r="X9" s="191"/>
      <c r="Y9" s="191"/>
      <c r="Z9" s="191"/>
      <c r="AA9" s="191"/>
      <c r="AB9" s="191"/>
      <c r="AC9" s="191"/>
      <c r="AD9" s="190"/>
      <c r="AE9" s="191"/>
      <c r="AF9" s="191"/>
      <c r="AG9" s="191"/>
      <c r="AH9" s="210">
        <f t="shared" si="3"/>
        <v>0</v>
      </c>
      <c r="AI9" s="191"/>
      <c r="AJ9" s="191">
        <f t="shared" si="5"/>
        <v>0</v>
      </c>
      <c r="AK9" s="191">
        <f ca="1">IF(AI9&gt;=AJ9,INT($F9/5)+$A$1-SUM(AB9:AG9),INT($F9/5)+$A$1-(SUM(V9:AG9)-AI9))</f>
        <v>13</v>
      </c>
      <c r="AL9" s="196"/>
      <c r="AM9" s="211"/>
      <c r="AN9" s="211"/>
      <c r="AO9" s="211"/>
      <c r="AP9" s="211"/>
      <c r="AQ9" s="211"/>
      <c r="AR9" s="211"/>
      <c r="AS9" s="211"/>
      <c r="AT9" s="211"/>
      <c r="AU9" s="211"/>
      <c r="AV9" s="211"/>
      <c r="AW9" s="211"/>
      <c r="AX9" s="211"/>
      <c r="AY9" s="210">
        <f t="shared" si="4"/>
        <v>0</v>
      </c>
    </row>
    <row r="10" spans="1:52">
      <c r="B10" s="159" t="s">
        <v>1085</v>
      </c>
      <c r="C10" s="170">
        <v>42298</v>
      </c>
      <c r="D10" s="171"/>
      <c r="E10" s="172">
        <v>42614</v>
      </c>
      <c r="F10" s="162">
        <f t="shared" ca="1" si="0"/>
        <v>3</v>
      </c>
      <c r="G10" s="162">
        <f t="shared" ca="1" si="1"/>
        <v>11</v>
      </c>
      <c r="H10" s="162">
        <f t="shared" ca="1" si="2"/>
        <v>10</v>
      </c>
      <c r="I10" s="191"/>
      <c r="J10" s="191"/>
      <c r="K10" s="191"/>
      <c r="L10" s="191"/>
      <c r="M10" s="191"/>
      <c r="N10" s="191"/>
      <c r="O10" s="191"/>
      <c r="P10" s="191"/>
      <c r="Q10" s="191"/>
      <c r="R10" s="191"/>
      <c r="S10" s="191"/>
      <c r="T10" s="191"/>
      <c r="U10" s="195"/>
      <c r="V10" s="191"/>
      <c r="W10" s="191"/>
      <c r="X10" s="191"/>
      <c r="Y10" s="191"/>
      <c r="Z10" s="191"/>
      <c r="AA10" s="191"/>
      <c r="AB10" s="191"/>
      <c r="AC10" s="191"/>
      <c r="AD10" s="190">
        <v>1</v>
      </c>
      <c r="AE10" s="191"/>
      <c r="AF10" s="191">
        <v>1</v>
      </c>
      <c r="AG10" s="191">
        <v>1</v>
      </c>
      <c r="AH10" s="210">
        <f t="shared" si="3"/>
        <v>3</v>
      </c>
      <c r="AI10" s="191"/>
      <c r="AJ10" s="191">
        <f t="shared" si="5"/>
        <v>0</v>
      </c>
      <c r="AK10" s="191">
        <f ca="1">IF(AI10&gt;=AJ10,INT($F10/5)+$A$1-SUM(AB10:AG10),INT($F10/5)+$A$1-(SUM(V10:AG10)-AI10))</f>
        <v>9</v>
      </c>
      <c r="AL10" s="196"/>
      <c r="AM10" s="211">
        <v>1</v>
      </c>
      <c r="AN10" s="211"/>
      <c r="AO10" s="211">
        <v>2</v>
      </c>
      <c r="AP10" s="211"/>
      <c r="AQ10" s="211"/>
      <c r="AR10" s="211"/>
      <c r="AS10" s="211"/>
      <c r="AT10" s="211"/>
      <c r="AU10" s="211"/>
      <c r="AV10" s="211"/>
      <c r="AW10" s="211"/>
      <c r="AX10" s="211"/>
      <c r="AY10" s="210">
        <f t="shared" si="4"/>
        <v>3</v>
      </c>
    </row>
    <row r="11" spans="1:52" s="145" customFormat="1" ht="14.25">
      <c r="B11" s="159" t="s">
        <v>1086</v>
      </c>
      <c r="C11" s="160">
        <v>42842</v>
      </c>
      <c r="D11" s="160"/>
      <c r="E11" s="169"/>
      <c r="F11" s="160"/>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215"/>
      <c r="AI11" s="160"/>
      <c r="AJ11" s="160"/>
      <c r="AK11" s="160"/>
      <c r="AL11" s="160"/>
      <c r="AM11" s="160"/>
      <c r="AN11" s="160"/>
      <c r="AO11" s="160"/>
      <c r="AP11" s="160"/>
      <c r="AQ11" s="160"/>
      <c r="AR11" s="160"/>
      <c r="AS11" s="162">
        <v>3</v>
      </c>
      <c r="AT11" s="162">
        <v>2</v>
      </c>
      <c r="AU11" s="160"/>
      <c r="AV11" s="160"/>
      <c r="AW11" s="160"/>
      <c r="AX11" s="160"/>
      <c r="AY11" s="225">
        <f t="shared" si="4"/>
        <v>5</v>
      </c>
    </row>
    <row r="12" spans="1:52">
      <c r="B12" s="159" t="s">
        <v>1087</v>
      </c>
      <c r="C12" s="160">
        <v>42464</v>
      </c>
      <c r="D12" s="160"/>
      <c r="E12" s="169"/>
      <c r="F12" s="162">
        <f t="shared" ref="F12:F15" ca="1" si="6">DATEDIF(C12,TODAY(),"Y")</f>
        <v>3</v>
      </c>
      <c r="G12" s="162">
        <f t="shared" ref="G12:G15" ca="1" si="7">DATEDIF(C12,TODAY(),"YM")</f>
        <v>5</v>
      </c>
      <c r="H12" s="162">
        <f t="shared" ref="H12:H15" ca="1" si="8">DATEDIF(C12,TODAY(),"MD")</f>
        <v>27</v>
      </c>
      <c r="I12" s="191"/>
      <c r="J12" s="191"/>
      <c r="K12" s="191"/>
      <c r="L12" s="191"/>
      <c r="M12" s="191"/>
      <c r="N12" s="191"/>
      <c r="O12" s="191"/>
      <c r="P12" s="191"/>
      <c r="Q12" s="191"/>
      <c r="R12" s="191"/>
      <c r="S12" s="191"/>
      <c r="T12" s="191"/>
      <c r="U12" s="195"/>
      <c r="V12" s="191"/>
      <c r="W12" s="191"/>
      <c r="X12" s="191"/>
      <c r="Y12" s="191"/>
      <c r="Z12" s="191"/>
      <c r="AA12" s="191"/>
      <c r="AB12" s="191"/>
      <c r="AC12" s="191">
        <v>2</v>
      </c>
      <c r="AD12" s="190"/>
      <c r="AE12" s="191"/>
      <c r="AF12" s="191"/>
      <c r="AG12" s="191"/>
      <c r="AH12" s="210">
        <f t="shared" ref="AH12:AH15" si="9">SUM(V12:AG12)</f>
        <v>2</v>
      </c>
      <c r="AI12" s="191"/>
      <c r="AJ12" s="191">
        <f t="shared" ref="AJ12:AJ15" si="10">SUM(V12:AA12)</f>
        <v>0</v>
      </c>
      <c r="AK12" s="191">
        <f ca="1">IF(AI12&gt;=AJ12,INT($F12/5)+7-SUM(AB12:AG12),INT($F12/5)+7-(SUM(V12:AG12)-AI12))</f>
        <v>5</v>
      </c>
      <c r="AL12" s="196"/>
      <c r="AM12" s="211"/>
      <c r="AN12" s="211"/>
      <c r="AO12" s="211"/>
      <c r="AP12" s="211"/>
      <c r="AQ12" s="211"/>
      <c r="AR12" s="211"/>
      <c r="AS12" s="223"/>
      <c r="AT12" s="223"/>
      <c r="AU12" s="223"/>
      <c r="AV12" s="223"/>
      <c r="AW12" s="223"/>
      <c r="AX12" s="223"/>
      <c r="AY12" s="226"/>
    </row>
    <row r="13" spans="1:52" ht="14.25">
      <c r="B13" s="166" t="s">
        <v>293</v>
      </c>
      <c r="C13" s="167"/>
      <c r="D13" s="167"/>
      <c r="E13" s="168"/>
      <c r="F13" s="167"/>
      <c r="G13" s="167"/>
      <c r="H13" s="167"/>
      <c r="I13" s="167"/>
      <c r="J13" s="167"/>
      <c r="K13" s="167"/>
      <c r="L13" s="167"/>
      <c r="M13" s="167"/>
      <c r="N13" s="167"/>
      <c r="O13" s="167"/>
      <c r="P13" s="167"/>
      <c r="Q13" s="167"/>
      <c r="R13" s="167"/>
      <c r="S13" s="167"/>
      <c r="T13" s="167"/>
      <c r="U13" s="197"/>
      <c r="V13" s="167"/>
      <c r="W13" s="167"/>
      <c r="X13" s="167"/>
      <c r="Y13" s="167"/>
      <c r="Z13" s="167"/>
      <c r="AA13" s="167"/>
      <c r="AB13" s="167"/>
      <c r="AC13" s="167"/>
      <c r="AD13" s="201"/>
      <c r="AE13" s="167"/>
      <c r="AF13" s="167"/>
      <c r="AG13" s="167"/>
      <c r="AH13" s="212"/>
      <c r="AI13" s="167"/>
      <c r="AJ13" s="167"/>
      <c r="AK13" s="167"/>
      <c r="AL13" s="213"/>
      <c r="AM13" s="214"/>
      <c r="AN13" s="214"/>
      <c r="AO13" s="214"/>
      <c r="AP13" s="214"/>
      <c r="AQ13" s="214"/>
      <c r="AR13" s="214"/>
      <c r="AS13" s="214"/>
      <c r="AT13" s="214"/>
      <c r="AU13" s="214"/>
      <c r="AV13" s="214"/>
      <c r="AW13" s="214"/>
      <c r="AX13" s="214"/>
      <c r="AY13" s="212"/>
    </row>
    <row r="14" spans="1:52">
      <c r="B14" s="159" t="s">
        <v>1088</v>
      </c>
      <c r="C14" s="160">
        <v>38579</v>
      </c>
      <c r="D14" s="161"/>
      <c r="E14" s="1245" t="s">
        <v>1089</v>
      </c>
      <c r="F14" s="162">
        <f t="shared" ca="1" si="6"/>
        <v>14</v>
      </c>
      <c r="G14" s="162">
        <f t="shared" ca="1" si="7"/>
        <v>1</v>
      </c>
      <c r="H14" s="162">
        <f t="shared" ca="1" si="8"/>
        <v>16</v>
      </c>
      <c r="I14" s="191"/>
      <c r="J14" s="191"/>
      <c r="K14" s="191"/>
      <c r="L14" s="191"/>
      <c r="M14" s="191"/>
      <c r="N14" s="191"/>
      <c r="O14" s="191"/>
      <c r="P14" s="191"/>
      <c r="Q14" s="191"/>
      <c r="R14" s="191"/>
      <c r="S14" s="191"/>
      <c r="T14" s="191"/>
      <c r="U14" s="195"/>
      <c r="V14" s="191">
        <v>1</v>
      </c>
      <c r="W14" s="191"/>
      <c r="X14" s="191">
        <v>2</v>
      </c>
      <c r="Y14" s="191">
        <v>2</v>
      </c>
      <c r="Z14" s="191"/>
      <c r="AA14" s="191"/>
      <c r="AB14" s="191">
        <v>1</v>
      </c>
      <c r="AC14" s="191"/>
      <c r="AD14" s="190">
        <v>2</v>
      </c>
      <c r="AE14" s="191">
        <v>1</v>
      </c>
      <c r="AF14" s="191"/>
      <c r="AG14" s="191">
        <v>3</v>
      </c>
      <c r="AH14" s="210">
        <f t="shared" si="9"/>
        <v>12</v>
      </c>
      <c r="AI14" s="191"/>
      <c r="AJ14" s="191">
        <f t="shared" si="10"/>
        <v>5</v>
      </c>
      <c r="AK14" s="191">
        <f ca="1">IF(AI14&gt;=AJ14,INT($F14/5)+$A$1-SUM(AB14:AG14),INT($F14/5)+$A$1-(SUM(V14:AG14)-AI14))</f>
        <v>2</v>
      </c>
      <c r="AL14" s="196"/>
      <c r="AM14" s="211">
        <v>6</v>
      </c>
      <c r="AN14" s="211">
        <v>1</v>
      </c>
      <c r="AO14" s="211">
        <v>0</v>
      </c>
      <c r="AP14" s="211">
        <v>1</v>
      </c>
      <c r="AQ14" s="211">
        <v>1</v>
      </c>
      <c r="AR14" s="211">
        <v>1</v>
      </c>
      <c r="AS14" s="211">
        <v>2</v>
      </c>
      <c r="AT14" s="211">
        <v>1</v>
      </c>
      <c r="AU14" s="211">
        <v>3</v>
      </c>
      <c r="AV14" s="196"/>
      <c r="AW14" s="196"/>
      <c r="AX14" s="196"/>
      <c r="AY14" s="210">
        <f t="shared" ref="AY14:AY20" si="11">SUM(AM14:AX14)</f>
        <v>16</v>
      </c>
      <c r="AZ14" s="148" t="s">
        <v>1090</v>
      </c>
    </row>
    <row r="15" spans="1:52">
      <c r="B15" s="159" t="s">
        <v>1091</v>
      </c>
      <c r="C15" s="160">
        <v>42555</v>
      </c>
      <c r="D15" s="160"/>
      <c r="E15" s="169"/>
      <c r="F15" s="162">
        <f t="shared" ca="1" si="6"/>
        <v>3</v>
      </c>
      <c r="G15" s="162">
        <f t="shared" ca="1" si="7"/>
        <v>2</v>
      </c>
      <c r="H15" s="162">
        <f t="shared" ca="1" si="8"/>
        <v>27</v>
      </c>
      <c r="I15" s="191"/>
      <c r="J15" s="191"/>
      <c r="K15" s="191"/>
      <c r="L15" s="191"/>
      <c r="M15" s="191"/>
      <c r="N15" s="191"/>
      <c r="O15" s="191"/>
      <c r="P15" s="191"/>
      <c r="Q15" s="191"/>
      <c r="R15" s="191"/>
      <c r="S15" s="191"/>
      <c r="T15" s="191"/>
      <c r="U15" s="195"/>
      <c r="V15" s="191"/>
      <c r="W15" s="191"/>
      <c r="X15" s="191"/>
      <c r="Y15" s="191"/>
      <c r="Z15" s="191"/>
      <c r="AA15" s="191"/>
      <c r="AB15" s="191"/>
      <c r="AC15" s="191"/>
      <c r="AD15" s="190"/>
      <c r="AE15" s="191">
        <v>1</v>
      </c>
      <c r="AF15" s="191"/>
      <c r="AG15" s="191">
        <v>1</v>
      </c>
      <c r="AH15" s="210">
        <f t="shared" si="9"/>
        <v>2</v>
      </c>
      <c r="AI15" s="191"/>
      <c r="AJ15" s="191">
        <f t="shared" si="10"/>
        <v>0</v>
      </c>
      <c r="AK15" s="191">
        <f ca="1">IF(AI15&gt;=AJ15,INT($F15/5)+4-SUM(AB15:AG15),INT($F15/5)+4-(SUM(V15:AG15)-AI15))</f>
        <v>2</v>
      </c>
      <c r="AL15" s="196"/>
      <c r="AM15" s="211"/>
      <c r="AN15" s="211"/>
      <c r="AO15" s="211">
        <v>1</v>
      </c>
      <c r="AP15" s="211"/>
      <c r="AQ15" s="211"/>
      <c r="AR15" s="211">
        <v>1</v>
      </c>
      <c r="AS15" s="211"/>
      <c r="AT15" s="211">
        <v>6</v>
      </c>
      <c r="AU15" s="211">
        <v>1</v>
      </c>
      <c r="AV15" s="211">
        <v>1</v>
      </c>
      <c r="AW15" s="211"/>
      <c r="AX15" s="211"/>
      <c r="AY15" s="210">
        <f t="shared" si="11"/>
        <v>10</v>
      </c>
      <c r="AZ15" s="148">
        <f ca="1">12-AY15+AK15</f>
        <v>4</v>
      </c>
    </row>
    <row r="16" spans="1:52" ht="14.25">
      <c r="B16" s="166" t="s">
        <v>1092</v>
      </c>
      <c r="C16" s="167"/>
      <c r="D16" s="167"/>
      <c r="E16" s="168"/>
      <c r="F16" s="167"/>
      <c r="G16" s="167"/>
      <c r="H16" s="167"/>
      <c r="I16" s="167"/>
      <c r="J16" s="167"/>
      <c r="K16" s="167"/>
      <c r="L16" s="167"/>
      <c r="M16" s="167"/>
      <c r="N16" s="167"/>
      <c r="O16" s="167"/>
      <c r="P16" s="167"/>
      <c r="Q16" s="167"/>
      <c r="R16" s="167"/>
      <c r="S16" s="167"/>
      <c r="T16" s="167"/>
      <c r="U16" s="197"/>
      <c r="V16" s="167"/>
      <c r="W16" s="167"/>
      <c r="X16" s="167"/>
      <c r="Y16" s="167"/>
      <c r="Z16" s="167"/>
      <c r="AA16" s="167"/>
      <c r="AB16" s="167"/>
      <c r="AC16" s="167"/>
      <c r="AD16" s="201"/>
      <c r="AE16" s="167"/>
      <c r="AF16" s="167"/>
      <c r="AG16" s="167"/>
      <c r="AH16" s="212"/>
      <c r="AI16" s="167"/>
      <c r="AJ16" s="167"/>
      <c r="AK16" s="167"/>
      <c r="AL16" s="213"/>
      <c r="AM16" s="214"/>
      <c r="AN16" s="214"/>
      <c r="AO16" s="214"/>
      <c r="AP16" s="214"/>
      <c r="AQ16" s="214"/>
      <c r="AR16" s="214"/>
      <c r="AS16" s="214"/>
      <c r="AT16" s="214"/>
      <c r="AU16" s="214"/>
      <c r="AV16" s="214"/>
      <c r="AW16" s="214"/>
      <c r="AX16" s="214"/>
      <c r="AY16" s="212"/>
      <c r="AZ16" s="148">
        <f t="shared" ref="AZ16:AZ79" si="12">12-AY16+AK16</f>
        <v>12</v>
      </c>
    </row>
    <row r="17" spans="2:52">
      <c r="B17" s="159" t="s">
        <v>1018</v>
      </c>
      <c r="C17" s="160">
        <v>40045</v>
      </c>
      <c r="D17" s="173"/>
      <c r="E17" s="1246" t="s">
        <v>1093</v>
      </c>
      <c r="F17" s="162">
        <f t="shared" ref="F17:F25" ca="1" si="13">DATEDIF(C17,TODAY(),"Y")</f>
        <v>10</v>
      </c>
      <c r="G17" s="162">
        <f t="shared" ref="G17:G25" ca="1" si="14">DATEDIF(C17,TODAY(),"YM")</f>
        <v>1</v>
      </c>
      <c r="H17" s="162">
        <f t="shared" ref="H17:H25" ca="1" si="15">DATEDIF(C17,TODAY(),"MD")</f>
        <v>11</v>
      </c>
      <c r="I17" s="191"/>
      <c r="J17" s="191"/>
      <c r="K17" s="191"/>
      <c r="L17" s="191"/>
      <c r="M17" s="191"/>
      <c r="N17" s="191"/>
      <c r="O17" s="191"/>
      <c r="P17" s="191"/>
      <c r="Q17" s="191"/>
      <c r="R17" s="191"/>
      <c r="S17" s="191"/>
      <c r="T17" s="191"/>
      <c r="U17" s="195"/>
      <c r="V17" s="191">
        <v>2</v>
      </c>
      <c r="W17" s="191"/>
      <c r="X17" s="191"/>
      <c r="Y17" s="191"/>
      <c r="Z17" s="191"/>
      <c r="AA17" s="191"/>
      <c r="AB17" s="191">
        <v>3</v>
      </c>
      <c r="AC17" s="191"/>
      <c r="AD17" s="190">
        <v>1</v>
      </c>
      <c r="AE17" s="191">
        <v>2</v>
      </c>
      <c r="AF17" s="191">
        <v>2</v>
      </c>
      <c r="AG17" s="191">
        <v>1</v>
      </c>
      <c r="AH17" s="210">
        <f t="shared" ref="AH17:AH23" si="16">SUM(V17:AG17)</f>
        <v>11</v>
      </c>
      <c r="AI17" s="191"/>
      <c r="AJ17" s="191">
        <f t="shared" ref="AJ17:AJ23" si="17">SUM(V17:AA17)</f>
        <v>2</v>
      </c>
      <c r="AK17" s="191">
        <f ca="1">IF(AI17&gt;=AJ17,INT($F17/5)+$A$1-SUM(AB17:AG17),INT($F17/5)+$A$1-(SUM(V17:AG17)-AI17))</f>
        <v>3</v>
      </c>
      <c r="AL17" s="196"/>
      <c r="AM17" s="211">
        <v>3</v>
      </c>
      <c r="AN17" s="211">
        <v>2</v>
      </c>
      <c r="AO17" s="211">
        <v>1</v>
      </c>
      <c r="AP17" s="211">
        <v>3</v>
      </c>
      <c r="AQ17" s="211"/>
      <c r="AR17" s="211"/>
      <c r="AS17" s="211">
        <v>2</v>
      </c>
      <c r="AT17" s="211">
        <v>1</v>
      </c>
      <c r="AU17" s="211">
        <v>2</v>
      </c>
      <c r="AV17" s="224"/>
      <c r="AW17" s="224"/>
      <c r="AX17" s="224"/>
      <c r="AY17" s="210">
        <f t="shared" si="11"/>
        <v>14</v>
      </c>
      <c r="AZ17" s="148">
        <f t="shared" ca="1" si="12"/>
        <v>1</v>
      </c>
    </row>
    <row r="18" spans="2:52">
      <c r="B18" s="159" t="s">
        <v>1019</v>
      </c>
      <c r="C18" s="160">
        <v>40239</v>
      </c>
      <c r="D18" s="160"/>
      <c r="E18" s="1247" t="s">
        <v>1094</v>
      </c>
      <c r="F18" s="162">
        <f t="shared" ca="1" si="13"/>
        <v>9</v>
      </c>
      <c r="G18" s="162">
        <f t="shared" ca="1" si="14"/>
        <v>6</v>
      </c>
      <c r="H18" s="162">
        <f t="shared" ca="1" si="15"/>
        <v>29</v>
      </c>
      <c r="I18" s="191"/>
      <c r="J18" s="191"/>
      <c r="K18" s="191"/>
      <c r="L18" s="191"/>
      <c r="M18" s="191"/>
      <c r="N18" s="191"/>
      <c r="O18" s="191"/>
      <c r="P18" s="191"/>
      <c r="Q18" s="191"/>
      <c r="R18" s="191"/>
      <c r="S18" s="191"/>
      <c r="T18" s="191"/>
      <c r="U18" s="195"/>
      <c r="V18" s="191">
        <v>2</v>
      </c>
      <c r="W18" s="191">
        <v>1</v>
      </c>
      <c r="X18" s="191"/>
      <c r="Y18" s="191"/>
      <c r="Z18" s="191">
        <v>1</v>
      </c>
      <c r="AA18" s="191">
        <v>3</v>
      </c>
      <c r="AB18" s="191">
        <v>2</v>
      </c>
      <c r="AC18" s="191"/>
      <c r="AD18" s="190"/>
      <c r="AE18" s="191"/>
      <c r="AF18" s="191">
        <v>2</v>
      </c>
      <c r="AG18" s="191"/>
      <c r="AH18" s="210">
        <f t="shared" si="16"/>
        <v>11</v>
      </c>
      <c r="AI18" s="191"/>
      <c r="AJ18" s="191">
        <f t="shared" si="17"/>
        <v>7</v>
      </c>
      <c r="AK18" s="191">
        <f ca="1">IF(AI18&gt;=AJ18,INT($F18/5)+$A$1-SUM(AB18:AG18),INT($F18/5)+$A$1-(SUM(V18:AG18)-AI18))</f>
        <v>2</v>
      </c>
      <c r="AL18" s="196"/>
      <c r="AM18" s="211">
        <v>1</v>
      </c>
      <c r="AN18" s="211"/>
      <c r="AO18" s="211"/>
      <c r="AP18" s="211"/>
      <c r="AQ18" s="211"/>
      <c r="AR18" s="211">
        <v>4</v>
      </c>
      <c r="AS18" s="211"/>
      <c r="AT18" s="211"/>
      <c r="AU18" s="211"/>
      <c r="AV18" s="211"/>
      <c r="AW18" s="211"/>
      <c r="AX18" s="211"/>
      <c r="AY18" s="210">
        <f t="shared" si="11"/>
        <v>5</v>
      </c>
      <c r="AZ18" s="148">
        <f t="shared" ca="1" si="12"/>
        <v>9</v>
      </c>
    </row>
    <row r="19" spans="2:52">
      <c r="B19" s="159" t="s">
        <v>1095</v>
      </c>
      <c r="C19" s="160">
        <v>42187</v>
      </c>
      <c r="D19" s="160"/>
      <c r="E19" s="169" t="s">
        <v>1084</v>
      </c>
      <c r="F19" s="162">
        <f t="shared" ca="1" si="13"/>
        <v>4</v>
      </c>
      <c r="G19" s="162">
        <f t="shared" ca="1" si="14"/>
        <v>2</v>
      </c>
      <c r="H19" s="162">
        <f t="shared" ca="1" si="15"/>
        <v>29</v>
      </c>
      <c r="I19" s="191"/>
      <c r="J19" s="191"/>
      <c r="K19" s="191"/>
      <c r="L19" s="191"/>
      <c r="M19" s="191"/>
      <c r="N19" s="191"/>
      <c r="O19" s="191"/>
      <c r="P19" s="191"/>
      <c r="Q19" s="191"/>
      <c r="R19" s="191"/>
      <c r="S19" s="191"/>
      <c r="T19" s="191"/>
      <c r="U19" s="195"/>
      <c r="V19" s="191"/>
      <c r="W19" s="191"/>
      <c r="X19" s="191"/>
      <c r="Y19" s="191"/>
      <c r="Z19" s="191">
        <v>1</v>
      </c>
      <c r="AA19" s="191">
        <v>1</v>
      </c>
      <c r="AB19" s="191">
        <v>3</v>
      </c>
      <c r="AC19" s="191"/>
      <c r="AD19" s="190">
        <v>1</v>
      </c>
      <c r="AE19" s="191"/>
      <c r="AF19" s="191">
        <v>3</v>
      </c>
      <c r="AG19" s="191">
        <v>2</v>
      </c>
      <c r="AH19" s="210">
        <f t="shared" si="16"/>
        <v>11</v>
      </c>
      <c r="AI19" s="191"/>
      <c r="AJ19" s="191">
        <f t="shared" si="17"/>
        <v>2</v>
      </c>
      <c r="AK19" s="191">
        <f ca="1">IF(AI19&gt;=AJ19,INT($F19/5)+$A$1-SUM(AB19:AG19),INT($F19/5)+$A$1-(SUM(V19:AG19)-AI19))</f>
        <v>1</v>
      </c>
      <c r="AL19" s="196"/>
      <c r="AM19" s="211">
        <v>2</v>
      </c>
      <c r="AN19" s="211">
        <v>3</v>
      </c>
      <c r="AO19" s="211">
        <v>1</v>
      </c>
      <c r="AP19" s="211">
        <v>0</v>
      </c>
      <c r="AQ19" s="211">
        <v>1</v>
      </c>
      <c r="AR19" s="211">
        <v>2</v>
      </c>
      <c r="AS19" s="211">
        <v>3</v>
      </c>
      <c r="AT19" s="211"/>
      <c r="AU19" s="211">
        <v>1</v>
      </c>
      <c r="AV19" s="211">
        <v>1</v>
      </c>
      <c r="AW19" s="224"/>
      <c r="AX19" s="224"/>
      <c r="AY19" s="210">
        <f t="shared" si="11"/>
        <v>14</v>
      </c>
      <c r="AZ19" s="148">
        <f t="shared" ca="1" si="12"/>
        <v>-1</v>
      </c>
    </row>
    <row r="20" spans="2:52">
      <c r="B20" s="159" t="s">
        <v>1096</v>
      </c>
      <c r="C20" s="170">
        <v>42313</v>
      </c>
      <c r="D20" s="170"/>
      <c r="E20" s="174">
        <v>42614</v>
      </c>
      <c r="F20" s="162">
        <f t="shared" ca="1" si="13"/>
        <v>3</v>
      </c>
      <c r="G20" s="162">
        <f t="shared" ca="1" si="14"/>
        <v>10</v>
      </c>
      <c r="H20" s="162">
        <f t="shared" ca="1" si="15"/>
        <v>26</v>
      </c>
      <c r="I20" s="191"/>
      <c r="J20" s="191"/>
      <c r="K20" s="191"/>
      <c r="L20" s="191"/>
      <c r="M20" s="191"/>
      <c r="N20" s="191"/>
      <c r="O20" s="191"/>
      <c r="P20" s="191"/>
      <c r="Q20" s="191"/>
      <c r="R20" s="191"/>
      <c r="S20" s="191"/>
      <c r="T20" s="191"/>
      <c r="U20" s="195"/>
      <c r="V20" s="191"/>
      <c r="W20" s="191"/>
      <c r="X20" s="191"/>
      <c r="Y20" s="191"/>
      <c r="Z20" s="191"/>
      <c r="AA20" s="191"/>
      <c r="AB20" s="191"/>
      <c r="AC20" s="191"/>
      <c r="AD20" s="190">
        <v>1</v>
      </c>
      <c r="AE20" s="191"/>
      <c r="AF20" s="191">
        <v>1</v>
      </c>
      <c r="AG20" s="191">
        <v>2</v>
      </c>
      <c r="AH20" s="210">
        <f t="shared" si="16"/>
        <v>4</v>
      </c>
      <c r="AI20" s="191"/>
      <c r="AJ20" s="191">
        <f t="shared" si="17"/>
        <v>0</v>
      </c>
      <c r="AK20" s="191">
        <f ca="1">IF(AI20&gt;=AJ20,INT($F20/5)+$A$1-SUM(AB20:AG20),INT($F20/5)+$A$1-(SUM(V20:AG20)-AI20))</f>
        <v>8</v>
      </c>
      <c r="AL20" s="196"/>
      <c r="AM20" s="211"/>
      <c r="AN20" s="211"/>
      <c r="AO20" s="211"/>
      <c r="AP20" s="211"/>
      <c r="AQ20" s="211"/>
      <c r="AR20" s="211"/>
      <c r="AS20" s="211">
        <v>2</v>
      </c>
      <c r="AT20" s="211">
        <v>2</v>
      </c>
      <c r="AU20" s="211"/>
      <c r="AV20" s="211"/>
      <c r="AW20" s="211"/>
      <c r="AX20" s="211"/>
      <c r="AY20" s="210">
        <f t="shared" si="11"/>
        <v>4</v>
      </c>
      <c r="AZ20" s="148">
        <f t="shared" ca="1" si="12"/>
        <v>16</v>
      </c>
    </row>
    <row r="21" spans="2:52">
      <c r="B21" s="159" t="s">
        <v>1029</v>
      </c>
      <c r="C21" s="160">
        <v>41852</v>
      </c>
      <c r="D21" s="160"/>
      <c r="E21" s="169"/>
      <c r="F21" s="162">
        <f t="shared" ca="1" si="13"/>
        <v>5</v>
      </c>
      <c r="G21" s="162">
        <f t="shared" ca="1" si="14"/>
        <v>2</v>
      </c>
      <c r="H21" s="162">
        <f t="shared" ca="1" si="15"/>
        <v>0</v>
      </c>
      <c r="I21" s="191"/>
      <c r="J21" s="191"/>
      <c r="K21" s="191"/>
      <c r="L21" s="191"/>
      <c r="M21" s="191"/>
      <c r="N21" s="191"/>
      <c r="O21" s="191"/>
      <c r="P21" s="191"/>
      <c r="Q21" s="191"/>
      <c r="R21" s="191"/>
      <c r="S21" s="191"/>
      <c r="T21" s="191"/>
      <c r="U21" s="195"/>
      <c r="V21" s="191"/>
      <c r="W21" s="191"/>
      <c r="X21" s="191"/>
      <c r="Y21" s="191"/>
      <c r="Z21" s="191"/>
      <c r="AA21" s="191"/>
      <c r="AB21" s="191"/>
      <c r="AC21" s="191"/>
      <c r="AD21" s="190"/>
      <c r="AE21" s="191"/>
      <c r="AF21" s="191"/>
      <c r="AG21" s="191"/>
      <c r="AH21" s="210">
        <f t="shared" si="16"/>
        <v>0</v>
      </c>
      <c r="AI21" s="191"/>
      <c r="AJ21" s="191">
        <f t="shared" si="17"/>
        <v>0</v>
      </c>
      <c r="AK21" s="191">
        <f ca="1">IF(AI21&gt;=AJ21,INT($F21/5)+$A$1-SUM(AB21:AG21),INT($F21/5)+$A$1-(SUM(V21:AG21)-AI21))</f>
        <v>13</v>
      </c>
      <c r="AL21" s="196"/>
      <c r="AM21" s="211"/>
      <c r="AN21" s="211"/>
      <c r="AO21" s="211"/>
      <c r="AP21" s="211"/>
      <c r="AQ21" s="211"/>
      <c r="AR21" s="211"/>
      <c r="AS21" s="211"/>
      <c r="AT21" s="211"/>
      <c r="AU21" s="211"/>
      <c r="AV21" s="211"/>
      <c r="AW21" s="211"/>
      <c r="AX21" s="211"/>
      <c r="AY21" s="210">
        <f t="shared" ref="AY21:AY27" si="18">SUM(AM21:AX21)</f>
        <v>0</v>
      </c>
      <c r="AZ21" s="148">
        <f t="shared" ca="1" si="12"/>
        <v>25</v>
      </c>
    </row>
    <row r="22" spans="2:52">
      <c r="B22" s="159" t="s">
        <v>1097</v>
      </c>
      <c r="C22" s="170">
        <v>42537</v>
      </c>
      <c r="D22" s="170"/>
      <c r="E22" s="174"/>
      <c r="F22" s="162">
        <f t="shared" ca="1" si="13"/>
        <v>3</v>
      </c>
      <c r="G22" s="162">
        <f t="shared" ca="1" si="14"/>
        <v>3</v>
      </c>
      <c r="H22" s="162">
        <f t="shared" ca="1" si="15"/>
        <v>15</v>
      </c>
      <c r="I22" s="191"/>
      <c r="J22" s="191"/>
      <c r="K22" s="191"/>
      <c r="L22" s="191"/>
      <c r="M22" s="191"/>
      <c r="N22" s="191"/>
      <c r="O22" s="191"/>
      <c r="P22" s="191"/>
      <c r="Q22" s="191"/>
      <c r="R22" s="191"/>
      <c r="S22" s="191"/>
      <c r="T22" s="191"/>
      <c r="U22" s="195"/>
      <c r="V22" s="191"/>
      <c r="W22" s="191"/>
      <c r="X22" s="191"/>
      <c r="Y22" s="191"/>
      <c r="Z22" s="191"/>
      <c r="AA22" s="191"/>
      <c r="AB22" s="191"/>
      <c r="AC22" s="191"/>
      <c r="AD22" s="190">
        <v>1</v>
      </c>
      <c r="AE22" s="191">
        <v>1</v>
      </c>
      <c r="AF22" s="191"/>
      <c r="AG22" s="191">
        <v>2</v>
      </c>
      <c r="AH22" s="210">
        <f t="shared" si="16"/>
        <v>4</v>
      </c>
      <c r="AI22" s="191"/>
      <c r="AJ22" s="191">
        <f t="shared" si="17"/>
        <v>0</v>
      </c>
      <c r="AK22" s="191">
        <f ca="1">IF(AI22&gt;=AJ22,INT($F22/5)+4-SUM(AB22:AG22),INT($F22/5)+4-(SUM(V22:AG22)-AI22))</f>
        <v>0</v>
      </c>
      <c r="AL22" s="196"/>
      <c r="AM22" s="211">
        <v>5</v>
      </c>
      <c r="AN22" s="211">
        <v>0</v>
      </c>
      <c r="AO22" s="211">
        <v>1</v>
      </c>
      <c r="AP22" s="211">
        <v>0</v>
      </c>
      <c r="AQ22" s="211">
        <v>3</v>
      </c>
      <c r="AR22" s="211">
        <v>0</v>
      </c>
      <c r="AS22" s="211">
        <v>2</v>
      </c>
      <c r="AT22" s="211"/>
      <c r="AU22" s="211">
        <v>1</v>
      </c>
      <c r="AV22" s="224"/>
      <c r="AW22" s="224"/>
      <c r="AX22" s="224"/>
      <c r="AY22" s="210">
        <f t="shared" si="18"/>
        <v>12</v>
      </c>
      <c r="AZ22" s="148">
        <f t="shared" ca="1" si="12"/>
        <v>0</v>
      </c>
    </row>
    <row r="23" spans="2:52">
      <c r="B23" s="159" t="s">
        <v>1098</v>
      </c>
      <c r="C23" s="160">
        <v>42479</v>
      </c>
      <c r="D23" s="160"/>
      <c r="E23" s="169"/>
      <c r="F23" s="162">
        <f t="shared" ca="1" si="13"/>
        <v>3</v>
      </c>
      <c r="G23" s="162">
        <f t="shared" ca="1" si="14"/>
        <v>5</v>
      </c>
      <c r="H23" s="162">
        <f t="shared" ca="1" si="15"/>
        <v>12</v>
      </c>
      <c r="I23" s="191"/>
      <c r="J23" s="191"/>
      <c r="K23" s="191"/>
      <c r="L23" s="191"/>
      <c r="M23" s="191"/>
      <c r="N23" s="191"/>
      <c r="O23" s="191"/>
      <c r="P23" s="191"/>
      <c r="Q23" s="191"/>
      <c r="R23" s="191"/>
      <c r="S23" s="191"/>
      <c r="T23" s="191"/>
      <c r="U23" s="195"/>
      <c r="V23" s="191"/>
      <c r="W23" s="191"/>
      <c r="X23" s="191"/>
      <c r="Y23" s="191"/>
      <c r="Z23" s="191"/>
      <c r="AA23" s="191"/>
      <c r="AB23" s="191"/>
      <c r="AC23" s="191"/>
      <c r="AD23" s="190">
        <v>1</v>
      </c>
      <c r="AE23" s="191"/>
      <c r="AF23" s="191"/>
      <c r="AG23" s="191"/>
      <c r="AH23" s="210">
        <f t="shared" si="16"/>
        <v>1</v>
      </c>
      <c r="AI23" s="191"/>
      <c r="AJ23" s="191">
        <f t="shared" si="17"/>
        <v>0</v>
      </c>
      <c r="AK23" s="191">
        <f ca="1">IF(AI23&gt;=AJ23,INT($F23/5)+6-SUM(AB23:AG23),INT($F23/5)+6-(SUM(V23:AG23)-AI23))</f>
        <v>5</v>
      </c>
      <c r="AL23" s="196"/>
      <c r="AM23" s="211">
        <v>1</v>
      </c>
      <c r="AN23" s="211">
        <v>2</v>
      </c>
      <c r="AO23" s="211">
        <v>2</v>
      </c>
      <c r="AP23" s="211">
        <v>0</v>
      </c>
      <c r="AQ23" s="211">
        <v>2</v>
      </c>
      <c r="AR23" s="211">
        <v>5</v>
      </c>
      <c r="AS23" s="211"/>
      <c r="AT23" s="211"/>
      <c r="AU23" s="211"/>
      <c r="AV23" s="211"/>
      <c r="AW23" s="211"/>
      <c r="AX23" s="211"/>
      <c r="AY23" s="210">
        <f t="shared" si="18"/>
        <v>12</v>
      </c>
      <c r="AZ23" s="148">
        <f t="shared" ca="1" si="12"/>
        <v>5</v>
      </c>
    </row>
    <row r="24" spans="2:52">
      <c r="B24" s="159" t="s">
        <v>1099</v>
      </c>
      <c r="C24" s="160">
        <v>42074</v>
      </c>
      <c r="D24" s="160"/>
      <c r="E24" s="169"/>
      <c r="F24" s="162">
        <f t="shared" ca="1" si="13"/>
        <v>4</v>
      </c>
      <c r="G24" s="162">
        <f t="shared" ca="1" si="14"/>
        <v>6</v>
      </c>
      <c r="H24" s="162">
        <f t="shared" ca="1" si="15"/>
        <v>20</v>
      </c>
      <c r="I24" s="192"/>
      <c r="J24" s="192"/>
      <c r="K24" s="191"/>
      <c r="L24" s="191"/>
      <c r="M24" s="191"/>
      <c r="N24" s="191"/>
      <c r="O24" s="191"/>
      <c r="P24" s="191"/>
      <c r="Q24" s="191"/>
      <c r="R24" s="191"/>
      <c r="S24" s="191"/>
      <c r="T24" s="191"/>
      <c r="U24" s="195"/>
      <c r="V24" s="191"/>
      <c r="W24" s="191"/>
      <c r="X24" s="191"/>
      <c r="Y24" s="191">
        <v>1</v>
      </c>
      <c r="Z24" s="191">
        <v>4</v>
      </c>
      <c r="AA24" s="191"/>
      <c r="AB24" s="191"/>
      <c r="AC24" s="191"/>
      <c r="AD24" s="190"/>
      <c r="AE24" s="192"/>
      <c r="AF24" s="192"/>
      <c r="AG24" s="192"/>
      <c r="AH24" s="216"/>
      <c r="AI24" s="192"/>
      <c r="AJ24" s="192"/>
      <c r="AK24" s="192"/>
      <c r="AL24" s="196"/>
      <c r="AM24" s="211"/>
      <c r="AN24" s="211"/>
      <c r="AO24" s="211"/>
      <c r="AP24" s="211"/>
      <c r="AQ24" s="211"/>
      <c r="AR24" s="211"/>
      <c r="AS24" s="211"/>
      <c r="AT24" s="211"/>
      <c r="AU24" s="211"/>
      <c r="AV24" s="211"/>
      <c r="AW24" s="211"/>
      <c r="AX24" s="211"/>
      <c r="AY24" s="210">
        <f t="shared" si="18"/>
        <v>0</v>
      </c>
      <c r="AZ24" s="148">
        <f t="shared" si="12"/>
        <v>12</v>
      </c>
    </row>
    <row r="25" spans="2:52">
      <c r="B25" s="159" t="s">
        <v>1100</v>
      </c>
      <c r="C25" s="160">
        <v>42646</v>
      </c>
      <c r="D25" s="160"/>
      <c r="E25" s="169"/>
      <c r="F25" s="162">
        <f t="shared" ca="1" si="13"/>
        <v>2</v>
      </c>
      <c r="G25" s="162">
        <f t="shared" ca="1" si="14"/>
        <v>11</v>
      </c>
      <c r="H25" s="162">
        <f t="shared" ca="1" si="15"/>
        <v>28</v>
      </c>
      <c r="I25" s="193"/>
      <c r="J25" s="193"/>
      <c r="K25" s="193"/>
      <c r="L25" s="193"/>
      <c r="M25" s="193"/>
      <c r="N25" s="193"/>
      <c r="O25" s="193"/>
      <c r="P25" s="193"/>
      <c r="Q25" s="193"/>
      <c r="R25" s="193"/>
      <c r="S25" s="193"/>
      <c r="T25" s="193"/>
      <c r="U25" s="198"/>
      <c r="V25" s="199"/>
      <c r="W25" s="199"/>
      <c r="X25" s="199"/>
      <c r="Y25" s="199"/>
      <c r="Z25" s="199"/>
      <c r="AA25" s="199"/>
      <c r="AB25" s="199"/>
      <c r="AC25" s="199"/>
      <c r="AD25" s="202"/>
      <c r="AE25" s="193"/>
      <c r="AF25" s="193"/>
      <c r="AG25" s="193"/>
      <c r="AH25" s="210">
        <f>SUM(V25:AG25)</f>
        <v>0</v>
      </c>
      <c r="AI25" s="191"/>
      <c r="AJ25" s="191"/>
      <c r="AK25" s="191"/>
      <c r="AL25" s="217"/>
      <c r="AM25" s="193"/>
      <c r="AN25" s="193"/>
      <c r="AO25" s="193"/>
      <c r="AP25" s="193"/>
      <c r="AQ25" s="193"/>
      <c r="AR25" s="193"/>
      <c r="AS25" s="193"/>
      <c r="AT25" s="193"/>
      <c r="AU25" s="193"/>
      <c r="AV25" s="193"/>
      <c r="AW25" s="193"/>
      <c r="AX25" s="193"/>
      <c r="AY25" s="210">
        <f t="shared" si="18"/>
        <v>0</v>
      </c>
      <c r="AZ25" s="148">
        <f t="shared" si="12"/>
        <v>12</v>
      </c>
    </row>
    <row r="26" spans="2:52">
      <c r="B26" s="159" t="s">
        <v>1101</v>
      </c>
      <c r="C26" s="160">
        <v>42795</v>
      </c>
      <c r="D26" s="160"/>
      <c r="E26" s="169"/>
      <c r="F26" s="162"/>
      <c r="G26" s="162"/>
      <c r="H26" s="162"/>
      <c r="I26" s="193"/>
      <c r="J26" s="193"/>
      <c r="K26" s="193"/>
      <c r="L26" s="193"/>
      <c r="M26" s="193"/>
      <c r="N26" s="193"/>
      <c r="O26" s="193"/>
      <c r="P26" s="193"/>
      <c r="Q26" s="193"/>
      <c r="R26" s="193"/>
      <c r="S26" s="193"/>
      <c r="T26" s="193"/>
      <c r="U26" s="198"/>
      <c r="V26" s="199"/>
      <c r="W26" s="199"/>
      <c r="X26" s="199"/>
      <c r="Y26" s="199"/>
      <c r="Z26" s="199"/>
      <c r="AA26" s="199"/>
      <c r="AB26" s="199"/>
      <c r="AC26" s="199"/>
      <c r="AD26" s="202"/>
      <c r="AE26" s="193"/>
      <c r="AF26" s="193"/>
      <c r="AG26" s="193"/>
      <c r="AH26" s="218"/>
      <c r="AI26" s="199"/>
      <c r="AJ26" s="199"/>
      <c r="AK26" s="199"/>
      <c r="AL26" s="217"/>
      <c r="AM26" s="193"/>
      <c r="AN26" s="193"/>
      <c r="AO26" s="193"/>
      <c r="AP26" s="193"/>
      <c r="AQ26" s="193"/>
      <c r="AR26" s="193">
        <v>2</v>
      </c>
      <c r="AS26" s="193"/>
      <c r="AT26" s="193">
        <v>1</v>
      </c>
      <c r="AU26" s="193">
        <v>1</v>
      </c>
      <c r="AV26" s="193">
        <v>1</v>
      </c>
      <c r="AW26" s="193">
        <v>3</v>
      </c>
      <c r="AX26" s="193"/>
      <c r="AY26" s="210">
        <f t="shared" si="18"/>
        <v>8</v>
      </c>
      <c r="AZ26" s="148">
        <f t="shared" si="12"/>
        <v>4</v>
      </c>
    </row>
    <row r="27" spans="2:52">
      <c r="B27" s="159" t="s">
        <v>1102</v>
      </c>
      <c r="C27" s="160">
        <v>42809</v>
      </c>
      <c r="D27" s="160"/>
      <c r="E27" s="169"/>
      <c r="F27" s="162"/>
      <c r="G27" s="162"/>
      <c r="H27" s="162"/>
      <c r="I27" s="193"/>
      <c r="J27" s="193"/>
      <c r="K27" s="193"/>
      <c r="L27" s="193"/>
      <c r="M27" s="193"/>
      <c r="N27" s="193"/>
      <c r="O27" s="193"/>
      <c r="P27" s="193"/>
      <c r="Q27" s="193"/>
      <c r="R27" s="193"/>
      <c r="S27" s="193"/>
      <c r="T27" s="193"/>
      <c r="U27" s="198"/>
      <c r="V27" s="199"/>
      <c r="W27" s="199"/>
      <c r="X27" s="199"/>
      <c r="Y27" s="199"/>
      <c r="Z27" s="199"/>
      <c r="AA27" s="199"/>
      <c r="AB27" s="199"/>
      <c r="AC27" s="199"/>
      <c r="AD27" s="202"/>
      <c r="AE27" s="193"/>
      <c r="AF27" s="193"/>
      <c r="AG27" s="193"/>
      <c r="AH27" s="218"/>
      <c r="AI27" s="199"/>
      <c r="AJ27" s="199"/>
      <c r="AK27" s="199"/>
      <c r="AL27" s="217"/>
      <c r="AM27" s="193"/>
      <c r="AN27" s="193"/>
      <c r="AO27" s="193"/>
      <c r="AP27" s="193"/>
      <c r="AQ27" s="193"/>
      <c r="AR27" s="193">
        <v>1</v>
      </c>
      <c r="AS27" s="193"/>
      <c r="AT27" s="193">
        <v>2</v>
      </c>
      <c r="AU27" s="193">
        <v>4</v>
      </c>
      <c r="AV27" s="193"/>
      <c r="AW27" s="193"/>
      <c r="AX27" s="193"/>
      <c r="AY27" s="210">
        <f t="shared" si="18"/>
        <v>7</v>
      </c>
      <c r="AZ27" s="148">
        <f t="shared" si="12"/>
        <v>5</v>
      </c>
    </row>
    <row r="28" spans="2:52" ht="14.25">
      <c r="B28" s="166" t="s">
        <v>323</v>
      </c>
      <c r="C28" s="167"/>
      <c r="D28" s="167"/>
      <c r="E28" s="168"/>
      <c r="F28" s="167"/>
      <c r="G28" s="167"/>
      <c r="H28" s="167"/>
      <c r="I28" s="167"/>
      <c r="J28" s="167"/>
      <c r="K28" s="167"/>
      <c r="L28" s="167"/>
      <c r="M28" s="167"/>
      <c r="N28" s="167"/>
      <c r="O28" s="167"/>
      <c r="P28" s="167"/>
      <c r="Q28" s="167"/>
      <c r="R28" s="167"/>
      <c r="S28" s="167"/>
      <c r="T28" s="167"/>
      <c r="U28" s="197"/>
      <c r="V28" s="167"/>
      <c r="W28" s="167"/>
      <c r="X28" s="167"/>
      <c r="Y28" s="167"/>
      <c r="Z28" s="167"/>
      <c r="AA28" s="167"/>
      <c r="AB28" s="167"/>
      <c r="AC28" s="167"/>
      <c r="AD28" s="201"/>
      <c r="AE28" s="167"/>
      <c r="AF28" s="167"/>
      <c r="AG28" s="167"/>
      <c r="AH28" s="212"/>
      <c r="AI28" s="167"/>
      <c r="AJ28" s="167"/>
      <c r="AK28" s="167"/>
      <c r="AL28" s="213"/>
      <c r="AM28" s="214"/>
      <c r="AN28" s="214"/>
      <c r="AO28" s="214"/>
      <c r="AP28" s="214"/>
      <c r="AQ28" s="214"/>
      <c r="AR28" s="214"/>
      <c r="AS28" s="214"/>
      <c r="AT28" s="214"/>
      <c r="AU28" s="214"/>
      <c r="AV28" s="214"/>
      <c r="AW28" s="214"/>
      <c r="AX28" s="214"/>
      <c r="AY28" s="212"/>
      <c r="AZ28" s="148">
        <f t="shared" si="12"/>
        <v>12</v>
      </c>
    </row>
    <row r="29" spans="2:52">
      <c r="B29" s="159" t="s">
        <v>1026</v>
      </c>
      <c r="C29" s="160">
        <v>39471</v>
      </c>
      <c r="D29" s="160"/>
      <c r="E29" s="169" t="s">
        <v>1103</v>
      </c>
      <c r="F29" s="162">
        <f t="shared" ref="F29:F34" ca="1" si="19">DATEDIF(C29,TODAY(),"Y")</f>
        <v>11</v>
      </c>
      <c r="G29" s="162">
        <f t="shared" ref="G29:G34" ca="1" si="20">DATEDIF(C29,TODAY(),"YM")</f>
        <v>8</v>
      </c>
      <c r="H29" s="162">
        <f t="shared" ref="H29:H34" ca="1" si="21">DATEDIF(C29,TODAY(),"MD")</f>
        <v>7</v>
      </c>
      <c r="I29" s="191"/>
      <c r="J29" s="191"/>
      <c r="K29" s="191"/>
      <c r="L29" s="191"/>
      <c r="M29" s="191"/>
      <c r="N29" s="191"/>
      <c r="O29" s="191"/>
      <c r="P29" s="191"/>
      <c r="Q29" s="191"/>
      <c r="R29" s="191"/>
      <c r="S29" s="191"/>
      <c r="T29" s="191"/>
      <c r="U29" s="195"/>
      <c r="V29" s="191"/>
      <c r="W29" s="191"/>
      <c r="X29" s="191"/>
      <c r="Y29" s="191"/>
      <c r="Z29" s="191"/>
      <c r="AA29" s="191"/>
      <c r="AB29" s="191"/>
      <c r="AC29" s="191"/>
      <c r="AD29" s="190"/>
      <c r="AE29" s="191"/>
      <c r="AF29" s="191"/>
      <c r="AG29" s="191"/>
      <c r="AH29" s="210">
        <f t="shared" ref="AH29:AH34" si="22">SUM(V29:AG29)</f>
        <v>0</v>
      </c>
      <c r="AI29" s="191"/>
      <c r="AJ29" s="191">
        <f t="shared" ref="AJ29:AJ34" si="23">SUM(V29:AA29)</f>
        <v>0</v>
      </c>
      <c r="AK29" s="191">
        <f ca="1">IF(AI29&gt;=AJ29,INT($F29/5)+$A$1-SUM(AB29:AG29),INT($F29/5)+$A$1-(SUM(V29:AG29)-AI29))</f>
        <v>14</v>
      </c>
      <c r="AL29" s="196"/>
      <c r="AM29" s="211"/>
      <c r="AN29" s="211"/>
      <c r="AO29" s="211"/>
      <c r="AP29" s="211"/>
      <c r="AQ29" s="211"/>
      <c r="AR29" s="211"/>
      <c r="AS29" s="211">
        <v>4</v>
      </c>
      <c r="AT29" s="211"/>
      <c r="AU29" s="211"/>
      <c r="AV29" s="211"/>
      <c r="AW29" s="211"/>
      <c r="AX29" s="211"/>
      <c r="AY29" s="210">
        <f t="shared" ref="AY29:AY34" si="24">SUM(AM29:AX29)</f>
        <v>4</v>
      </c>
      <c r="AZ29" s="148">
        <f t="shared" ca="1" si="12"/>
        <v>22</v>
      </c>
    </row>
    <row r="30" spans="2:52">
      <c r="B30" s="159" t="s">
        <v>1104</v>
      </c>
      <c r="C30" s="160">
        <v>42338</v>
      </c>
      <c r="D30" s="160"/>
      <c r="E30" s="169">
        <v>42614</v>
      </c>
      <c r="F30" s="162">
        <f t="shared" ca="1" si="19"/>
        <v>3</v>
      </c>
      <c r="G30" s="162">
        <f t="shared" ca="1" si="20"/>
        <v>10</v>
      </c>
      <c r="H30" s="162">
        <f t="shared" ca="1" si="21"/>
        <v>1</v>
      </c>
      <c r="I30" s="191"/>
      <c r="J30" s="191"/>
      <c r="K30" s="191"/>
      <c r="L30" s="191"/>
      <c r="M30" s="191"/>
      <c r="N30" s="191"/>
      <c r="O30" s="191"/>
      <c r="P30" s="191"/>
      <c r="Q30" s="191"/>
      <c r="R30" s="191"/>
      <c r="S30" s="191"/>
      <c r="T30" s="191"/>
      <c r="U30" s="195"/>
      <c r="V30" s="191"/>
      <c r="W30" s="191"/>
      <c r="X30" s="191"/>
      <c r="Y30" s="191"/>
      <c r="Z30" s="191"/>
      <c r="AA30" s="191"/>
      <c r="AB30" s="191"/>
      <c r="AC30" s="191"/>
      <c r="AD30" s="190"/>
      <c r="AE30" s="191"/>
      <c r="AF30" s="191"/>
      <c r="AG30" s="191"/>
      <c r="AH30" s="210">
        <f t="shared" si="22"/>
        <v>0</v>
      </c>
      <c r="AI30" s="191"/>
      <c r="AJ30" s="191">
        <f t="shared" si="23"/>
        <v>0</v>
      </c>
      <c r="AK30" s="191">
        <f ca="1">IF(AI30&gt;=AJ30,INT($F30/5)+$A$1-SUM(AB30:AG30),INT($F30/5)+$A$1-(SUM(V30:AG30)-AI30))</f>
        <v>12</v>
      </c>
      <c r="AL30" s="196"/>
      <c r="AM30" s="211"/>
      <c r="AN30" s="211"/>
      <c r="AO30" s="211"/>
      <c r="AP30" s="211"/>
      <c r="AQ30" s="211">
        <v>3</v>
      </c>
      <c r="AR30" s="211">
        <v>2</v>
      </c>
      <c r="AS30" s="211">
        <v>6</v>
      </c>
      <c r="AT30" s="211"/>
      <c r="AU30" s="211"/>
      <c r="AV30" s="211"/>
      <c r="AW30" s="211"/>
      <c r="AX30" s="211"/>
      <c r="AY30" s="210">
        <f t="shared" si="24"/>
        <v>11</v>
      </c>
      <c r="AZ30" s="148">
        <f t="shared" ca="1" si="12"/>
        <v>13</v>
      </c>
    </row>
    <row r="31" spans="2:52">
      <c r="B31" s="159" t="s">
        <v>1105</v>
      </c>
      <c r="C31" s="160">
        <v>42339</v>
      </c>
      <c r="D31" s="160"/>
      <c r="E31" s="169">
        <v>42614</v>
      </c>
      <c r="F31" s="162">
        <f t="shared" ca="1" si="19"/>
        <v>3</v>
      </c>
      <c r="G31" s="162">
        <f t="shared" ca="1" si="20"/>
        <v>10</v>
      </c>
      <c r="H31" s="162">
        <f t="shared" ca="1" si="21"/>
        <v>0</v>
      </c>
      <c r="I31" s="191"/>
      <c r="J31" s="191"/>
      <c r="K31" s="191"/>
      <c r="L31" s="191"/>
      <c r="M31" s="191"/>
      <c r="N31" s="191"/>
      <c r="O31" s="191"/>
      <c r="P31" s="191"/>
      <c r="Q31" s="191"/>
      <c r="R31" s="191"/>
      <c r="S31" s="191"/>
      <c r="T31" s="191"/>
      <c r="U31" s="195"/>
      <c r="V31" s="191"/>
      <c r="W31" s="191"/>
      <c r="X31" s="191"/>
      <c r="Y31" s="191"/>
      <c r="Z31" s="191"/>
      <c r="AA31" s="191"/>
      <c r="AB31" s="191"/>
      <c r="AC31" s="191"/>
      <c r="AD31" s="190"/>
      <c r="AE31" s="191"/>
      <c r="AF31" s="191"/>
      <c r="AG31" s="191"/>
      <c r="AH31" s="210">
        <f t="shared" si="22"/>
        <v>0</v>
      </c>
      <c r="AI31" s="191"/>
      <c r="AJ31" s="191">
        <f t="shared" si="23"/>
        <v>0</v>
      </c>
      <c r="AK31" s="191">
        <f ca="1">IF(AI31&gt;=AJ31,INT($F31/5)+$A$1-SUM(AB31:AG31),INT($F31/5)+$A$1-(SUM(V31:AG31)-AI31))</f>
        <v>12</v>
      </c>
      <c r="AL31" s="196"/>
      <c r="AM31" s="211"/>
      <c r="AN31" s="211"/>
      <c r="AO31" s="211">
        <v>1</v>
      </c>
      <c r="AP31" s="211"/>
      <c r="AQ31" s="211"/>
      <c r="AR31" s="211"/>
      <c r="AS31" s="211">
        <v>4</v>
      </c>
      <c r="AT31" s="211"/>
      <c r="AU31" s="211">
        <v>2</v>
      </c>
      <c r="AV31" s="211"/>
      <c r="AW31" s="211"/>
      <c r="AX31" s="211"/>
      <c r="AY31" s="210">
        <f t="shared" si="24"/>
        <v>7</v>
      </c>
      <c r="AZ31" s="148">
        <f t="shared" ca="1" si="12"/>
        <v>17</v>
      </c>
    </row>
    <row r="32" spans="2:52">
      <c r="B32" s="159" t="s">
        <v>1106</v>
      </c>
      <c r="C32" s="160">
        <v>42475</v>
      </c>
      <c r="D32" s="160"/>
      <c r="E32" s="169"/>
      <c r="F32" s="162">
        <f t="shared" ca="1" si="19"/>
        <v>3</v>
      </c>
      <c r="G32" s="162">
        <f t="shared" ca="1" si="20"/>
        <v>5</v>
      </c>
      <c r="H32" s="162">
        <f t="shared" ca="1" si="21"/>
        <v>16</v>
      </c>
      <c r="I32" s="191"/>
      <c r="J32" s="191"/>
      <c r="K32" s="191"/>
      <c r="L32" s="191"/>
      <c r="M32" s="191"/>
      <c r="N32" s="191"/>
      <c r="O32" s="191"/>
      <c r="P32" s="191"/>
      <c r="Q32" s="191"/>
      <c r="R32" s="191"/>
      <c r="S32" s="191"/>
      <c r="T32" s="191"/>
      <c r="U32" s="195"/>
      <c r="V32" s="191"/>
      <c r="W32" s="191"/>
      <c r="X32" s="191"/>
      <c r="Y32" s="191"/>
      <c r="Z32" s="191"/>
      <c r="AA32" s="191"/>
      <c r="AB32" s="191"/>
      <c r="AC32" s="191"/>
      <c r="AD32" s="190">
        <v>1</v>
      </c>
      <c r="AE32" s="191"/>
      <c r="AF32" s="191"/>
      <c r="AG32" s="191"/>
      <c r="AH32" s="210">
        <f t="shared" si="22"/>
        <v>1</v>
      </c>
      <c r="AI32" s="191"/>
      <c r="AJ32" s="191">
        <f t="shared" si="23"/>
        <v>0</v>
      </c>
      <c r="AK32" s="191">
        <f ca="1">IF(AI32&gt;=AJ32,INT($F32/5)+6-SUM(AB32:AG32),INT($F32/5)+6-(SUM(V32:AG32)-AI32))</f>
        <v>5</v>
      </c>
      <c r="AL32" s="196"/>
      <c r="AM32" s="211"/>
      <c r="AN32" s="211"/>
      <c r="AO32" s="211"/>
      <c r="AP32" s="211"/>
      <c r="AQ32" s="211"/>
      <c r="AR32" s="211">
        <v>8</v>
      </c>
      <c r="AS32" s="211"/>
      <c r="AT32" s="211"/>
      <c r="AU32" s="211"/>
      <c r="AV32" s="211"/>
      <c r="AW32" s="211"/>
      <c r="AX32" s="211"/>
      <c r="AY32" s="210">
        <f t="shared" si="24"/>
        <v>8</v>
      </c>
      <c r="AZ32" s="148">
        <f t="shared" ca="1" si="12"/>
        <v>9</v>
      </c>
    </row>
    <row r="33" spans="2:52">
      <c r="B33" s="159" t="s">
        <v>1107</v>
      </c>
      <c r="C33" s="170">
        <v>42485</v>
      </c>
      <c r="D33" s="170"/>
      <c r="E33" s="174"/>
      <c r="F33" s="162">
        <f t="shared" ca="1" si="19"/>
        <v>3</v>
      </c>
      <c r="G33" s="162">
        <f t="shared" ca="1" si="20"/>
        <v>5</v>
      </c>
      <c r="H33" s="162">
        <f t="shared" ca="1" si="21"/>
        <v>6</v>
      </c>
      <c r="I33" s="191"/>
      <c r="J33" s="191"/>
      <c r="K33" s="191"/>
      <c r="L33" s="191"/>
      <c r="M33" s="191"/>
      <c r="N33" s="191"/>
      <c r="O33" s="191"/>
      <c r="P33" s="191"/>
      <c r="Q33" s="191"/>
      <c r="R33" s="191"/>
      <c r="S33" s="191"/>
      <c r="T33" s="191"/>
      <c r="U33" s="195"/>
      <c r="V33" s="191"/>
      <c r="W33" s="191"/>
      <c r="X33" s="191"/>
      <c r="Y33" s="191"/>
      <c r="Z33" s="191"/>
      <c r="AA33" s="191"/>
      <c r="AB33" s="191"/>
      <c r="AC33" s="191"/>
      <c r="AD33" s="190"/>
      <c r="AE33" s="191"/>
      <c r="AF33" s="191"/>
      <c r="AG33" s="191"/>
      <c r="AH33" s="210">
        <f t="shared" si="22"/>
        <v>0</v>
      </c>
      <c r="AI33" s="191"/>
      <c r="AJ33" s="191">
        <f t="shared" si="23"/>
        <v>0</v>
      </c>
      <c r="AK33" s="191">
        <f ca="1">IF(AI33&gt;=AJ33,INT($F33/5)+6-SUM(AB33:AG33),INT($F33/5)+6-(SUM(V33:AG33)-AI33))</f>
        <v>6</v>
      </c>
      <c r="AL33" s="196"/>
      <c r="AM33" s="211"/>
      <c r="AN33" s="211"/>
      <c r="AO33" s="211"/>
      <c r="AP33" s="211"/>
      <c r="AQ33" s="211"/>
      <c r="AR33" s="211"/>
      <c r="AS33" s="211">
        <v>4</v>
      </c>
      <c r="AT33" s="211"/>
      <c r="AU33" s="211"/>
      <c r="AV33" s="211"/>
      <c r="AW33" s="211"/>
      <c r="AX33" s="211"/>
      <c r="AY33" s="210">
        <f t="shared" si="24"/>
        <v>4</v>
      </c>
      <c r="AZ33" s="148">
        <f t="shared" ca="1" si="12"/>
        <v>14</v>
      </c>
    </row>
    <row r="34" spans="2:52">
      <c r="B34" s="159" t="s">
        <v>1108</v>
      </c>
      <c r="C34" s="160">
        <v>42542</v>
      </c>
      <c r="D34" s="160"/>
      <c r="E34" s="169"/>
      <c r="F34" s="162">
        <f t="shared" ca="1" si="19"/>
        <v>3</v>
      </c>
      <c r="G34" s="162">
        <f t="shared" ca="1" si="20"/>
        <v>3</v>
      </c>
      <c r="H34" s="162">
        <f t="shared" ca="1" si="21"/>
        <v>10</v>
      </c>
      <c r="I34" s="191"/>
      <c r="J34" s="191"/>
      <c r="K34" s="191"/>
      <c r="L34" s="191"/>
      <c r="M34" s="191"/>
      <c r="N34" s="191"/>
      <c r="O34" s="191"/>
      <c r="P34" s="191"/>
      <c r="Q34" s="191"/>
      <c r="R34" s="191"/>
      <c r="S34" s="191"/>
      <c r="T34" s="191"/>
      <c r="U34" s="195"/>
      <c r="V34" s="191"/>
      <c r="W34" s="191"/>
      <c r="X34" s="191"/>
      <c r="Y34" s="191"/>
      <c r="Z34" s="191"/>
      <c r="AA34" s="191"/>
      <c r="AB34" s="191"/>
      <c r="AC34" s="191"/>
      <c r="AD34" s="190"/>
      <c r="AE34" s="191"/>
      <c r="AF34" s="191"/>
      <c r="AG34" s="191"/>
      <c r="AH34" s="210">
        <f t="shared" si="22"/>
        <v>0</v>
      </c>
      <c r="AI34" s="191"/>
      <c r="AJ34" s="191">
        <f t="shared" si="23"/>
        <v>0</v>
      </c>
      <c r="AK34" s="191">
        <f ca="1">IF(AI34&gt;=AJ34,INT($F34/5)+4-SUM(AB34:AG34),INT($F34/5)+4-(SUM(V34:AG34)-AI34))</f>
        <v>4</v>
      </c>
      <c r="AL34" s="196"/>
      <c r="AM34" s="211"/>
      <c r="AN34" s="211"/>
      <c r="AO34" s="211">
        <v>3</v>
      </c>
      <c r="AP34" s="211"/>
      <c r="AQ34" s="211"/>
      <c r="AR34" s="211"/>
      <c r="AS34" s="211">
        <v>4</v>
      </c>
      <c r="AT34" s="211"/>
      <c r="AU34" s="211"/>
      <c r="AV34" s="211"/>
      <c r="AW34" s="211"/>
      <c r="AX34" s="211"/>
      <c r="AY34" s="210">
        <f t="shared" si="24"/>
        <v>7</v>
      </c>
      <c r="AZ34" s="148">
        <f t="shared" ca="1" si="12"/>
        <v>9</v>
      </c>
    </row>
    <row r="35" spans="2:52" ht="14.25">
      <c r="B35" s="166" t="s">
        <v>1109</v>
      </c>
      <c r="C35" s="167"/>
      <c r="D35" s="167"/>
      <c r="E35" s="168"/>
      <c r="F35" s="167"/>
      <c r="G35" s="167"/>
      <c r="H35" s="167"/>
      <c r="I35" s="167"/>
      <c r="J35" s="167"/>
      <c r="K35" s="167"/>
      <c r="L35" s="167"/>
      <c r="M35" s="167"/>
      <c r="N35" s="167"/>
      <c r="O35" s="167"/>
      <c r="P35" s="167"/>
      <c r="Q35" s="167"/>
      <c r="R35" s="167"/>
      <c r="S35" s="167"/>
      <c r="T35" s="167"/>
      <c r="U35" s="197"/>
      <c r="V35" s="167"/>
      <c r="W35" s="167"/>
      <c r="X35" s="167"/>
      <c r="Y35" s="167"/>
      <c r="Z35" s="167"/>
      <c r="AA35" s="167"/>
      <c r="AB35" s="167"/>
      <c r="AC35" s="167"/>
      <c r="AD35" s="201"/>
      <c r="AE35" s="167"/>
      <c r="AF35" s="167"/>
      <c r="AG35" s="167"/>
      <c r="AH35" s="212"/>
      <c r="AI35" s="167"/>
      <c r="AJ35" s="167"/>
      <c r="AK35" s="167"/>
      <c r="AL35" s="213"/>
      <c r="AM35" s="214"/>
      <c r="AN35" s="214"/>
      <c r="AO35" s="214"/>
      <c r="AP35" s="214"/>
      <c r="AQ35" s="214"/>
      <c r="AR35" s="214"/>
      <c r="AS35" s="214"/>
      <c r="AT35" s="214"/>
      <c r="AU35" s="214"/>
      <c r="AV35" s="214"/>
      <c r="AW35" s="214"/>
      <c r="AX35" s="214"/>
      <c r="AY35" s="212"/>
      <c r="AZ35" s="148">
        <f t="shared" si="12"/>
        <v>12</v>
      </c>
    </row>
    <row r="36" spans="2:52">
      <c r="B36" s="159" t="s">
        <v>1028</v>
      </c>
      <c r="C36" s="160">
        <v>39083</v>
      </c>
      <c r="D36" s="161"/>
      <c r="E36" s="1248" t="s">
        <v>1083</v>
      </c>
      <c r="F36" s="162">
        <f t="shared" ref="F36:F40" ca="1" si="25">DATEDIF(C36,TODAY(),"Y")</f>
        <v>12</v>
      </c>
      <c r="G36" s="162">
        <f t="shared" ref="G36:G40" ca="1" si="26">DATEDIF(C36,TODAY(),"YM")</f>
        <v>9</v>
      </c>
      <c r="H36" s="162">
        <f t="shared" ref="H36:H40" ca="1" si="27">DATEDIF(C36,TODAY(),"MD")</f>
        <v>0</v>
      </c>
      <c r="I36" s="191"/>
      <c r="J36" s="191"/>
      <c r="K36" s="191"/>
      <c r="L36" s="191"/>
      <c r="M36" s="191"/>
      <c r="N36" s="191"/>
      <c r="O36" s="191"/>
      <c r="P36" s="191"/>
      <c r="Q36" s="191"/>
      <c r="R36" s="191"/>
      <c r="S36" s="191"/>
      <c r="T36" s="191"/>
      <c r="U36" s="195"/>
      <c r="V36" s="191"/>
      <c r="W36" s="191"/>
      <c r="X36" s="191"/>
      <c r="Y36" s="191"/>
      <c r="Z36" s="191"/>
      <c r="AA36" s="191"/>
      <c r="AB36" s="191"/>
      <c r="AC36" s="191"/>
      <c r="AD36" s="190">
        <v>1</v>
      </c>
      <c r="AE36" s="191"/>
      <c r="AF36" s="191"/>
      <c r="AG36" s="191">
        <v>1</v>
      </c>
      <c r="AH36" s="210">
        <f t="shared" ref="AH36:AH40" si="28">SUM(V36:AG36)</f>
        <v>2</v>
      </c>
      <c r="AI36" s="191"/>
      <c r="AJ36" s="191">
        <f t="shared" ref="AJ36:AJ40" si="29">SUM(V36:AA36)</f>
        <v>0</v>
      </c>
      <c r="AK36" s="191">
        <f ca="1">IF(AI36&gt;=AJ36,INT($F36/5)+$A$1-SUM(AB36:AG36),INT($F36/5)+$A$1-(SUM(V36:AG36)-AI36))</f>
        <v>12</v>
      </c>
      <c r="AL36" s="196"/>
      <c r="AM36" s="211"/>
      <c r="AN36" s="211"/>
      <c r="AO36" s="211"/>
      <c r="AP36" s="211"/>
      <c r="AQ36" s="211"/>
      <c r="AR36" s="211"/>
      <c r="AS36" s="211"/>
      <c r="AT36" s="211">
        <v>4</v>
      </c>
      <c r="AU36" s="211">
        <v>1</v>
      </c>
      <c r="AV36" s="211">
        <v>2</v>
      </c>
      <c r="AW36" s="211"/>
      <c r="AX36" s="211"/>
      <c r="AY36" s="210">
        <f t="shared" ref="AY36:AY48" si="30">SUM(AM36:AX36)</f>
        <v>7</v>
      </c>
      <c r="AZ36" s="148">
        <f t="shared" ca="1" si="12"/>
        <v>17</v>
      </c>
    </row>
    <row r="37" spans="2:52">
      <c r="B37" s="159" t="s">
        <v>1110</v>
      </c>
      <c r="C37" s="160">
        <v>42513</v>
      </c>
      <c r="D37" s="160"/>
      <c r="E37" s="169">
        <v>42583</v>
      </c>
      <c r="F37" s="162">
        <f t="shared" ca="1" si="25"/>
        <v>3</v>
      </c>
      <c r="G37" s="162">
        <f t="shared" ca="1" si="26"/>
        <v>4</v>
      </c>
      <c r="H37" s="162">
        <f t="shared" ca="1" si="27"/>
        <v>8</v>
      </c>
      <c r="I37" s="191"/>
      <c r="J37" s="191"/>
      <c r="K37" s="191"/>
      <c r="L37" s="191"/>
      <c r="M37" s="191"/>
      <c r="N37" s="191"/>
      <c r="O37" s="191"/>
      <c r="P37" s="191"/>
      <c r="Q37" s="191"/>
      <c r="R37" s="191"/>
      <c r="S37" s="191"/>
      <c r="T37" s="191"/>
      <c r="U37" s="195"/>
      <c r="V37" s="191"/>
      <c r="W37" s="191"/>
      <c r="X37" s="191"/>
      <c r="Y37" s="191"/>
      <c r="Z37" s="191"/>
      <c r="AA37" s="191"/>
      <c r="AB37" s="191"/>
      <c r="AC37" s="191"/>
      <c r="AD37" s="190">
        <v>1</v>
      </c>
      <c r="AE37" s="191">
        <v>2</v>
      </c>
      <c r="AF37" s="191"/>
      <c r="AG37" s="191"/>
      <c r="AH37" s="210">
        <f t="shared" si="28"/>
        <v>3</v>
      </c>
      <c r="AI37" s="191"/>
      <c r="AJ37" s="191">
        <f t="shared" si="29"/>
        <v>0</v>
      </c>
      <c r="AK37" s="191">
        <f ca="1">IF(AI37&gt;=AJ37,INT($F37/5)+$A$1-SUM(AB37:AG37),INT($F37/5)+$A$1-(SUM(V37:AG37)-AI37))</f>
        <v>9</v>
      </c>
      <c r="AL37" s="196"/>
      <c r="AM37" s="211">
        <v>4</v>
      </c>
      <c r="AN37" s="211"/>
      <c r="AO37" s="211">
        <v>3</v>
      </c>
      <c r="AP37" s="211"/>
      <c r="AQ37" s="211"/>
      <c r="AR37" s="211"/>
      <c r="AS37" s="211">
        <v>1</v>
      </c>
      <c r="AT37" s="211">
        <v>4</v>
      </c>
      <c r="AU37" s="211"/>
      <c r="AV37" s="211"/>
      <c r="AW37" s="211">
        <v>3</v>
      </c>
      <c r="AX37" s="211"/>
      <c r="AY37" s="210">
        <f t="shared" si="30"/>
        <v>15</v>
      </c>
      <c r="AZ37" s="148">
        <f t="shared" ca="1" si="12"/>
        <v>6</v>
      </c>
    </row>
    <row r="38" spans="2:52">
      <c r="B38" s="159" t="s">
        <v>1111</v>
      </c>
      <c r="C38" s="160">
        <v>42464</v>
      </c>
      <c r="D38" s="160"/>
      <c r="E38" s="169"/>
      <c r="F38" s="162">
        <f t="shared" ca="1" si="25"/>
        <v>3</v>
      </c>
      <c r="G38" s="162">
        <f t="shared" ca="1" si="26"/>
        <v>5</v>
      </c>
      <c r="H38" s="162">
        <f t="shared" ca="1" si="27"/>
        <v>27</v>
      </c>
      <c r="I38" s="191"/>
      <c r="J38" s="191"/>
      <c r="K38" s="191"/>
      <c r="L38" s="191"/>
      <c r="M38" s="191"/>
      <c r="N38" s="191"/>
      <c r="O38" s="191"/>
      <c r="P38" s="191"/>
      <c r="Q38" s="191"/>
      <c r="R38" s="191"/>
      <c r="S38" s="191"/>
      <c r="T38" s="191"/>
      <c r="U38" s="195"/>
      <c r="V38" s="191"/>
      <c r="W38" s="191"/>
      <c r="X38" s="191"/>
      <c r="Y38" s="191"/>
      <c r="Z38" s="191"/>
      <c r="AA38" s="191"/>
      <c r="AB38" s="191"/>
      <c r="AC38" s="191"/>
      <c r="AD38" s="190">
        <v>1</v>
      </c>
      <c r="AE38" s="191"/>
      <c r="AF38" s="191"/>
      <c r="AG38" s="191"/>
      <c r="AH38" s="210">
        <f t="shared" si="28"/>
        <v>1</v>
      </c>
      <c r="AI38" s="191"/>
      <c r="AJ38" s="191">
        <f t="shared" si="29"/>
        <v>0</v>
      </c>
      <c r="AK38" s="191">
        <f ca="1">IF(AI38&gt;=AJ38,INT($F38/5)+7-SUM(AB38:AG38),INT($F38/5)+7-(SUM(V38:AG38)-AI38))</f>
        <v>6</v>
      </c>
      <c r="AL38" s="196"/>
      <c r="AM38" s="211"/>
      <c r="AN38" s="211"/>
      <c r="AO38" s="211"/>
      <c r="AP38" s="211"/>
      <c r="AQ38" s="211"/>
      <c r="AR38" s="211"/>
      <c r="AS38" s="211"/>
      <c r="AT38" s="211"/>
      <c r="AU38" s="211"/>
      <c r="AV38" s="211"/>
      <c r="AW38" s="211"/>
      <c r="AX38" s="211"/>
      <c r="AY38" s="210">
        <f t="shared" si="30"/>
        <v>0</v>
      </c>
      <c r="AZ38" s="148">
        <f t="shared" ca="1" si="12"/>
        <v>18</v>
      </c>
    </row>
    <row r="39" spans="2:52">
      <c r="B39" s="159" t="s">
        <v>1112</v>
      </c>
      <c r="C39" s="160">
        <v>42569</v>
      </c>
      <c r="D39" s="160"/>
      <c r="E39" s="169"/>
      <c r="F39" s="162">
        <f t="shared" ca="1" si="25"/>
        <v>3</v>
      </c>
      <c r="G39" s="162">
        <f t="shared" ca="1" si="26"/>
        <v>2</v>
      </c>
      <c r="H39" s="162">
        <f t="shared" ca="1" si="27"/>
        <v>13</v>
      </c>
      <c r="I39" s="191"/>
      <c r="J39" s="191"/>
      <c r="K39" s="191"/>
      <c r="L39" s="191"/>
      <c r="M39" s="191"/>
      <c r="N39" s="191"/>
      <c r="O39" s="191"/>
      <c r="P39" s="191"/>
      <c r="Q39" s="191"/>
      <c r="R39" s="191"/>
      <c r="S39" s="191"/>
      <c r="T39" s="191"/>
      <c r="U39" s="195"/>
      <c r="V39" s="191"/>
      <c r="W39" s="191"/>
      <c r="X39" s="191"/>
      <c r="Y39" s="191"/>
      <c r="Z39" s="191"/>
      <c r="AA39" s="191"/>
      <c r="AB39" s="191"/>
      <c r="AC39" s="191"/>
      <c r="AD39" s="190"/>
      <c r="AE39" s="191"/>
      <c r="AF39" s="191"/>
      <c r="AG39" s="191"/>
      <c r="AH39" s="210">
        <f t="shared" si="28"/>
        <v>0</v>
      </c>
      <c r="AI39" s="191"/>
      <c r="AJ39" s="191">
        <f t="shared" si="29"/>
        <v>0</v>
      </c>
      <c r="AK39" s="191">
        <f ca="1">IF(AI39&gt;=AJ39,INT($F39/5)+3-SUM(AB39:AG39),INT($F39/5)+3-(SUM(V39:AG39)-AI39))</f>
        <v>3</v>
      </c>
      <c r="AL39" s="196"/>
      <c r="AM39" s="211"/>
      <c r="AN39" s="211"/>
      <c r="AO39" s="211"/>
      <c r="AP39" s="211"/>
      <c r="AQ39" s="211">
        <v>3</v>
      </c>
      <c r="AR39" s="211">
        <v>3</v>
      </c>
      <c r="AS39" s="211">
        <v>3</v>
      </c>
      <c r="AT39" s="211">
        <v>3</v>
      </c>
      <c r="AU39" s="211"/>
      <c r="AV39" s="211"/>
      <c r="AW39" s="211"/>
      <c r="AX39" s="211"/>
      <c r="AY39" s="210">
        <f t="shared" si="30"/>
        <v>12</v>
      </c>
      <c r="AZ39" s="148">
        <f t="shared" ca="1" si="12"/>
        <v>3</v>
      </c>
    </row>
    <row r="40" spans="2:52">
      <c r="B40" s="159" t="s">
        <v>1113</v>
      </c>
      <c r="C40" s="160">
        <v>42591</v>
      </c>
      <c r="D40" s="160"/>
      <c r="E40" s="169"/>
      <c r="F40" s="162">
        <f t="shared" ca="1" si="25"/>
        <v>3</v>
      </c>
      <c r="G40" s="162">
        <f t="shared" ca="1" si="26"/>
        <v>1</v>
      </c>
      <c r="H40" s="162">
        <f t="shared" ca="1" si="27"/>
        <v>22</v>
      </c>
      <c r="I40" s="191"/>
      <c r="J40" s="191"/>
      <c r="K40" s="191"/>
      <c r="L40" s="191"/>
      <c r="M40" s="191"/>
      <c r="N40" s="191"/>
      <c r="O40" s="191"/>
      <c r="P40" s="191"/>
      <c r="Q40" s="191"/>
      <c r="R40" s="191"/>
      <c r="S40" s="191"/>
      <c r="T40" s="191"/>
      <c r="U40" s="195"/>
      <c r="V40" s="191"/>
      <c r="W40" s="191"/>
      <c r="X40" s="191"/>
      <c r="Y40" s="191"/>
      <c r="Z40" s="191"/>
      <c r="AA40" s="191"/>
      <c r="AB40" s="191"/>
      <c r="AC40" s="191"/>
      <c r="AD40" s="190"/>
      <c r="AE40" s="191"/>
      <c r="AF40" s="191"/>
      <c r="AG40" s="191"/>
      <c r="AH40" s="210">
        <f t="shared" si="28"/>
        <v>0</v>
      </c>
      <c r="AI40" s="191"/>
      <c r="AJ40" s="191">
        <f t="shared" si="29"/>
        <v>0</v>
      </c>
      <c r="AK40" s="191">
        <f ca="1">IF(AI40&gt;=AJ40,INT($F40/5)+3-SUM(AB40:AG40),INT($F40/5)+3-(SUM(V40:AG40)-AI40))</f>
        <v>3</v>
      </c>
      <c r="AL40" s="196"/>
      <c r="AM40" s="211">
        <v>1</v>
      </c>
      <c r="AN40" s="211"/>
      <c r="AO40" s="211"/>
      <c r="AP40" s="211"/>
      <c r="AQ40" s="211"/>
      <c r="AR40" s="211"/>
      <c r="AS40" s="211"/>
      <c r="AT40" s="211"/>
      <c r="AU40" s="211"/>
      <c r="AV40" s="211"/>
      <c r="AW40" s="211"/>
      <c r="AX40" s="211"/>
      <c r="AY40" s="210">
        <f t="shared" si="30"/>
        <v>1</v>
      </c>
      <c r="AZ40" s="148">
        <f t="shared" ca="1" si="12"/>
        <v>14</v>
      </c>
    </row>
    <row r="41" spans="2:52">
      <c r="B41" s="166" t="s">
        <v>1114</v>
      </c>
      <c r="C41" s="167"/>
      <c r="D41" s="167"/>
      <c r="E41" s="168"/>
      <c r="F41" s="167"/>
      <c r="G41" s="167"/>
      <c r="H41" s="167"/>
      <c r="I41" s="167"/>
      <c r="J41" s="167"/>
      <c r="K41" s="167"/>
      <c r="L41" s="167"/>
      <c r="M41" s="167"/>
      <c r="N41" s="167"/>
      <c r="O41" s="167"/>
      <c r="P41" s="167"/>
      <c r="Q41" s="167"/>
      <c r="R41" s="167"/>
      <c r="S41" s="167"/>
      <c r="T41" s="167"/>
      <c r="U41" s="197"/>
      <c r="V41" s="167"/>
      <c r="W41" s="167"/>
      <c r="X41" s="167"/>
      <c r="Y41" s="167"/>
      <c r="Z41" s="167"/>
      <c r="AA41" s="167"/>
      <c r="AB41" s="167"/>
      <c r="AC41" s="167"/>
      <c r="AD41" s="201"/>
      <c r="AE41" s="167"/>
      <c r="AF41" s="167"/>
      <c r="AG41" s="167"/>
      <c r="AH41" s="212"/>
      <c r="AI41" s="167"/>
      <c r="AJ41" s="167"/>
      <c r="AK41" s="167"/>
      <c r="AL41" s="213"/>
      <c r="AM41" s="214"/>
      <c r="AN41" s="214"/>
      <c r="AO41" s="214"/>
      <c r="AP41" s="214"/>
      <c r="AQ41" s="214"/>
      <c r="AR41" s="214"/>
      <c r="AS41" s="214"/>
      <c r="AT41" s="214"/>
      <c r="AU41" s="214"/>
      <c r="AV41" s="214"/>
      <c r="AW41" s="214"/>
      <c r="AX41" s="214"/>
      <c r="AY41" s="210">
        <f t="shared" si="30"/>
        <v>0</v>
      </c>
      <c r="AZ41" s="148">
        <f t="shared" si="12"/>
        <v>12</v>
      </c>
    </row>
    <row r="42" spans="2:52">
      <c r="B42" s="159" t="s">
        <v>1031</v>
      </c>
      <c r="C42" s="170">
        <v>40848</v>
      </c>
      <c r="D42" s="170"/>
      <c r="E42" s="174" t="s">
        <v>1115</v>
      </c>
      <c r="F42" s="162">
        <f t="shared" ref="F42:F46" ca="1" si="31">DATEDIF(C42,TODAY(),"Y")</f>
        <v>7</v>
      </c>
      <c r="G42" s="162">
        <f t="shared" ref="G42:G46" ca="1" si="32">DATEDIF(C42,TODAY(),"YM")</f>
        <v>11</v>
      </c>
      <c r="H42" s="162">
        <f t="shared" ref="H42:H46" ca="1" si="33">DATEDIF(C42,TODAY(),"MD")</f>
        <v>0</v>
      </c>
      <c r="I42" s="191"/>
      <c r="J42" s="191"/>
      <c r="K42" s="191"/>
      <c r="L42" s="191"/>
      <c r="M42" s="191"/>
      <c r="N42" s="191"/>
      <c r="O42" s="191"/>
      <c r="P42" s="191"/>
      <c r="Q42" s="191"/>
      <c r="R42" s="191"/>
      <c r="S42" s="191"/>
      <c r="T42" s="191"/>
      <c r="U42" s="195"/>
      <c r="V42" s="191"/>
      <c r="W42" s="191"/>
      <c r="X42" s="191"/>
      <c r="Y42" s="191"/>
      <c r="Z42" s="191"/>
      <c r="AA42" s="191"/>
      <c r="AB42" s="191"/>
      <c r="AC42" s="191"/>
      <c r="AD42" s="190"/>
      <c r="AE42" s="191"/>
      <c r="AF42" s="191"/>
      <c r="AG42" s="191"/>
      <c r="AH42" s="210">
        <f t="shared" ref="AH42:AH46" si="34">SUM(V42:AG42)</f>
        <v>0</v>
      </c>
      <c r="AI42" s="191"/>
      <c r="AJ42" s="191">
        <f t="shared" ref="AJ42:AJ46" si="35">SUM(V42:AA42)</f>
        <v>0</v>
      </c>
      <c r="AK42" s="191">
        <f ca="1">IF(AI42&gt;=AJ42,INT($F42/5)+$A$1-SUM(AB42:AG42),INT($F42/5)+$A$1-(SUM(V42:AG42)-AI42))</f>
        <v>13</v>
      </c>
      <c r="AL42" s="196"/>
      <c r="AM42" s="211"/>
      <c r="AN42" s="211"/>
      <c r="AO42" s="211"/>
      <c r="AP42" s="211"/>
      <c r="AQ42" s="211"/>
      <c r="AR42" s="211"/>
      <c r="AS42" s="211"/>
      <c r="AT42" s="211"/>
      <c r="AU42" s="211"/>
      <c r="AV42" s="211"/>
      <c r="AW42" s="211"/>
      <c r="AX42" s="211"/>
      <c r="AY42" s="210">
        <f t="shared" si="30"/>
        <v>0</v>
      </c>
      <c r="AZ42" s="148">
        <f t="shared" ca="1" si="12"/>
        <v>25</v>
      </c>
    </row>
    <row r="43" spans="2:52">
      <c r="B43" s="159" t="s">
        <v>1025</v>
      </c>
      <c r="C43" s="170">
        <v>41487</v>
      </c>
      <c r="D43" s="170"/>
      <c r="E43" s="174" t="s">
        <v>1115</v>
      </c>
      <c r="F43" s="162">
        <f t="shared" ca="1" si="31"/>
        <v>6</v>
      </c>
      <c r="G43" s="162">
        <f t="shared" ca="1" si="32"/>
        <v>2</v>
      </c>
      <c r="H43" s="162">
        <f t="shared" ca="1" si="33"/>
        <v>0</v>
      </c>
      <c r="I43" s="191"/>
      <c r="J43" s="191"/>
      <c r="K43" s="191"/>
      <c r="L43" s="191"/>
      <c r="M43" s="191"/>
      <c r="N43" s="191"/>
      <c r="O43" s="191"/>
      <c r="P43" s="191"/>
      <c r="Q43" s="191"/>
      <c r="R43" s="191"/>
      <c r="S43" s="191"/>
      <c r="T43" s="191"/>
      <c r="U43" s="195"/>
      <c r="V43" s="191"/>
      <c r="W43" s="191"/>
      <c r="X43" s="191"/>
      <c r="Y43" s="191"/>
      <c r="Z43" s="191"/>
      <c r="AA43" s="191">
        <v>2</v>
      </c>
      <c r="AB43" s="191"/>
      <c r="AC43" s="191"/>
      <c r="AD43" s="190">
        <v>2</v>
      </c>
      <c r="AE43" s="191"/>
      <c r="AF43" s="191"/>
      <c r="AG43" s="191">
        <v>1</v>
      </c>
      <c r="AH43" s="210">
        <f t="shared" si="34"/>
        <v>5</v>
      </c>
      <c r="AI43" s="191"/>
      <c r="AJ43" s="191">
        <f t="shared" si="35"/>
        <v>2</v>
      </c>
      <c r="AK43" s="191">
        <f ca="1">IF(AI43&gt;=AJ43,INT($F43/5)+$A$1-SUM(AB43:AG43),INT($F43/5)+$A$1-(SUM(V43:AG43)-AI43))</f>
        <v>8</v>
      </c>
      <c r="AL43" s="196"/>
      <c r="AM43" s="211">
        <v>4</v>
      </c>
      <c r="AN43" s="211">
        <v>0</v>
      </c>
      <c r="AO43" s="211">
        <v>0</v>
      </c>
      <c r="AP43" s="211">
        <v>2</v>
      </c>
      <c r="AQ43" s="211"/>
      <c r="AR43" s="211"/>
      <c r="AS43" s="211">
        <v>1</v>
      </c>
      <c r="AT43" s="211"/>
      <c r="AU43" s="211">
        <v>4</v>
      </c>
      <c r="AV43" s="211">
        <v>3</v>
      </c>
      <c r="AW43" s="211">
        <v>2</v>
      </c>
      <c r="AX43" s="211"/>
      <c r="AY43" s="210">
        <f t="shared" si="30"/>
        <v>16</v>
      </c>
      <c r="AZ43" s="148">
        <f t="shared" ca="1" si="12"/>
        <v>4</v>
      </c>
    </row>
    <row r="44" spans="2:52">
      <c r="B44" s="159" t="s">
        <v>1116</v>
      </c>
      <c r="C44" s="170">
        <v>42430</v>
      </c>
      <c r="D44" s="170"/>
      <c r="E44" s="174"/>
      <c r="F44" s="162">
        <f t="shared" ca="1" si="31"/>
        <v>3</v>
      </c>
      <c r="G44" s="162">
        <f t="shared" ca="1" si="32"/>
        <v>7</v>
      </c>
      <c r="H44" s="162">
        <f t="shared" ca="1" si="33"/>
        <v>0</v>
      </c>
      <c r="I44" s="191"/>
      <c r="J44" s="191"/>
      <c r="K44" s="191"/>
      <c r="L44" s="191"/>
      <c r="M44" s="191"/>
      <c r="N44" s="191"/>
      <c r="O44" s="191"/>
      <c r="P44" s="191"/>
      <c r="Q44" s="191"/>
      <c r="R44" s="191"/>
      <c r="S44" s="191"/>
      <c r="T44" s="191"/>
      <c r="U44" s="195"/>
      <c r="V44" s="191"/>
      <c r="W44" s="191"/>
      <c r="X44" s="191"/>
      <c r="Y44" s="191"/>
      <c r="Z44" s="191"/>
      <c r="AA44" s="191"/>
      <c r="AB44" s="191"/>
      <c r="AC44" s="191"/>
      <c r="AD44" s="190"/>
      <c r="AE44" s="191">
        <v>1</v>
      </c>
      <c r="AF44" s="191"/>
      <c r="AG44" s="191"/>
      <c r="AH44" s="210">
        <f t="shared" si="34"/>
        <v>1</v>
      </c>
      <c r="AI44" s="191"/>
      <c r="AJ44" s="191">
        <f t="shared" si="35"/>
        <v>0</v>
      </c>
      <c r="AK44" s="191">
        <f ca="1">IF(AI44&gt;=AJ44,INT($F44/5)+7-SUM(AB44:AG44),INT($F44/5)+7-(SUM(V44:AG44)-AI44))</f>
        <v>6</v>
      </c>
      <c r="AL44" s="196"/>
      <c r="AM44" s="211"/>
      <c r="AN44" s="211"/>
      <c r="AO44" s="211"/>
      <c r="AP44" s="211"/>
      <c r="AQ44" s="211"/>
      <c r="AR44" s="211"/>
      <c r="AS44" s="211"/>
      <c r="AT44" s="211"/>
      <c r="AU44" s="211"/>
      <c r="AV44" s="211"/>
      <c r="AW44" s="211"/>
      <c r="AX44" s="211"/>
      <c r="AY44" s="210">
        <f t="shared" si="30"/>
        <v>0</v>
      </c>
      <c r="AZ44" s="148">
        <f t="shared" ca="1" si="12"/>
        <v>18</v>
      </c>
    </row>
    <row r="45" spans="2:52">
      <c r="B45" s="159" t="s">
        <v>1117</v>
      </c>
      <c r="C45" s="170">
        <v>42471</v>
      </c>
      <c r="D45" s="170"/>
      <c r="E45" s="174"/>
      <c r="F45" s="162">
        <f t="shared" ca="1" si="31"/>
        <v>3</v>
      </c>
      <c r="G45" s="162">
        <f t="shared" ca="1" si="32"/>
        <v>5</v>
      </c>
      <c r="H45" s="162">
        <f t="shared" ca="1" si="33"/>
        <v>20</v>
      </c>
      <c r="I45" s="191"/>
      <c r="J45" s="191"/>
      <c r="K45" s="191"/>
      <c r="L45" s="191"/>
      <c r="M45" s="191"/>
      <c r="N45" s="191"/>
      <c r="O45" s="191"/>
      <c r="P45" s="191"/>
      <c r="Q45" s="191"/>
      <c r="R45" s="191"/>
      <c r="S45" s="191"/>
      <c r="T45" s="191"/>
      <c r="U45" s="195"/>
      <c r="V45" s="191"/>
      <c r="W45" s="191"/>
      <c r="X45" s="191"/>
      <c r="Y45" s="191"/>
      <c r="Z45" s="191"/>
      <c r="AA45" s="191"/>
      <c r="AB45" s="191"/>
      <c r="AC45" s="191">
        <v>1</v>
      </c>
      <c r="AD45" s="190">
        <v>1</v>
      </c>
      <c r="AE45" s="191"/>
      <c r="AF45" s="191"/>
      <c r="AG45" s="191">
        <v>1</v>
      </c>
      <c r="AH45" s="210">
        <f t="shared" si="34"/>
        <v>3</v>
      </c>
      <c r="AI45" s="191"/>
      <c r="AJ45" s="191">
        <f t="shared" si="35"/>
        <v>0</v>
      </c>
      <c r="AK45" s="191">
        <f ca="1">IF(AI45&gt;=AJ45,INT($F45/5)+6-SUM(AB45:AG45),INT($F45/5)+6-(SUM(V45:AG45)-AI45))</f>
        <v>3</v>
      </c>
      <c r="AL45" s="196"/>
      <c r="AM45" s="211">
        <v>2</v>
      </c>
      <c r="AN45" s="211">
        <v>4</v>
      </c>
      <c r="AO45" s="211"/>
      <c r="AP45" s="211"/>
      <c r="AQ45" s="211"/>
      <c r="AR45" s="211">
        <v>1</v>
      </c>
      <c r="AS45" s="211">
        <v>3</v>
      </c>
      <c r="AT45" s="211"/>
      <c r="AU45" s="211"/>
      <c r="AV45" s="211"/>
      <c r="AW45" s="211"/>
      <c r="AX45" s="211"/>
      <c r="AY45" s="210">
        <f t="shared" si="30"/>
        <v>10</v>
      </c>
      <c r="AZ45" s="148">
        <f t="shared" ca="1" si="12"/>
        <v>5</v>
      </c>
    </row>
    <row r="46" spans="2:52">
      <c r="B46" s="159" t="s">
        <v>1118</v>
      </c>
      <c r="C46" s="170">
        <v>42569</v>
      </c>
      <c r="D46" s="170"/>
      <c r="E46" s="174"/>
      <c r="F46" s="162">
        <f t="shared" ca="1" si="31"/>
        <v>3</v>
      </c>
      <c r="G46" s="162">
        <f t="shared" ca="1" si="32"/>
        <v>2</v>
      </c>
      <c r="H46" s="162">
        <f t="shared" ca="1" si="33"/>
        <v>13</v>
      </c>
      <c r="I46" s="191"/>
      <c r="J46" s="191"/>
      <c r="K46" s="191"/>
      <c r="L46" s="191"/>
      <c r="M46" s="191"/>
      <c r="N46" s="191"/>
      <c r="O46" s="191"/>
      <c r="P46" s="191"/>
      <c r="Q46" s="191"/>
      <c r="R46" s="191"/>
      <c r="S46" s="191"/>
      <c r="T46" s="191"/>
      <c r="U46" s="195"/>
      <c r="V46" s="191"/>
      <c r="W46" s="191"/>
      <c r="X46" s="191"/>
      <c r="Y46" s="191"/>
      <c r="Z46" s="191"/>
      <c r="AA46" s="191"/>
      <c r="AB46" s="191"/>
      <c r="AC46" s="191"/>
      <c r="AD46" s="190"/>
      <c r="AE46" s="191">
        <v>1</v>
      </c>
      <c r="AF46" s="191">
        <v>2</v>
      </c>
      <c r="AG46" s="191"/>
      <c r="AH46" s="210">
        <f t="shared" si="34"/>
        <v>3</v>
      </c>
      <c r="AI46" s="191"/>
      <c r="AJ46" s="191">
        <f t="shared" si="35"/>
        <v>0</v>
      </c>
      <c r="AK46" s="191">
        <f ca="1">IF(AI46&gt;=AJ46,INT($F46/5)+3-SUM(AB46:AG46),INT($F46/5)+3-(SUM(V46:AG46)-AI46))</f>
        <v>0</v>
      </c>
      <c r="AL46" s="196"/>
      <c r="AM46" s="211"/>
      <c r="AN46" s="211">
        <v>2</v>
      </c>
      <c r="AO46" s="211"/>
      <c r="AP46" s="211"/>
      <c r="AQ46" s="211">
        <v>6</v>
      </c>
      <c r="AR46" s="211"/>
      <c r="AS46" s="211"/>
      <c r="AT46" s="211"/>
      <c r="AU46" s="211">
        <v>1</v>
      </c>
      <c r="AV46" s="211">
        <v>2</v>
      </c>
      <c r="AW46" s="211"/>
      <c r="AX46" s="211"/>
      <c r="AY46" s="210">
        <f t="shared" si="30"/>
        <v>11</v>
      </c>
      <c r="AZ46" s="148">
        <f t="shared" ca="1" si="12"/>
        <v>1</v>
      </c>
    </row>
    <row r="47" spans="2:52">
      <c r="B47" s="166" t="s">
        <v>1119</v>
      </c>
      <c r="C47" s="167"/>
      <c r="D47" s="167"/>
      <c r="E47" s="168"/>
      <c r="F47" s="167"/>
      <c r="G47" s="167"/>
      <c r="H47" s="167"/>
      <c r="I47" s="167"/>
      <c r="J47" s="167"/>
      <c r="K47" s="167"/>
      <c r="L47" s="167"/>
      <c r="M47" s="167"/>
      <c r="N47" s="167"/>
      <c r="O47" s="167"/>
      <c r="P47" s="167"/>
      <c r="Q47" s="167"/>
      <c r="R47" s="167"/>
      <c r="S47" s="167"/>
      <c r="T47" s="167"/>
      <c r="U47" s="197"/>
      <c r="V47" s="167"/>
      <c r="W47" s="167"/>
      <c r="X47" s="167"/>
      <c r="Y47" s="167"/>
      <c r="Z47" s="167"/>
      <c r="AA47" s="167"/>
      <c r="AB47" s="167"/>
      <c r="AC47" s="167"/>
      <c r="AD47" s="201"/>
      <c r="AE47" s="167"/>
      <c r="AF47" s="167"/>
      <c r="AG47" s="167"/>
      <c r="AH47" s="212"/>
      <c r="AI47" s="167"/>
      <c r="AJ47" s="167"/>
      <c r="AK47" s="167"/>
      <c r="AL47" s="213"/>
      <c r="AM47" s="214"/>
      <c r="AN47" s="214"/>
      <c r="AO47" s="214"/>
      <c r="AP47" s="214"/>
      <c r="AQ47" s="214"/>
      <c r="AR47" s="214"/>
      <c r="AS47" s="214"/>
      <c r="AT47" s="214"/>
      <c r="AU47" s="214"/>
      <c r="AV47" s="214"/>
      <c r="AW47" s="214"/>
      <c r="AX47" s="214"/>
      <c r="AY47" s="210">
        <f t="shared" si="30"/>
        <v>0</v>
      </c>
      <c r="AZ47" s="148">
        <f t="shared" si="12"/>
        <v>12</v>
      </c>
    </row>
    <row r="48" spans="2:52">
      <c r="B48" s="159" t="s">
        <v>1120</v>
      </c>
      <c r="C48" s="170">
        <v>42248</v>
      </c>
      <c r="D48" s="170"/>
      <c r="E48" s="174">
        <v>42614</v>
      </c>
      <c r="F48" s="162">
        <f ca="1">DATEDIF(C48,TODAY(),"Y")</f>
        <v>4</v>
      </c>
      <c r="G48" s="162">
        <f ca="1">DATEDIF(C48,TODAY(),"YM")</f>
        <v>1</v>
      </c>
      <c r="H48" s="162">
        <f ca="1">DATEDIF(C48,TODAY(),"MD")</f>
        <v>0</v>
      </c>
      <c r="I48" s="191"/>
      <c r="J48" s="191"/>
      <c r="K48" s="191"/>
      <c r="L48" s="191"/>
      <c r="M48" s="191"/>
      <c r="N48" s="191"/>
      <c r="O48" s="191"/>
      <c r="P48" s="191"/>
      <c r="Q48" s="191"/>
      <c r="R48" s="191"/>
      <c r="S48" s="191"/>
      <c r="T48" s="191"/>
      <c r="U48" s="195"/>
      <c r="V48" s="191"/>
      <c r="W48" s="191"/>
      <c r="X48" s="191"/>
      <c r="Y48" s="191"/>
      <c r="Z48" s="191"/>
      <c r="AA48" s="191"/>
      <c r="AB48" s="191"/>
      <c r="AC48" s="191"/>
      <c r="AD48" s="190">
        <v>1</v>
      </c>
      <c r="AE48" s="191">
        <v>2</v>
      </c>
      <c r="AF48" s="191"/>
      <c r="AG48" s="191">
        <v>3</v>
      </c>
      <c r="AH48" s="210">
        <f>SUM(V48:AG48)</f>
        <v>6</v>
      </c>
      <c r="AI48" s="191"/>
      <c r="AJ48" s="191">
        <f>SUM(V48:AA48)</f>
        <v>0</v>
      </c>
      <c r="AK48" s="191">
        <f ca="1">IF(AI48&gt;=AJ48,INT($F48/5)+$A$1-SUM(AB48:AG48),INT($F48/5)+$A$1-(SUM(V48:AG48)-AI48))</f>
        <v>6</v>
      </c>
      <c r="AL48" s="196"/>
      <c r="AM48" s="211">
        <v>3</v>
      </c>
      <c r="AN48" s="211">
        <v>1</v>
      </c>
      <c r="AO48" s="211">
        <v>3</v>
      </c>
      <c r="AP48" s="211">
        <v>0</v>
      </c>
      <c r="AQ48" s="211">
        <v>1</v>
      </c>
      <c r="AR48" s="211"/>
      <c r="AS48" s="211"/>
      <c r="AT48" s="211">
        <v>1</v>
      </c>
      <c r="AU48" s="211"/>
      <c r="AV48" s="211"/>
      <c r="AW48" s="211"/>
      <c r="AX48" s="211"/>
      <c r="AY48" s="210">
        <f t="shared" si="30"/>
        <v>9</v>
      </c>
      <c r="AZ48" s="148">
        <f t="shared" ca="1" si="12"/>
        <v>9</v>
      </c>
    </row>
    <row r="49" spans="2:52">
      <c r="B49" s="159" t="s">
        <v>1121</v>
      </c>
      <c r="C49" s="170">
        <v>42443</v>
      </c>
      <c r="D49" s="170"/>
      <c r="E49" s="174"/>
      <c r="F49" s="162">
        <f t="shared" ref="F49:F54" ca="1" si="36">DATEDIF(C49,TODAY(),"Y")</f>
        <v>3</v>
      </c>
      <c r="G49" s="162">
        <f t="shared" ref="G49:G54" ca="1" si="37">DATEDIF(C49,TODAY(),"YM")</f>
        <v>6</v>
      </c>
      <c r="H49" s="162">
        <f t="shared" ref="H49:H54" ca="1" si="38">DATEDIF(C49,TODAY(),"MD")</f>
        <v>17</v>
      </c>
      <c r="I49" s="191"/>
      <c r="J49" s="191"/>
      <c r="K49" s="191"/>
      <c r="L49" s="191"/>
      <c r="M49" s="191"/>
      <c r="N49" s="191"/>
      <c r="O49" s="191"/>
      <c r="P49" s="191"/>
      <c r="Q49" s="191"/>
      <c r="R49" s="191"/>
      <c r="S49" s="191"/>
      <c r="T49" s="191"/>
      <c r="U49" s="195"/>
      <c r="V49" s="191"/>
      <c r="W49" s="191"/>
      <c r="X49" s="191"/>
      <c r="Y49" s="191"/>
      <c r="Z49" s="191"/>
      <c r="AA49" s="191"/>
      <c r="AB49" s="191"/>
      <c r="AC49" s="191"/>
      <c r="AD49" s="190"/>
      <c r="AE49" s="191"/>
      <c r="AF49" s="191"/>
      <c r="AG49" s="191"/>
      <c r="AH49" s="210">
        <f t="shared" ref="AH49:AH54" si="39">SUM(V49:AG49)</f>
        <v>0</v>
      </c>
      <c r="AI49" s="191"/>
      <c r="AJ49" s="191">
        <f t="shared" ref="AJ49:AJ54" si="40">SUM(V49:AA49)</f>
        <v>0</v>
      </c>
      <c r="AK49" s="191">
        <f ca="1">IF(AI49&gt;=AJ49,INT($F49/5)+7-SUM(AB49:AG49),INT($F49/5)+7-(SUM(V49:AG49)-AI49))</f>
        <v>7</v>
      </c>
      <c r="AL49" s="196"/>
      <c r="AM49" s="211"/>
      <c r="AN49" s="211"/>
      <c r="AO49" s="211"/>
      <c r="AP49" s="211"/>
      <c r="AQ49" s="211"/>
      <c r="AR49" s="211"/>
      <c r="AS49" s="211"/>
      <c r="AT49" s="211"/>
      <c r="AU49" s="211"/>
      <c r="AV49" s="211"/>
      <c r="AW49" s="211"/>
      <c r="AX49" s="211"/>
      <c r="AY49" s="210">
        <f t="shared" ref="AY49:AY55" si="41">SUM(AM49:AX49)</f>
        <v>0</v>
      </c>
      <c r="AZ49" s="148">
        <f t="shared" ca="1" si="12"/>
        <v>19</v>
      </c>
    </row>
    <row r="50" spans="2:52">
      <c r="B50" s="159" t="s">
        <v>1122</v>
      </c>
      <c r="C50" s="170">
        <v>42513</v>
      </c>
      <c r="D50" s="170"/>
      <c r="E50" s="174"/>
      <c r="F50" s="162">
        <f t="shared" ca="1" si="36"/>
        <v>3</v>
      </c>
      <c r="G50" s="162">
        <f t="shared" ca="1" si="37"/>
        <v>4</v>
      </c>
      <c r="H50" s="162">
        <f t="shared" ca="1" si="38"/>
        <v>8</v>
      </c>
      <c r="I50" s="191"/>
      <c r="J50" s="191"/>
      <c r="K50" s="191"/>
      <c r="L50" s="191"/>
      <c r="M50" s="191"/>
      <c r="N50" s="191"/>
      <c r="O50" s="191"/>
      <c r="P50" s="191"/>
      <c r="Q50" s="191"/>
      <c r="R50" s="191"/>
      <c r="S50" s="191"/>
      <c r="T50" s="191"/>
      <c r="U50" s="195"/>
      <c r="V50" s="191"/>
      <c r="W50" s="191"/>
      <c r="X50" s="191"/>
      <c r="Y50" s="191"/>
      <c r="Z50" s="191"/>
      <c r="AA50" s="191"/>
      <c r="AB50" s="191"/>
      <c r="AC50" s="191"/>
      <c r="AD50" s="190">
        <v>1</v>
      </c>
      <c r="AE50" s="191">
        <v>1</v>
      </c>
      <c r="AF50" s="191"/>
      <c r="AG50" s="191">
        <v>2</v>
      </c>
      <c r="AH50" s="210">
        <f t="shared" si="39"/>
        <v>4</v>
      </c>
      <c r="AI50" s="191"/>
      <c r="AJ50" s="191">
        <f t="shared" si="40"/>
        <v>0</v>
      </c>
      <c r="AK50" s="191">
        <f ca="1">IF(AI50&gt;=AJ50,INT($F50/5)+5-SUM(AB50:AG50),INT($F50/5)+5-(SUM(V50:AG50)-AI50))</f>
        <v>1</v>
      </c>
      <c r="AL50" s="196"/>
      <c r="AM50" s="211">
        <v>1</v>
      </c>
      <c r="AN50" s="211">
        <v>2</v>
      </c>
      <c r="AO50" s="211"/>
      <c r="AP50" s="211"/>
      <c r="AQ50" s="211"/>
      <c r="AR50" s="211"/>
      <c r="AS50" s="211"/>
      <c r="AT50" s="211"/>
      <c r="AU50" s="211"/>
      <c r="AV50" s="211"/>
      <c r="AW50" s="211"/>
      <c r="AX50" s="211"/>
      <c r="AY50" s="210">
        <f t="shared" si="41"/>
        <v>3</v>
      </c>
      <c r="AZ50" s="148">
        <f t="shared" ca="1" si="12"/>
        <v>10</v>
      </c>
    </row>
    <row r="51" spans="2:52">
      <c r="B51" s="159" t="s">
        <v>1123</v>
      </c>
      <c r="C51" s="170">
        <v>42515</v>
      </c>
      <c r="D51" s="170"/>
      <c r="E51" s="174"/>
      <c r="F51" s="162">
        <f t="shared" ca="1" si="36"/>
        <v>3</v>
      </c>
      <c r="G51" s="162">
        <f t="shared" ca="1" si="37"/>
        <v>4</v>
      </c>
      <c r="H51" s="162">
        <f t="shared" ca="1" si="38"/>
        <v>6</v>
      </c>
      <c r="I51" s="191"/>
      <c r="J51" s="191"/>
      <c r="K51" s="191"/>
      <c r="L51" s="191"/>
      <c r="M51" s="191"/>
      <c r="N51" s="191"/>
      <c r="O51" s="191"/>
      <c r="P51" s="191"/>
      <c r="Q51" s="191"/>
      <c r="R51" s="191"/>
      <c r="S51" s="191"/>
      <c r="T51" s="191"/>
      <c r="U51" s="195"/>
      <c r="V51" s="191"/>
      <c r="W51" s="191"/>
      <c r="X51" s="191"/>
      <c r="Y51" s="191"/>
      <c r="Z51" s="191"/>
      <c r="AA51" s="191"/>
      <c r="AB51" s="191"/>
      <c r="AC51" s="191"/>
      <c r="AD51" s="190">
        <v>1</v>
      </c>
      <c r="AE51" s="191"/>
      <c r="AF51" s="191"/>
      <c r="AG51" s="191">
        <v>1</v>
      </c>
      <c r="AH51" s="210">
        <f t="shared" si="39"/>
        <v>2</v>
      </c>
      <c r="AI51" s="191"/>
      <c r="AJ51" s="191">
        <f t="shared" si="40"/>
        <v>0</v>
      </c>
      <c r="AK51" s="191">
        <f ca="1">IF(AI51&gt;=AJ51,INT($F51/5)+5-SUM(AB51:AG51),INT($F51/5)+5-(SUM(V51:AG51)-AI51))</f>
        <v>3</v>
      </c>
      <c r="AL51" s="196"/>
      <c r="AM51" s="211">
        <v>1</v>
      </c>
      <c r="AN51" s="211"/>
      <c r="AO51" s="211">
        <v>4</v>
      </c>
      <c r="AP51" s="211"/>
      <c r="AQ51" s="211"/>
      <c r="AR51" s="211">
        <v>1</v>
      </c>
      <c r="AS51" s="211">
        <v>1</v>
      </c>
      <c r="AT51" s="211"/>
      <c r="AU51" s="211"/>
      <c r="AV51" s="211">
        <v>2</v>
      </c>
      <c r="AW51" s="211"/>
      <c r="AX51" s="211"/>
      <c r="AY51" s="210">
        <f t="shared" si="41"/>
        <v>9</v>
      </c>
      <c r="AZ51" s="148">
        <f t="shared" ca="1" si="12"/>
        <v>6</v>
      </c>
    </row>
    <row r="52" spans="2:52">
      <c r="B52" s="159" t="s">
        <v>1124</v>
      </c>
      <c r="C52" s="170">
        <v>42387</v>
      </c>
      <c r="D52" s="170"/>
      <c r="E52" s="174"/>
      <c r="F52" s="162">
        <f t="shared" ca="1" si="36"/>
        <v>3</v>
      </c>
      <c r="G52" s="162">
        <f t="shared" ca="1" si="37"/>
        <v>8</v>
      </c>
      <c r="H52" s="162">
        <f t="shared" ca="1" si="38"/>
        <v>13</v>
      </c>
      <c r="I52" s="191"/>
      <c r="J52" s="191"/>
      <c r="K52" s="191"/>
      <c r="L52" s="191"/>
      <c r="M52" s="191"/>
      <c r="N52" s="191"/>
      <c r="O52" s="191"/>
      <c r="P52" s="191"/>
      <c r="Q52" s="191"/>
      <c r="R52" s="191"/>
      <c r="S52" s="191"/>
      <c r="T52" s="191"/>
      <c r="U52" s="195"/>
      <c r="V52" s="191"/>
      <c r="W52" s="191"/>
      <c r="X52" s="191"/>
      <c r="Y52" s="191"/>
      <c r="Z52" s="191"/>
      <c r="AA52" s="191"/>
      <c r="AB52" s="191"/>
      <c r="AC52" s="191">
        <v>1</v>
      </c>
      <c r="AD52" s="190">
        <v>1</v>
      </c>
      <c r="AE52" s="191"/>
      <c r="AF52" s="191"/>
      <c r="AG52" s="191">
        <v>1</v>
      </c>
      <c r="AH52" s="210">
        <f t="shared" si="39"/>
        <v>3</v>
      </c>
      <c r="AI52" s="191"/>
      <c r="AJ52" s="191">
        <f t="shared" si="40"/>
        <v>0</v>
      </c>
      <c r="AK52" s="191">
        <f ca="1">IF(AI52&gt;=AJ52,INT($F52/5)+9-SUM(AB52:AG52),INT($F52/5)+9-(SUM(V52:AG52)-AI52))</f>
        <v>6</v>
      </c>
      <c r="AL52" s="196"/>
      <c r="AM52" s="211">
        <v>4</v>
      </c>
      <c r="AN52" s="211"/>
      <c r="AO52" s="211">
        <v>3</v>
      </c>
      <c r="AP52" s="211">
        <v>3</v>
      </c>
      <c r="AQ52" s="211"/>
      <c r="AR52" s="211"/>
      <c r="AS52" s="211"/>
      <c r="AT52" s="211"/>
      <c r="AU52" s="211"/>
      <c r="AV52" s="211"/>
      <c r="AW52" s="211"/>
      <c r="AX52" s="211"/>
      <c r="AY52" s="210">
        <f t="shared" si="41"/>
        <v>10</v>
      </c>
      <c r="AZ52" s="148">
        <f t="shared" ca="1" si="12"/>
        <v>8</v>
      </c>
    </row>
    <row r="53" spans="2:52">
      <c r="B53" s="159" t="s">
        <v>1125</v>
      </c>
      <c r="C53" s="170">
        <v>42387</v>
      </c>
      <c r="D53" s="170"/>
      <c r="E53" s="174"/>
      <c r="F53" s="162">
        <f t="shared" ca="1" si="36"/>
        <v>3</v>
      </c>
      <c r="G53" s="162">
        <f t="shared" ca="1" si="37"/>
        <v>8</v>
      </c>
      <c r="H53" s="162">
        <f t="shared" ca="1" si="38"/>
        <v>13</v>
      </c>
      <c r="I53" s="191"/>
      <c r="J53" s="191"/>
      <c r="K53" s="191"/>
      <c r="L53" s="191"/>
      <c r="M53" s="191"/>
      <c r="N53" s="191"/>
      <c r="O53" s="191"/>
      <c r="P53" s="191"/>
      <c r="Q53" s="191"/>
      <c r="R53" s="191"/>
      <c r="S53" s="191"/>
      <c r="T53" s="191"/>
      <c r="U53" s="195"/>
      <c r="V53" s="191"/>
      <c r="W53" s="191"/>
      <c r="X53" s="191"/>
      <c r="Y53" s="191"/>
      <c r="Z53" s="191"/>
      <c r="AA53" s="191"/>
      <c r="AB53" s="191"/>
      <c r="AC53" s="191">
        <v>2</v>
      </c>
      <c r="AD53" s="190">
        <v>1</v>
      </c>
      <c r="AE53" s="191">
        <v>1</v>
      </c>
      <c r="AF53" s="191"/>
      <c r="AG53" s="191">
        <v>1</v>
      </c>
      <c r="AH53" s="210">
        <f t="shared" si="39"/>
        <v>5</v>
      </c>
      <c r="AI53" s="191"/>
      <c r="AJ53" s="191">
        <f t="shared" si="40"/>
        <v>0</v>
      </c>
      <c r="AK53" s="191">
        <f ca="1">IF(AI53&gt;=AJ53,INT($F53/5)+9-SUM(AB53:AG53),INT($F53/5)+9-(SUM(V53:AG53)-AI53))</f>
        <v>4</v>
      </c>
      <c r="AL53" s="196"/>
      <c r="AM53" s="211">
        <v>2</v>
      </c>
      <c r="AN53" s="211">
        <v>3</v>
      </c>
      <c r="AO53" s="211">
        <v>1</v>
      </c>
      <c r="AP53" s="211">
        <v>2</v>
      </c>
      <c r="AQ53" s="211"/>
      <c r="AR53" s="211"/>
      <c r="AS53" s="211"/>
      <c r="AT53" s="211"/>
      <c r="AU53" s="211"/>
      <c r="AV53" s="211"/>
      <c r="AW53" s="211"/>
      <c r="AX53" s="211"/>
      <c r="AY53" s="210">
        <f t="shared" si="41"/>
        <v>8</v>
      </c>
      <c r="AZ53" s="148">
        <f t="shared" ca="1" si="12"/>
        <v>8</v>
      </c>
    </row>
    <row r="54" spans="2:52">
      <c r="B54" s="159" t="s">
        <v>1126</v>
      </c>
      <c r="C54" s="170">
        <v>42565</v>
      </c>
      <c r="D54" s="170"/>
      <c r="E54" s="174"/>
      <c r="F54" s="162">
        <f t="shared" ca="1" si="36"/>
        <v>3</v>
      </c>
      <c r="G54" s="162">
        <f t="shared" ca="1" si="37"/>
        <v>2</v>
      </c>
      <c r="H54" s="162">
        <f t="shared" ca="1" si="38"/>
        <v>17</v>
      </c>
      <c r="I54" s="191"/>
      <c r="J54" s="191"/>
      <c r="K54" s="191"/>
      <c r="L54" s="191"/>
      <c r="M54" s="191"/>
      <c r="N54" s="191"/>
      <c r="O54" s="191"/>
      <c r="P54" s="191"/>
      <c r="Q54" s="191"/>
      <c r="R54" s="191"/>
      <c r="S54" s="191"/>
      <c r="T54" s="191"/>
      <c r="U54" s="195"/>
      <c r="V54" s="191"/>
      <c r="W54" s="191"/>
      <c r="X54" s="191"/>
      <c r="Y54" s="191"/>
      <c r="Z54" s="191"/>
      <c r="AA54" s="191"/>
      <c r="AB54" s="191"/>
      <c r="AC54" s="191"/>
      <c r="AD54" s="190"/>
      <c r="AE54" s="191">
        <v>1</v>
      </c>
      <c r="AF54" s="191"/>
      <c r="AG54" s="191">
        <v>2</v>
      </c>
      <c r="AH54" s="210">
        <f t="shared" si="39"/>
        <v>3</v>
      </c>
      <c r="AI54" s="191"/>
      <c r="AJ54" s="191">
        <f t="shared" si="40"/>
        <v>0</v>
      </c>
      <c r="AK54" s="191">
        <f ca="1">IF(AI54&gt;=AJ54,INT($F54/5)+3-SUM(AB54:AG54),INT($F54/5)+3-(SUM(V54:AG54)-AI54))</f>
        <v>0</v>
      </c>
      <c r="AL54" s="196"/>
      <c r="AM54" s="211">
        <v>1</v>
      </c>
      <c r="AN54" s="211">
        <v>1</v>
      </c>
      <c r="AO54" s="211">
        <v>1</v>
      </c>
      <c r="AP54" s="211">
        <v>1</v>
      </c>
      <c r="AQ54" s="211">
        <v>1</v>
      </c>
      <c r="AR54" s="211">
        <v>2</v>
      </c>
      <c r="AS54" s="211">
        <v>1</v>
      </c>
      <c r="AT54" s="211">
        <v>1</v>
      </c>
      <c r="AU54" s="211">
        <v>2</v>
      </c>
      <c r="AV54" s="211">
        <v>1</v>
      </c>
      <c r="AW54" s="211"/>
      <c r="AX54" s="211"/>
      <c r="AY54" s="210">
        <f t="shared" si="41"/>
        <v>12</v>
      </c>
      <c r="AZ54" s="148">
        <f t="shared" ca="1" si="12"/>
        <v>0</v>
      </c>
    </row>
    <row r="55" spans="2:52">
      <c r="B55" s="159" t="s">
        <v>1127</v>
      </c>
      <c r="C55" s="175">
        <v>42887</v>
      </c>
      <c r="D55" s="175"/>
      <c r="E55" s="176"/>
      <c r="F55" s="177"/>
      <c r="G55" s="177"/>
      <c r="H55" s="177"/>
      <c r="I55" s="191"/>
      <c r="J55" s="191"/>
      <c r="K55" s="191"/>
      <c r="L55" s="191"/>
      <c r="M55" s="191"/>
      <c r="N55" s="191"/>
      <c r="O55" s="191"/>
      <c r="P55" s="191"/>
      <c r="Q55" s="191"/>
      <c r="R55" s="191"/>
      <c r="S55" s="191"/>
      <c r="T55" s="191"/>
      <c r="U55" s="195"/>
      <c r="V55" s="191"/>
      <c r="W55" s="191"/>
      <c r="X55" s="191"/>
      <c r="Y55" s="191"/>
      <c r="Z55" s="191"/>
      <c r="AA55" s="191"/>
      <c r="AB55" s="191"/>
      <c r="AC55" s="191"/>
      <c r="AD55" s="190"/>
      <c r="AE55" s="191"/>
      <c r="AF55" s="191"/>
      <c r="AG55" s="191"/>
      <c r="AH55" s="210"/>
      <c r="AI55" s="191"/>
      <c r="AJ55" s="191"/>
      <c r="AK55" s="191"/>
      <c r="AL55" s="196"/>
      <c r="AM55" s="211"/>
      <c r="AN55" s="211"/>
      <c r="AO55" s="211"/>
      <c r="AP55" s="211"/>
      <c r="AQ55" s="211"/>
      <c r="AR55" s="211"/>
      <c r="AS55" s="211"/>
      <c r="AT55" s="211"/>
      <c r="AU55" s="211"/>
      <c r="AV55" s="211"/>
      <c r="AW55" s="211"/>
      <c r="AX55" s="211"/>
      <c r="AY55" s="210">
        <f t="shared" si="41"/>
        <v>0</v>
      </c>
      <c r="AZ55" s="148">
        <f t="shared" si="12"/>
        <v>12</v>
      </c>
    </row>
    <row r="56" spans="2:52" s="146" customFormat="1" ht="15.75" customHeight="1">
      <c r="E56" s="178"/>
      <c r="U56" s="150"/>
      <c r="AD56" s="151"/>
      <c r="AH56" s="219"/>
      <c r="AL56" s="153"/>
      <c r="AM56" s="145"/>
      <c r="AN56" s="145"/>
      <c r="AO56" s="145"/>
      <c r="AP56" s="145"/>
      <c r="AQ56" s="145"/>
      <c r="AR56" s="145"/>
      <c r="AS56" s="145"/>
      <c r="AT56" s="145"/>
      <c r="AU56" s="145"/>
      <c r="AV56" s="145"/>
      <c r="AW56" s="145"/>
      <c r="AX56" s="145"/>
      <c r="AY56" s="227">
        <f t="shared" ref="AY56:AY66" si="42">SUM(AM56:AX56)</f>
        <v>0</v>
      </c>
      <c r="AZ56" s="148">
        <f t="shared" si="12"/>
        <v>12</v>
      </c>
    </row>
    <row r="57" spans="2:52">
      <c r="B57" s="179" t="s">
        <v>1128</v>
      </c>
      <c r="C57" s="180"/>
      <c r="D57" s="180"/>
      <c r="E57" s="181"/>
      <c r="F57" s="180"/>
      <c r="G57" s="180"/>
      <c r="H57" s="180"/>
      <c r="I57" s="180"/>
      <c r="J57" s="180"/>
      <c r="K57" s="180"/>
      <c r="L57" s="180"/>
      <c r="M57" s="180"/>
      <c r="N57" s="180"/>
      <c r="O57" s="180"/>
      <c r="P57" s="180"/>
      <c r="Q57" s="180"/>
      <c r="R57" s="180"/>
      <c r="S57" s="180"/>
      <c r="T57" s="180"/>
      <c r="U57" s="200"/>
      <c r="V57" s="180"/>
      <c r="W57" s="180"/>
      <c r="X57" s="180"/>
      <c r="Y57" s="180"/>
      <c r="Z57" s="180"/>
      <c r="AA57" s="180"/>
      <c r="AB57" s="180"/>
      <c r="AC57" s="180"/>
      <c r="AD57" s="203"/>
      <c r="AE57" s="180"/>
      <c r="AF57" s="180"/>
      <c r="AG57" s="180"/>
      <c r="AH57" s="220"/>
      <c r="AI57" s="180"/>
      <c r="AJ57" s="180"/>
      <c r="AK57" s="180"/>
      <c r="AL57" s="221"/>
      <c r="AM57" s="186"/>
      <c r="AN57" s="186"/>
      <c r="AO57" s="186"/>
      <c r="AP57" s="186"/>
      <c r="AQ57" s="186"/>
      <c r="AR57" s="186"/>
      <c r="AS57" s="186"/>
      <c r="AT57" s="186"/>
      <c r="AU57" s="186"/>
      <c r="AV57" s="186"/>
      <c r="AW57" s="186"/>
      <c r="AX57" s="186"/>
      <c r="AY57" s="210">
        <f t="shared" si="42"/>
        <v>0</v>
      </c>
      <c r="AZ57" s="148">
        <f t="shared" si="12"/>
        <v>12</v>
      </c>
    </row>
    <row r="58" spans="2:52">
      <c r="B58" s="182" t="s">
        <v>1129</v>
      </c>
      <c r="C58" s="183"/>
      <c r="D58" s="183"/>
      <c r="E58" s="184"/>
      <c r="F58" s="183"/>
      <c r="G58" s="183"/>
      <c r="H58" s="183"/>
      <c r="I58" s="183"/>
      <c r="J58" s="183"/>
      <c r="K58" s="183"/>
      <c r="L58" s="183"/>
      <c r="M58" s="183"/>
      <c r="N58" s="183"/>
      <c r="O58" s="183"/>
      <c r="P58" s="183"/>
      <c r="Q58" s="183"/>
      <c r="R58" s="183"/>
      <c r="S58" s="183"/>
      <c r="T58" s="183"/>
      <c r="U58" s="200"/>
      <c r="V58" s="183"/>
      <c r="W58" s="183"/>
      <c r="X58" s="183"/>
      <c r="Y58" s="183"/>
      <c r="Z58" s="183"/>
      <c r="AA58" s="183"/>
      <c r="AB58" s="183"/>
      <c r="AC58" s="183"/>
      <c r="AD58" s="203"/>
      <c r="AE58" s="183"/>
      <c r="AF58" s="183"/>
      <c r="AG58" s="183"/>
      <c r="AH58" s="222"/>
      <c r="AI58" s="183"/>
      <c r="AJ58" s="183"/>
      <c r="AK58" s="183"/>
      <c r="AL58" s="221"/>
      <c r="AM58" s="186"/>
      <c r="AN58" s="186"/>
      <c r="AO58" s="186"/>
      <c r="AP58" s="186"/>
      <c r="AQ58" s="186"/>
      <c r="AR58" s="186"/>
      <c r="AS58" s="186"/>
      <c r="AT58" s="186"/>
      <c r="AU58" s="186"/>
      <c r="AV58" s="186"/>
      <c r="AW58" s="186"/>
      <c r="AX58" s="186"/>
      <c r="AY58" s="210">
        <f t="shared" si="42"/>
        <v>0</v>
      </c>
      <c r="AZ58" s="148">
        <f t="shared" si="12"/>
        <v>12</v>
      </c>
    </row>
    <row r="59" spans="2:52">
      <c r="B59" s="185" t="s">
        <v>1035</v>
      </c>
      <c r="C59" s="186">
        <v>37712</v>
      </c>
      <c r="D59" s="187"/>
      <c r="E59" s="1245" t="s">
        <v>1130</v>
      </c>
      <c r="F59" s="162">
        <f t="shared" ref="F59:F66" ca="1" si="43">DATEDIF(C59,TODAY(),"Y")</f>
        <v>16</v>
      </c>
      <c r="G59" s="162">
        <f t="shared" ref="G59:G66" ca="1" si="44">DATEDIF(C59,TODAY(),"YM")</f>
        <v>6</v>
      </c>
      <c r="H59" s="162">
        <f t="shared" ref="H59:H66" ca="1" si="45">DATEDIF(C59,TODAY(),"MD")</f>
        <v>0</v>
      </c>
      <c r="I59" s="191"/>
      <c r="J59" s="191"/>
      <c r="K59" s="191"/>
      <c r="L59" s="191"/>
      <c r="M59" s="191"/>
      <c r="N59" s="191"/>
      <c r="O59" s="191"/>
      <c r="P59" s="191"/>
      <c r="Q59" s="191"/>
      <c r="R59" s="191"/>
      <c r="S59" s="191"/>
      <c r="T59" s="191"/>
      <c r="U59" s="195"/>
      <c r="V59" s="191"/>
      <c r="W59" s="191"/>
      <c r="X59" s="191"/>
      <c r="Y59" s="191"/>
      <c r="Z59" s="191">
        <v>2</v>
      </c>
      <c r="AA59" s="191">
        <v>4</v>
      </c>
      <c r="AB59" s="191"/>
      <c r="AC59" s="191"/>
      <c r="AD59" s="190"/>
      <c r="AE59" s="191">
        <v>7</v>
      </c>
      <c r="AF59" s="191"/>
      <c r="AG59" s="191"/>
      <c r="AH59" s="210">
        <f t="shared" ref="AH59:AH66" si="46">SUM(V59:AG59)</f>
        <v>13</v>
      </c>
      <c r="AI59" s="191"/>
      <c r="AJ59" s="191">
        <f t="shared" ref="AJ59:AJ66" si="47">SUM(V59:AA59)</f>
        <v>6</v>
      </c>
      <c r="AK59" s="191">
        <f t="shared" ref="AK59:AK64" ca="1" si="48">IF(AI59&gt;=AJ59,INT($F59/5)+$A$1-SUM(AB59:AG59),INT($F59/5)+$A$1-(SUM(V59:AG59)-AI59))</f>
        <v>2</v>
      </c>
      <c r="AL59" s="196"/>
      <c r="AM59" s="211">
        <v>7</v>
      </c>
      <c r="AN59" s="211"/>
      <c r="AO59" s="211"/>
      <c r="AP59" s="211"/>
      <c r="AQ59" s="211">
        <v>3</v>
      </c>
      <c r="AR59" s="211"/>
      <c r="AS59" s="211"/>
      <c r="AT59" s="211">
        <v>1</v>
      </c>
      <c r="AU59" s="211"/>
      <c r="AV59" s="211">
        <v>2</v>
      </c>
      <c r="AW59" s="224"/>
      <c r="AX59" s="224"/>
      <c r="AY59" s="228">
        <f t="shared" si="42"/>
        <v>13</v>
      </c>
      <c r="AZ59" s="148">
        <f t="shared" ca="1" si="12"/>
        <v>1</v>
      </c>
    </row>
    <row r="60" spans="2:52">
      <c r="B60" s="185" t="s">
        <v>1036</v>
      </c>
      <c r="C60" s="186">
        <v>40486</v>
      </c>
      <c r="D60" s="188"/>
      <c r="E60" s="189" t="s">
        <v>1131</v>
      </c>
      <c r="F60" s="162">
        <f t="shared" ca="1" si="43"/>
        <v>8</v>
      </c>
      <c r="G60" s="162">
        <f t="shared" ca="1" si="44"/>
        <v>10</v>
      </c>
      <c r="H60" s="162">
        <f t="shared" ca="1" si="45"/>
        <v>27</v>
      </c>
      <c r="I60" s="191"/>
      <c r="J60" s="191"/>
      <c r="K60" s="191"/>
      <c r="L60" s="191"/>
      <c r="M60" s="191"/>
      <c r="N60" s="191"/>
      <c r="O60" s="191"/>
      <c r="P60" s="191"/>
      <c r="Q60" s="191"/>
      <c r="R60" s="191"/>
      <c r="S60" s="191"/>
      <c r="T60" s="191"/>
      <c r="U60" s="195"/>
      <c r="V60" s="191"/>
      <c r="W60" s="191">
        <v>2</v>
      </c>
      <c r="X60" s="191"/>
      <c r="Y60" s="191"/>
      <c r="Z60" s="191"/>
      <c r="AA60" s="191"/>
      <c r="AB60" s="191"/>
      <c r="AC60" s="191"/>
      <c r="AD60" s="190"/>
      <c r="AE60" s="191"/>
      <c r="AF60" s="191">
        <v>1</v>
      </c>
      <c r="AG60" s="191">
        <v>1</v>
      </c>
      <c r="AH60" s="210">
        <f t="shared" si="46"/>
        <v>4</v>
      </c>
      <c r="AI60" s="191"/>
      <c r="AJ60" s="191">
        <f t="shared" si="47"/>
        <v>2</v>
      </c>
      <c r="AK60" s="191">
        <f t="shared" ca="1" si="48"/>
        <v>9</v>
      </c>
      <c r="AL60" s="196"/>
      <c r="AM60" s="211"/>
      <c r="AN60" s="211"/>
      <c r="AO60" s="211"/>
      <c r="AP60" s="211"/>
      <c r="AQ60" s="211"/>
      <c r="AR60" s="211"/>
      <c r="AS60" s="211"/>
      <c r="AT60" s="211">
        <v>2</v>
      </c>
      <c r="AU60" s="211"/>
      <c r="AV60" s="211"/>
      <c r="AW60" s="211"/>
      <c r="AX60" s="211"/>
      <c r="AY60" s="210">
        <f t="shared" si="42"/>
        <v>2</v>
      </c>
      <c r="AZ60" s="148">
        <f t="shared" ca="1" si="12"/>
        <v>19</v>
      </c>
    </row>
    <row r="61" spans="2:52">
      <c r="B61" s="185" t="s">
        <v>1057</v>
      </c>
      <c r="C61" s="186">
        <v>41682</v>
      </c>
      <c r="D61" s="188"/>
      <c r="E61" s="189" t="s">
        <v>1084</v>
      </c>
      <c r="F61" s="162">
        <f t="shared" ca="1" si="43"/>
        <v>5</v>
      </c>
      <c r="G61" s="162">
        <f t="shared" ca="1" si="44"/>
        <v>7</v>
      </c>
      <c r="H61" s="162">
        <f t="shared" ca="1" si="45"/>
        <v>19</v>
      </c>
      <c r="I61" s="191"/>
      <c r="J61" s="191"/>
      <c r="K61" s="191"/>
      <c r="L61" s="191"/>
      <c r="M61" s="191"/>
      <c r="N61" s="191"/>
      <c r="O61" s="191"/>
      <c r="P61" s="191"/>
      <c r="Q61" s="191"/>
      <c r="R61" s="191"/>
      <c r="S61" s="191"/>
      <c r="T61" s="191"/>
      <c r="U61" s="195"/>
      <c r="V61" s="191"/>
      <c r="W61" s="191"/>
      <c r="X61" s="191"/>
      <c r="Y61" s="191"/>
      <c r="Z61" s="191"/>
      <c r="AA61" s="191"/>
      <c r="AB61" s="191"/>
      <c r="AC61" s="191"/>
      <c r="AD61" s="190"/>
      <c r="AE61" s="191"/>
      <c r="AF61" s="191"/>
      <c r="AG61" s="191"/>
      <c r="AH61" s="210">
        <f t="shared" si="46"/>
        <v>0</v>
      </c>
      <c r="AI61" s="191"/>
      <c r="AJ61" s="191">
        <f t="shared" si="47"/>
        <v>0</v>
      </c>
      <c r="AK61" s="191">
        <f t="shared" ca="1" si="48"/>
        <v>13</v>
      </c>
      <c r="AL61" s="196"/>
      <c r="AM61" s="211">
        <v>1</v>
      </c>
      <c r="AN61" s="211">
        <v>1</v>
      </c>
      <c r="AO61" s="211"/>
      <c r="AP61" s="211"/>
      <c r="AQ61" s="211"/>
      <c r="AR61" s="211"/>
      <c r="AS61" s="211"/>
      <c r="AT61" s="211"/>
      <c r="AU61" s="211"/>
      <c r="AV61" s="211"/>
      <c r="AW61" s="211"/>
      <c r="AX61" s="211"/>
      <c r="AY61" s="210">
        <f t="shared" si="42"/>
        <v>2</v>
      </c>
      <c r="AZ61" s="148">
        <f t="shared" ca="1" si="12"/>
        <v>23</v>
      </c>
    </row>
    <row r="62" spans="2:52">
      <c r="B62" s="185" t="s">
        <v>1132</v>
      </c>
      <c r="C62" s="186">
        <v>42125</v>
      </c>
      <c r="D62" s="188"/>
      <c r="E62" s="189">
        <v>42614</v>
      </c>
      <c r="F62" s="162">
        <f t="shared" ca="1" si="43"/>
        <v>4</v>
      </c>
      <c r="G62" s="162">
        <f t="shared" ca="1" si="44"/>
        <v>5</v>
      </c>
      <c r="H62" s="162">
        <f t="shared" ca="1" si="45"/>
        <v>0</v>
      </c>
      <c r="I62" s="191"/>
      <c r="J62" s="191"/>
      <c r="K62" s="191"/>
      <c r="L62" s="191"/>
      <c r="M62" s="191"/>
      <c r="N62" s="191"/>
      <c r="O62" s="191"/>
      <c r="P62" s="191"/>
      <c r="Q62" s="191"/>
      <c r="R62" s="191"/>
      <c r="S62" s="191"/>
      <c r="T62" s="191"/>
      <c r="U62" s="195"/>
      <c r="V62" s="191"/>
      <c r="W62" s="191"/>
      <c r="X62" s="191"/>
      <c r="Y62" s="191"/>
      <c r="Z62" s="191"/>
      <c r="AA62" s="191"/>
      <c r="AB62" s="191"/>
      <c r="AC62" s="191"/>
      <c r="AD62" s="190">
        <v>9</v>
      </c>
      <c r="AE62" s="191"/>
      <c r="AF62" s="191"/>
      <c r="AG62" s="191">
        <v>2</v>
      </c>
      <c r="AH62" s="210">
        <f t="shared" si="46"/>
        <v>11</v>
      </c>
      <c r="AI62" s="191"/>
      <c r="AJ62" s="191">
        <f t="shared" si="47"/>
        <v>0</v>
      </c>
      <c r="AK62" s="191">
        <f t="shared" ca="1" si="48"/>
        <v>1</v>
      </c>
      <c r="AL62" s="196"/>
      <c r="AM62" s="211">
        <v>1</v>
      </c>
      <c r="AN62" s="211">
        <v>1</v>
      </c>
      <c r="AO62" s="211"/>
      <c r="AP62" s="211"/>
      <c r="AQ62" s="211"/>
      <c r="AR62" s="211"/>
      <c r="AS62" s="211"/>
      <c r="AT62" s="211"/>
      <c r="AU62" s="211"/>
      <c r="AV62" s="211"/>
      <c r="AW62" s="211"/>
      <c r="AX62" s="211"/>
      <c r="AY62" s="210">
        <f t="shared" si="42"/>
        <v>2</v>
      </c>
      <c r="AZ62" s="148">
        <f t="shared" ca="1" si="12"/>
        <v>11</v>
      </c>
    </row>
    <row r="63" spans="2:52">
      <c r="B63" s="185" t="s">
        <v>1133</v>
      </c>
      <c r="C63" s="186">
        <v>42217</v>
      </c>
      <c r="D63" s="188"/>
      <c r="E63" s="189">
        <v>42614</v>
      </c>
      <c r="F63" s="162">
        <f t="shared" ca="1" si="43"/>
        <v>4</v>
      </c>
      <c r="G63" s="162">
        <f t="shared" ca="1" si="44"/>
        <v>2</v>
      </c>
      <c r="H63" s="162">
        <f t="shared" ca="1" si="45"/>
        <v>0</v>
      </c>
      <c r="I63" s="191"/>
      <c r="J63" s="191"/>
      <c r="K63" s="191"/>
      <c r="L63" s="191"/>
      <c r="M63" s="191"/>
      <c r="N63" s="191"/>
      <c r="O63" s="191"/>
      <c r="P63" s="191"/>
      <c r="Q63" s="191"/>
      <c r="R63" s="191"/>
      <c r="S63" s="191"/>
      <c r="T63" s="191"/>
      <c r="U63" s="195"/>
      <c r="V63" s="191"/>
      <c r="W63" s="191"/>
      <c r="X63" s="191"/>
      <c r="Y63" s="191"/>
      <c r="Z63" s="191"/>
      <c r="AA63" s="191"/>
      <c r="AB63" s="191"/>
      <c r="AC63" s="191"/>
      <c r="AD63" s="190"/>
      <c r="AE63" s="191"/>
      <c r="AF63" s="191"/>
      <c r="AG63" s="191"/>
      <c r="AH63" s="210">
        <f t="shared" si="46"/>
        <v>0</v>
      </c>
      <c r="AI63" s="191"/>
      <c r="AJ63" s="191">
        <f t="shared" si="47"/>
        <v>0</v>
      </c>
      <c r="AK63" s="191">
        <f t="shared" ca="1" si="48"/>
        <v>12</v>
      </c>
      <c r="AL63" s="196"/>
      <c r="AM63" s="211">
        <v>0</v>
      </c>
      <c r="AN63" s="211"/>
      <c r="AO63" s="211"/>
      <c r="AP63" s="211"/>
      <c r="AQ63" s="211"/>
      <c r="AR63" s="211"/>
      <c r="AS63" s="211"/>
      <c r="AT63" s="211"/>
      <c r="AU63" s="211">
        <v>1</v>
      </c>
      <c r="AV63" s="211"/>
      <c r="AW63" s="211">
        <v>1</v>
      </c>
      <c r="AX63" s="211"/>
      <c r="AY63" s="210">
        <f t="shared" si="42"/>
        <v>2</v>
      </c>
      <c r="AZ63" s="148">
        <f t="shared" ca="1" si="12"/>
        <v>22</v>
      </c>
    </row>
    <row r="64" spans="2:52">
      <c r="B64" s="185" t="s">
        <v>1134</v>
      </c>
      <c r="C64" s="186">
        <v>42248</v>
      </c>
      <c r="D64" s="188"/>
      <c r="E64" s="189">
        <v>42614</v>
      </c>
      <c r="F64" s="162">
        <f t="shared" ca="1" si="43"/>
        <v>4</v>
      </c>
      <c r="G64" s="162">
        <f t="shared" ca="1" si="44"/>
        <v>1</v>
      </c>
      <c r="H64" s="162">
        <f t="shared" ca="1" si="45"/>
        <v>0</v>
      </c>
      <c r="I64" s="191"/>
      <c r="J64" s="191"/>
      <c r="K64" s="191"/>
      <c r="L64" s="191"/>
      <c r="M64" s="191"/>
      <c r="N64" s="191"/>
      <c r="O64" s="191"/>
      <c r="P64" s="191"/>
      <c r="Q64" s="191"/>
      <c r="R64" s="191"/>
      <c r="S64" s="191"/>
      <c r="T64" s="191"/>
      <c r="U64" s="195"/>
      <c r="V64" s="191"/>
      <c r="W64" s="191"/>
      <c r="X64" s="191"/>
      <c r="Y64" s="191"/>
      <c r="Z64" s="191"/>
      <c r="AA64" s="191"/>
      <c r="AB64" s="191"/>
      <c r="AC64" s="191"/>
      <c r="AD64" s="190"/>
      <c r="AE64" s="191"/>
      <c r="AF64" s="191"/>
      <c r="AG64" s="191"/>
      <c r="AH64" s="210">
        <f t="shared" si="46"/>
        <v>0</v>
      </c>
      <c r="AI64" s="191"/>
      <c r="AJ64" s="191">
        <f t="shared" si="47"/>
        <v>0</v>
      </c>
      <c r="AK64" s="191">
        <f t="shared" ca="1" si="48"/>
        <v>12</v>
      </c>
      <c r="AL64" s="196"/>
      <c r="AM64" s="211">
        <v>0</v>
      </c>
      <c r="AN64" s="211">
        <v>1</v>
      </c>
      <c r="AO64" s="211"/>
      <c r="AP64" s="211"/>
      <c r="AQ64" s="211"/>
      <c r="AR64" s="211"/>
      <c r="AS64" s="211"/>
      <c r="AT64" s="211"/>
      <c r="AU64" s="211"/>
      <c r="AV64" s="211"/>
      <c r="AW64" s="211"/>
      <c r="AX64" s="211"/>
      <c r="AY64" s="210">
        <f t="shared" si="42"/>
        <v>1</v>
      </c>
      <c r="AZ64" s="148">
        <f t="shared" ca="1" si="12"/>
        <v>23</v>
      </c>
    </row>
    <row r="65" spans="2:52">
      <c r="B65" s="185" t="s">
        <v>1135</v>
      </c>
      <c r="C65" s="186">
        <v>42501</v>
      </c>
      <c r="D65" s="188"/>
      <c r="E65" s="189"/>
      <c r="F65" s="162">
        <f t="shared" ca="1" si="43"/>
        <v>3</v>
      </c>
      <c r="G65" s="162">
        <f t="shared" ca="1" si="44"/>
        <v>4</v>
      </c>
      <c r="H65" s="162">
        <f t="shared" ca="1" si="45"/>
        <v>20</v>
      </c>
      <c r="I65" s="191"/>
      <c r="J65" s="191"/>
      <c r="K65" s="191"/>
      <c r="L65" s="191"/>
      <c r="M65" s="191"/>
      <c r="N65" s="191"/>
      <c r="O65" s="191"/>
      <c r="P65" s="191"/>
      <c r="Q65" s="191"/>
      <c r="R65" s="191"/>
      <c r="S65" s="191"/>
      <c r="T65" s="191"/>
      <c r="U65" s="195"/>
      <c r="V65" s="191"/>
      <c r="W65" s="191"/>
      <c r="X65" s="191"/>
      <c r="Y65" s="191"/>
      <c r="Z65" s="191"/>
      <c r="AA65" s="191"/>
      <c r="AB65" s="191"/>
      <c r="AC65" s="191"/>
      <c r="AD65" s="190"/>
      <c r="AE65" s="191"/>
      <c r="AF65" s="191"/>
      <c r="AG65" s="191">
        <v>2</v>
      </c>
      <c r="AH65" s="210">
        <f t="shared" si="46"/>
        <v>2</v>
      </c>
      <c r="AI65" s="191"/>
      <c r="AJ65" s="191">
        <f t="shared" si="47"/>
        <v>0</v>
      </c>
      <c r="AK65" s="191">
        <f ca="1">IF(AI65&gt;=AJ65,INT($F65/5)+5-SUM(AB65:AG65),INT($F65/5)+5-(SUM(V65:AG65)-AI65))</f>
        <v>3</v>
      </c>
      <c r="AL65" s="196"/>
      <c r="AM65" s="211"/>
      <c r="AN65" s="211"/>
      <c r="AO65" s="211"/>
      <c r="AP65" s="211"/>
      <c r="AQ65" s="211"/>
      <c r="AR65" s="211"/>
      <c r="AS65" s="211"/>
      <c r="AT65" s="211"/>
      <c r="AU65" s="211"/>
      <c r="AV65" s="211"/>
      <c r="AW65" s="211"/>
      <c r="AX65" s="211"/>
      <c r="AY65" s="210">
        <f t="shared" si="42"/>
        <v>0</v>
      </c>
      <c r="AZ65" s="148">
        <f t="shared" ca="1" si="12"/>
        <v>15</v>
      </c>
    </row>
    <row r="66" spans="2:52">
      <c r="B66" s="185" t="s">
        <v>1136</v>
      </c>
      <c r="C66" s="186">
        <v>42604</v>
      </c>
      <c r="D66" s="188"/>
      <c r="E66" s="189"/>
      <c r="F66" s="162">
        <f t="shared" ca="1" si="43"/>
        <v>3</v>
      </c>
      <c r="G66" s="162">
        <f t="shared" ca="1" si="44"/>
        <v>1</v>
      </c>
      <c r="H66" s="162">
        <f t="shared" ca="1" si="45"/>
        <v>9</v>
      </c>
      <c r="I66" s="191"/>
      <c r="J66" s="191"/>
      <c r="K66" s="191"/>
      <c r="L66" s="191"/>
      <c r="M66" s="191"/>
      <c r="N66" s="191"/>
      <c r="O66" s="191"/>
      <c r="P66" s="191"/>
      <c r="Q66" s="191"/>
      <c r="R66" s="191"/>
      <c r="S66" s="191"/>
      <c r="T66" s="191"/>
      <c r="U66" s="195"/>
      <c r="V66" s="191"/>
      <c r="W66" s="191"/>
      <c r="X66" s="191"/>
      <c r="Y66" s="191"/>
      <c r="Z66" s="191"/>
      <c r="AA66" s="191"/>
      <c r="AB66" s="191"/>
      <c r="AC66" s="191"/>
      <c r="AD66" s="190"/>
      <c r="AE66" s="191"/>
      <c r="AF66" s="191"/>
      <c r="AG66" s="191"/>
      <c r="AH66" s="210">
        <f t="shared" si="46"/>
        <v>0</v>
      </c>
      <c r="AI66" s="191"/>
      <c r="AJ66" s="191">
        <f t="shared" si="47"/>
        <v>0</v>
      </c>
      <c r="AK66" s="191">
        <f ca="1">IF(AI66&gt;=AJ66,INT($F66/5)+2-SUM(AB66:AG66),INT($F66/5)+2-(SUM(V66:AG66)-AI66))</f>
        <v>2</v>
      </c>
      <c r="AL66" s="196"/>
      <c r="AM66" s="211">
        <v>0</v>
      </c>
      <c r="AN66" s="211">
        <v>1</v>
      </c>
      <c r="AO66" s="211"/>
      <c r="AP66" s="211"/>
      <c r="AQ66" s="211"/>
      <c r="AR66" s="211"/>
      <c r="AS66" s="211"/>
      <c r="AT66" s="211"/>
      <c r="AU66" s="211"/>
      <c r="AV66" s="211"/>
      <c r="AW66" s="211"/>
      <c r="AX66" s="211"/>
      <c r="AY66" s="210">
        <f t="shared" si="42"/>
        <v>1</v>
      </c>
      <c r="AZ66" s="148">
        <f t="shared" ca="1" si="12"/>
        <v>13</v>
      </c>
    </row>
    <row r="67" spans="2:52">
      <c r="B67" s="185" t="s">
        <v>1137</v>
      </c>
      <c r="C67" s="186">
        <v>42788</v>
      </c>
      <c r="D67" s="188"/>
      <c r="E67" s="189"/>
      <c r="F67" s="162"/>
      <c r="G67" s="162"/>
      <c r="H67" s="162"/>
      <c r="I67" s="191"/>
      <c r="J67" s="191"/>
      <c r="K67" s="191"/>
      <c r="L67" s="191"/>
      <c r="M67" s="191"/>
      <c r="N67" s="191"/>
      <c r="O67" s="191"/>
      <c r="P67" s="191"/>
      <c r="Q67" s="191"/>
      <c r="R67" s="191"/>
      <c r="S67" s="191"/>
      <c r="T67" s="191"/>
      <c r="U67" s="195"/>
      <c r="V67" s="191"/>
      <c r="W67" s="191"/>
      <c r="X67" s="191"/>
      <c r="Y67" s="191"/>
      <c r="Z67" s="191"/>
      <c r="AA67" s="191"/>
      <c r="AB67" s="191"/>
      <c r="AC67" s="191"/>
      <c r="AD67" s="190"/>
      <c r="AE67" s="191"/>
      <c r="AF67" s="191"/>
      <c r="AG67" s="191"/>
      <c r="AH67" s="210"/>
      <c r="AI67" s="191"/>
      <c r="AJ67" s="191"/>
      <c r="AK67" s="191"/>
      <c r="AL67" s="196"/>
      <c r="AM67" s="211"/>
      <c r="AN67" s="211"/>
      <c r="AO67" s="211"/>
      <c r="AP67" s="211"/>
      <c r="AQ67" s="211"/>
      <c r="AR67" s="211"/>
      <c r="AS67" s="211"/>
      <c r="AT67" s="211"/>
      <c r="AU67" s="211"/>
      <c r="AV67" s="211"/>
      <c r="AW67" s="211"/>
      <c r="AX67" s="211"/>
      <c r="AY67" s="210">
        <f t="shared" ref="AY67:AY72" si="49">SUM(AM67:AX67)</f>
        <v>0</v>
      </c>
      <c r="AZ67" s="148">
        <f t="shared" si="12"/>
        <v>12</v>
      </c>
    </row>
    <row r="68" spans="2:52">
      <c r="B68" s="185" t="s">
        <v>1138</v>
      </c>
      <c r="C68" s="186">
        <v>42805</v>
      </c>
      <c r="D68" s="188"/>
      <c r="E68" s="189"/>
      <c r="F68" s="162"/>
      <c r="G68" s="162"/>
      <c r="H68" s="162"/>
      <c r="I68" s="191"/>
      <c r="J68" s="191"/>
      <c r="K68" s="191"/>
      <c r="L68" s="191"/>
      <c r="M68" s="191"/>
      <c r="N68" s="191"/>
      <c r="O68" s="191"/>
      <c r="P68" s="191"/>
      <c r="Q68" s="191"/>
      <c r="R68" s="191"/>
      <c r="S68" s="191"/>
      <c r="T68" s="191"/>
      <c r="U68" s="195"/>
      <c r="V68" s="191"/>
      <c r="W68" s="191"/>
      <c r="X68" s="191"/>
      <c r="Y68" s="191"/>
      <c r="Z68" s="191"/>
      <c r="AA68" s="191"/>
      <c r="AB68" s="191"/>
      <c r="AC68" s="191"/>
      <c r="AD68" s="190"/>
      <c r="AE68" s="191"/>
      <c r="AF68" s="191"/>
      <c r="AG68" s="191"/>
      <c r="AH68" s="210"/>
      <c r="AI68" s="191"/>
      <c r="AJ68" s="191"/>
      <c r="AK68" s="191"/>
      <c r="AL68" s="196"/>
      <c r="AM68" s="211"/>
      <c r="AN68" s="211"/>
      <c r="AO68" s="211"/>
      <c r="AP68" s="211"/>
      <c r="AQ68" s="211"/>
      <c r="AR68" s="211"/>
      <c r="AS68" s="211"/>
      <c r="AT68" s="211"/>
      <c r="AU68" s="211">
        <v>1</v>
      </c>
      <c r="AV68" s="211"/>
      <c r="AW68" s="211">
        <v>1</v>
      </c>
      <c r="AX68" s="211"/>
      <c r="AY68" s="210">
        <f t="shared" si="49"/>
        <v>2</v>
      </c>
      <c r="AZ68" s="148">
        <f t="shared" si="12"/>
        <v>10</v>
      </c>
    </row>
    <row r="69" spans="2:52">
      <c r="B69" s="185" t="s">
        <v>1139</v>
      </c>
      <c r="C69" s="186">
        <v>42795</v>
      </c>
      <c r="D69" s="188"/>
      <c r="E69" s="189"/>
      <c r="F69" s="162"/>
      <c r="G69" s="162"/>
      <c r="H69" s="162"/>
      <c r="I69" s="191"/>
      <c r="J69" s="191"/>
      <c r="K69" s="191"/>
      <c r="L69" s="191"/>
      <c r="M69" s="191"/>
      <c r="N69" s="191"/>
      <c r="O69" s="191"/>
      <c r="P69" s="191"/>
      <c r="Q69" s="191"/>
      <c r="R69" s="191"/>
      <c r="S69" s="191"/>
      <c r="T69" s="191"/>
      <c r="U69" s="195"/>
      <c r="V69" s="191"/>
      <c r="W69" s="191"/>
      <c r="X69" s="191"/>
      <c r="Y69" s="191"/>
      <c r="Z69" s="191"/>
      <c r="AA69" s="191"/>
      <c r="AB69" s="191"/>
      <c r="AC69" s="191"/>
      <c r="AD69" s="190"/>
      <c r="AE69" s="191"/>
      <c r="AF69" s="191"/>
      <c r="AG69" s="191"/>
      <c r="AH69" s="210"/>
      <c r="AI69" s="191"/>
      <c r="AJ69" s="191"/>
      <c r="AK69" s="191"/>
      <c r="AL69" s="196"/>
      <c r="AM69" s="211"/>
      <c r="AN69" s="211"/>
      <c r="AO69" s="211"/>
      <c r="AP69" s="211"/>
      <c r="AQ69" s="211"/>
      <c r="AR69" s="211"/>
      <c r="AS69" s="211"/>
      <c r="AT69" s="211"/>
      <c r="AU69" s="211"/>
      <c r="AV69" s="211"/>
      <c r="AW69" s="211"/>
      <c r="AX69" s="211"/>
      <c r="AY69" s="210">
        <f t="shared" si="49"/>
        <v>0</v>
      </c>
      <c r="AZ69" s="148">
        <f t="shared" si="12"/>
        <v>12</v>
      </c>
    </row>
    <row r="70" spans="2:52">
      <c r="B70" s="185" t="s">
        <v>1140</v>
      </c>
      <c r="C70" s="186">
        <v>42826</v>
      </c>
      <c r="D70" s="188"/>
      <c r="E70" s="189"/>
      <c r="F70" s="162"/>
      <c r="G70" s="162"/>
      <c r="H70" s="162"/>
      <c r="I70" s="191"/>
      <c r="J70" s="191"/>
      <c r="K70" s="191"/>
      <c r="L70" s="191"/>
      <c r="M70" s="191"/>
      <c r="N70" s="191"/>
      <c r="O70" s="191"/>
      <c r="P70" s="191"/>
      <c r="Q70" s="191"/>
      <c r="R70" s="191"/>
      <c r="S70" s="191"/>
      <c r="T70" s="191"/>
      <c r="U70" s="195"/>
      <c r="V70" s="191"/>
      <c r="W70" s="191"/>
      <c r="X70" s="191"/>
      <c r="Y70" s="191"/>
      <c r="Z70" s="191"/>
      <c r="AA70" s="191"/>
      <c r="AB70" s="191"/>
      <c r="AC70" s="191"/>
      <c r="AD70" s="190"/>
      <c r="AE70" s="191"/>
      <c r="AF70" s="191"/>
      <c r="AG70" s="191"/>
      <c r="AH70" s="210"/>
      <c r="AI70" s="191"/>
      <c r="AJ70" s="191"/>
      <c r="AK70" s="191"/>
      <c r="AL70" s="196"/>
      <c r="AM70" s="211"/>
      <c r="AN70" s="211"/>
      <c r="AO70" s="211"/>
      <c r="AP70" s="211"/>
      <c r="AQ70" s="211"/>
      <c r="AR70" s="211"/>
      <c r="AS70" s="211"/>
      <c r="AT70" s="211"/>
      <c r="AU70" s="211"/>
      <c r="AV70" s="211"/>
      <c r="AW70" s="211"/>
      <c r="AX70" s="211"/>
      <c r="AY70" s="210">
        <f t="shared" si="49"/>
        <v>0</v>
      </c>
      <c r="AZ70" s="148">
        <f t="shared" si="12"/>
        <v>12</v>
      </c>
    </row>
    <row r="71" spans="2:52">
      <c r="B71" s="185" t="s">
        <v>1141</v>
      </c>
      <c r="C71" s="186">
        <v>42863</v>
      </c>
      <c r="D71" s="188"/>
      <c r="E71" s="189"/>
      <c r="F71" s="162"/>
      <c r="G71" s="162"/>
      <c r="H71" s="162"/>
      <c r="I71" s="191"/>
      <c r="J71" s="191"/>
      <c r="K71" s="191"/>
      <c r="L71" s="191"/>
      <c r="M71" s="191"/>
      <c r="N71" s="191"/>
      <c r="O71" s="191"/>
      <c r="P71" s="191"/>
      <c r="Q71" s="191"/>
      <c r="R71" s="191"/>
      <c r="S71" s="191"/>
      <c r="T71" s="191"/>
      <c r="U71" s="195"/>
      <c r="V71" s="191"/>
      <c r="W71" s="191"/>
      <c r="X71" s="191"/>
      <c r="Y71" s="191"/>
      <c r="Z71" s="191"/>
      <c r="AA71" s="191"/>
      <c r="AB71" s="191"/>
      <c r="AC71" s="191"/>
      <c r="AD71" s="190"/>
      <c r="AE71" s="191"/>
      <c r="AF71" s="191"/>
      <c r="AG71" s="191"/>
      <c r="AH71" s="210"/>
      <c r="AI71" s="191"/>
      <c r="AJ71" s="191"/>
      <c r="AK71" s="191"/>
      <c r="AL71" s="196"/>
      <c r="AM71" s="211"/>
      <c r="AN71" s="211"/>
      <c r="AO71" s="211"/>
      <c r="AP71" s="211"/>
      <c r="AQ71" s="211"/>
      <c r="AR71" s="211"/>
      <c r="AS71" s="211"/>
      <c r="AT71" s="211"/>
      <c r="AU71" s="211">
        <v>2</v>
      </c>
      <c r="AV71" s="211">
        <v>1</v>
      </c>
      <c r="AW71" s="211">
        <v>1</v>
      </c>
      <c r="AX71" s="211"/>
      <c r="AY71" s="210">
        <f t="shared" si="49"/>
        <v>4</v>
      </c>
      <c r="AZ71" s="148">
        <f t="shared" si="12"/>
        <v>8</v>
      </c>
    </row>
    <row r="72" spans="2:52">
      <c r="B72" s="185"/>
      <c r="C72" s="186"/>
      <c r="D72" s="188"/>
      <c r="E72" s="189"/>
      <c r="F72" s="162"/>
      <c r="G72" s="162"/>
      <c r="H72" s="162"/>
      <c r="I72" s="191"/>
      <c r="J72" s="191"/>
      <c r="K72" s="191"/>
      <c r="L72" s="191"/>
      <c r="M72" s="191"/>
      <c r="N72" s="191"/>
      <c r="O72" s="191"/>
      <c r="P72" s="191"/>
      <c r="Q72" s="191"/>
      <c r="R72" s="191"/>
      <c r="S72" s="191"/>
      <c r="T72" s="191"/>
      <c r="U72" s="195"/>
      <c r="V72" s="191"/>
      <c r="W72" s="191"/>
      <c r="X72" s="191"/>
      <c r="Y72" s="191"/>
      <c r="Z72" s="191"/>
      <c r="AA72" s="191"/>
      <c r="AB72" s="191"/>
      <c r="AC72" s="191"/>
      <c r="AD72" s="190"/>
      <c r="AE72" s="191"/>
      <c r="AF72" s="191"/>
      <c r="AG72" s="191"/>
      <c r="AH72" s="210"/>
      <c r="AI72" s="191"/>
      <c r="AJ72" s="191"/>
      <c r="AK72" s="191"/>
      <c r="AL72" s="196"/>
      <c r="AM72" s="211"/>
      <c r="AN72" s="211"/>
      <c r="AO72" s="211"/>
      <c r="AP72" s="211"/>
      <c r="AQ72" s="211"/>
      <c r="AR72" s="211"/>
      <c r="AS72" s="211"/>
      <c r="AT72" s="211"/>
      <c r="AU72" s="211"/>
      <c r="AV72" s="211"/>
      <c r="AW72" s="211"/>
      <c r="AX72" s="211"/>
      <c r="AY72" s="210">
        <f t="shared" si="49"/>
        <v>0</v>
      </c>
      <c r="AZ72" s="148">
        <f t="shared" si="12"/>
        <v>12</v>
      </c>
    </row>
    <row r="73" spans="2:52">
      <c r="B73" s="229" t="s">
        <v>1142</v>
      </c>
      <c r="C73" s="183"/>
      <c r="D73" s="183"/>
      <c r="E73" s="184"/>
      <c r="F73" s="183"/>
      <c r="G73" s="183"/>
      <c r="H73" s="183"/>
      <c r="I73" s="183"/>
      <c r="J73" s="183"/>
      <c r="K73" s="183"/>
      <c r="L73" s="183"/>
      <c r="M73" s="183"/>
      <c r="N73" s="183"/>
      <c r="O73" s="183"/>
      <c r="P73" s="183"/>
      <c r="Q73" s="183"/>
      <c r="R73" s="183"/>
      <c r="S73" s="183"/>
      <c r="T73" s="183"/>
      <c r="U73" s="200"/>
      <c r="V73" s="183"/>
      <c r="W73" s="183"/>
      <c r="X73" s="183"/>
      <c r="Y73" s="183"/>
      <c r="Z73" s="183"/>
      <c r="AA73" s="183"/>
      <c r="AB73" s="183"/>
      <c r="AC73" s="183"/>
      <c r="AD73" s="203"/>
      <c r="AE73" s="183"/>
      <c r="AF73" s="183"/>
      <c r="AG73" s="183"/>
      <c r="AH73" s="222"/>
      <c r="AI73" s="183"/>
      <c r="AJ73" s="183"/>
      <c r="AK73" s="183"/>
      <c r="AL73" s="221"/>
      <c r="AM73" s="186"/>
      <c r="AN73" s="186"/>
      <c r="AO73" s="186"/>
      <c r="AP73" s="186"/>
      <c r="AQ73" s="186"/>
      <c r="AR73" s="186"/>
      <c r="AS73" s="186"/>
      <c r="AT73" s="186"/>
      <c r="AU73" s="186"/>
      <c r="AV73" s="186"/>
      <c r="AW73" s="186"/>
      <c r="AX73" s="186"/>
      <c r="AY73" s="210">
        <f t="shared" ref="AY73:AY95" si="50">SUM(AM73:AX73)</f>
        <v>0</v>
      </c>
      <c r="AZ73" s="148">
        <f t="shared" si="12"/>
        <v>12</v>
      </c>
    </row>
    <row r="74" spans="2:52">
      <c r="B74" s="185" t="s">
        <v>1042</v>
      </c>
      <c r="C74" s="186">
        <v>41061</v>
      </c>
      <c r="D74" s="188"/>
      <c r="E74" s="189" t="s">
        <v>1131</v>
      </c>
      <c r="F74" s="162">
        <f t="shared" ref="F74:F82" ca="1" si="51">DATEDIF(C74,TODAY(),"Y")</f>
        <v>7</v>
      </c>
      <c r="G74" s="162">
        <f t="shared" ref="G74:G82" ca="1" si="52">DATEDIF(C74,TODAY(),"YM")</f>
        <v>4</v>
      </c>
      <c r="H74" s="162">
        <f t="shared" ref="H74:H82" ca="1" si="53">DATEDIF(C74,TODAY(),"MD")</f>
        <v>0</v>
      </c>
      <c r="I74" s="191"/>
      <c r="J74" s="191"/>
      <c r="K74" s="191"/>
      <c r="L74" s="191"/>
      <c r="M74" s="191"/>
      <c r="N74" s="191"/>
      <c r="O74" s="191"/>
      <c r="P74" s="191"/>
      <c r="Q74" s="191"/>
      <c r="R74" s="191"/>
      <c r="S74" s="191"/>
      <c r="T74" s="191"/>
      <c r="U74" s="195"/>
      <c r="V74" s="191"/>
      <c r="W74" s="191"/>
      <c r="X74" s="191"/>
      <c r="Y74" s="191"/>
      <c r="Z74" s="191">
        <v>4</v>
      </c>
      <c r="AA74" s="191"/>
      <c r="AB74" s="191"/>
      <c r="AC74" s="191"/>
      <c r="AD74" s="190"/>
      <c r="AE74" s="191">
        <v>0</v>
      </c>
      <c r="AF74" s="191"/>
      <c r="AG74" s="191"/>
      <c r="AH74" s="210">
        <f t="shared" ref="AH74:AH82" si="54">SUM(V74:AG74)</f>
        <v>4</v>
      </c>
      <c r="AI74" s="191"/>
      <c r="AJ74" s="191">
        <f t="shared" ref="AJ74:AJ82" si="55">SUM(V74:AA74)</f>
        <v>4</v>
      </c>
      <c r="AK74" s="191">
        <f ca="1">IF(AI74&gt;=AJ74,INT($F74/5)+$A$1-SUM(AB74:AG74),INT($F74/5)+$A$1-(SUM(V74:AG74)-AI74))</f>
        <v>9</v>
      </c>
      <c r="AL74" s="196"/>
      <c r="AM74" s="211">
        <v>1</v>
      </c>
      <c r="AN74" s="211"/>
      <c r="AO74" s="211"/>
      <c r="AP74" s="211"/>
      <c r="AQ74" s="211"/>
      <c r="AR74" s="211"/>
      <c r="AS74" s="211"/>
      <c r="AT74" s="211"/>
      <c r="AU74" s="211"/>
      <c r="AV74" s="211">
        <v>3</v>
      </c>
      <c r="AW74" s="211">
        <v>1</v>
      </c>
      <c r="AX74" s="211"/>
      <c r="AY74" s="210">
        <f t="shared" si="50"/>
        <v>5</v>
      </c>
      <c r="AZ74" s="148">
        <f t="shared" ca="1" si="12"/>
        <v>16</v>
      </c>
    </row>
    <row r="75" spans="2:52">
      <c r="B75" s="185" t="s">
        <v>1061</v>
      </c>
      <c r="C75" s="186">
        <v>39508</v>
      </c>
      <c r="D75" s="187"/>
      <c r="E75" s="1245" t="s">
        <v>1143</v>
      </c>
      <c r="F75" s="162">
        <f t="shared" ca="1" si="51"/>
        <v>11</v>
      </c>
      <c r="G75" s="162">
        <f t="shared" ca="1" si="52"/>
        <v>7</v>
      </c>
      <c r="H75" s="162">
        <f t="shared" ca="1" si="53"/>
        <v>0</v>
      </c>
      <c r="I75" s="191"/>
      <c r="J75" s="191"/>
      <c r="K75" s="191"/>
      <c r="L75" s="191"/>
      <c r="M75" s="191"/>
      <c r="N75" s="191"/>
      <c r="O75" s="191"/>
      <c r="P75" s="191"/>
      <c r="Q75" s="191"/>
      <c r="R75" s="191"/>
      <c r="S75" s="191"/>
      <c r="T75" s="191"/>
      <c r="U75" s="195"/>
      <c r="V75" s="191">
        <v>1</v>
      </c>
      <c r="W75" s="191"/>
      <c r="X75" s="191"/>
      <c r="Y75" s="191"/>
      <c r="Z75" s="191">
        <v>3</v>
      </c>
      <c r="AA75" s="191"/>
      <c r="AB75" s="191"/>
      <c r="AC75" s="191"/>
      <c r="AD75" s="190">
        <v>1</v>
      </c>
      <c r="AE75" s="191"/>
      <c r="AF75" s="191"/>
      <c r="AG75" s="191"/>
      <c r="AH75" s="210">
        <f t="shared" si="54"/>
        <v>5</v>
      </c>
      <c r="AI75" s="191"/>
      <c r="AJ75" s="191">
        <f t="shared" si="55"/>
        <v>4</v>
      </c>
      <c r="AK75" s="191">
        <f ca="1">IF(AI75&gt;=AJ75,INT($F75/5)+$A$1-SUM(AB75:AG75),INT($F75/5)+$A$1-(SUM(V75:AG75)-AI75))</f>
        <v>9</v>
      </c>
      <c r="AL75" s="196"/>
      <c r="AM75" s="211">
        <v>1</v>
      </c>
      <c r="AN75" s="211"/>
      <c r="AO75" s="211"/>
      <c r="AP75" s="211"/>
      <c r="AQ75" s="211"/>
      <c r="AR75" s="211"/>
      <c r="AS75" s="211"/>
      <c r="AT75" s="211"/>
      <c r="AU75" s="211"/>
      <c r="AV75" s="211"/>
      <c r="AW75" s="211"/>
      <c r="AX75" s="211"/>
      <c r="AY75" s="210">
        <f t="shared" si="50"/>
        <v>1</v>
      </c>
      <c r="AZ75" s="148">
        <f t="shared" ca="1" si="12"/>
        <v>20</v>
      </c>
    </row>
    <row r="76" spans="2:52" s="147" customFormat="1">
      <c r="B76" s="230" t="s">
        <v>1045</v>
      </c>
      <c r="C76" s="231">
        <v>42064</v>
      </c>
      <c r="D76" s="232"/>
      <c r="E76" s="233"/>
      <c r="F76" s="234">
        <f t="shared" ca="1" si="51"/>
        <v>4</v>
      </c>
      <c r="G76" s="234">
        <f t="shared" ca="1" si="52"/>
        <v>7</v>
      </c>
      <c r="H76" s="234">
        <f t="shared" ca="1" si="53"/>
        <v>0</v>
      </c>
      <c r="I76" s="246"/>
      <c r="J76" s="246"/>
      <c r="K76" s="246"/>
      <c r="L76" s="246"/>
      <c r="M76" s="246"/>
      <c r="N76" s="246"/>
      <c r="O76" s="246"/>
      <c r="P76" s="246"/>
      <c r="Q76" s="246"/>
      <c r="R76" s="246"/>
      <c r="S76" s="246"/>
      <c r="T76" s="246"/>
      <c r="U76" s="248"/>
      <c r="V76" s="246"/>
      <c r="W76" s="246"/>
      <c r="X76" s="246"/>
      <c r="Y76" s="246"/>
      <c r="Z76" s="246"/>
      <c r="AA76" s="246">
        <v>3</v>
      </c>
      <c r="AB76" s="246"/>
      <c r="AC76" s="246"/>
      <c r="AD76" s="250"/>
      <c r="AE76" s="246"/>
      <c r="AF76" s="246"/>
      <c r="AG76" s="246"/>
      <c r="AH76" s="253">
        <f t="shared" si="54"/>
        <v>3</v>
      </c>
      <c r="AI76" s="246"/>
      <c r="AJ76" s="246">
        <f t="shared" si="55"/>
        <v>3</v>
      </c>
      <c r="AK76" s="246">
        <f ca="1">IF(AI76&gt;=AJ76,INT($F76/5)+$A$1-SUM(AB76:AG76),INT($F76/5)+$A$1-(SUM(V76:AG76)-AI76))</f>
        <v>9</v>
      </c>
      <c r="AL76" s="254"/>
      <c r="AM76" s="255"/>
      <c r="AN76" s="255"/>
      <c r="AO76" s="255"/>
      <c r="AP76" s="255"/>
      <c r="AQ76" s="255"/>
      <c r="AR76" s="255"/>
      <c r="AS76" s="255"/>
      <c r="AT76" s="255"/>
      <c r="AU76" s="255"/>
      <c r="AV76" s="255"/>
      <c r="AW76" s="255"/>
      <c r="AX76" s="255"/>
      <c r="AY76" s="210">
        <f t="shared" si="50"/>
        <v>0</v>
      </c>
      <c r="AZ76" s="148">
        <f t="shared" ca="1" si="12"/>
        <v>21</v>
      </c>
    </row>
    <row r="77" spans="2:52">
      <c r="B77" s="185" t="s">
        <v>1047</v>
      </c>
      <c r="C77" s="186">
        <v>42098</v>
      </c>
      <c r="D77" s="188"/>
      <c r="E77" s="189" t="s">
        <v>1084</v>
      </c>
      <c r="F77" s="162">
        <f t="shared" ca="1" si="51"/>
        <v>4</v>
      </c>
      <c r="G77" s="162">
        <f t="shared" ca="1" si="52"/>
        <v>5</v>
      </c>
      <c r="H77" s="162">
        <f t="shared" ca="1" si="53"/>
        <v>27</v>
      </c>
      <c r="I77" s="191"/>
      <c r="J77" s="191"/>
      <c r="K77" s="191"/>
      <c r="L77" s="191"/>
      <c r="M77" s="191"/>
      <c r="N77" s="191"/>
      <c r="O77" s="191"/>
      <c r="P77" s="191"/>
      <c r="Q77" s="191"/>
      <c r="R77" s="191"/>
      <c r="S77" s="191"/>
      <c r="T77" s="191"/>
      <c r="U77" s="195"/>
      <c r="V77" s="191"/>
      <c r="W77" s="191"/>
      <c r="X77" s="191"/>
      <c r="Y77" s="191"/>
      <c r="Z77" s="191"/>
      <c r="AA77" s="191"/>
      <c r="AB77" s="191">
        <v>2</v>
      </c>
      <c r="AC77" s="191"/>
      <c r="AD77" s="190"/>
      <c r="AE77" s="191">
        <v>6</v>
      </c>
      <c r="AF77" s="191">
        <v>4</v>
      </c>
      <c r="AG77" s="191"/>
      <c r="AH77" s="210">
        <f t="shared" si="54"/>
        <v>12</v>
      </c>
      <c r="AI77" s="191"/>
      <c r="AJ77" s="191">
        <f t="shared" si="55"/>
        <v>0</v>
      </c>
      <c r="AK77" s="191">
        <f ca="1">IF(AI77&gt;=AJ77,INT($F77/5)+$A$1-SUM(AB77:AG77),INT($F77/5)+$A$1-(SUM(V77:AG77)-AI77))</f>
        <v>0</v>
      </c>
      <c r="AL77" s="196"/>
      <c r="AM77" s="211">
        <v>1</v>
      </c>
      <c r="AN77" s="211"/>
      <c r="AO77" s="211"/>
      <c r="AP77" s="211"/>
      <c r="AQ77" s="211"/>
      <c r="AR77" s="211"/>
      <c r="AS77" s="211"/>
      <c r="AT77" s="211"/>
      <c r="AU77" s="211"/>
      <c r="AV77" s="211"/>
      <c r="AW77" s="211">
        <v>1</v>
      </c>
      <c r="AX77" s="211"/>
      <c r="AY77" s="210">
        <f t="shared" si="50"/>
        <v>2</v>
      </c>
      <c r="AZ77" s="148">
        <f t="shared" ca="1" si="12"/>
        <v>10</v>
      </c>
    </row>
    <row r="78" spans="2:52">
      <c r="B78" s="185" t="s">
        <v>1144</v>
      </c>
      <c r="C78" s="186">
        <v>42280</v>
      </c>
      <c r="D78" s="188"/>
      <c r="E78" s="189">
        <v>42614</v>
      </c>
      <c r="F78" s="162">
        <f t="shared" ca="1" si="51"/>
        <v>3</v>
      </c>
      <c r="G78" s="162">
        <f t="shared" ca="1" si="52"/>
        <v>11</v>
      </c>
      <c r="H78" s="162">
        <f t="shared" ca="1" si="53"/>
        <v>28</v>
      </c>
      <c r="I78" s="191"/>
      <c r="J78" s="191"/>
      <c r="K78" s="191"/>
      <c r="L78" s="191"/>
      <c r="M78" s="191"/>
      <c r="N78" s="191"/>
      <c r="O78" s="191"/>
      <c r="P78" s="191"/>
      <c r="Q78" s="191"/>
      <c r="R78" s="191"/>
      <c r="S78" s="191"/>
      <c r="T78" s="191"/>
      <c r="U78" s="195"/>
      <c r="V78" s="191"/>
      <c r="W78" s="191"/>
      <c r="X78" s="191"/>
      <c r="Y78" s="191"/>
      <c r="Z78" s="191"/>
      <c r="AA78" s="191"/>
      <c r="AB78" s="191">
        <v>3</v>
      </c>
      <c r="AC78" s="191"/>
      <c r="AD78" s="190"/>
      <c r="AE78" s="191"/>
      <c r="AF78" s="191"/>
      <c r="AG78" s="191"/>
      <c r="AH78" s="210">
        <f t="shared" si="54"/>
        <v>3</v>
      </c>
      <c r="AI78" s="191"/>
      <c r="AJ78" s="191">
        <f t="shared" si="55"/>
        <v>0</v>
      </c>
      <c r="AK78" s="191">
        <f ca="1">IF(AI78&gt;=AJ78,INT($F78/5)+$A$1-SUM(AB78:AG78),INT($F78/5)+$A$1-(SUM(V78:AG78)-AI78))</f>
        <v>9</v>
      </c>
      <c r="AL78" s="196"/>
      <c r="AM78" s="211"/>
      <c r="AN78" s="211"/>
      <c r="AO78" s="211"/>
      <c r="AP78" s="211"/>
      <c r="AQ78" s="211"/>
      <c r="AR78" s="211"/>
      <c r="AS78" s="211"/>
      <c r="AT78" s="211"/>
      <c r="AU78" s="211"/>
      <c r="AV78" s="211"/>
      <c r="AW78" s="211"/>
      <c r="AX78" s="211"/>
      <c r="AY78" s="210">
        <f t="shared" si="50"/>
        <v>0</v>
      </c>
      <c r="AZ78" s="148">
        <f t="shared" ca="1" si="12"/>
        <v>21</v>
      </c>
    </row>
    <row r="79" spans="2:52">
      <c r="B79" s="185" t="s">
        <v>1145</v>
      </c>
      <c r="C79" s="186">
        <v>42388</v>
      </c>
      <c r="D79" s="188"/>
      <c r="E79" s="189">
        <v>42614</v>
      </c>
      <c r="F79" s="162">
        <f t="shared" ca="1" si="51"/>
        <v>3</v>
      </c>
      <c r="G79" s="162">
        <f t="shared" ca="1" si="52"/>
        <v>8</v>
      </c>
      <c r="H79" s="162">
        <f t="shared" ca="1" si="53"/>
        <v>12</v>
      </c>
      <c r="I79" s="191"/>
      <c r="J79" s="191"/>
      <c r="K79" s="191"/>
      <c r="L79" s="191"/>
      <c r="M79" s="191"/>
      <c r="N79" s="191"/>
      <c r="O79" s="191"/>
      <c r="P79" s="191"/>
      <c r="Q79" s="191"/>
      <c r="R79" s="191"/>
      <c r="S79" s="191"/>
      <c r="T79" s="191"/>
      <c r="U79" s="195"/>
      <c r="V79" s="191"/>
      <c r="W79" s="191"/>
      <c r="X79" s="191"/>
      <c r="Y79" s="191"/>
      <c r="Z79" s="191"/>
      <c r="AA79" s="191"/>
      <c r="AB79" s="191"/>
      <c r="AC79" s="191"/>
      <c r="AD79" s="190"/>
      <c r="AE79" s="191"/>
      <c r="AF79" s="191"/>
      <c r="AG79" s="191"/>
      <c r="AH79" s="210">
        <f t="shared" si="54"/>
        <v>0</v>
      </c>
      <c r="AI79" s="191"/>
      <c r="AJ79" s="191">
        <f t="shared" si="55"/>
        <v>0</v>
      </c>
      <c r="AK79" s="191">
        <f ca="1">IF(AI79&gt;=AJ79,INT($F79/5)+9-SUM(AB79:AG79),INT($F79/5)+9-(SUM(V79:AG79)-AI79))</f>
        <v>9</v>
      </c>
      <c r="AL79" s="196"/>
      <c r="AM79" s="211">
        <v>1</v>
      </c>
      <c r="AN79" s="211"/>
      <c r="AO79" s="211"/>
      <c r="AP79" s="211"/>
      <c r="AQ79" s="211">
        <v>1</v>
      </c>
      <c r="AR79" s="211"/>
      <c r="AS79" s="211"/>
      <c r="AT79" s="211"/>
      <c r="AU79" s="211">
        <v>2</v>
      </c>
      <c r="AV79" s="211"/>
      <c r="AW79" s="211">
        <v>3</v>
      </c>
      <c r="AX79" s="211"/>
      <c r="AY79" s="210">
        <f t="shared" si="50"/>
        <v>7</v>
      </c>
      <c r="AZ79" s="148">
        <f t="shared" ca="1" si="12"/>
        <v>14</v>
      </c>
    </row>
    <row r="80" spans="2:52">
      <c r="B80" s="185" t="s">
        <v>1146</v>
      </c>
      <c r="C80" s="186">
        <v>42495</v>
      </c>
      <c r="D80" s="188"/>
      <c r="E80" s="189"/>
      <c r="F80" s="162">
        <f t="shared" ca="1" si="51"/>
        <v>3</v>
      </c>
      <c r="G80" s="162">
        <f t="shared" ca="1" si="52"/>
        <v>4</v>
      </c>
      <c r="H80" s="162">
        <f t="shared" ca="1" si="53"/>
        <v>26</v>
      </c>
      <c r="I80" s="191"/>
      <c r="J80" s="191"/>
      <c r="K80" s="191"/>
      <c r="L80" s="191"/>
      <c r="M80" s="191"/>
      <c r="N80" s="191"/>
      <c r="O80" s="191"/>
      <c r="P80" s="191"/>
      <c r="Q80" s="191"/>
      <c r="R80" s="191"/>
      <c r="S80" s="191"/>
      <c r="T80" s="191"/>
      <c r="U80" s="195"/>
      <c r="V80" s="191"/>
      <c r="W80" s="191"/>
      <c r="X80" s="191"/>
      <c r="Y80" s="191"/>
      <c r="Z80" s="191"/>
      <c r="AA80" s="191"/>
      <c r="AB80" s="191"/>
      <c r="AC80" s="191"/>
      <c r="AD80" s="190"/>
      <c r="AE80" s="191"/>
      <c r="AF80" s="191"/>
      <c r="AG80" s="191"/>
      <c r="AH80" s="210">
        <f t="shared" si="54"/>
        <v>0</v>
      </c>
      <c r="AI80" s="191"/>
      <c r="AJ80" s="191">
        <f t="shared" si="55"/>
        <v>0</v>
      </c>
      <c r="AK80" s="191">
        <f ca="1">IF(AI80&gt;=AJ80,INT($F80/5)+6-SUM(AB80:AG80),INT($F80/5)+6-(SUM(V80:AG80)-AI80))</f>
        <v>6</v>
      </c>
      <c r="AL80" s="196"/>
      <c r="AM80" s="211"/>
      <c r="AN80" s="211"/>
      <c r="AO80" s="211">
        <v>1</v>
      </c>
      <c r="AP80" s="211"/>
      <c r="AQ80" s="211"/>
      <c r="AR80" s="211"/>
      <c r="AS80" s="211"/>
      <c r="AT80" s="211"/>
      <c r="AU80" s="211"/>
      <c r="AV80" s="211"/>
      <c r="AW80" s="211"/>
      <c r="AX80" s="211"/>
      <c r="AY80" s="210">
        <f t="shared" si="50"/>
        <v>1</v>
      </c>
      <c r="AZ80" s="148">
        <f t="shared" ref="AZ80:AZ121" ca="1" si="56">12-AY80+AK80</f>
        <v>17</v>
      </c>
    </row>
    <row r="81" spans="2:52">
      <c r="B81" s="185" t="s">
        <v>1147</v>
      </c>
      <c r="C81" s="186">
        <v>42492</v>
      </c>
      <c r="D81" s="188"/>
      <c r="E81" s="189"/>
      <c r="F81" s="162">
        <f t="shared" ca="1" si="51"/>
        <v>3</v>
      </c>
      <c r="G81" s="162">
        <f t="shared" ca="1" si="52"/>
        <v>4</v>
      </c>
      <c r="H81" s="162">
        <f t="shared" ca="1" si="53"/>
        <v>29</v>
      </c>
      <c r="I81" s="191"/>
      <c r="J81" s="191"/>
      <c r="K81" s="191"/>
      <c r="L81" s="191"/>
      <c r="M81" s="191"/>
      <c r="N81" s="191"/>
      <c r="O81" s="191"/>
      <c r="P81" s="191"/>
      <c r="Q81" s="191"/>
      <c r="R81" s="191"/>
      <c r="S81" s="191"/>
      <c r="T81" s="191"/>
      <c r="U81" s="195"/>
      <c r="V81" s="191"/>
      <c r="W81" s="191"/>
      <c r="X81" s="191"/>
      <c r="Y81" s="191"/>
      <c r="Z81" s="191"/>
      <c r="AA81" s="191"/>
      <c r="AB81" s="191"/>
      <c r="AC81" s="191"/>
      <c r="AD81" s="190"/>
      <c r="AE81" s="191">
        <v>4</v>
      </c>
      <c r="AF81" s="191"/>
      <c r="AG81" s="191"/>
      <c r="AH81" s="210">
        <f t="shared" si="54"/>
        <v>4</v>
      </c>
      <c r="AI81" s="191"/>
      <c r="AJ81" s="191">
        <f t="shared" si="55"/>
        <v>0</v>
      </c>
      <c r="AK81" s="191">
        <f ca="1">IF(AI81&gt;=AJ81,INT($F81/5)+6-SUM(AB81:AG81),INT($F81/5)+6-(SUM(V81:AG81)-AI81))</f>
        <v>2</v>
      </c>
      <c r="AL81" s="196"/>
      <c r="AM81" s="211">
        <v>1</v>
      </c>
      <c r="AN81" s="211"/>
      <c r="AO81" s="211"/>
      <c r="AP81" s="211"/>
      <c r="AQ81" s="211"/>
      <c r="AR81" s="211"/>
      <c r="AS81" s="211">
        <v>4</v>
      </c>
      <c r="AT81" s="211"/>
      <c r="AU81" s="211"/>
      <c r="AV81" s="211">
        <v>3</v>
      </c>
      <c r="AW81" s="211"/>
      <c r="AX81" s="211"/>
      <c r="AY81" s="210">
        <f t="shared" si="50"/>
        <v>8</v>
      </c>
      <c r="AZ81" s="148">
        <f t="shared" ca="1" si="56"/>
        <v>6</v>
      </c>
    </row>
    <row r="82" spans="2:52">
      <c r="B82" s="185" t="s">
        <v>1148</v>
      </c>
      <c r="C82" s="186">
        <v>42639</v>
      </c>
      <c r="D82" s="188"/>
      <c r="E82" s="189"/>
      <c r="F82" s="162">
        <f t="shared" ca="1" si="51"/>
        <v>3</v>
      </c>
      <c r="G82" s="162">
        <f t="shared" ca="1" si="52"/>
        <v>0</v>
      </c>
      <c r="H82" s="162">
        <f t="shared" ca="1" si="53"/>
        <v>5</v>
      </c>
      <c r="I82" s="191"/>
      <c r="J82" s="191"/>
      <c r="K82" s="191"/>
      <c r="L82" s="191"/>
      <c r="M82" s="191"/>
      <c r="N82" s="191"/>
      <c r="O82" s="191"/>
      <c r="P82" s="191"/>
      <c r="Q82" s="191"/>
      <c r="R82" s="191"/>
      <c r="S82" s="191"/>
      <c r="T82" s="191"/>
      <c r="U82" s="195"/>
      <c r="V82" s="191"/>
      <c r="W82" s="191"/>
      <c r="X82" s="191"/>
      <c r="Y82" s="191"/>
      <c r="Z82" s="191"/>
      <c r="AA82" s="191"/>
      <c r="AB82" s="191"/>
      <c r="AC82" s="191"/>
      <c r="AD82" s="190"/>
      <c r="AE82" s="191"/>
      <c r="AF82" s="191"/>
      <c r="AG82" s="191">
        <v>1</v>
      </c>
      <c r="AH82" s="210">
        <f t="shared" si="54"/>
        <v>1</v>
      </c>
      <c r="AI82" s="191"/>
      <c r="AJ82" s="191">
        <f t="shared" si="55"/>
        <v>0</v>
      </c>
      <c r="AK82" s="191">
        <f ca="1">IF(AI82&gt;=AJ82,INT($F82/5)+1-SUM(AB82:AG82),INT($F82/5)+1-(SUM(V82:AG82)-AI82))</f>
        <v>0</v>
      </c>
      <c r="AL82" s="196"/>
      <c r="AM82" s="211">
        <v>2</v>
      </c>
      <c r="AN82" s="211"/>
      <c r="AO82" s="211"/>
      <c r="AP82" s="211"/>
      <c r="AQ82" s="211"/>
      <c r="AR82" s="211"/>
      <c r="AS82" s="211"/>
      <c r="AT82" s="211">
        <v>6</v>
      </c>
      <c r="AU82" s="211"/>
      <c r="AV82" s="211"/>
      <c r="AW82" s="211"/>
      <c r="AX82" s="211"/>
      <c r="AY82" s="210">
        <f t="shared" si="50"/>
        <v>8</v>
      </c>
      <c r="AZ82" s="148">
        <f t="shared" ca="1" si="56"/>
        <v>4</v>
      </c>
    </row>
    <row r="83" spans="2:52">
      <c r="B83" s="185" t="s">
        <v>1149</v>
      </c>
      <c r="C83" s="186">
        <v>42786</v>
      </c>
      <c r="D83" s="188"/>
      <c r="E83" s="189"/>
      <c r="F83" s="162"/>
      <c r="G83" s="162"/>
      <c r="H83" s="162"/>
      <c r="I83" s="191"/>
      <c r="J83" s="191"/>
      <c r="K83" s="191"/>
      <c r="L83" s="191"/>
      <c r="M83" s="191"/>
      <c r="N83" s="191"/>
      <c r="O83" s="191"/>
      <c r="P83" s="191"/>
      <c r="Q83" s="191"/>
      <c r="R83" s="191"/>
      <c r="S83" s="191"/>
      <c r="T83" s="191"/>
      <c r="U83" s="195"/>
      <c r="V83" s="191"/>
      <c r="W83" s="191"/>
      <c r="X83" s="191"/>
      <c r="Y83" s="191"/>
      <c r="Z83" s="191"/>
      <c r="AA83" s="191"/>
      <c r="AB83" s="191"/>
      <c r="AC83" s="191"/>
      <c r="AD83" s="190"/>
      <c r="AE83" s="191"/>
      <c r="AF83" s="191"/>
      <c r="AG83" s="191"/>
      <c r="AH83" s="210"/>
      <c r="AI83" s="191"/>
      <c r="AJ83" s="191"/>
      <c r="AK83" s="191"/>
      <c r="AL83" s="196"/>
      <c r="AM83" s="211"/>
      <c r="AN83" s="211"/>
      <c r="AO83" s="211"/>
      <c r="AP83" s="211"/>
      <c r="AQ83" s="211"/>
      <c r="AR83" s="211"/>
      <c r="AS83" s="211"/>
      <c r="AT83" s="211"/>
      <c r="AU83" s="211"/>
      <c r="AV83" s="211"/>
      <c r="AW83" s="211"/>
      <c r="AX83" s="211"/>
      <c r="AY83" s="210">
        <f t="shared" si="50"/>
        <v>0</v>
      </c>
      <c r="AZ83" s="148">
        <f t="shared" si="56"/>
        <v>12</v>
      </c>
    </row>
    <row r="84" spans="2:52">
      <c r="B84" s="185" t="s">
        <v>1150</v>
      </c>
      <c r="C84" s="186">
        <v>42842</v>
      </c>
      <c r="D84" s="188"/>
      <c r="E84" s="189"/>
      <c r="F84" s="162"/>
      <c r="G84" s="162"/>
      <c r="H84" s="162"/>
      <c r="I84" s="191"/>
      <c r="J84" s="191"/>
      <c r="K84" s="191"/>
      <c r="L84" s="191"/>
      <c r="M84" s="191"/>
      <c r="N84" s="191"/>
      <c r="O84" s="191"/>
      <c r="P84" s="191"/>
      <c r="Q84" s="191"/>
      <c r="R84" s="191"/>
      <c r="S84" s="191"/>
      <c r="T84" s="191"/>
      <c r="U84" s="195"/>
      <c r="V84" s="191"/>
      <c r="W84" s="191"/>
      <c r="X84" s="191"/>
      <c r="Y84" s="191"/>
      <c r="Z84" s="191"/>
      <c r="AA84" s="191"/>
      <c r="AB84" s="191"/>
      <c r="AC84" s="191"/>
      <c r="AD84" s="190"/>
      <c r="AE84" s="191"/>
      <c r="AF84" s="191"/>
      <c r="AG84" s="191"/>
      <c r="AH84" s="210"/>
      <c r="AI84" s="191"/>
      <c r="AJ84" s="191"/>
      <c r="AK84" s="191"/>
      <c r="AL84" s="196"/>
      <c r="AM84" s="211"/>
      <c r="AN84" s="211"/>
      <c r="AO84" s="211"/>
      <c r="AP84" s="211"/>
      <c r="AQ84" s="211"/>
      <c r="AR84" s="211"/>
      <c r="AS84" s="211">
        <v>1</v>
      </c>
      <c r="AT84" s="211">
        <v>3</v>
      </c>
      <c r="AU84" s="211"/>
      <c r="AV84" s="211">
        <v>2</v>
      </c>
      <c r="AW84" s="211"/>
      <c r="AX84" s="211"/>
      <c r="AY84" s="210">
        <f t="shared" si="50"/>
        <v>6</v>
      </c>
      <c r="AZ84" s="148">
        <f t="shared" si="56"/>
        <v>6</v>
      </c>
    </row>
    <row r="85" spans="2:52">
      <c r="B85" s="229" t="s">
        <v>1151</v>
      </c>
      <c r="C85" s="183"/>
      <c r="D85" s="183"/>
      <c r="E85" s="184"/>
      <c r="F85" s="183"/>
      <c r="G85" s="183"/>
      <c r="H85" s="183"/>
      <c r="I85" s="183"/>
      <c r="J85" s="183"/>
      <c r="K85" s="183"/>
      <c r="L85" s="183"/>
      <c r="M85" s="183"/>
      <c r="N85" s="183"/>
      <c r="O85" s="183"/>
      <c r="P85" s="183"/>
      <c r="Q85" s="183"/>
      <c r="R85" s="183"/>
      <c r="S85" s="183"/>
      <c r="T85" s="183"/>
      <c r="U85" s="200"/>
      <c r="V85" s="183"/>
      <c r="W85" s="183"/>
      <c r="X85" s="183"/>
      <c r="Y85" s="183"/>
      <c r="Z85" s="183"/>
      <c r="AA85" s="183"/>
      <c r="AB85" s="183"/>
      <c r="AC85" s="183"/>
      <c r="AD85" s="203"/>
      <c r="AE85" s="183"/>
      <c r="AF85" s="183"/>
      <c r="AG85" s="183"/>
      <c r="AH85" s="222"/>
      <c r="AI85" s="183"/>
      <c r="AJ85" s="183"/>
      <c r="AK85" s="183"/>
      <c r="AL85" s="221"/>
      <c r="AM85" s="186"/>
      <c r="AN85" s="186"/>
      <c r="AO85" s="186"/>
      <c r="AP85" s="186"/>
      <c r="AQ85" s="186"/>
      <c r="AR85" s="186"/>
      <c r="AS85" s="186"/>
      <c r="AT85" s="186"/>
      <c r="AU85" s="186"/>
      <c r="AV85" s="186"/>
      <c r="AW85" s="186"/>
      <c r="AX85" s="186"/>
      <c r="AY85" s="210">
        <f t="shared" si="50"/>
        <v>0</v>
      </c>
      <c r="AZ85" s="148">
        <f t="shared" si="56"/>
        <v>12</v>
      </c>
    </row>
    <row r="86" spans="2:52">
      <c r="B86" s="185" t="s">
        <v>1048</v>
      </c>
      <c r="C86" s="186">
        <v>41518</v>
      </c>
      <c r="D86" s="188"/>
      <c r="E86" s="189" t="s">
        <v>1152</v>
      </c>
      <c r="F86" s="162">
        <f t="shared" ref="F86:F95" ca="1" si="57">DATEDIF(C86,TODAY(),"Y")</f>
        <v>6</v>
      </c>
      <c r="G86" s="162">
        <f t="shared" ref="G86:G95" ca="1" si="58">DATEDIF(C86,TODAY(),"YM")</f>
        <v>1</v>
      </c>
      <c r="H86" s="162">
        <f t="shared" ref="H86:H95" ca="1" si="59">DATEDIF(C86,TODAY(),"MD")</f>
        <v>0</v>
      </c>
      <c r="I86" s="191"/>
      <c r="J86" s="191"/>
      <c r="K86" s="191"/>
      <c r="L86" s="191"/>
      <c r="M86" s="191"/>
      <c r="N86" s="191"/>
      <c r="O86" s="191"/>
      <c r="P86" s="191"/>
      <c r="Q86" s="191"/>
      <c r="R86" s="191"/>
      <c r="S86" s="191"/>
      <c r="T86" s="191"/>
      <c r="U86" s="195"/>
      <c r="V86" s="191"/>
      <c r="W86" s="191">
        <v>4</v>
      </c>
      <c r="X86" s="191"/>
      <c r="Y86" s="191">
        <v>1</v>
      </c>
      <c r="Z86" s="191"/>
      <c r="AA86" s="191"/>
      <c r="AB86" s="191"/>
      <c r="AC86" s="191"/>
      <c r="AD86" s="190">
        <v>1</v>
      </c>
      <c r="AE86" s="191"/>
      <c r="AF86" s="191"/>
      <c r="AG86" s="191"/>
      <c r="AH86" s="210">
        <f t="shared" ref="AH86:AH95" si="60">SUM(V86:AG86)</f>
        <v>6</v>
      </c>
      <c r="AI86" s="191"/>
      <c r="AJ86" s="191">
        <f t="shared" ref="AJ86:AJ95" si="61">SUM(V86:AA86)</f>
        <v>5</v>
      </c>
      <c r="AK86" s="191">
        <f ca="1">IF(AI86&gt;=AJ86,INT($F86/5)+$A$1-SUM(AB86:AG86),INT($F86/5)+$A$1-(SUM(V86:AG86)-AI86))</f>
        <v>7</v>
      </c>
      <c r="AL86" s="196"/>
      <c r="AM86" s="211"/>
      <c r="AN86" s="211"/>
      <c r="AO86" s="211"/>
      <c r="AP86" s="211"/>
      <c r="AQ86" s="211"/>
      <c r="AR86" s="211"/>
      <c r="AS86" s="211"/>
      <c r="AT86" s="211"/>
      <c r="AU86" s="211"/>
      <c r="AV86" s="211"/>
      <c r="AW86" s="211"/>
      <c r="AX86" s="211"/>
      <c r="AY86" s="210">
        <f t="shared" si="50"/>
        <v>0</v>
      </c>
      <c r="AZ86" s="148">
        <f t="shared" ca="1" si="56"/>
        <v>19</v>
      </c>
    </row>
    <row r="87" spans="2:52">
      <c r="B87" s="185" t="s">
        <v>1053</v>
      </c>
      <c r="C87" s="186">
        <v>41842</v>
      </c>
      <c r="D87" s="188"/>
      <c r="E87" s="189" t="s">
        <v>1084</v>
      </c>
      <c r="F87" s="162">
        <f t="shared" ca="1" si="57"/>
        <v>5</v>
      </c>
      <c r="G87" s="162">
        <f t="shared" ca="1" si="58"/>
        <v>2</v>
      </c>
      <c r="H87" s="162">
        <f t="shared" ca="1" si="59"/>
        <v>9</v>
      </c>
      <c r="I87" s="191"/>
      <c r="J87" s="191"/>
      <c r="K87" s="191"/>
      <c r="L87" s="191"/>
      <c r="M87" s="191"/>
      <c r="N87" s="191"/>
      <c r="O87" s="191"/>
      <c r="P87" s="191"/>
      <c r="Q87" s="191"/>
      <c r="R87" s="191"/>
      <c r="S87" s="191"/>
      <c r="T87" s="191"/>
      <c r="U87" s="195"/>
      <c r="V87" s="191">
        <v>1</v>
      </c>
      <c r="W87" s="191">
        <v>2</v>
      </c>
      <c r="X87" s="191">
        <v>1</v>
      </c>
      <c r="Y87" s="191"/>
      <c r="Z87" s="191"/>
      <c r="AA87" s="191">
        <v>1</v>
      </c>
      <c r="AB87" s="191">
        <v>1</v>
      </c>
      <c r="AC87" s="191">
        <v>1</v>
      </c>
      <c r="AD87" s="190"/>
      <c r="AE87" s="191">
        <v>3</v>
      </c>
      <c r="AF87" s="191"/>
      <c r="AG87" s="191">
        <v>1</v>
      </c>
      <c r="AH87" s="210">
        <f t="shared" si="60"/>
        <v>11</v>
      </c>
      <c r="AI87" s="191"/>
      <c r="AJ87" s="191">
        <f t="shared" si="61"/>
        <v>5</v>
      </c>
      <c r="AK87" s="191">
        <f ca="1">IF(AI87&gt;=AJ87,INT($F87/5)+$A$1-SUM(AB87:AG87),INT($F87/5)+$A$1-(SUM(V87:AG87)-AI87))</f>
        <v>2</v>
      </c>
      <c r="AL87" s="196"/>
      <c r="AM87" s="211">
        <v>3</v>
      </c>
      <c r="AN87" s="211"/>
      <c r="AO87" s="211">
        <v>1</v>
      </c>
      <c r="AP87" s="211"/>
      <c r="AQ87" s="211"/>
      <c r="AR87" s="211"/>
      <c r="AS87" s="211"/>
      <c r="AT87" s="211"/>
      <c r="AU87" s="211"/>
      <c r="AV87" s="211">
        <v>9</v>
      </c>
      <c r="AW87" s="211"/>
      <c r="AX87" s="211"/>
      <c r="AY87" s="228">
        <f t="shared" si="50"/>
        <v>13</v>
      </c>
      <c r="AZ87" s="148">
        <f t="shared" ca="1" si="56"/>
        <v>1</v>
      </c>
    </row>
    <row r="88" spans="2:52">
      <c r="B88" s="185" t="s">
        <v>1054</v>
      </c>
      <c r="C88" s="186">
        <v>41974</v>
      </c>
      <c r="D88" s="188"/>
      <c r="E88" s="189" t="s">
        <v>1084</v>
      </c>
      <c r="F88" s="162">
        <f t="shared" ca="1" si="57"/>
        <v>4</v>
      </c>
      <c r="G88" s="162">
        <f t="shared" ca="1" si="58"/>
        <v>10</v>
      </c>
      <c r="H88" s="162">
        <f t="shared" ca="1" si="59"/>
        <v>0</v>
      </c>
      <c r="I88" s="191"/>
      <c r="J88" s="191"/>
      <c r="K88" s="191"/>
      <c r="L88" s="191"/>
      <c r="M88" s="191"/>
      <c r="N88" s="191"/>
      <c r="O88" s="191"/>
      <c r="P88" s="191"/>
      <c r="Q88" s="191"/>
      <c r="R88" s="191"/>
      <c r="S88" s="191"/>
      <c r="T88" s="191"/>
      <c r="U88" s="195"/>
      <c r="V88" s="191"/>
      <c r="W88" s="191">
        <v>1</v>
      </c>
      <c r="X88" s="191">
        <v>1</v>
      </c>
      <c r="Y88" s="191">
        <v>1</v>
      </c>
      <c r="Z88" s="191">
        <v>1</v>
      </c>
      <c r="AA88" s="191">
        <v>1</v>
      </c>
      <c r="AB88" s="191">
        <v>1</v>
      </c>
      <c r="AC88" s="191"/>
      <c r="AD88" s="190">
        <v>1</v>
      </c>
      <c r="AE88" s="191"/>
      <c r="AF88" s="191">
        <v>5</v>
      </c>
      <c r="AG88" s="191"/>
      <c r="AH88" s="210">
        <f t="shared" si="60"/>
        <v>12</v>
      </c>
      <c r="AI88" s="191"/>
      <c r="AJ88" s="191">
        <f t="shared" si="61"/>
        <v>5</v>
      </c>
      <c r="AK88" s="191">
        <f ca="1">IF(AI88&gt;=AJ88,INT($F88/5)+$A$1-SUM(AB88:AG88),INT($F88/5)+$A$1-(SUM(V88:AG88)-AI88))</f>
        <v>0</v>
      </c>
      <c r="AL88" s="196"/>
      <c r="AM88" s="211"/>
      <c r="AN88" s="211"/>
      <c r="AO88" s="211"/>
      <c r="AP88" s="211">
        <v>2</v>
      </c>
      <c r="AQ88" s="211">
        <v>1</v>
      </c>
      <c r="AR88" s="211"/>
      <c r="AS88" s="211"/>
      <c r="AT88" s="211"/>
      <c r="AU88" s="211"/>
      <c r="AV88" s="211"/>
      <c r="AW88" s="211"/>
      <c r="AX88" s="211"/>
      <c r="AY88" s="210">
        <f t="shared" si="50"/>
        <v>3</v>
      </c>
      <c r="AZ88" s="148">
        <f t="shared" ca="1" si="56"/>
        <v>9</v>
      </c>
    </row>
    <row r="89" spans="2:52">
      <c r="B89" s="185" t="s">
        <v>1055</v>
      </c>
      <c r="C89" s="186">
        <v>41974</v>
      </c>
      <c r="D89" s="188"/>
      <c r="E89" s="189" t="s">
        <v>1084</v>
      </c>
      <c r="F89" s="162">
        <f t="shared" ca="1" si="57"/>
        <v>4</v>
      </c>
      <c r="G89" s="162">
        <f t="shared" ca="1" si="58"/>
        <v>10</v>
      </c>
      <c r="H89" s="162">
        <f t="shared" ca="1" si="59"/>
        <v>0</v>
      </c>
      <c r="I89" s="191"/>
      <c r="J89" s="191"/>
      <c r="K89" s="191"/>
      <c r="L89" s="191"/>
      <c r="M89" s="191"/>
      <c r="N89" s="191"/>
      <c r="O89" s="191"/>
      <c r="P89" s="191"/>
      <c r="Q89" s="191"/>
      <c r="R89" s="191"/>
      <c r="S89" s="191"/>
      <c r="T89" s="191"/>
      <c r="U89" s="195"/>
      <c r="V89" s="191"/>
      <c r="W89" s="191">
        <v>1</v>
      </c>
      <c r="X89" s="191">
        <v>1</v>
      </c>
      <c r="Y89" s="191">
        <v>1</v>
      </c>
      <c r="Z89" s="191"/>
      <c r="AA89" s="191"/>
      <c r="AB89" s="191"/>
      <c r="AC89" s="191">
        <v>2</v>
      </c>
      <c r="AD89" s="190">
        <v>1</v>
      </c>
      <c r="AE89" s="191">
        <v>1</v>
      </c>
      <c r="AF89" s="191">
        <v>5</v>
      </c>
      <c r="AG89" s="191"/>
      <c r="AH89" s="210">
        <f t="shared" si="60"/>
        <v>12</v>
      </c>
      <c r="AI89" s="191"/>
      <c r="AJ89" s="191">
        <f t="shared" si="61"/>
        <v>3</v>
      </c>
      <c r="AK89" s="191">
        <f ca="1">IF(AI89&gt;=AJ89,INT($F89/5)+$A$1-SUM(AB89:AG89),INT($F89/5)+$A$1-(SUM(V89:AG89)-AI89))</f>
        <v>0</v>
      </c>
      <c r="AL89" s="196"/>
      <c r="AM89" s="211">
        <v>1</v>
      </c>
      <c r="AN89" s="211">
        <v>2</v>
      </c>
      <c r="AO89" s="211"/>
      <c r="AP89" s="211">
        <v>1</v>
      </c>
      <c r="AQ89" s="211"/>
      <c r="AR89" s="211"/>
      <c r="AS89" s="211"/>
      <c r="AT89" s="211"/>
      <c r="AU89" s="211"/>
      <c r="AV89" s="211"/>
      <c r="AW89" s="211"/>
      <c r="AX89" s="211"/>
      <c r="AY89" s="210">
        <f t="shared" si="50"/>
        <v>4</v>
      </c>
      <c r="AZ89" s="148">
        <f t="shared" ca="1" si="56"/>
        <v>8</v>
      </c>
    </row>
    <row r="90" spans="2:52">
      <c r="B90" s="185" t="s">
        <v>1153</v>
      </c>
      <c r="C90" s="186">
        <v>42171</v>
      </c>
      <c r="D90" s="188"/>
      <c r="E90" s="189">
        <v>42614</v>
      </c>
      <c r="F90" s="162">
        <f t="shared" ca="1" si="57"/>
        <v>4</v>
      </c>
      <c r="G90" s="162">
        <f t="shared" ca="1" si="58"/>
        <v>3</v>
      </c>
      <c r="H90" s="162">
        <f t="shared" ca="1" si="59"/>
        <v>15</v>
      </c>
      <c r="I90" s="191"/>
      <c r="J90" s="191"/>
      <c r="K90" s="191"/>
      <c r="L90" s="191"/>
      <c r="M90" s="191"/>
      <c r="N90" s="191"/>
      <c r="O90" s="191"/>
      <c r="P90" s="191"/>
      <c r="Q90" s="191"/>
      <c r="R90" s="191"/>
      <c r="S90" s="191"/>
      <c r="T90" s="191"/>
      <c r="U90" s="195"/>
      <c r="V90" s="191"/>
      <c r="W90" s="191"/>
      <c r="X90" s="191"/>
      <c r="Y90" s="191"/>
      <c r="Z90" s="191"/>
      <c r="AA90" s="191">
        <v>1</v>
      </c>
      <c r="AB90" s="191"/>
      <c r="AC90" s="191"/>
      <c r="AD90" s="190"/>
      <c r="AE90" s="191"/>
      <c r="AF90" s="191"/>
      <c r="AG90" s="191"/>
      <c r="AH90" s="210">
        <f t="shared" si="60"/>
        <v>1</v>
      </c>
      <c r="AI90" s="191"/>
      <c r="AJ90" s="191">
        <f t="shared" si="61"/>
        <v>1</v>
      </c>
      <c r="AK90" s="191">
        <f ca="1">IF(AI90&gt;=AJ90,INT($F90/5)+$A$1-SUM(AB90:AG90),INT($F90/5)+$A$1-(SUM(V90:AG90)-AI90))</f>
        <v>11</v>
      </c>
      <c r="AL90" s="196"/>
      <c r="AM90" s="211">
        <v>1</v>
      </c>
      <c r="AN90" s="211">
        <v>1</v>
      </c>
      <c r="AO90" s="211">
        <v>2</v>
      </c>
      <c r="AP90" s="211">
        <v>1</v>
      </c>
      <c r="AQ90" s="211">
        <v>1</v>
      </c>
      <c r="AR90" s="211"/>
      <c r="AS90" s="211">
        <v>1</v>
      </c>
      <c r="AT90" s="211">
        <v>3</v>
      </c>
      <c r="AU90" s="211">
        <v>8</v>
      </c>
      <c r="AV90" s="211">
        <v>1</v>
      </c>
      <c r="AW90" s="211"/>
      <c r="AX90" s="211"/>
      <c r="AY90" s="210">
        <f t="shared" si="50"/>
        <v>19</v>
      </c>
      <c r="AZ90" s="148">
        <f t="shared" ca="1" si="56"/>
        <v>4</v>
      </c>
    </row>
    <row r="91" spans="2:52">
      <c r="B91" s="185" t="s">
        <v>1154</v>
      </c>
      <c r="C91" s="186">
        <v>42461</v>
      </c>
      <c r="D91" s="188"/>
      <c r="E91" s="189"/>
      <c r="F91" s="162">
        <f t="shared" ca="1" si="57"/>
        <v>3</v>
      </c>
      <c r="G91" s="162">
        <f t="shared" ca="1" si="58"/>
        <v>6</v>
      </c>
      <c r="H91" s="162">
        <f t="shared" ca="1" si="59"/>
        <v>0</v>
      </c>
      <c r="I91" s="191"/>
      <c r="J91" s="191"/>
      <c r="K91" s="191"/>
      <c r="L91" s="191"/>
      <c r="M91" s="191"/>
      <c r="N91" s="191"/>
      <c r="O91" s="191"/>
      <c r="P91" s="191"/>
      <c r="Q91" s="191"/>
      <c r="R91" s="191"/>
      <c r="S91" s="191"/>
      <c r="T91" s="191"/>
      <c r="U91" s="195"/>
      <c r="V91" s="191"/>
      <c r="W91" s="191"/>
      <c r="X91" s="191"/>
      <c r="Y91" s="191"/>
      <c r="Z91" s="191"/>
      <c r="AA91" s="191"/>
      <c r="AB91" s="191"/>
      <c r="AC91" s="191">
        <v>1</v>
      </c>
      <c r="AD91" s="190"/>
      <c r="AE91" s="191"/>
      <c r="AF91" s="191">
        <v>1</v>
      </c>
      <c r="AG91" s="191"/>
      <c r="AH91" s="210">
        <f t="shared" si="60"/>
        <v>2</v>
      </c>
      <c r="AI91" s="191"/>
      <c r="AJ91" s="191">
        <f t="shared" si="61"/>
        <v>0</v>
      </c>
      <c r="AK91" s="191">
        <f t="shared" ref="AK91:AK93" ca="1" si="62">IF(AI91&gt;=AJ91,INT($F91/5)+7-SUM(AB91:AG91),INT($F91/5)+7-(SUM(V91:AG91)-AI91))</f>
        <v>5</v>
      </c>
      <c r="AL91" s="196"/>
      <c r="AM91" s="211">
        <v>2</v>
      </c>
      <c r="AN91" s="211"/>
      <c r="AO91" s="211">
        <v>2</v>
      </c>
      <c r="AP91" s="211"/>
      <c r="AQ91" s="211">
        <v>2</v>
      </c>
      <c r="AR91" s="211">
        <v>6</v>
      </c>
      <c r="AS91" s="211">
        <v>1</v>
      </c>
      <c r="AT91" s="211">
        <v>0</v>
      </c>
      <c r="AU91" s="211">
        <v>2</v>
      </c>
      <c r="AV91" s="211"/>
      <c r="AW91" s="211"/>
      <c r="AX91" s="211"/>
      <c r="AY91" s="210">
        <f t="shared" si="50"/>
        <v>15</v>
      </c>
      <c r="AZ91" s="148">
        <f t="shared" ca="1" si="56"/>
        <v>2</v>
      </c>
    </row>
    <row r="92" spans="2:52">
      <c r="B92" s="185" t="s">
        <v>1155</v>
      </c>
      <c r="C92" s="186">
        <v>42461</v>
      </c>
      <c r="D92" s="188"/>
      <c r="E92" s="189"/>
      <c r="F92" s="162">
        <f t="shared" ca="1" si="57"/>
        <v>3</v>
      </c>
      <c r="G92" s="162">
        <f t="shared" ca="1" si="58"/>
        <v>6</v>
      </c>
      <c r="H92" s="162">
        <f t="shared" ca="1" si="59"/>
        <v>0</v>
      </c>
      <c r="I92" s="191"/>
      <c r="J92" s="191"/>
      <c r="K92" s="191"/>
      <c r="L92" s="191"/>
      <c r="M92" s="191"/>
      <c r="N92" s="191"/>
      <c r="O92" s="191"/>
      <c r="P92" s="191"/>
      <c r="Q92" s="191"/>
      <c r="R92" s="191"/>
      <c r="S92" s="191"/>
      <c r="T92" s="191"/>
      <c r="U92" s="195"/>
      <c r="V92" s="191"/>
      <c r="W92" s="191"/>
      <c r="X92" s="191"/>
      <c r="Y92" s="191"/>
      <c r="Z92" s="191"/>
      <c r="AA92" s="251"/>
      <c r="AB92" s="191"/>
      <c r="AC92" s="191">
        <v>1</v>
      </c>
      <c r="AD92" s="190">
        <v>1</v>
      </c>
      <c r="AE92" s="191">
        <v>2</v>
      </c>
      <c r="AF92" s="191">
        <v>2</v>
      </c>
      <c r="AG92" s="191">
        <v>1</v>
      </c>
      <c r="AH92" s="210">
        <f t="shared" si="60"/>
        <v>7</v>
      </c>
      <c r="AI92" s="191"/>
      <c r="AJ92" s="191">
        <f t="shared" si="61"/>
        <v>0</v>
      </c>
      <c r="AK92" s="191">
        <f t="shared" ca="1" si="62"/>
        <v>0</v>
      </c>
      <c r="AL92" s="196"/>
      <c r="AM92" s="211">
        <v>1</v>
      </c>
      <c r="AN92" s="211">
        <v>1</v>
      </c>
      <c r="AO92" s="211"/>
      <c r="AP92" s="211"/>
      <c r="AQ92" s="211"/>
      <c r="AR92" s="211"/>
      <c r="AS92" s="211">
        <v>1</v>
      </c>
      <c r="AT92" s="211"/>
      <c r="AU92" s="211"/>
      <c r="AV92" s="211"/>
      <c r="AW92" s="211"/>
      <c r="AX92" s="211"/>
      <c r="AY92" s="210">
        <f t="shared" si="50"/>
        <v>3</v>
      </c>
      <c r="AZ92" s="148">
        <f t="shared" ca="1" si="56"/>
        <v>9</v>
      </c>
    </row>
    <row r="93" spans="2:52">
      <c r="B93" s="185" t="s">
        <v>1156</v>
      </c>
      <c r="C93" s="186">
        <v>42450</v>
      </c>
      <c r="D93" s="188"/>
      <c r="E93" s="189"/>
      <c r="F93" s="162">
        <f t="shared" ca="1" si="57"/>
        <v>3</v>
      </c>
      <c r="G93" s="162">
        <f t="shared" ca="1" si="58"/>
        <v>6</v>
      </c>
      <c r="H93" s="162">
        <f t="shared" ca="1" si="59"/>
        <v>10</v>
      </c>
      <c r="I93" s="191"/>
      <c r="J93" s="191"/>
      <c r="K93" s="191"/>
      <c r="L93" s="191"/>
      <c r="M93" s="191"/>
      <c r="N93" s="191"/>
      <c r="O93" s="191"/>
      <c r="P93" s="191"/>
      <c r="Q93" s="191"/>
      <c r="R93" s="191"/>
      <c r="S93" s="191"/>
      <c r="T93" s="191"/>
      <c r="U93" s="195"/>
      <c r="V93" s="191"/>
      <c r="W93" s="191"/>
      <c r="X93" s="191"/>
      <c r="Y93" s="191"/>
      <c r="Z93" s="191"/>
      <c r="AA93" s="191"/>
      <c r="AB93" s="191"/>
      <c r="AC93" s="191"/>
      <c r="AD93" s="190"/>
      <c r="AE93" s="191"/>
      <c r="AF93" s="191"/>
      <c r="AG93" s="191"/>
      <c r="AH93" s="210">
        <f t="shared" si="60"/>
        <v>0</v>
      </c>
      <c r="AI93" s="191"/>
      <c r="AJ93" s="191">
        <f t="shared" si="61"/>
        <v>0</v>
      </c>
      <c r="AK93" s="191">
        <f t="shared" ca="1" si="62"/>
        <v>7</v>
      </c>
      <c r="AL93" s="196"/>
      <c r="AM93" s="211"/>
      <c r="AN93" s="211"/>
      <c r="AO93" s="211">
        <v>4</v>
      </c>
      <c r="AP93" s="211"/>
      <c r="AQ93" s="211"/>
      <c r="AR93" s="211"/>
      <c r="AS93" s="211"/>
      <c r="AT93" s="211"/>
      <c r="AU93" s="211"/>
      <c r="AV93" s="211"/>
      <c r="AW93" s="211"/>
      <c r="AX93" s="211"/>
      <c r="AY93" s="210">
        <f t="shared" si="50"/>
        <v>4</v>
      </c>
      <c r="AZ93" s="148">
        <f t="shared" ca="1" si="56"/>
        <v>15</v>
      </c>
    </row>
    <row r="94" spans="2:52">
      <c r="B94" s="185" t="s">
        <v>1157</v>
      </c>
      <c r="C94" s="186">
        <v>42492</v>
      </c>
      <c r="D94" s="188"/>
      <c r="E94" s="189"/>
      <c r="F94" s="162">
        <f t="shared" ca="1" si="57"/>
        <v>3</v>
      </c>
      <c r="G94" s="162">
        <f t="shared" ca="1" si="58"/>
        <v>4</v>
      </c>
      <c r="H94" s="162">
        <f t="shared" ca="1" si="59"/>
        <v>29</v>
      </c>
      <c r="I94" s="191"/>
      <c r="J94" s="191"/>
      <c r="K94" s="191"/>
      <c r="L94" s="191"/>
      <c r="M94" s="191"/>
      <c r="N94" s="191"/>
      <c r="O94" s="191"/>
      <c r="P94" s="191"/>
      <c r="Q94" s="191"/>
      <c r="R94" s="191"/>
      <c r="S94" s="191"/>
      <c r="T94" s="191"/>
      <c r="U94" s="195"/>
      <c r="V94" s="191"/>
      <c r="W94" s="191"/>
      <c r="X94" s="191"/>
      <c r="Y94" s="191"/>
      <c r="Z94" s="191"/>
      <c r="AA94" s="191"/>
      <c r="AB94" s="251"/>
      <c r="AC94" s="191"/>
      <c r="AD94" s="190">
        <v>1</v>
      </c>
      <c r="AE94" s="191">
        <v>2</v>
      </c>
      <c r="AF94" s="191"/>
      <c r="AG94" s="191">
        <v>1</v>
      </c>
      <c r="AH94" s="210">
        <f t="shared" si="60"/>
        <v>4</v>
      </c>
      <c r="AI94" s="191"/>
      <c r="AJ94" s="191">
        <f t="shared" si="61"/>
        <v>0</v>
      </c>
      <c r="AK94" s="191">
        <f ca="1">IF(AI94&gt;=AJ94,INT($F94/5)+6-SUM(AB94:AG94),INT($F94/5)+6-(SUM(V94:AG94)-AI94))</f>
        <v>2</v>
      </c>
      <c r="AL94" s="196"/>
      <c r="AM94" s="211">
        <v>2</v>
      </c>
      <c r="AN94" s="211"/>
      <c r="AO94" s="211"/>
      <c r="AP94" s="211"/>
      <c r="AQ94" s="211">
        <v>1</v>
      </c>
      <c r="AR94" s="211"/>
      <c r="AS94" s="211">
        <v>4</v>
      </c>
      <c r="AT94" s="211"/>
      <c r="AU94" s="211">
        <v>1</v>
      </c>
      <c r="AV94" s="211"/>
      <c r="AW94" s="211">
        <v>2</v>
      </c>
      <c r="AX94" s="211"/>
      <c r="AY94" s="210">
        <f t="shared" si="50"/>
        <v>10</v>
      </c>
      <c r="AZ94" s="148">
        <f t="shared" ca="1" si="56"/>
        <v>4</v>
      </c>
    </row>
    <row r="95" spans="2:52">
      <c r="B95" s="185" t="s">
        <v>1158</v>
      </c>
      <c r="C95" s="186">
        <v>42492</v>
      </c>
      <c r="D95" s="188"/>
      <c r="E95" s="189"/>
      <c r="F95" s="162">
        <f t="shared" ca="1" si="57"/>
        <v>3</v>
      </c>
      <c r="G95" s="162">
        <f t="shared" ca="1" si="58"/>
        <v>4</v>
      </c>
      <c r="H95" s="162">
        <f t="shared" ca="1" si="59"/>
        <v>29</v>
      </c>
      <c r="I95" s="191"/>
      <c r="J95" s="191"/>
      <c r="K95" s="191"/>
      <c r="L95" s="191"/>
      <c r="M95" s="191"/>
      <c r="N95" s="191"/>
      <c r="O95" s="191"/>
      <c r="P95" s="191"/>
      <c r="Q95" s="191"/>
      <c r="R95" s="191"/>
      <c r="S95" s="191"/>
      <c r="T95" s="191"/>
      <c r="U95" s="195"/>
      <c r="V95" s="191"/>
      <c r="W95" s="191"/>
      <c r="X95" s="191"/>
      <c r="Y95" s="191"/>
      <c r="Z95" s="191"/>
      <c r="AA95" s="191"/>
      <c r="AB95" s="191"/>
      <c r="AC95" s="191">
        <v>1</v>
      </c>
      <c r="AD95" s="190">
        <v>1</v>
      </c>
      <c r="AE95" s="191"/>
      <c r="AF95" s="191">
        <v>1</v>
      </c>
      <c r="AG95" s="191"/>
      <c r="AH95" s="210">
        <f t="shared" si="60"/>
        <v>3</v>
      </c>
      <c r="AI95" s="191"/>
      <c r="AJ95" s="191">
        <f t="shared" si="61"/>
        <v>0</v>
      </c>
      <c r="AK95" s="191">
        <f ca="1">IF(AI95&gt;=AJ95,INT($F95/5)+6-SUM(AB95:AG95),INT($F95/5)+6-(SUM(V95:AG95)-AI95))</f>
        <v>3</v>
      </c>
      <c r="AL95" s="196"/>
      <c r="AM95" s="211"/>
      <c r="AN95" s="211">
        <v>1</v>
      </c>
      <c r="AO95" s="211"/>
      <c r="AP95" s="211">
        <v>1</v>
      </c>
      <c r="AQ95" s="211">
        <v>2</v>
      </c>
      <c r="AR95" s="211"/>
      <c r="AS95" s="211"/>
      <c r="AT95" s="211">
        <v>1</v>
      </c>
      <c r="AU95" s="211">
        <v>1</v>
      </c>
      <c r="AV95" s="211">
        <v>8</v>
      </c>
      <c r="AW95" s="211">
        <v>1</v>
      </c>
      <c r="AX95" s="211"/>
      <c r="AY95" s="210">
        <f t="shared" si="50"/>
        <v>15</v>
      </c>
      <c r="AZ95" s="148">
        <f t="shared" ca="1" si="56"/>
        <v>0</v>
      </c>
    </row>
    <row r="96" spans="2:52">
      <c r="B96" s="185" t="s">
        <v>1159</v>
      </c>
      <c r="C96" s="186">
        <v>42807</v>
      </c>
      <c r="D96" s="188"/>
      <c r="E96" s="189"/>
      <c r="F96" s="162"/>
      <c r="G96" s="162"/>
      <c r="H96" s="162"/>
      <c r="I96" s="191"/>
      <c r="J96" s="191"/>
      <c r="K96" s="191"/>
      <c r="L96" s="191"/>
      <c r="M96" s="191"/>
      <c r="N96" s="191"/>
      <c r="O96" s="191"/>
      <c r="P96" s="191"/>
      <c r="Q96" s="191"/>
      <c r="R96" s="191"/>
      <c r="S96" s="191"/>
      <c r="T96" s="191"/>
      <c r="U96" s="195"/>
      <c r="V96" s="191"/>
      <c r="W96" s="191"/>
      <c r="X96" s="191"/>
      <c r="Y96" s="191"/>
      <c r="Z96" s="191"/>
      <c r="AA96" s="191"/>
      <c r="AB96" s="191"/>
      <c r="AC96" s="191"/>
      <c r="AD96" s="190"/>
      <c r="AE96" s="191"/>
      <c r="AF96" s="191"/>
      <c r="AG96" s="191"/>
      <c r="AH96" s="210"/>
      <c r="AI96" s="191"/>
      <c r="AJ96" s="191"/>
      <c r="AK96" s="191"/>
      <c r="AL96" s="196"/>
      <c r="AM96" s="211"/>
      <c r="AN96" s="211"/>
      <c r="AO96" s="211"/>
      <c r="AP96" s="211"/>
      <c r="AQ96" s="211"/>
      <c r="AR96" s="211"/>
      <c r="AS96" s="211"/>
      <c r="AT96" s="211">
        <v>1</v>
      </c>
      <c r="AU96" s="211"/>
      <c r="AV96" s="211"/>
      <c r="AW96" s="211"/>
      <c r="AX96" s="211"/>
      <c r="AY96" s="210">
        <f t="shared" ref="AY96:AY103" si="63">SUM(AM96:AX96)</f>
        <v>1</v>
      </c>
      <c r="AZ96" s="148">
        <f t="shared" si="56"/>
        <v>11</v>
      </c>
    </row>
    <row r="97" spans="2:52">
      <c r="B97" s="185" t="s">
        <v>1160</v>
      </c>
      <c r="C97" s="186">
        <v>42808</v>
      </c>
      <c r="D97" s="188"/>
      <c r="E97" s="189"/>
      <c r="F97" s="162"/>
      <c r="G97" s="162"/>
      <c r="H97" s="162"/>
      <c r="I97" s="191"/>
      <c r="J97" s="191"/>
      <c r="K97" s="191"/>
      <c r="L97" s="191"/>
      <c r="M97" s="191"/>
      <c r="N97" s="191"/>
      <c r="O97" s="191"/>
      <c r="P97" s="191"/>
      <c r="Q97" s="191"/>
      <c r="R97" s="191"/>
      <c r="S97" s="191"/>
      <c r="T97" s="191"/>
      <c r="U97" s="195"/>
      <c r="V97" s="191"/>
      <c r="W97" s="191"/>
      <c r="X97" s="191"/>
      <c r="Y97" s="191"/>
      <c r="Z97" s="191"/>
      <c r="AA97" s="191"/>
      <c r="AB97" s="191"/>
      <c r="AC97" s="191"/>
      <c r="AD97" s="190"/>
      <c r="AE97" s="191"/>
      <c r="AF97" s="191"/>
      <c r="AG97" s="191"/>
      <c r="AH97" s="210"/>
      <c r="AI97" s="191"/>
      <c r="AJ97" s="191"/>
      <c r="AK97" s="191"/>
      <c r="AL97" s="196"/>
      <c r="AM97" s="211"/>
      <c r="AN97" s="211"/>
      <c r="AO97" s="211"/>
      <c r="AP97" s="211"/>
      <c r="AQ97" s="211"/>
      <c r="AR97" s="211"/>
      <c r="AS97" s="211"/>
      <c r="AT97" s="211"/>
      <c r="AU97" s="211"/>
      <c r="AV97" s="211">
        <v>1</v>
      </c>
      <c r="AW97" s="211">
        <v>1</v>
      </c>
      <c r="AX97" s="211"/>
      <c r="AY97" s="210">
        <f t="shared" si="63"/>
        <v>2</v>
      </c>
      <c r="AZ97" s="148">
        <f t="shared" si="56"/>
        <v>10</v>
      </c>
    </row>
    <row r="98" spans="2:52">
      <c r="B98" s="185" t="s">
        <v>1155</v>
      </c>
      <c r="C98" s="186">
        <v>42887</v>
      </c>
      <c r="D98" s="188"/>
      <c r="E98" s="189"/>
      <c r="F98" s="162"/>
      <c r="G98" s="162"/>
      <c r="H98" s="162"/>
      <c r="I98" s="191"/>
      <c r="J98" s="191"/>
      <c r="K98" s="191"/>
      <c r="L98" s="191"/>
      <c r="M98" s="191"/>
      <c r="N98" s="191"/>
      <c r="O98" s="191"/>
      <c r="P98" s="191"/>
      <c r="Q98" s="191"/>
      <c r="R98" s="191"/>
      <c r="S98" s="191"/>
      <c r="T98" s="191"/>
      <c r="U98" s="195"/>
      <c r="V98" s="191"/>
      <c r="W98" s="191"/>
      <c r="X98" s="191"/>
      <c r="Y98" s="191"/>
      <c r="Z98" s="191"/>
      <c r="AA98" s="191"/>
      <c r="AB98" s="191"/>
      <c r="AC98" s="191"/>
      <c r="AD98" s="190"/>
      <c r="AE98" s="191"/>
      <c r="AF98" s="191"/>
      <c r="AG98" s="191"/>
      <c r="AH98" s="210"/>
      <c r="AI98" s="191"/>
      <c r="AJ98" s="191"/>
      <c r="AK98" s="191"/>
      <c r="AL98" s="196"/>
      <c r="AM98" s="211"/>
      <c r="AN98" s="211"/>
      <c r="AO98" s="211"/>
      <c r="AP98" s="211"/>
      <c r="AQ98" s="211"/>
      <c r="AR98" s="211"/>
      <c r="AS98" s="211"/>
      <c r="AT98" s="211"/>
      <c r="AU98" s="211">
        <v>1</v>
      </c>
      <c r="AV98" s="211">
        <v>2</v>
      </c>
      <c r="AW98" s="211">
        <v>3</v>
      </c>
      <c r="AX98" s="211"/>
      <c r="AY98" s="210">
        <f t="shared" si="63"/>
        <v>6</v>
      </c>
      <c r="AZ98" s="148">
        <f t="shared" si="56"/>
        <v>6</v>
      </c>
    </row>
    <row r="99" spans="2:52">
      <c r="B99" s="185" t="s">
        <v>1161</v>
      </c>
      <c r="C99" s="186">
        <v>42877</v>
      </c>
      <c r="D99" s="188"/>
      <c r="E99" s="189"/>
      <c r="F99" s="162"/>
      <c r="G99" s="162"/>
      <c r="H99" s="162"/>
      <c r="I99" s="191"/>
      <c r="J99" s="191"/>
      <c r="K99" s="191"/>
      <c r="L99" s="191"/>
      <c r="M99" s="191"/>
      <c r="N99" s="191"/>
      <c r="O99" s="191"/>
      <c r="P99" s="191"/>
      <c r="Q99" s="191"/>
      <c r="R99" s="191"/>
      <c r="S99" s="191"/>
      <c r="T99" s="191"/>
      <c r="U99" s="195"/>
      <c r="V99" s="191"/>
      <c r="W99" s="191"/>
      <c r="X99" s="191"/>
      <c r="Y99" s="191"/>
      <c r="Z99" s="191"/>
      <c r="AA99" s="191"/>
      <c r="AB99" s="191"/>
      <c r="AC99" s="191"/>
      <c r="AD99" s="190"/>
      <c r="AE99" s="191"/>
      <c r="AF99" s="191"/>
      <c r="AG99" s="191"/>
      <c r="AH99" s="210"/>
      <c r="AI99" s="191"/>
      <c r="AJ99" s="191"/>
      <c r="AK99" s="191"/>
      <c r="AL99" s="196"/>
      <c r="AM99" s="211"/>
      <c r="AN99" s="211"/>
      <c r="AO99" s="211"/>
      <c r="AP99" s="211"/>
      <c r="AQ99" s="211"/>
      <c r="AR99" s="211"/>
      <c r="AS99" s="211"/>
      <c r="AT99" s="211"/>
      <c r="AU99" s="211"/>
      <c r="AV99" s="211">
        <v>1</v>
      </c>
      <c r="AW99" s="211"/>
      <c r="AX99" s="211"/>
      <c r="AY99" s="210">
        <f t="shared" si="63"/>
        <v>1</v>
      </c>
      <c r="AZ99" s="148">
        <f t="shared" si="56"/>
        <v>11</v>
      </c>
    </row>
    <row r="100" spans="2:52">
      <c r="B100" s="185" t="s">
        <v>1162</v>
      </c>
      <c r="C100" s="186">
        <v>42970</v>
      </c>
      <c r="D100" s="188"/>
      <c r="E100" s="189"/>
      <c r="F100" s="162"/>
      <c r="G100" s="162"/>
      <c r="H100" s="162"/>
      <c r="I100" s="191"/>
      <c r="J100" s="191"/>
      <c r="K100" s="191"/>
      <c r="L100" s="191"/>
      <c r="M100" s="191"/>
      <c r="N100" s="191"/>
      <c r="O100" s="191"/>
      <c r="P100" s="191"/>
      <c r="Q100" s="191"/>
      <c r="R100" s="191"/>
      <c r="S100" s="191"/>
      <c r="T100" s="191"/>
      <c r="U100" s="195"/>
      <c r="V100" s="191"/>
      <c r="W100" s="191"/>
      <c r="X100" s="191"/>
      <c r="Y100" s="191"/>
      <c r="Z100" s="191"/>
      <c r="AA100" s="191"/>
      <c r="AB100" s="191"/>
      <c r="AC100" s="191"/>
      <c r="AD100" s="190"/>
      <c r="AE100" s="191"/>
      <c r="AF100" s="191"/>
      <c r="AG100" s="191"/>
      <c r="AH100" s="210"/>
      <c r="AI100" s="191"/>
      <c r="AJ100" s="191"/>
      <c r="AK100" s="191"/>
      <c r="AL100" s="196"/>
      <c r="AM100" s="211"/>
      <c r="AN100" s="211"/>
      <c r="AO100" s="211"/>
      <c r="AP100" s="211"/>
      <c r="AQ100" s="211"/>
      <c r="AR100" s="211"/>
      <c r="AS100" s="211"/>
      <c r="AT100" s="211"/>
      <c r="AU100" s="211"/>
      <c r="AV100" s="211"/>
      <c r="AW100" s="211">
        <v>2</v>
      </c>
      <c r="AX100" s="211"/>
      <c r="AY100" s="210">
        <f t="shared" si="63"/>
        <v>2</v>
      </c>
      <c r="AZ100" s="148">
        <f t="shared" si="56"/>
        <v>10</v>
      </c>
    </row>
    <row r="101" spans="2:52">
      <c r="B101" s="229" t="s">
        <v>1163</v>
      </c>
      <c r="C101" s="183"/>
      <c r="D101" s="183"/>
      <c r="E101" s="184"/>
      <c r="F101" s="183"/>
      <c r="G101" s="183"/>
      <c r="H101" s="183"/>
      <c r="I101" s="183"/>
      <c r="J101" s="183"/>
      <c r="K101" s="183"/>
      <c r="L101" s="183"/>
      <c r="M101" s="183"/>
      <c r="N101" s="183"/>
      <c r="O101" s="183"/>
      <c r="P101" s="183"/>
      <c r="Q101" s="183"/>
      <c r="R101" s="183"/>
      <c r="S101" s="183"/>
      <c r="T101" s="183"/>
      <c r="U101" s="200"/>
      <c r="V101" s="183"/>
      <c r="W101" s="183"/>
      <c r="X101" s="183"/>
      <c r="Y101" s="183"/>
      <c r="Z101" s="183"/>
      <c r="AA101" s="183"/>
      <c r="AB101" s="183"/>
      <c r="AC101" s="183"/>
      <c r="AD101" s="203"/>
      <c r="AE101" s="183"/>
      <c r="AF101" s="183"/>
      <c r="AG101" s="183"/>
      <c r="AH101" s="222"/>
      <c r="AI101" s="183"/>
      <c r="AJ101" s="183"/>
      <c r="AK101" s="183"/>
      <c r="AL101" s="221"/>
      <c r="AM101" s="186"/>
      <c r="AN101" s="186"/>
      <c r="AO101" s="186"/>
      <c r="AP101" s="186"/>
      <c r="AQ101" s="186"/>
      <c r="AR101" s="186"/>
      <c r="AS101" s="186"/>
      <c r="AT101" s="186"/>
      <c r="AU101" s="186"/>
      <c r="AV101" s="186"/>
      <c r="AW101" s="186"/>
      <c r="AX101" s="186"/>
      <c r="AY101" s="210">
        <f t="shared" si="63"/>
        <v>0</v>
      </c>
      <c r="AZ101" s="148">
        <f t="shared" si="56"/>
        <v>12</v>
      </c>
    </row>
    <row r="102" spans="2:52">
      <c r="B102" s="235" t="s">
        <v>1056</v>
      </c>
      <c r="C102" s="236">
        <v>41948</v>
      </c>
      <c r="D102" s="237"/>
      <c r="E102" s="238" t="s">
        <v>1115</v>
      </c>
      <c r="F102" s="239">
        <f ca="1">DATEDIF(C102,TODAY(),"Y")</f>
        <v>4</v>
      </c>
      <c r="G102" s="239">
        <f ca="1">DATEDIF(C102,TODAY(),"YM")</f>
        <v>10</v>
      </c>
      <c r="H102" s="239">
        <f ca="1">DATEDIF(C102,TODAY(),"MD")</f>
        <v>26</v>
      </c>
      <c r="I102" s="247"/>
      <c r="J102" s="247"/>
      <c r="K102" s="247"/>
      <c r="L102" s="247"/>
      <c r="M102" s="247"/>
      <c r="N102" s="247"/>
      <c r="O102" s="247"/>
      <c r="P102" s="247"/>
      <c r="Q102" s="247"/>
      <c r="R102" s="247"/>
      <c r="S102" s="247"/>
      <c r="T102" s="247"/>
      <c r="U102" s="249"/>
      <c r="V102" s="247"/>
      <c r="W102" s="247"/>
      <c r="X102" s="247">
        <v>1</v>
      </c>
      <c r="Y102" s="247"/>
      <c r="Z102" s="247"/>
      <c r="AA102" s="247"/>
      <c r="AB102" s="247"/>
      <c r="AC102" s="247"/>
      <c r="AD102" s="252"/>
      <c r="AE102" s="247"/>
      <c r="AF102" s="247">
        <v>1</v>
      </c>
      <c r="AG102" s="247"/>
      <c r="AH102" s="256">
        <f>SUM(V102:AG102)</f>
        <v>2</v>
      </c>
      <c r="AI102" s="247"/>
      <c r="AJ102" s="247">
        <f>SUM(V102:AA102)</f>
        <v>1</v>
      </c>
      <c r="AK102" s="247">
        <f ca="1">IF(AI102&gt;=AJ102,INT($F102/5)+$A$1-SUM(AB102:AG102),INT($F102/5)+$A$1-(SUM(V102:AG102)-AI102))</f>
        <v>10</v>
      </c>
      <c r="AL102" s="257"/>
      <c r="AM102" s="258"/>
      <c r="AN102" s="258"/>
      <c r="AO102" s="258"/>
      <c r="AP102" s="258"/>
      <c r="AQ102" s="258"/>
      <c r="AR102" s="258"/>
      <c r="AS102" s="258"/>
      <c r="AT102" s="258"/>
      <c r="AU102" s="258"/>
      <c r="AV102" s="258"/>
      <c r="AW102" s="258"/>
      <c r="AX102" s="258"/>
      <c r="AY102" s="210">
        <f t="shared" si="63"/>
        <v>0</v>
      </c>
      <c r="AZ102" s="148">
        <f t="shared" ca="1" si="56"/>
        <v>22</v>
      </c>
    </row>
    <row r="103" spans="2:52">
      <c r="B103" s="185" t="s">
        <v>1058</v>
      </c>
      <c r="C103" s="186">
        <v>41831</v>
      </c>
      <c r="D103" s="188"/>
      <c r="E103" s="189" t="s">
        <v>1084</v>
      </c>
      <c r="F103" s="162">
        <f ca="1">DATEDIF(C103,TODAY(),"Y")</f>
        <v>5</v>
      </c>
      <c r="G103" s="162">
        <f ca="1">DATEDIF(C103,TODAY(),"YM")</f>
        <v>2</v>
      </c>
      <c r="H103" s="162">
        <f ca="1">DATEDIF(C103,TODAY(),"MD")</f>
        <v>20</v>
      </c>
      <c r="I103" s="191"/>
      <c r="J103" s="191"/>
      <c r="K103" s="191"/>
      <c r="L103" s="191"/>
      <c r="M103" s="191"/>
      <c r="N103" s="191"/>
      <c r="O103" s="191"/>
      <c r="P103" s="191"/>
      <c r="Q103" s="191"/>
      <c r="R103" s="191"/>
      <c r="S103" s="191"/>
      <c r="T103" s="191"/>
      <c r="U103" s="195"/>
      <c r="V103" s="191"/>
      <c r="W103" s="191">
        <v>1</v>
      </c>
      <c r="X103" s="191"/>
      <c r="Y103" s="191"/>
      <c r="Z103" s="191"/>
      <c r="AA103" s="191"/>
      <c r="AB103" s="191"/>
      <c r="AC103" s="191"/>
      <c r="AD103" s="190"/>
      <c r="AE103" s="191"/>
      <c r="AF103" s="191">
        <v>2</v>
      </c>
      <c r="AG103" s="191"/>
      <c r="AH103" s="210">
        <f>SUM(V103:AG103)</f>
        <v>3</v>
      </c>
      <c r="AI103" s="191"/>
      <c r="AJ103" s="191">
        <f>SUM(V103:AA103)</f>
        <v>1</v>
      </c>
      <c r="AK103" s="191">
        <f ca="1">IF(AI103&gt;=AJ103,INT($F103/5)+$A$1-SUM(AB103:AG103),INT($F103/5)+$A$1-(SUM(V103:AG103)-AI103))</f>
        <v>10</v>
      </c>
      <c r="AL103" s="196"/>
      <c r="AM103" s="211">
        <v>1</v>
      </c>
      <c r="AN103" s="211"/>
      <c r="AO103" s="211"/>
      <c r="AP103" s="211"/>
      <c r="AQ103" s="211"/>
      <c r="AR103" s="211"/>
      <c r="AS103" s="211"/>
      <c r="AT103" s="211"/>
      <c r="AU103" s="211">
        <v>2</v>
      </c>
      <c r="AV103" s="211"/>
      <c r="AW103" s="211"/>
      <c r="AX103" s="211"/>
      <c r="AY103" s="210">
        <f t="shared" si="63"/>
        <v>3</v>
      </c>
      <c r="AZ103" s="148">
        <f t="shared" ca="1" si="56"/>
        <v>19</v>
      </c>
    </row>
    <row r="104" spans="2:52">
      <c r="B104" s="185" t="s">
        <v>1164</v>
      </c>
      <c r="C104" s="186">
        <v>42331</v>
      </c>
      <c r="D104" s="188"/>
      <c r="E104" s="189"/>
      <c r="F104" s="162">
        <f t="shared" ref="F104:F109" ca="1" si="64">DATEDIF(C104,TODAY(),"Y")</f>
        <v>3</v>
      </c>
      <c r="G104" s="162">
        <f t="shared" ref="G104:G109" ca="1" si="65">DATEDIF(C104,TODAY(),"YM")</f>
        <v>10</v>
      </c>
      <c r="H104" s="162">
        <f t="shared" ref="H104:H109" ca="1" si="66">DATEDIF(C104,TODAY(),"MD")</f>
        <v>8</v>
      </c>
      <c r="I104" s="191"/>
      <c r="J104" s="191"/>
      <c r="K104" s="191"/>
      <c r="L104" s="191"/>
      <c r="M104" s="191"/>
      <c r="N104" s="191"/>
      <c r="O104" s="191"/>
      <c r="P104" s="191"/>
      <c r="Q104" s="191"/>
      <c r="R104" s="191"/>
      <c r="S104" s="191"/>
      <c r="T104" s="191"/>
      <c r="U104" s="195"/>
      <c r="V104" s="191"/>
      <c r="W104" s="191"/>
      <c r="X104" s="191"/>
      <c r="Y104" s="191"/>
      <c r="Z104" s="191"/>
      <c r="AA104" s="191"/>
      <c r="AB104" s="191"/>
      <c r="AC104" s="191"/>
      <c r="AD104" s="190"/>
      <c r="AE104" s="191"/>
      <c r="AF104" s="191"/>
      <c r="AG104" s="191">
        <v>1</v>
      </c>
      <c r="AH104" s="210">
        <f t="shared" ref="AH104:AH109" si="67">SUM(V104:AG104)</f>
        <v>1</v>
      </c>
      <c r="AI104" s="191"/>
      <c r="AJ104" s="191">
        <f t="shared" ref="AJ104:AJ109" si="68">SUM(V104:AA104)</f>
        <v>0</v>
      </c>
      <c r="AK104" s="191">
        <f ca="1">IF(AI104&gt;=AJ104,INT($F104/5)+$A$1-SUM(AB104:AG104),INT($F104/5)+$A$1-(SUM(V104:AG104)-AI104))</f>
        <v>11</v>
      </c>
      <c r="AL104" s="196"/>
      <c r="AM104" s="211">
        <v>0</v>
      </c>
      <c r="AN104" s="211">
        <v>1</v>
      </c>
      <c r="AO104" s="211"/>
      <c r="AP104" s="211"/>
      <c r="AQ104" s="211"/>
      <c r="AR104" s="211"/>
      <c r="AS104" s="211"/>
      <c r="AT104" s="211"/>
      <c r="AU104" s="211"/>
      <c r="AV104" s="211"/>
      <c r="AW104" s="211"/>
      <c r="AX104" s="211"/>
      <c r="AY104" s="210">
        <f t="shared" ref="AY104:AY121" si="69">SUM(AM104:AX104)</f>
        <v>1</v>
      </c>
      <c r="AZ104" s="148">
        <f t="shared" ca="1" si="56"/>
        <v>22</v>
      </c>
    </row>
    <row r="105" spans="2:52">
      <c r="B105" s="185" t="s">
        <v>1165</v>
      </c>
      <c r="C105" s="186">
        <v>42390</v>
      </c>
      <c r="D105" s="188"/>
      <c r="E105" s="189"/>
      <c r="F105" s="162">
        <f t="shared" ca="1" si="64"/>
        <v>3</v>
      </c>
      <c r="G105" s="162">
        <f t="shared" ca="1" si="65"/>
        <v>8</v>
      </c>
      <c r="H105" s="162">
        <f t="shared" ca="1" si="66"/>
        <v>10</v>
      </c>
      <c r="I105" s="191"/>
      <c r="J105" s="191"/>
      <c r="K105" s="191"/>
      <c r="L105" s="191"/>
      <c r="M105" s="191"/>
      <c r="N105" s="191"/>
      <c r="O105" s="191"/>
      <c r="P105" s="191"/>
      <c r="Q105" s="191"/>
      <c r="R105" s="191"/>
      <c r="S105" s="191"/>
      <c r="T105" s="191"/>
      <c r="U105" s="195"/>
      <c r="V105" s="191"/>
      <c r="W105" s="191"/>
      <c r="X105" s="191"/>
      <c r="Y105" s="191"/>
      <c r="Z105" s="191"/>
      <c r="AA105" s="191"/>
      <c r="AB105" s="191"/>
      <c r="AC105" s="191"/>
      <c r="AD105" s="190"/>
      <c r="AE105" s="191"/>
      <c r="AF105" s="191">
        <v>1</v>
      </c>
      <c r="AG105" s="191"/>
      <c r="AH105" s="210">
        <f t="shared" si="67"/>
        <v>1</v>
      </c>
      <c r="AI105" s="191"/>
      <c r="AJ105" s="191">
        <f t="shared" si="68"/>
        <v>0</v>
      </c>
      <c r="AK105" s="191">
        <f ca="1">IF(AI105&gt;=AJ105,INT($F105/5)+9-SUM(AB105:AG105),INT($F105/5)+9-(SUM(V105:AG105)-AI105))</f>
        <v>8</v>
      </c>
      <c r="AL105" s="196"/>
      <c r="AM105" s="211"/>
      <c r="AN105" s="211"/>
      <c r="AO105" s="211"/>
      <c r="AP105" s="211"/>
      <c r="AQ105" s="211"/>
      <c r="AR105" s="211"/>
      <c r="AS105" s="211">
        <v>1</v>
      </c>
      <c r="AT105" s="211"/>
      <c r="AU105" s="211"/>
      <c r="AV105" s="211">
        <v>2</v>
      </c>
      <c r="AW105" s="211"/>
      <c r="AX105" s="211"/>
      <c r="AY105" s="210">
        <f t="shared" si="69"/>
        <v>3</v>
      </c>
      <c r="AZ105" s="148">
        <f t="shared" ca="1" si="56"/>
        <v>17</v>
      </c>
    </row>
    <row r="106" spans="2:52">
      <c r="B106" s="185" t="s">
        <v>1166</v>
      </c>
      <c r="C106" s="240">
        <v>42217</v>
      </c>
      <c r="D106" s="241"/>
      <c r="E106" s="242"/>
      <c r="F106" s="162">
        <f t="shared" ca="1" si="64"/>
        <v>4</v>
      </c>
      <c r="G106" s="162">
        <f t="shared" ca="1" si="65"/>
        <v>2</v>
      </c>
      <c r="H106" s="162">
        <f t="shared" ca="1" si="66"/>
        <v>0</v>
      </c>
      <c r="I106" s="191"/>
      <c r="J106" s="191"/>
      <c r="K106" s="191"/>
      <c r="L106" s="191"/>
      <c r="M106" s="191"/>
      <c r="N106" s="191"/>
      <c r="O106" s="191"/>
      <c r="P106" s="191"/>
      <c r="Q106" s="191"/>
      <c r="R106" s="191"/>
      <c r="S106" s="191"/>
      <c r="T106" s="191"/>
      <c r="U106" s="195"/>
      <c r="V106" s="191"/>
      <c r="W106" s="191"/>
      <c r="X106" s="191"/>
      <c r="Y106" s="191"/>
      <c r="Z106" s="191"/>
      <c r="AA106" s="191"/>
      <c r="AB106" s="191"/>
      <c r="AC106" s="191"/>
      <c r="AD106" s="190"/>
      <c r="AE106" s="191"/>
      <c r="AF106" s="191"/>
      <c r="AG106" s="191"/>
      <c r="AH106" s="210">
        <f t="shared" si="67"/>
        <v>0</v>
      </c>
      <c r="AI106" s="191"/>
      <c r="AJ106" s="191">
        <f t="shared" si="68"/>
        <v>0</v>
      </c>
      <c r="AK106" s="191">
        <f ca="1">IF(AI106&gt;=AJ106,INT($F106/5)+$A$1-SUM(AB106:AG106),INT($F106/5)+$A$1-(SUM(V106:AG106)-AI106))</f>
        <v>12</v>
      </c>
      <c r="AL106" s="196"/>
      <c r="AM106" s="211">
        <v>1</v>
      </c>
      <c r="AN106" s="211"/>
      <c r="AO106" s="211"/>
      <c r="AP106" s="211"/>
      <c r="AQ106" s="211"/>
      <c r="AR106" s="211"/>
      <c r="AS106" s="211"/>
      <c r="AT106" s="211"/>
      <c r="AU106" s="211">
        <v>1</v>
      </c>
      <c r="AV106" s="211"/>
      <c r="AW106" s="211"/>
      <c r="AX106" s="211"/>
      <c r="AY106" s="210">
        <f t="shared" si="69"/>
        <v>2</v>
      </c>
      <c r="AZ106" s="148">
        <f t="shared" ca="1" si="56"/>
        <v>22</v>
      </c>
    </row>
    <row r="107" spans="2:52">
      <c r="B107" s="185" t="s">
        <v>1167</v>
      </c>
      <c r="C107" s="240">
        <v>42440</v>
      </c>
      <c r="D107" s="241"/>
      <c r="E107" s="242"/>
      <c r="F107" s="162">
        <f t="shared" ca="1" si="64"/>
        <v>3</v>
      </c>
      <c r="G107" s="162">
        <f t="shared" ca="1" si="65"/>
        <v>6</v>
      </c>
      <c r="H107" s="162">
        <f t="shared" ca="1" si="66"/>
        <v>20</v>
      </c>
      <c r="I107" s="191"/>
      <c r="J107" s="191"/>
      <c r="K107" s="191"/>
      <c r="L107" s="191"/>
      <c r="M107" s="191"/>
      <c r="N107" s="191"/>
      <c r="O107" s="191"/>
      <c r="P107" s="191"/>
      <c r="Q107" s="191"/>
      <c r="R107" s="191"/>
      <c r="S107" s="191"/>
      <c r="T107" s="191"/>
      <c r="U107" s="195"/>
      <c r="V107" s="191"/>
      <c r="W107" s="191"/>
      <c r="X107" s="191"/>
      <c r="Y107" s="191"/>
      <c r="Z107" s="191"/>
      <c r="AA107" s="191"/>
      <c r="AB107" s="191"/>
      <c r="AC107" s="191"/>
      <c r="AD107" s="190"/>
      <c r="AE107" s="191"/>
      <c r="AF107" s="191">
        <v>4</v>
      </c>
      <c r="AG107" s="191">
        <v>2</v>
      </c>
      <c r="AH107" s="210">
        <f t="shared" si="67"/>
        <v>6</v>
      </c>
      <c r="AI107" s="191"/>
      <c r="AJ107" s="191">
        <f t="shared" si="68"/>
        <v>0</v>
      </c>
      <c r="AK107" s="191">
        <f ca="1">IF(AI107&gt;=AJ107,INT($F107/5)+7-SUM(AB107:AG107),INT($F107/5)+7-(SUM(V107:AG107)-AI107))</f>
        <v>1</v>
      </c>
      <c r="AL107" s="196"/>
      <c r="AM107" s="211">
        <v>0</v>
      </c>
      <c r="AN107" s="211">
        <v>1</v>
      </c>
      <c r="AO107" s="211">
        <v>1</v>
      </c>
      <c r="AP107" s="211"/>
      <c r="AQ107" s="211"/>
      <c r="AR107" s="211"/>
      <c r="AS107" s="211">
        <v>1</v>
      </c>
      <c r="AT107" s="211"/>
      <c r="AU107" s="211"/>
      <c r="AV107" s="211">
        <v>2</v>
      </c>
      <c r="AW107" s="211"/>
      <c r="AX107" s="211"/>
      <c r="AY107" s="210">
        <f t="shared" si="69"/>
        <v>5</v>
      </c>
      <c r="AZ107" s="148">
        <f t="shared" ca="1" si="56"/>
        <v>8</v>
      </c>
    </row>
    <row r="108" spans="2:52">
      <c r="B108" s="185" t="s">
        <v>1168</v>
      </c>
      <c r="C108" s="240">
        <v>42492</v>
      </c>
      <c r="D108" s="241"/>
      <c r="E108" s="242"/>
      <c r="F108" s="162">
        <f t="shared" ca="1" si="64"/>
        <v>3</v>
      </c>
      <c r="G108" s="162">
        <f t="shared" ca="1" si="65"/>
        <v>4</v>
      </c>
      <c r="H108" s="162">
        <f t="shared" ca="1" si="66"/>
        <v>29</v>
      </c>
      <c r="I108" s="191"/>
      <c r="J108" s="191"/>
      <c r="K108" s="191"/>
      <c r="L108" s="191"/>
      <c r="M108" s="191"/>
      <c r="N108" s="191"/>
      <c r="O108" s="191"/>
      <c r="P108" s="191"/>
      <c r="Q108" s="191"/>
      <c r="R108" s="191"/>
      <c r="S108" s="191"/>
      <c r="T108" s="191"/>
      <c r="U108" s="195"/>
      <c r="V108" s="191"/>
      <c r="W108" s="191"/>
      <c r="X108" s="191"/>
      <c r="Y108" s="191"/>
      <c r="Z108" s="191"/>
      <c r="AA108" s="191"/>
      <c r="AB108" s="191"/>
      <c r="AC108" s="191"/>
      <c r="AD108" s="190"/>
      <c r="AE108" s="191"/>
      <c r="AF108" s="191"/>
      <c r="AG108" s="191">
        <v>1</v>
      </c>
      <c r="AH108" s="210">
        <f t="shared" si="67"/>
        <v>1</v>
      </c>
      <c r="AI108" s="191"/>
      <c r="AJ108" s="191">
        <f t="shared" si="68"/>
        <v>0</v>
      </c>
      <c r="AK108" s="191">
        <f ca="1">IF(AI108&gt;=AJ108,INT($F108/5)+6-SUM(AB108:AG108),INT($F108/5)+6-(SUM(V108:AG108)-AI108))</f>
        <v>5</v>
      </c>
      <c r="AL108" s="196"/>
      <c r="AM108" s="211"/>
      <c r="AN108" s="211"/>
      <c r="AO108" s="211"/>
      <c r="AP108" s="211"/>
      <c r="AQ108" s="211"/>
      <c r="AR108" s="211"/>
      <c r="AS108" s="211"/>
      <c r="AT108" s="211"/>
      <c r="AU108" s="211"/>
      <c r="AV108" s="211"/>
      <c r="AW108" s="211"/>
      <c r="AX108" s="211"/>
      <c r="AY108" s="210">
        <f t="shared" si="69"/>
        <v>0</v>
      </c>
      <c r="AZ108" s="148">
        <f t="shared" ca="1" si="56"/>
        <v>17</v>
      </c>
    </row>
    <row r="109" spans="2:52">
      <c r="B109" s="185" t="s">
        <v>1169</v>
      </c>
      <c r="C109" s="186">
        <v>42506</v>
      </c>
      <c r="D109" s="188"/>
      <c r="E109" s="189"/>
      <c r="F109" s="162">
        <f t="shared" ca="1" si="64"/>
        <v>3</v>
      </c>
      <c r="G109" s="162">
        <f t="shared" ca="1" si="65"/>
        <v>4</v>
      </c>
      <c r="H109" s="162">
        <f t="shared" ca="1" si="66"/>
        <v>15</v>
      </c>
      <c r="I109" s="191"/>
      <c r="J109" s="191"/>
      <c r="K109" s="191"/>
      <c r="L109" s="191"/>
      <c r="M109" s="191"/>
      <c r="N109" s="191"/>
      <c r="O109" s="191"/>
      <c r="P109" s="191"/>
      <c r="Q109" s="191"/>
      <c r="R109" s="191"/>
      <c r="S109" s="191"/>
      <c r="T109" s="191"/>
      <c r="U109" s="195"/>
      <c r="V109" s="191"/>
      <c r="W109" s="191"/>
      <c r="X109" s="191"/>
      <c r="Y109" s="191"/>
      <c r="Z109" s="191"/>
      <c r="AA109" s="191"/>
      <c r="AB109" s="191"/>
      <c r="AC109" s="191"/>
      <c r="AD109" s="190">
        <v>1</v>
      </c>
      <c r="AE109" s="191"/>
      <c r="AF109" s="191">
        <v>2</v>
      </c>
      <c r="AG109" s="191">
        <v>1</v>
      </c>
      <c r="AH109" s="210">
        <f t="shared" si="67"/>
        <v>4</v>
      </c>
      <c r="AI109" s="191"/>
      <c r="AJ109" s="191">
        <f t="shared" si="68"/>
        <v>0</v>
      </c>
      <c r="AK109" s="191">
        <f ca="1">IF(AI109&gt;=AJ109,INT($F109/5)+5-SUM(AB109:AG109),INT($F109/5)+5-(SUM(V109:AG109)-AI109))</f>
        <v>1</v>
      </c>
      <c r="AL109" s="196"/>
      <c r="AM109" s="211"/>
      <c r="AN109" s="211">
        <v>1</v>
      </c>
      <c r="AO109" s="211"/>
      <c r="AP109" s="211"/>
      <c r="AQ109" s="211"/>
      <c r="AR109" s="211"/>
      <c r="AS109" s="211"/>
      <c r="AT109" s="211"/>
      <c r="AU109" s="211"/>
      <c r="AV109" s="211"/>
      <c r="AW109" s="211"/>
      <c r="AX109" s="211"/>
      <c r="AY109" s="210">
        <f t="shared" si="69"/>
        <v>1</v>
      </c>
      <c r="AZ109" s="148">
        <f t="shared" ca="1" si="56"/>
        <v>12</v>
      </c>
    </row>
    <row r="110" spans="2:52">
      <c r="B110" s="185" t="s">
        <v>1170</v>
      </c>
      <c r="C110" s="240">
        <v>42689</v>
      </c>
      <c r="D110" s="240"/>
      <c r="E110" s="243"/>
      <c r="F110" s="191"/>
      <c r="G110" s="191"/>
      <c r="H110" s="191"/>
      <c r="I110" s="191"/>
      <c r="J110" s="191"/>
      <c r="K110" s="191"/>
      <c r="L110" s="191"/>
      <c r="M110" s="191"/>
      <c r="N110" s="191"/>
      <c r="O110" s="191"/>
      <c r="P110" s="191"/>
      <c r="Q110" s="191"/>
      <c r="R110" s="191"/>
      <c r="S110" s="191"/>
      <c r="T110" s="191"/>
      <c r="U110" s="195"/>
      <c r="V110" s="191"/>
      <c r="W110" s="191"/>
      <c r="X110" s="191"/>
      <c r="Y110" s="191"/>
      <c r="Z110" s="191"/>
      <c r="AA110" s="191"/>
      <c r="AB110" s="191"/>
      <c r="AC110" s="191"/>
      <c r="AD110" s="190"/>
      <c r="AE110" s="191"/>
      <c r="AF110" s="191"/>
      <c r="AG110" s="191"/>
      <c r="AH110" s="210"/>
      <c r="AI110" s="191"/>
      <c r="AJ110" s="191"/>
      <c r="AK110" s="191"/>
      <c r="AL110" s="196"/>
      <c r="AM110" s="211"/>
      <c r="AN110" s="211">
        <v>1</v>
      </c>
      <c r="AO110" s="211"/>
      <c r="AP110" s="211"/>
      <c r="AQ110" s="211"/>
      <c r="AR110" s="211"/>
      <c r="AS110" s="211"/>
      <c r="AT110" s="211"/>
      <c r="AU110" s="211"/>
      <c r="AV110" s="211"/>
      <c r="AW110" s="211"/>
      <c r="AX110" s="211"/>
      <c r="AY110" s="210">
        <f t="shared" si="69"/>
        <v>1</v>
      </c>
      <c r="AZ110" s="148">
        <f t="shared" si="56"/>
        <v>11</v>
      </c>
    </row>
    <row r="111" spans="2:52">
      <c r="B111" s="185" t="s">
        <v>1171</v>
      </c>
      <c r="C111" s="186">
        <v>42723</v>
      </c>
      <c r="D111" s="186"/>
      <c r="E111" s="243"/>
      <c r="F111" s="191"/>
      <c r="G111" s="191"/>
      <c r="H111" s="191"/>
      <c r="I111" s="191"/>
      <c r="J111" s="191"/>
      <c r="K111" s="191"/>
      <c r="L111" s="191"/>
      <c r="M111" s="191"/>
      <c r="N111" s="191"/>
      <c r="O111" s="191"/>
      <c r="P111" s="191"/>
      <c r="Q111" s="191"/>
      <c r="R111" s="191"/>
      <c r="S111" s="191"/>
      <c r="T111" s="191"/>
      <c r="U111" s="195"/>
      <c r="V111" s="191"/>
      <c r="W111" s="191"/>
      <c r="X111" s="191"/>
      <c r="Y111" s="191"/>
      <c r="Z111" s="191"/>
      <c r="AA111" s="191"/>
      <c r="AB111" s="191"/>
      <c r="AC111" s="191"/>
      <c r="AD111" s="190"/>
      <c r="AE111" s="191"/>
      <c r="AF111" s="191"/>
      <c r="AG111" s="191"/>
      <c r="AH111" s="210"/>
      <c r="AI111" s="191"/>
      <c r="AJ111" s="191"/>
      <c r="AK111" s="191"/>
      <c r="AL111" s="196"/>
      <c r="AM111" s="211">
        <v>0</v>
      </c>
      <c r="AN111" s="211">
        <v>0</v>
      </c>
      <c r="AO111" s="211"/>
      <c r="AP111" s="211"/>
      <c r="AQ111" s="211"/>
      <c r="AR111" s="211"/>
      <c r="AS111" s="211"/>
      <c r="AT111" s="211"/>
      <c r="AU111" s="211"/>
      <c r="AV111" s="211"/>
      <c r="AW111" s="211"/>
      <c r="AX111" s="211"/>
      <c r="AY111" s="210">
        <f t="shared" si="69"/>
        <v>0</v>
      </c>
      <c r="AZ111" s="148">
        <f t="shared" si="56"/>
        <v>12</v>
      </c>
    </row>
    <row r="112" spans="2:52">
      <c r="B112" s="191" t="s">
        <v>1172</v>
      </c>
      <c r="C112" s="186">
        <v>42857</v>
      </c>
      <c r="D112" s="186"/>
      <c r="E112" s="243"/>
      <c r="F112" s="191"/>
      <c r="G112" s="191"/>
      <c r="H112" s="191"/>
      <c r="I112" s="191"/>
      <c r="J112" s="191"/>
      <c r="K112" s="191"/>
      <c r="L112" s="191"/>
      <c r="M112" s="191"/>
      <c r="N112" s="191"/>
      <c r="O112" s="191"/>
      <c r="P112" s="191"/>
      <c r="Q112" s="191"/>
      <c r="R112" s="191"/>
      <c r="S112" s="191"/>
      <c r="T112" s="191"/>
      <c r="U112" s="195"/>
      <c r="V112" s="191"/>
      <c r="W112" s="191"/>
      <c r="X112" s="191"/>
      <c r="Y112" s="191"/>
      <c r="Z112" s="191"/>
      <c r="AA112" s="191"/>
      <c r="AB112" s="191"/>
      <c r="AC112" s="191"/>
      <c r="AD112" s="190"/>
      <c r="AE112" s="191"/>
      <c r="AF112" s="191"/>
      <c r="AG112" s="191"/>
      <c r="AH112" s="210"/>
      <c r="AI112" s="191"/>
      <c r="AJ112" s="191"/>
      <c r="AK112" s="191"/>
      <c r="AL112" s="196"/>
      <c r="AM112" s="211"/>
      <c r="AN112" s="211"/>
      <c r="AO112" s="211"/>
      <c r="AP112" s="211"/>
      <c r="AQ112" s="211"/>
      <c r="AR112" s="211"/>
      <c r="AS112" s="211"/>
      <c r="AT112" s="211"/>
      <c r="AU112" s="211"/>
      <c r="AV112" s="211"/>
      <c r="AW112" s="211"/>
      <c r="AX112" s="211"/>
      <c r="AY112" s="210">
        <f t="shared" si="69"/>
        <v>0</v>
      </c>
      <c r="AZ112" s="148">
        <f t="shared" si="56"/>
        <v>12</v>
      </c>
    </row>
    <row r="113" spans="2:52">
      <c r="B113" s="191" t="s">
        <v>1173</v>
      </c>
      <c r="C113" s="186">
        <v>42857</v>
      </c>
      <c r="D113" s="186"/>
      <c r="E113" s="243"/>
      <c r="F113" s="191"/>
      <c r="G113" s="191"/>
      <c r="H113" s="191"/>
      <c r="I113" s="191"/>
      <c r="J113" s="191"/>
      <c r="K113" s="191"/>
      <c r="L113" s="191"/>
      <c r="M113" s="191"/>
      <c r="N113" s="191"/>
      <c r="O113" s="191"/>
      <c r="P113" s="191"/>
      <c r="Q113" s="191"/>
      <c r="R113" s="191"/>
      <c r="S113" s="191"/>
      <c r="T113" s="191"/>
      <c r="U113" s="195"/>
      <c r="V113" s="191"/>
      <c r="W113" s="191"/>
      <c r="X113" s="191"/>
      <c r="Y113" s="191"/>
      <c r="Z113" s="191"/>
      <c r="AA113" s="191"/>
      <c r="AB113" s="191"/>
      <c r="AC113" s="191"/>
      <c r="AD113" s="190"/>
      <c r="AE113" s="191"/>
      <c r="AF113" s="191"/>
      <c r="AG113" s="191"/>
      <c r="AH113" s="210"/>
      <c r="AI113" s="191"/>
      <c r="AJ113" s="191"/>
      <c r="AK113" s="191"/>
      <c r="AL113" s="196"/>
      <c r="AM113" s="211"/>
      <c r="AN113" s="211"/>
      <c r="AO113" s="211"/>
      <c r="AP113" s="211"/>
      <c r="AQ113" s="211"/>
      <c r="AR113" s="211"/>
      <c r="AS113" s="211"/>
      <c r="AT113" s="211"/>
      <c r="AU113" s="211"/>
      <c r="AV113" s="211"/>
      <c r="AW113" s="211"/>
      <c r="AX113" s="211"/>
      <c r="AY113" s="210">
        <f t="shared" si="69"/>
        <v>0</v>
      </c>
      <c r="AZ113" s="148">
        <f t="shared" si="56"/>
        <v>12</v>
      </c>
    </row>
    <row r="114" spans="2:52">
      <c r="B114" s="191" t="s">
        <v>1174</v>
      </c>
      <c r="C114" s="186">
        <v>42920</v>
      </c>
      <c r="D114" s="186"/>
      <c r="E114" s="243"/>
      <c r="F114" s="191"/>
      <c r="G114" s="191"/>
      <c r="H114" s="191"/>
      <c r="I114" s="191"/>
      <c r="J114" s="191"/>
      <c r="K114" s="191"/>
      <c r="L114" s="191"/>
      <c r="M114" s="191"/>
      <c r="N114" s="191"/>
      <c r="O114" s="191"/>
      <c r="P114" s="191"/>
      <c r="Q114" s="191"/>
      <c r="R114" s="191"/>
      <c r="S114" s="191"/>
      <c r="T114" s="191"/>
      <c r="U114" s="195"/>
      <c r="V114" s="191"/>
      <c r="W114" s="191"/>
      <c r="X114" s="191"/>
      <c r="Y114" s="191"/>
      <c r="Z114" s="191"/>
      <c r="AA114" s="191"/>
      <c r="AB114" s="191"/>
      <c r="AC114" s="191"/>
      <c r="AD114" s="190"/>
      <c r="AE114" s="191"/>
      <c r="AF114" s="191"/>
      <c r="AG114" s="191"/>
      <c r="AH114" s="210"/>
      <c r="AI114" s="191"/>
      <c r="AJ114" s="191"/>
      <c r="AK114" s="191"/>
      <c r="AL114" s="196"/>
      <c r="AM114" s="211"/>
      <c r="AN114" s="211"/>
      <c r="AO114" s="211"/>
      <c r="AP114" s="211"/>
      <c r="AQ114" s="211"/>
      <c r="AR114" s="211"/>
      <c r="AS114" s="211"/>
      <c r="AT114" s="211"/>
      <c r="AU114" s="211">
        <v>1</v>
      </c>
      <c r="AV114" s="211">
        <v>1</v>
      </c>
      <c r="AW114" s="211"/>
      <c r="AX114" s="211"/>
      <c r="AY114" s="210">
        <f t="shared" si="69"/>
        <v>2</v>
      </c>
      <c r="AZ114" s="148">
        <f t="shared" si="56"/>
        <v>10</v>
      </c>
    </row>
    <row r="115" spans="2:52">
      <c r="B115" s="191" t="s">
        <v>1175</v>
      </c>
      <c r="C115" s="186">
        <v>42923</v>
      </c>
      <c r="D115" s="186"/>
      <c r="E115" s="243"/>
      <c r="F115" s="191"/>
      <c r="G115" s="191"/>
      <c r="H115" s="191"/>
      <c r="I115" s="191"/>
      <c r="J115" s="191"/>
      <c r="K115" s="191"/>
      <c r="L115" s="191"/>
      <c r="M115" s="191"/>
      <c r="N115" s="191"/>
      <c r="O115" s="191"/>
      <c r="P115" s="191"/>
      <c r="Q115" s="191"/>
      <c r="R115" s="191"/>
      <c r="S115" s="191"/>
      <c r="T115" s="191"/>
      <c r="U115" s="195"/>
      <c r="V115" s="191"/>
      <c r="W115" s="191"/>
      <c r="X115" s="191"/>
      <c r="Y115" s="191"/>
      <c r="Z115" s="191"/>
      <c r="AA115" s="191"/>
      <c r="AB115" s="191"/>
      <c r="AC115" s="191"/>
      <c r="AD115" s="190"/>
      <c r="AE115" s="191"/>
      <c r="AF115" s="191"/>
      <c r="AG115" s="191"/>
      <c r="AH115" s="210"/>
      <c r="AI115" s="191"/>
      <c r="AJ115" s="191"/>
      <c r="AK115" s="191"/>
      <c r="AL115" s="196"/>
      <c r="AM115" s="211"/>
      <c r="AN115" s="211"/>
      <c r="AO115" s="211"/>
      <c r="AP115" s="211"/>
      <c r="AQ115" s="211"/>
      <c r="AR115" s="211"/>
      <c r="AS115" s="211"/>
      <c r="AT115" s="211"/>
      <c r="AU115" s="211"/>
      <c r="AV115" s="211"/>
      <c r="AW115" s="211"/>
      <c r="AX115" s="211"/>
      <c r="AY115" s="210">
        <f t="shared" si="69"/>
        <v>0</v>
      </c>
      <c r="AZ115" s="148">
        <f t="shared" si="56"/>
        <v>12</v>
      </c>
    </row>
    <row r="116" spans="2:52">
      <c r="B116" s="244" t="s">
        <v>1173</v>
      </c>
      <c r="C116" s="186">
        <v>42857</v>
      </c>
      <c r="D116" s="186"/>
      <c r="E116" s="243"/>
      <c r="F116" s="191"/>
      <c r="G116" s="191"/>
      <c r="H116" s="191"/>
      <c r="I116" s="191"/>
      <c r="J116" s="191"/>
      <c r="K116" s="191"/>
      <c r="L116" s="191"/>
      <c r="M116" s="191"/>
      <c r="N116" s="191"/>
      <c r="O116" s="191"/>
      <c r="P116" s="191"/>
      <c r="Q116" s="191"/>
      <c r="R116" s="191"/>
      <c r="S116" s="191"/>
      <c r="T116" s="191"/>
      <c r="U116" s="195"/>
      <c r="V116" s="191"/>
      <c r="W116" s="191"/>
      <c r="X116" s="191"/>
      <c r="Y116" s="191"/>
      <c r="Z116" s="191"/>
      <c r="AA116" s="191"/>
      <c r="AB116" s="191"/>
      <c r="AC116" s="191"/>
      <c r="AD116" s="190"/>
      <c r="AE116" s="191"/>
      <c r="AF116" s="191"/>
      <c r="AG116" s="191"/>
      <c r="AH116" s="210"/>
      <c r="AI116" s="191"/>
      <c r="AJ116" s="191"/>
      <c r="AK116" s="191"/>
      <c r="AL116" s="196"/>
      <c r="AM116" s="211"/>
      <c r="AN116" s="211"/>
      <c r="AO116" s="211"/>
      <c r="AP116" s="211"/>
      <c r="AQ116" s="211"/>
      <c r="AR116" s="211"/>
      <c r="AS116" s="211"/>
      <c r="AT116" s="211"/>
      <c r="AU116" s="211">
        <v>1</v>
      </c>
      <c r="AV116" s="211"/>
      <c r="AW116" s="211">
        <v>2</v>
      </c>
      <c r="AX116" s="211"/>
      <c r="AY116" s="210">
        <f t="shared" si="69"/>
        <v>3</v>
      </c>
      <c r="AZ116" s="148">
        <f t="shared" si="56"/>
        <v>9</v>
      </c>
    </row>
    <row r="117" spans="2:52">
      <c r="B117" s="244" t="s">
        <v>1176</v>
      </c>
      <c r="C117" s="186">
        <v>42971</v>
      </c>
      <c r="D117" s="186"/>
      <c r="E117" s="243"/>
      <c r="F117" s="191"/>
      <c r="G117" s="191"/>
      <c r="H117" s="191"/>
      <c r="I117" s="191"/>
      <c r="J117" s="191"/>
      <c r="K117" s="191"/>
      <c r="L117" s="191"/>
      <c r="M117" s="191"/>
      <c r="N117" s="191"/>
      <c r="O117" s="191"/>
      <c r="P117" s="191"/>
      <c r="Q117" s="191"/>
      <c r="R117" s="191"/>
      <c r="S117" s="191"/>
      <c r="T117" s="191"/>
      <c r="U117" s="195"/>
      <c r="V117" s="191"/>
      <c r="W117" s="191"/>
      <c r="X117" s="191"/>
      <c r="Y117" s="191"/>
      <c r="Z117" s="191"/>
      <c r="AA117" s="191"/>
      <c r="AB117" s="191"/>
      <c r="AC117" s="191"/>
      <c r="AD117" s="190"/>
      <c r="AE117" s="191"/>
      <c r="AF117" s="191"/>
      <c r="AG117" s="191"/>
      <c r="AH117" s="210"/>
      <c r="AI117" s="191"/>
      <c r="AJ117" s="191"/>
      <c r="AK117" s="191"/>
      <c r="AL117" s="196"/>
      <c r="AM117" s="211"/>
      <c r="AN117" s="211"/>
      <c r="AO117" s="211"/>
      <c r="AP117" s="211"/>
      <c r="AQ117" s="211"/>
      <c r="AR117" s="211"/>
      <c r="AS117" s="211"/>
      <c r="AT117" s="211"/>
      <c r="AU117" s="211"/>
      <c r="AV117" s="211"/>
      <c r="AW117" s="211">
        <v>1</v>
      </c>
      <c r="AX117" s="211"/>
      <c r="AY117" s="210">
        <f t="shared" si="69"/>
        <v>1</v>
      </c>
      <c r="AZ117" s="148">
        <f t="shared" si="56"/>
        <v>11</v>
      </c>
    </row>
    <row r="118" spans="2:52">
      <c r="B118" s="182" t="s">
        <v>1177</v>
      </c>
      <c r="C118" s="183"/>
      <c r="D118" s="183"/>
      <c r="E118" s="184"/>
      <c r="F118" s="183"/>
      <c r="G118" s="183"/>
      <c r="H118" s="183"/>
      <c r="I118" s="183"/>
      <c r="J118" s="183"/>
      <c r="K118" s="183"/>
      <c r="L118" s="183"/>
      <c r="M118" s="183"/>
      <c r="N118" s="183"/>
      <c r="O118" s="183"/>
      <c r="P118" s="183"/>
      <c r="Q118" s="183"/>
      <c r="R118" s="183"/>
      <c r="S118" s="183"/>
      <c r="T118" s="183"/>
      <c r="U118" s="200"/>
      <c r="V118" s="183"/>
      <c r="W118" s="183"/>
      <c r="X118" s="183"/>
      <c r="Y118" s="183"/>
      <c r="Z118" s="183"/>
      <c r="AA118" s="183"/>
      <c r="AB118" s="183"/>
      <c r="AC118" s="183"/>
      <c r="AD118" s="203"/>
      <c r="AE118" s="183"/>
      <c r="AF118" s="183"/>
      <c r="AG118" s="183"/>
      <c r="AH118" s="210">
        <f t="shared" ref="AH118:AH121" si="70">SUM(V118:AG118)</f>
        <v>0</v>
      </c>
      <c r="AI118" s="183"/>
      <c r="AJ118" s="183"/>
      <c r="AK118" s="183"/>
      <c r="AL118" s="221"/>
      <c r="AM118" s="186"/>
      <c r="AN118" s="186"/>
      <c r="AO118" s="186"/>
      <c r="AP118" s="186"/>
      <c r="AQ118" s="186"/>
      <c r="AR118" s="186"/>
      <c r="AS118" s="186"/>
      <c r="AT118" s="186"/>
      <c r="AU118" s="186"/>
      <c r="AV118" s="186"/>
      <c r="AW118" s="186"/>
      <c r="AX118" s="186"/>
      <c r="AY118" s="210">
        <f t="shared" si="69"/>
        <v>0</v>
      </c>
      <c r="AZ118" s="148">
        <f t="shared" si="56"/>
        <v>12</v>
      </c>
    </row>
    <row r="119" spans="2:52">
      <c r="B119" s="185" t="s">
        <v>1033</v>
      </c>
      <c r="C119" s="186">
        <v>41944</v>
      </c>
      <c r="D119" s="188"/>
      <c r="E119" s="189"/>
      <c r="F119" s="162">
        <f ca="1">DATEDIF(C119,TODAY(),"Y")</f>
        <v>4</v>
      </c>
      <c r="G119" s="162">
        <f ca="1">DATEDIF(C119,TODAY(),"YM")</f>
        <v>11</v>
      </c>
      <c r="H119" s="162">
        <f ca="1">DATEDIF(C119,TODAY(),"MD")</f>
        <v>0</v>
      </c>
      <c r="I119" s="191"/>
      <c r="J119" s="191"/>
      <c r="K119" s="191"/>
      <c r="L119" s="191"/>
      <c r="M119" s="191"/>
      <c r="N119" s="191"/>
      <c r="O119" s="191"/>
      <c r="P119" s="191"/>
      <c r="Q119" s="191"/>
      <c r="R119" s="191"/>
      <c r="S119" s="191"/>
      <c r="T119" s="191"/>
      <c r="U119" s="195"/>
      <c r="V119" s="191"/>
      <c r="W119" s="191"/>
      <c r="X119" s="191"/>
      <c r="Y119" s="191"/>
      <c r="Z119" s="191"/>
      <c r="AA119" s="191"/>
      <c r="AB119" s="191"/>
      <c r="AC119" s="191"/>
      <c r="AD119" s="190"/>
      <c r="AE119" s="191"/>
      <c r="AF119" s="191"/>
      <c r="AG119" s="191"/>
      <c r="AH119" s="210">
        <f t="shared" si="70"/>
        <v>0</v>
      </c>
      <c r="AI119" s="191"/>
      <c r="AJ119" s="191">
        <f>SUM(V119:AA119)</f>
        <v>0</v>
      </c>
      <c r="AK119" s="191">
        <f ca="1">IF(AI119&gt;=AJ119,INT($F119/5)+$A$1-SUM(AB119:AG119),INT($F119/5)+$A$1-(SUM(V119:AG119)-AI119))</f>
        <v>12</v>
      </c>
      <c r="AL119" s="196"/>
      <c r="AM119" s="211"/>
      <c r="AN119" s="211"/>
      <c r="AO119" s="211"/>
      <c r="AP119" s="211"/>
      <c r="AQ119" s="211"/>
      <c r="AR119" s="211"/>
      <c r="AS119" s="211"/>
      <c r="AT119" s="211"/>
      <c r="AU119" s="211"/>
      <c r="AV119" s="211"/>
      <c r="AW119" s="211"/>
      <c r="AX119" s="211"/>
      <c r="AY119" s="210">
        <f t="shared" si="69"/>
        <v>0</v>
      </c>
      <c r="AZ119" s="148">
        <f t="shared" ca="1" si="56"/>
        <v>24</v>
      </c>
    </row>
    <row r="120" spans="2:52">
      <c r="B120" s="185" t="s">
        <v>1178</v>
      </c>
      <c r="C120" s="186">
        <v>42513</v>
      </c>
      <c r="D120" s="188"/>
      <c r="E120" s="189"/>
      <c r="F120" s="162">
        <f ca="1">DATEDIF(C120,TODAY(),"Y")</f>
        <v>3</v>
      </c>
      <c r="G120" s="162">
        <f ca="1">DATEDIF(C120,TODAY(),"YM")</f>
        <v>4</v>
      </c>
      <c r="H120" s="162">
        <f ca="1">DATEDIF(C120,TODAY(),"MD")</f>
        <v>8</v>
      </c>
      <c r="I120" s="191"/>
      <c r="J120" s="191"/>
      <c r="K120" s="191"/>
      <c r="L120" s="191"/>
      <c r="M120" s="191"/>
      <c r="N120" s="191"/>
      <c r="O120" s="191"/>
      <c r="P120" s="191"/>
      <c r="Q120" s="191"/>
      <c r="R120" s="191"/>
      <c r="S120" s="191"/>
      <c r="T120" s="191"/>
      <c r="U120" s="195"/>
      <c r="V120" s="191"/>
      <c r="W120" s="191"/>
      <c r="X120" s="191"/>
      <c r="Y120" s="191"/>
      <c r="Z120" s="191"/>
      <c r="AA120" s="191"/>
      <c r="AB120" s="191"/>
      <c r="AC120" s="191"/>
      <c r="AD120" s="190"/>
      <c r="AE120" s="191"/>
      <c r="AF120" s="191"/>
      <c r="AG120" s="191"/>
      <c r="AH120" s="210">
        <f t="shared" si="70"/>
        <v>0</v>
      </c>
      <c r="AI120" s="191"/>
      <c r="AJ120" s="191">
        <f>SUM(V120:AA120)</f>
        <v>0</v>
      </c>
      <c r="AK120" s="191">
        <f ca="1">IF(AI120&gt;=AJ120,INT($F120/5)+5-SUM(AB120:AG120),INT($F120/5)+5-(SUM(V120:AG120)-AI120))</f>
        <v>5</v>
      </c>
      <c r="AL120" s="196"/>
      <c r="AM120" s="211">
        <v>1</v>
      </c>
      <c r="AN120" s="211">
        <v>4</v>
      </c>
      <c r="AO120" s="211">
        <v>0</v>
      </c>
      <c r="AP120" s="211">
        <v>2</v>
      </c>
      <c r="AQ120" s="211"/>
      <c r="AR120" s="211"/>
      <c r="AS120" s="211"/>
      <c r="AT120" s="211"/>
      <c r="AU120" s="211">
        <v>1</v>
      </c>
      <c r="AV120" s="211"/>
      <c r="AW120" s="211"/>
      <c r="AX120" s="211">
        <v>1</v>
      </c>
      <c r="AY120" s="210">
        <f t="shared" si="69"/>
        <v>9</v>
      </c>
      <c r="AZ120" s="148">
        <f t="shared" ca="1" si="56"/>
        <v>8</v>
      </c>
    </row>
    <row r="121" spans="2:52">
      <c r="B121" s="185" t="s">
        <v>1179</v>
      </c>
      <c r="C121" s="186">
        <v>42660</v>
      </c>
      <c r="D121" s="188"/>
      <c r="E121" s="189"/>
      <c r="F121" s="162"/>
      <c r="G121" s="162"/>
      <c r="H121" s="162"/>
      <c r="I121" s="191"/>
      <c r="J121" s="191"/>
      <c r="K121" s="191"/>
      <c r="L121" s="191"/>
      <c r="M121" s="191"/>
      <c r="N121" s="191"/>
      <c r="O121" s="191"/>
      <c r="P121" s="191"/>
      <c r="Q121" s="191"/>
      <c r="R121" s="191"/>
      <c r="S121" s="191"/>
      <c r="T121" s="191"/>
      <c r="U121" s="195"/>
      <c r="V121" s="191"/>
      <c r="W121" s="191"/>
      <c r="X121" s="191"/>
      <c r="Y121" s="191"/>
      <c r="Z121" s="191"/>
      <c r="AA121" s="191"/>
      <c r="AB121" s="191"/>
      <c r="AC121" s="191"/>
      <c r="AD121" s="190"/>
      <c r="AE121" s="191"/>
      <c r="AF121" s="191"/>
      <c r="AG121" s="191"/>
      <c r="AH121" s="210">
        <f t="shared" si="70"/>
        <v>0</v>
      </c>
      <c r="AI121" s="191"/>
      <c r="AJ121" s="191"/>
      <c r="AK121" s="191"/>
      <c r="AL121" s="196"/>
      <c r="AM121" s="211"/>
      <c r="AN121" s="211"/>
      <c r="AO121" s="211"/>
      <c r="AP121" s="211"/>
      <c r="AQ121" s="211"/>
      <c r="AR121" s="211"/>
      <c r="AS121" s="211"/>
      <c r="AT121" s="211"/>
      <c r="AU121" s="211"/>
      <c r="AV121" s="211"/>
      <c r="AW121" s="211"/>
      <c r="AX121" s="211"/>
      <c r="AY121" s="210">
        <f t="shared" si="69"/>
        <v>0</v>
      </c>
      <c r="AZ121" s="148">
        <f t="shared" si="56"/>
        <v>12</v>
      </c>
    </row>
    <row r="122" spans="2:52" ht="14.25">
      <c r="B122" s="148">
        <v>1</v>
      </c>
      <c r="C122" s="245">
        <v>2</v>
      </c>
      <c r="D122" s="148">
        <v>3</v>
      </c>
      <c r="E122" s="149">
        <v>4</v>
      </c>
      <c r="F122" s="148">
        <v>5</v>
      </c>
      <c r="G122" s="149">
        <v>6</v>
      </c>
      <c r="H122" s="148">
        <v>7</v>
      </c>
      <c r="I122" s="149">
        <v>8</v>
      </c>
      <c r="J122" s="148">
        <v>9</v>
      </c>
      <c r="K122" s="149">
        <v>10</v>
      </c>
      <c r="L122" s="148">
        <v>11</v>
      </c>
      <c r="M122" s="149">
        <v>12</v>
      </c>
      <c r="N122" s="148">
        <v>13</v>
      </c>
      <c r="O122" s="149">
        <v>14</v>
      </c>
      <c r="P122" s="148">
        <v>15</v>
      </c>
      <c r="Q122" s="149">
        <v>16</v>
      </c>
      <c r="R122" s="148">
        <v>17</v>
      </c>
      <c r="S122" s="149">
        <v>18</v>
      </c>
      <c r="T122" s="148">
        <v>19</v>
      </c>
      <c r="U122" s="149">
        <v>20</v>
      </c>
      <c r="V122" s="148">
        <v>21</v>
      </c>
      <c r="W122" s="149">
        <v>22</v>
      </c>
      <c r="X122" s="148">
        <v>23</v>
      </c>
      <c r="Y122" s="149">
        <v>24</v>
      </c>
      <c r="Z122" s="148">
        <v>25</v>
      </c>
      <c r="AA122" s="149">
        <v>26</v>
      </c>
      <c r="AB122" s="148">
        <v>27</v>
      </c>
      <c r="AC122" s="149">
        <v>28</v>
      </c>
      <c r="AD122" s="148">
        <v>29</v>
      </c>
      <c r="AE122" s="149">
        <v>30</v>
      </c>
      <c r="AF122" s="148">
        <v>31</v>
      </c>
      <c r="AG122" s="149">
        <v>32</v>
      </c>
      <c r="AH122" s="148">
        <v>33</v>
      </c>
      <c r="AI122" s="149">
        <v>34</v>
      </c>
      <c r="AJ122" s="148">
        <v>35</v>
      </c>
      <c r="AK122" s="149">
        <v>36</v>
      </c>
      <c r="AL122" s="148">
        <v>37</v>
      </c>
      <c r="AM122" s="149">
        <v>38</v>
      </c>
      <c r="AN122" s="148">
        <v>39</v>
      </c>
      <c r="AO122" s="149">
        <v>40</v>
      </c>
      <c r="AP122" s="148">
        <v>41</v>
      </c>
      <c r="AQ122" s="149">
        <v>42</v>
      </c>
      <c r="AR122" s="148">
        <v>43</v>
      </c>
      <c r="AS122" s="149">
        <v>44</v>
      </c>
      <c r="AT122" s="148">
        <v>45</v>
      </c>
      <c r="AU122" s="149">
        <v>46</v>
      </c>
      <c r="AV122" s="148">
        <v>47</v>
      </c>
      <c r="AW122" s="149">
        <v>48</v>
      </c>
      <c r="AX122" s="148">
        <v>49</v>
      </c>
      <c r="AY122" s="149">
        <v>50</v>
      </c>
      <c r="AZ122" s="148">
        <v>51</v>
      </c>
    </row>
  </sheetData>
  <mergeCells count="8">
    <mergeCell ref="B1:AK1"/>
    <mergeCell ref="F3:H3"/>
    <mergeCell ref="I3:T3"/>
    <mergeCell ref="V3:AG3"/>
    <mergeCell ref="AM3:AX3"/>
    <mergeCell ref="AI3:AI4"/>
    <mergeCell ref="AJ3:AJ4"/>
    <mergeCell ref="AK3:AK4"/>
  </mergeCells>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40"/>
  <sheetViews>
    <sheetView workbookViewId="0">
      <pane xSplit="5" ySplit="2" topLeftCell="F3" activePane="bottomRight" state="frozen"/>
      <selection pane="topRight"/>
      <selection pane="bottomLeft"/>
      <selection pane="bottomRight" activeCell="H24" sqref="H24"/>
    </sheetView>
  </sheetViews>
  <sheetFormatPr defaultColWidth="9.140625" defaultRowHeight="12.75"/>
  <cols>
    <col min="1" max="1" width="1.140625" style="81" customWidth="1"/>
    <col min="2" max="2" width="10.5703125" style="81" customWidth="1"/>
    <col min="3" max="3" width="18.28515625" style="81" customWidth="1"/>
    <col min="4" max="4" width="18.5703125" style="81" customWidth="1"/>
    <col min="5" max="5" width="10.5703125" style="81" customWidth="1"/>
    <col min="6" max="6" width="8.7109375" style="81" customWidth="1"/>
    <col min="7" max="9" width="4.5703125" style="81" customWidth="1"/>
    <col min="10" max="10" width="6.28515625" style="82" customWidth="1"/>
    <col min="11" max="11" width="6.42578125" style="82" customWidth="1"/>
    <col min="12" max="12" width="6.28515625" style="81" customWidth="1"/>
    <col min="13" max="14" width="5.7109375" style="83" customWidth="1"/>
    <col min="15" max="18" width="5.140625" style="81" customWidth="1"/>
    <col min="19" max="16384" width="9.140625" style="81"/>
  </cols>
  <sheetData>
    <row r="1" spans="1:18" ht="14.25" customHeight="1">
      <c r="A1" s="1712" t="s">
        <v>1180</v>
      </c>
      <c r="B1" s="1712"/>
      <c r="C1" s="1712"/>
      <c r="D1" s="1712"/>
      <c r="E1" s="1712"/>
      <c r="F1" s="1712"/>
      <c r="G1" s="1712"/>
      <c r="H1" s="1712"/>
      <c r="I1" s="1712"/>
      <c r="J1" s="1712"/>
      <c r="K1" s="1712"/>
      <c r="L1" s="1712"/>
      <c r="M1" s="1712"/>
      <c r="N1" s="1712"/>
      <c r="O1" s="1712"/>
      <c r="P1" s="1712"/>
      <c r="Q1" s="1712"/>
      <c r="R1" s="1712"/>
    </row>
    <row r="2" spans="1:18">
      <c r="B2" s="84" t="s">
        <v>771</v>
      </c>
      <c r="C2" s="84" t="s">
        <v>1181</v>
      </c>
      <c r="D2" s="84" t="s">
        <v>219</v>
      </c>
      <c r="E2" s="84" t="s">
        <v>1182</v>
      </c>
      <c r="F2" s="84" t="s">
        <v>1183</v>
      </c>
      <c r="G2" s="84">
        <v>1</v>
      </c>
      <c r="H2" s="84">
        <v>2</v>
      </c>
      <c r="I2" s="84">
        <v>3</v>
      </c>
      <c r="J2" s="127">
        <v>4</v>
      </c>
      <c r="K2" s="127">
        <v>5</v>
      </c>
      <c r="L2" s="84">
        <v>6</v>
      </c>
      <c r="M2" s="128">
        <v>7</v>
      </c>
      <c r="N2" s="128">
        <v>8</v>
      </c>
      <c r="O2" s="84">
        <v>9</v>
      </c>
      <c r="P2" s="84">
        <v>10</v>
      </c>
      <c r="Q2" s="84">
        <v>11</v>
      </c>
      <c r="R2" s="84">
        <v>12</v>
      </c>
    </row>
    <row r="3" spans="1:18" ht="12.95" customHeight="1">
      <c r="B3" s="85" t="s">
        <v>264</v>
      </c>
      <c r="C3" s="86" t="s">
        <v>265</v>
      </c>
      <c r="D3" s="87" t="s">
        <v>7</v>
      </c>
      <c r="E3" s="88">
        <v>37987</v>
      </c>
      <c r="F3" s="89"/>
      <c r="G3" s="90"/>
      <c r="H3" s="90"/>
      <c r="I3" s="90"/>
      <c r="J3" s="129">
        <v>0</v>
      </c>
      <c r="K3" s="129">
        <v>0</v>
      </c>
      <c r="L3" s="129">
        <v>0</v>
      </c>
      <c r="M3" s="130">
        <v>0</v>
      </c>
      <c r="N3" s="131">
        <v>0</v>
      </c>
      <c r="O3" s="131">
        <v>0</v>
      </c>
      <c r="P3" s="89"/>
      <c r="Q3" s="89"/>
      <c r="R3" s="89">
        <f>SUMIF('PHEP 2019'!B3,'Cham cong'!B9:B204,'Cham cong'!AL8:AL204)</f>
        <v>0</v>
      </c>
    </row>
    <row r="4" spans="1:18" ht="12.95" customHeight="1">
      <c r="B4" s="91" t="s">
        <v>266</v>
      </c>
      <c r="C4" s="92" t="s">
        <v>267</v>
      </c>
      <c r="D4" s="93" t="s">
        <v>8</v>
      </c>
      <c r="E4" s="94">
        <v>37347</v>
      </c>
      <c r="F4" s="89"/>
      <c r="G4" s="90"/>
      <c r="H4" s="90"/>
      <c r="I4" s="90"/>
      <c r="J4" s="129">
        <v>0</v>
      </c>
      <c r="K4" s="129">
        <v>0</v>
      </c>
      <c r="L4" s="129">
        <v>0</v>
      </c>
      <c r="M4" s="130">
        <v>0</v>
      </c>
      <c r="N4" s="131">
        <v>0</v>
      </c>
      <c r="O4" s="131">
        <v>0</v>
      </c>
      <c r="P4" s="89"/>
      <c r="Q4" s="89"/>
      <c r="R4" s="89">
        <f>SUMIF('PHEP 2019'!B4,'Cham cong'!B10:B205,'Cham cong'!AL9:AL205)</f>
        <v>0</v>
      </c>
    </row>
    <row r="5" spans="1:18" ht="12.95" customHeight="1">
      <c r="B5" s="95"/>
      <c r="C5" s="95" t="s">
        <v>268</v>
      </c>
      <c r="D5" s="96"/>
      <c r="E5" s="97"/>
      <c r="F5" s="89"/>
      <c r="G5" s="90"/>
      <c r="H5" s="90"/>
      <c r="I5" s="90"/>
      <c r="J5" s="129">
        <v>0</v>
      </c>
      <c r="K5" s="129">
        <v>0</v>
      </c>
      <c r="L5" s="129">
        <v>0</v>
      </c>
      <c r="M5" s="130">
        <v>0</v>
      </c>
      <c r="N5" s="131">
        <v>0</v>
      </c>
      <c r="O5" s="131">
        <v>0</v>
      </c>
      <c r="P5" s="89"/>
      <c r="Q5" s="89"/>
      <c r="R5" s="89">
        <f>SUMIF('PHEP 2019'!B5,'Cham cong'!B11:B206,'Cham cong'!AL10:AL206)</f>
        <v>0</v>
      </c>
    </row>
    <row r="6" spans="1:18" ht="12.95" customHeight="1">
      <c r="B6" s="98" t="s">
        <v>269</v>
      </c>
      <c r="C6" s="99" t="s">
        <v>270</v>
      </c>
      <c r="D6" s="100" t="s">
        <v>14</v>
      </c>
      <c r="E6" s="94">
        <v>40040</v>
      </c>
      <c r="F6" s="89"/>
      <c r="G6" s="90"/>
      <c r="H6" s="90"/>
      <c r="I6" s="90"/>
      <c r="J6" s="129">
        <v>0</v>
      </c>
      <c r="K6" s="129">
        <v>0</v>
      </c>
      <c r="L6" s="129">
        <v>2</v>
      </c>
      <c r="M6" s="130">
        <v>0</v>
      </c>
      <c r="N6" s="131">
        <v>2</v>
      </c>
      <c r="O6" s="131">
        <v>0</v>
      </c>
      <c r="P6" s="89"/>
      <c r="Q6" s="89"/>
      <c r="R6" s="89">
        <f>SUMIF('PHEP 2019'!B6,'Cham cong'!B12:B207,'Cham cong'!AL11:AL207)</f>
        <v>0</v>
      </c>
    </row>
    <row r="7" spans="1:18" ht="12.95" customHeight="1">
      <c r="B7" s="101" t="s">
        <v>271</v>
      </c>
      <c r="C7" s="102" t="s">
        <v>272</v>
      </c>
      <c r="D7" s="103" t="s">
        <v>21</v>
      </c>
      <c r="E7" s="104">
        <v>41838</v>
      </c>
      <c r="F7" s="89">
        <v>12</v>
      </c>
      <c r="G7" s="90"/>
      <c r="H7" s="90"/>
      <c r="I7" s="90"/>
      <c r="J7" s="129">
        <v>0</v>
      </c>
      <c r="K7" s="129">
        <v>2</v>
      </c>
      <c r="L7" s="129">
        <v>0</v>
      </c>
      <c r="M7" s="130">
        <v>0</v>
      </c>
      <c r="N7" s="131">
        <v>0</v>
      </c>
      <c r="O7" s="131">
        <v>1</v>
      </c>
      <c r="P7" s="89"/>
      <c r="Q7" s="89"/>
      <c r="R7" s="89">
        <f>SUMIF('PHEP 2019'!B7,'Cham cong'!B13:B208,'Cham cong'!AL12:AL208)</f>
        <v>0</v>
      </c>
    </row>
    <row r="8" spans="1:18" ht="12.95" customHeight="1">
      <c r="B8" s="91" t="s">
        <v>273</v>
      </c>
      <c r="C8" s="105" t="s">
        <v>274</v>
      </c>
      <c r="D8" s="106" t="s">
        <v>15</v>
      </c>
      <c r="E8" s="94">
        <v>40045</v>
      </c>
      <c r="F8" s="89">
        <v>0</v>
      </c>
      <c r="G8" s="90">
        <v>1</v>
      </c>
      <c r="H8" s="90"/>
      <c r="I8" s="90">
        <v>2</v>
      </c>
      <c r="J8" s="129">
        <v>0</v>
      </c>
      <c r="K8" s="129">
        <v>1</v>
      </c>
      <c r="L8" s="129">
        <v>1</v>
      </c>
      <c r="M8" s="130">
        <v>0</v>
      </c>
      <c r="N8" s="131">
        <v>3</v>
      </c>
      <c r="O8" s="131">
        <v>0</v>
      </c>
      <c r="P8" s="89"/>
      <c r="Q8" s="89"/>
      <c r="R8" s="89">
        <f>SUMIF('PHEP 2019'!B8,'Cham cong'!B14:B209,'Cham cong'!AL13:AL209)</f>
        <v>0</v>
      </c>
    </row>
    <row r="9" spans="1:18" ht="12.95" customHeight="1">
      <c r="B9" s="91" t="s">
        <v>275</v>
      </c>
      <c r="C9" s="105" t="s">
        <v>276</v>
      </c>
      <c r="D9" s="106" t="s">
        <v>15</v>
      </c>
      <c r="E9" s="94">
        <v>42842</v>
      </c>
      <c r="F9" s="89">
        <v>0</v>
      </c>
      <c r="G9" s="90"/>
      <c r="H9" s="90">
        <v>1</v>
      </c>
      <c r="I9" s="90">
        <v>1</v>
      </c>
      <c r="J9" s="129">
        <v>2</v>
      </c>
      <c r="K9" s="129">
        <v>0</v>
      </c>
      <c r="L9" s="129">
        <v>1</v>
      </c>
      <c r="M9" s="130">
        <v>3</v>
      </c>
      <c r="N9" s="131">
        <v>1</v>
      </c>
      <c r="O9" s="131">
        <v>1</v>
      </c>
      <c r="P9" s="89"/>
      <c r="Q9" s="89"/>
      <c r="R9" s="89">
        <f>SUMIF('PHEP 2019'!B9,'Cham cong'!B15:B210,'Cham cong'!AL14:AL210)</f>
        <v>0</v>
      </c>
    </row>
    <row r="10" spans="1:18" ht="12.95" customHeight="1">
      <c r="B10" s="91" t="s">
        <v>277</v>
      </c>
      <c r="C10" s="105" t="s">
        <v>278</v>
      </c>
      <c r="D10" s="107" t="s">
        <v>19</v>
      </c>
      <c r="E10" s="94">
        <v>43101</v>
      </c>
      <c r="F10" s="89">
        <v>0</v>
      </c>
      <c r="G10" s="90"/>
      <c r="H10" s="90"/>
      <c r="I10" s="90"/>
      <c r="J10" s="129">
        <v>0</v>
      </c>
      <c r="K10" s="129">
        <v>0</v>
      </c>
      <c r="L10" s="129">
        <v>0</v>
      </c>
      <c r="M10" s="130">
        <v>7</v>
      </c>
      <c r="N10" s="131">
        <v>0</v>
      </c>
      <c r="O10" s="131">
        <v>0</v>
      </c>
      <c r="P10" s="89"/>
      <c r="Q10" s="89"/>
      <c r="R10" s="89">
        <f>SUMIF('PHEP 2019'!B10,'Cham cong'!B16:B211,'Cham cong'!AL15:AL211)</f>
        <v>0</v>
      </c>
    </row>
    <row r="11" spans="1:18" ht="12.95" customHeight="1">
      <c r="B11" s="91" t="s">
        <v>279</v>
      </c>
      <c r="C11" s="105" t="s">
        <v>280</v>
      </c>
      <c r="D11" s="107" t="s">
        <v>19</v>
      </c>
      <c r="E11" s="94">
        <v>43137</v>
      </c>
      <c r="F11" s="89">
        <v>0</v>
      </c>
      <c r="G11" s="90"/>
      <c r="H11" s="90"/>
      <c r="I11" s="90"/>
      <c r="J11" s="129">
        <v>0</v>
      </c>
      <c r="K11" s="129">
        <v>0</v>
      </c>
      <c r="L11" s="129">
        <v>0</v>
      </c>
      <c r="M11" s="130">
        <v>1</v>
      </c>
      <c r="N11" s="131">
        <v>1</v>
      </c>
      <c r="O11" s="131">
        <v>1</v>
      </c>
      <c r="P11" s="89"/>
      <c r="Q11" s="89"/>
      <c r="R11" s="89">
        <f>SUMIF('PHEP 2019'!B11,'Cham cong'!B17:B212,'Cham cong'!AL16:AL212)</f>
        <v>0</v>
      </c>
    </row>
    <row r="12" spans="1:18" ht="12.95" customHeight="1">
      <c r="B12" s="91" t="s">
        <v>1184</v>
      </c>
      <c r="C12" s="91" t="s">
        <v>1185</v>
      </c>
      <c r="D12" s="107" t="s">
        <v>20</v>
      </c>
      <c r="E12" s="94">
        <v>42644</v>
      </c>
      <c r="F12" s="89">
        <v>0</v>
      </c>
      <c r="G12" s="90"/>
      <c r="H12" s="90"/>
      <c r="I12" s="90"/>
      <c r="J12" s="129">
        <v>0</v>
      </c>
      <c r="K12" s="129">
        <v>0</v>
      </c>
      <c r="L12" s="129">
        <v>0</v>
      </c>
      <c r="M12" s="130">
        <v>0</v>
      </c>
      <c r="N12" s="131">
        <v>0</v>
      </c>
      <c r="O12" s="131">
        <v>0</v>
      </c>
      <c r="P12" s="89"/>
      <c r="Q12" s="89"/>
      <c r="R12" s="89">
        <f>SUMIF('PHEP 2019'!B12,'Cham cong'!B18:B213,'Cham cong'!AL17:AL213)</f>
        <v>0</v>
      </c>
    </row>
    <row r="13" spans="1:18" ht="12.95" customHeight="1">
      <c r="B13" s="91" t="s">
        <v>281</v>
      </c>
      <c r="C13" s="105" t="s">
        <v>282</v>
      </c>
      <c r="D13" s="106" t="str">
        <f>'[5]THANG B.LUONG'!$B$49</f>
        <v>Tài xế</v>
      </c>
      <c r="E13" s="94">
        <v>43040</v>
      </c>
      <c r="F13" s="89">
        <v>0</v>
      </c>
      <c r="G13" s="90"/>
      <c r="H13" s="90"/>
      <c r="I13" s="90"/>
      <c r="J13" s="129">
        <v>0</v>
      </c>
      <c r="K13" s="129">
        <v>0</v>
      </c>
      <c r="L13" s="129">
        <v>0</v>
      </c>
      <c r="M13" s="130">
        <v>0</v>
      </c>
      <c r="N13" s="131">
        <v>0</v>
      </c>
      <c r="O13" s="131">
        <v>0</v>
      </c>
      <c r="P13" s="89"/>
      <c r="Q13" s="89"/>
      <c r="R13" s="89">
        <f>SUMIF('PHEP 2019'!B13,'Cham cong'!B19:B214,'Cham cong'!AL18:AL214)</f>
        <v>0</v>
      </c>
    </row>
    <row r="14" spans="1:18" ht="12.95" customHeight="1">
      <c r="B14" s="91" t="s">
        <v>289</v>
      </c>
      <c r="C14" s="108" t="s">
        <v>290</v>
      </c>
      <c r="D14" s="106" t="s">
        <v>15</v>
      </c>
      <c r="E14" s="94">
        <v>42983</v>
      </c>
      <c r="F14" s="89">
        <v>0</v>
      </c>
      <c r="G14" s="90"/>
      <c r="H14" s="90"/>
      <c r="I14" s="90"/>
      <c r="J14" s="129">
        <v>0</v>
      </c>
      <c r="K14" s="129">
        <v>0</v>
      </c>
      <c r="L14" s="129">
        <v>0</v>
      </c>
      <c r="M14" s="130">
        <v>1</v>
      </c>
      <c r="N14" s="131">
        <v>1</v>
      </c>
      <c r="O14" s="131">
        <v>3</v>
      </c>
      <c r="P14" s="89"/>
      <c r="Q14" s="89"/>
      <c r="R14" s="89">
        <f>SUMIF('PHEP 2019'!B14,'Cham cong'!B20:B215,'Cham cong'!AL19:AL215)</f>
        <v>0</v>
      </c>
    </row>
    <row r="15" spans="1:18" ht="12.95" customHeight="1">
      <c r="B15" s="109"/>
      <c r="C15" s="95" t="s">
        <v>293</v>
      </c>
      <c r="D15" s="96"/>
      <c r="E15" s="97"/>
      <c r="F15" s="89"/>
      <c r="G15" s="90"/>
      <c r="H15" s="90"/>
      <c r="I15" s="90"/>
      <c r="J15" s="129">
        <v>0</v>
      </c>
      <c r="K15" s="129">
        <v>0</v>
      </c>
      <c r="L15" s="129">
        <v>0</v>
      </c>
      <c r="M15" s="130">
        <v>0</v>
      </c>
      <c r="N15" s="131">
        <v>0</v>
      </c>
      <c r="O15" s="131">
        <v>0</v>
      </c>
      <c r="P15" s="89"/>
      <c r="Q15" s="89"/>
      <c r="R15" s="89">
        <f>SUMIF('PHEP 2019'!B15,'Cham cong'!B21:B216,'Cham cong'!AL20:AL216)</f>
        <v>0</v>
      </c>
    </row>
    <row r="16" spans="1:18" ht="12.95" customHeight="1">
      <c r="B16" s="98" t="s">
        <v>1186</v>
      </c>
      <c r="C16" s="92" t="s">
        <v>1187</v>
      </c>
      <c r="D16" s="100" t="s">
        <v>9</v>
      </c>
      <c r="E16" s="94">
        <v>41944</v>
      </c>
      <c r="F16" s="89"/>
      <c r="G16" s="90"/>
      <c r="H16" s="90"/>
      <c r="I16" s="90"/>
      <c r="J16" s="129">
        <v>0</v>
      </c>
      <c r="K16" s="129">
        <v>1</v>
      </c>
      <c r="L16" s="129">
        <v>0</v>
      </c>
      <c r="M16" s="130">
        <v>0</v>
      </c>
      <c r="N16" s="131">
        <v>0</v>
      </c>
      <c r="O16" s="131">
        <v>0</v>
      </c>
      <c r="P16" s="89"/>
      <c r="Q16" s="89"/>
      <c r="R16" s="89">
        <f>SUMIF('PHEP 2019'!B16,'Cham cong'!B22:B217,'Cham cong'!AL21:AL217)</f>
        <v>0</v>
      </c>
    </row>
    <row r="17" spans="2:18" ht="12.95" customHeight="1">
      <c r="B17" s="91" t="s">
        <v>294</v>
      </c>
      <c r="C17" s="105" t="s">
        <v>295</v>
      </c>
      <c r="D17" s="106" t="s">
        <v>11</v>
      </c>
      <c r="E17" s="94">
        <v>42555</v>
      </c>
      <c r="F17" s="89">
        <v>4</v>
      </c>
      <c r="G17" s="90">
        <v>1</v>
      </c>
      <c r="H17" s="90">
        <v>2</v>
      </c>
      <c r="I17" s="90"/>
      <c r="J17" s="129">
        <v>1</v>
      </c>
      <c r="K17" s="129">
        <v>3</v>
      </c>
      <c r="L17" s="129">
        <v>2</v>
      </c>
      <c r="M17" s="130">
        <v>1</v>
      </c>
      <c r="N17" s="131">
        <v>2</v>
      </c>
      <c r="O17" s="131">
        <v>1</v>
      </c>
      <c r="P17" s="89"/>
      <c r="Q17" s="89"/>
      <c r="R17" s="89">
        <f>SUMIF('PHEP 2019'!B17,'Cham cong'!B23:B218,'Cham cong'!AL22:AL218)</f>
        <v>0</v>
      </c>
    </row>
    <row r="18" spans="2:18" ht="12.95" customHeight="1">
      <c r="B18" s="109"/>
      <c r="C18" s="95" t="s">
        <v>300</v>
      </c>
      <c r="D18" s="96"/>
      <c r="E18" s="97"/>
      <c r="F18" s="89"/>
      <c r="G18" s="90"/>
      <c r="H18" s="90"/>
      <c r="I18" s="90"/>
      <c r="J18" s="129">
        <v>0</v>
      </c>
      <c r="K18" s="129">
        <v>0</v>
      </c>
      <c r="L18" s="129">
        <v>0</v>
      </c>
      <c r="M18" s="130">
        <v>0</v>
      </c>
      <c r="N18" s="131">
        <v>0</v>
      </c>
      <c r="O18" s="131">
        <v>0</v>
      </c>
      <c r="P18" s="89"/>
      <c r="Q18" s="89"/>
      <c r="R18" s="89">
        <f>SUMIF('PHEP 2019'!B18,'Cham cong'!B23:B219,'Cham cong'!AL23:AL219)</f>
        <v>0</v>
      </c>
    </row>
    <row r="19" spans="2:18" ht="12.95" customHeight="1">
      <c r="B19" s="98" t="s">
        <v>301</v>
      </c>
      <c r="C19" s="92" t="s">
        <v>302</v>
      </c>
      <c r="D19" s="100" t="s">
        <v>23</v>
      </c>
      <c r="E19" s="94">
        <v>41852</v>
      </c>
      <c r="F19" s="89"/>
      <c r="G19" s="90"/>
      <c r="H19" s="90"/>
      <c r="I19" s="90"/>
      <c r="J19" s="129">
        <v>0</v>
      </c>
      <c r="K19" s="129">
        <v>0</v>
      </c>
      <c r="L19" s="129">
        <v>0</v>
      </c>
      <c r="M19" s="130">
        <v>7</v>
      </c>
      <c r="N19" s="131">
        <v>2</v>
      </c>
      <c r="O19" s="131">
        <v>0</v>
      </c>
      <c r="P19" s="89"/>
      <c r="Q19" s="89"/>
      <c r="R19" s="89">
        <f>SUMIF('PHEP 2019'!B19,'Cham cong'!B24:B220,'Cham cong'!AL23:AL220)</f>
        <v>0</v>
      </c>
    </row>
    <row r="20" spans="2:18" ht="12.95" customHeight="1">
      <c r="B20" s="91" t="s">
        <v>303</v>
      </c>
      <c r="C20" s="105" t="s">
        <v>304</v>
      </c>
      <c r="D20" s="106" t="s">
        <v>33</v>
      </c>
      <c r="E20" s="94">
        <v>40239</v>
      </c>
      <c r="F20" s="89">
        <v>0</v>
      </c>
      <c r="G20" s="90"/>
      <c r="H20" s="90"/>
      <c r="I20" s="90"/>
      <c r="J20" s="129">
        <v>3</v>
      </c>
      <c r="K20" s="129">
        <v>0</v>
      </c>
      <c r="L20" s="129">
        <v>5</v>
      </c>
      <c r="M20" s="130">
        <v>0</v>
      </c>
      <c r="N20" s="131">
        <v>2</v>
      </c>
      <c r="O20" s="131">
        <v>0</v>
      </c>
      <c r="P20" s="89"/>
      <c r="Q20" s="89"/>
      <c r="R20" s="89">
        <f>SUMIF('PHEP 2019'!B20,'Cham cong'!B25:B221,'Cham cong'!AL24:AL221)</f>
        <v>0</v>
      </c>
    </row>
    <row r="21" spans="2:18" ht="12.95" customHeight="1">
      <c r="B21" s="91" t="s">
        <v>305</v>
      </c>
      <c r="C21" s="105" t="s">
        <v>306</v>
      </c>
      <c r="D21" s="106" t="s">
        <v>30</v>
      </c>
      <c r="E21" s="94">
        <v>42187</v>
      </c>
      <c r="F21" s="89">
        <v>0</v>
      </c>
      <c r="G21" s="90"/>
      <c r="H21" s="90">
        <v>1</v>
      </c>
      <c r="I21" s="90"/>
      <c r="J21" s="129">
        <v>1</v>
      </c>
      <c r="K21" s="129">
        <v>4</v>
      </c>
      <c r="L21" s="129">
        <v>0</v>
      </c>
      <c r="M21" s="130">
        <v>0</v>
      </c>
      <c r="N21" s="131">
        <v>4</v>
      </c>
      <c r="O21" s="131">
        <v>0</v>
      </c>
      <c r="P21" s="89"/>
      <c r="Q21" s="89"/>
      <c r="R21" s="89">
        <f>SUMIF('PHEP 2019'!B21,'Cham cong'!B26:B222,'Cham cong'!AL25:AL222)</f>
        <v>0</v>
      </c>
    </row>
    <row r="22" spans="2:18" ht="12.95" customHeight="1">
      <c r="B22" s="91" t="s">
        <v>307</v>
      </c>
      <c r="C22" s="105" t="s">
        <v>308</v>
      </c>
      <c r="D22" s="106" t="s">
        <v>30</v>
      </c>
      <c r="E22" s="94">
        <v>42537</v>
      </c>
      <c r="F22" s="89">
        <v>0</v>
      </c>
      <c r="G22" s="90"/>
      <c r="H22" s="90">
        <v>1</v>
      </c>
      <c r="I22" s="90">
        <v>2</v>
      </c>
      <c r="J22" s="129">
        <v>1</v>
      </c>
      <c r="K22" s="129">
        <v>0</v>
      </c>
      <c r="L22" s="129">
        <v>1</v>
      </c>
      <c r="M22" s="130">
        <v>0</v>
      </c>
      <c r="N22" s="131">
        <v>4</v>
      </c>
      <c r="O22" s="131">
        <v>2</v>
      </c>
      <c r="P22" s="89"/>
      <c r="Q22" s="89"/>
      <c r="R22" s="89">
        <f>SUMIF('PHEP 2019'!B22,'Cham cong'!B27:B223,'Cham cong'!AL26:AL223)</f>
        <v>0</v>
      </c>
    </row>
    <row r="23" spans="2:18" ht="12.95" customHeight="1">
      <c r="B23" s="91" t="s">
        <v>309</v>
      </c>
      <c r="C23" s="105" t="s">
        <v>310</v>
      </c>
      <c r="D23" s="106" t="s">
        <v>28</v>
      </c>
      <c r="E23" s="94">
        <v>42795</v>
      </c>
      <c r="F23" s="89">
        <v>0</v>
      </c>
      <c r="G23" s="90"/>
      <c r="H23" s="90">
        <v>2</v>
      </c>
      <c r="I23" s="90">
        <v>2</v>
      </c>
      <c r="J23" s="129">
        <v>0</v>
      </c>
      <c r="K23" s="129">
        <v>2</v>
      </c>
      <c r="L23" s="129">
        <v>2</v>
      </c>
      <c r="M23" s="130">
        <v>0</v>
      </c>
      <c r="N23" s="131">
        <v>4</v>
      </c>
      <c r="O23" s="131">
        <v>0</v>
      </c>
      <c r="P23" s="89"/>
      <c r="Q23" s="89"/>
      <c r="R23" s="89">
        <f>SUMIF('PHEP 2019'!B23,'Cham cong'!B28:B224,'Cham cong'!AL27:AL224)</f>
        <v>0</v>
      </c>
    </row>
    <row r="24" spans="2:18" ht="12.95" customHeight="1">
      <c r="B24" s="91" t="s">
        <v>311</v>
      </c>
      <c r="C24" s="105" t="s">
        <v>312</v>
      </c>
      <c r="D24" s="106" t="s">
        <v>25</v>
      </c>
      <c r="E24" s="94">
        <v>42809</v>
      </c>
      <c r="F24" s="89">
        <v>0</v>
      </c>
      <c r="G24" s="90"/>
      <c r="H24" s="90"/>
      <c r="I24" s="90">
        <v>2</v>
      </c>
      <c r="J24" s="129">
        <v>0</v>
      </c>
      <c r="K24" s="129">
        <v>0</v>
      </c>
      <c r="L24" s="129">
        <v>3</v>
      </c>
      <c r="M24" s="130">
        <v>0</v>
      </c>
      <c r="N24" s="131">
        <v>3</v>
      </c>
      <c r="O24" s="131">
        <v>1</v>
      </c>
      <c r="P24" s="89"/>
      <c r="Q24" s="89"/>
      <c r="R24" s="89">
        <f>SUMIF('PHEP 2019'!B24,'Cham cong'!B29:B225,'Cham cong'!AL28:AL225)</f>
        <v>0</v>
      </c>
    </row>
    <row r="25" spans="2:18" ht="12.95" customHeight="1">
      <c r="B25" s="91" t="s">
        <v>1188</v>
      </c>
      <c r="C25" s="110" t="s">
        <v>1189</v>
      </c>
      <c r="D25" s="111" t="s">
        <v>24</v>
      </c>
      <c r="E25" s="94">
        <v>42968</v>
      </c>
      <c r="F25" s="89">
        <v>0</v>
      </c>
      <c r="G25" s="90">
        <v>1</v>
      </c>
      <c r="H25" s="90"/>
      <c r="I25" s="90">
        <v>1</v>
      </c>
      <c r="J25" s="129">
        <v>2</v>
      </c>
      <c r="K25" s="129">
        <v>0</v>
      </c>
      <c r="L25" s="129">
        <v>2</v>
      </c>
      <c r="M25" s="130">
        <v>1</v>
      </c>
      <c r="N25" s="131">
        <v>0</v>
      </c>
      <c r="O25" s="131">
        <v>0</v>
      </c>
      <c r="P25" s="89"/>
      <c r="Q25" s="89"/>
      <c r="R25" s="89">
        <f>SUMIF('PHEP 2019'!B25,'Cham cong'!B30:B226,'Cham cong'!AL29:AL226)</f>
        <v>0</v>
      </c>
    </row>
    <row r="26" spans="2:18" ht="12.95" customHeight="1">
      <c r="B26" s="112" t="s">
        <v>313</v>
      </c>
      <c r="C26" s="113" t="s">
        <v>314</v>
      </c>
      <c r="D26" s="106" t="s">
        <v>30</v>
      </c>
      <c r="E26" s="114">
        <v>43070</v>
      </c>
      <c r="F26" s="89">
        <v>0</v>
      </c>
      <c r="G26" s="90"/>
      <c r="H26" s="90"/>
      <c r="I26" s="90"/>
      <c r="J26" s="129">
        <v>1</v>
      </c>
      <c r="K26" s="129">
        <v>0</v>
      </c>
      <c r="L26" s="129">
        <v>1</v>
      </c>
      <c r="M26" s="130">
        <v>0</v>
      </c>
      <c r="N26" s="131">
        <v>2</v>
      </c>
      <c r="O26" s="131">
        <v>2</v>
      </c>
      <c r="P26" s="89"/>
      <c r="Q26" s="89"/>
      <c r="R26" s="89">
        <f>SUMIF('PHEP 2019'!B26,'Cham cong'!B31:B227,'Cham cong'!AL30:AL227)</f>
        <v>0</v>
      </c>
    </row>
    <row r="27" spans="2:18" ht="12.95" customHeight="1">
      <c r="B27" s="109"/>
      <c r="C27" s="115" t="s">
        <v>323</v>
      </c>
      <c r="D27" s="116"/>
      <c r="E27" s="97"/>
      <c r="F27" s="89"/>
      <c r="G27" s="90"/>
      <c r="H27" s="90"/>
      <c r="I27" s="90"/>
      <c r="J27" s="129">
        <v>0</v>
      </c>
      <c r="K27" s="129">
        <v>0</v>
      </c>
      <c r="L27" s="129">
        <v>0</v>
      </c>
      <c r="M27" s="130">
        <v>0</v>
      </c>
      <c r="N27" s="131">
        <v>0</v>
      </c>
      <c r="O27" s="131">
        <v>0</v>
      </c>
      <c r="P27" s="89"/>
      <c r="Q27" s="89"/>
      <c r="R27" s="89">
        <f>SUMIF('PHEP 2019'!B27,'Cham cong'!B33:B228,'Cham cong'!AL31:AL228)</f>
        <v>0</v>
      </c>
    </row>
    <row r="28" spans="2:18" ht="12.95" customHeight="1">
      <c r="B28" s="91" t="s">
        <v>1190</v>
      </c>
      <c r="C28" s="105" t="s">
        <v>1191</v>
      </c>
      <c r="D28" s="106" t="s">
        <v>1192</v>
      </c>
      <c r="E28" s="94">
        <v>42338</v>
      </c>
      <c r="F28" s="89">
        <v>6</v>
      </c>
      <c r="G28" s="90">
        <v>1</v>
      </c>
      <c r="H28" s="90">
        <v>2</v>
      </c>
      <c r="I28" s="90"/>
      <c r="J28" s="129">
        <v>6</v>
      </c>
      <c r="K28" s="129">
        <v>1</v>
      </c>
      <c r="L28" s="129">
        <v>3</v>
      </c>
      <c r="M28" s="130">
        <v>2</v>
      </c>
      <c r="N28" s="131">
        <v>2</v>
      </c>
      <c r="O28" s="131">
        <v>5</v>
      </c>
      <c r="P28" s="89"/>
      <c r="Q28" s="89"/>
      <c r="R28" s="89">
        <f>SUMIF('PHEP 2019'!B28,'Cham cong'!B34:B229,'Cham cong'!AL33:AL229)</f>
        <v>0</v>
      </c>
    </row>
    <row r="29" spans="2:18" ht="12.95" customHeight="1">
      <c r="B29" s="91" t="s">
        <v>324</v>
      </c>
      <c r="C29" s="105" t="s">
        <v>325</v>
      </c>
      <c r="D29" s="106" t="s">
        <v>1193</v>
      </c>
      <c r="E29" s="94">
        <v>42475</v>
      </c>
      <c r="F29" s="89">
        <v>12</v>
      </c>
      <c r="G29" s="90">
        <v>1</v>
      </c>
      <c r="H29" s="90"/>
      <c r="I29" s="90">
        <v>1</v>
      </c>
      <c r="J29" s="129">
        <v>0</v>
      </c>
      <c r="K29" s="129">
        <v>2</v>
      </c>
      <c r="L29" s="129">
        <v>7</v>
      </c>
      <c r="M29" s="130">
        <v>4</v>
      </c>
      <c r="N29" s="131">
        <v>4</v>
      </c>
      <c r="O29" s="131">
        <v>1</v>
      </c>
      <c r="P29" s="89"/>
      <c r="Q29" s="89"/>
      <c r="R29" s="89">
        <f>SUMIF('PHEP 2019'!B29,'Cham cong'!B35:B230,'Cham cong'!AL34:AL230)</f>
        <v>0</v>
      </c>
    </row>
    <row r="30" spans="2:18" ht="12.95" customHeight="1">
      <c r="B30" s="91" t="s">
        <v>326</v>
      </c>
      <c r="C30" s="105" t="s">
        <v>327</v>
      </c>
      <c r="D30" s="106" t="s">
        <v>1194</v>
      </c>
      <c r="E30" s="94">
        <v>42485</v>
      </c>
      <c r="F30" s="89">
        <v>8</v>
      </c>
      <c r="G30" s="90"/>
      <c r="H30" s="90"/>
      <c r="I30" s="90"/>
      <c r="J30" s="129">
        <v>0</v>
      </c>
      <c r="K30" s="129">
        <v>0</v>
      </c>
      <c r="L30" s="129">
        <v>0</v>
      </c>
      <c r="M30" s="130">
        <v>0</v>
      </c>
      <c r="N30" s="131">
        <v>2</v>
      </c>
      <c r="O30" s="131">
        <v>2</v>
      </c>
      <c r="P30" s="89"/>
      <c r="Q30" s="89"/>
      <c r="R30" s="89">
        <f>SUMIF('PHEP 2019'!B30,'Cham cong'!B39:B231,'Cham cong'!AL35:AL231)</f>
        <v>0</v>
      </c>
    </row>
    <row r="31" spans="2:18" ht="12.95" customHeight="1">
      <c r="B31" s="95"/>
      <c r="C31" s="95" t="s">
        <v>334</v>
      </c>
      <c r="D31" s="96"/>
      <c r="E31" s="97"/>
      <c r="F31" s="89"/>
      <c r="G31" s="90"/>
      <c r="H31" s="90"/>
      <c r="I31" s="90"/>
      <c r="J31" s="129">
        <v>0</v>
      </c>
      <c r="K31" s="129">
        <v>0</v>
      </c>
      <c r="L31" s="129">
        <v>0</v>
      </c>
      <c r="M31" s="130">
        <v>0</v>
      </c>
      <c r="N31" s="131">
        <v>0</v>
      </c>
      <c r="O31" s="131">
        <v>0</v>
      </c>
      <c r="P31" s="89"/>
      <c r="Q31" s="89"/>
      <c r="R31" s="89">
        <f>SUMIF('PHEP 2019'!B31,'Cham cong'!B40:B232,'Cham cong'!AL39:AL232)</f>
        <v>0</v>
      </c>
    </row>
    <row r="32" spans="2:18" ht="12.95" customHeight="1">
      <c r="B32" s="98" t="s">
        <v>335</v>
      </c>
      <c r="C32" s="92" t="s">
        <v>336</v>
      </c>
      <c r="D32" s="100" t="s">
        <v>41</v>
      </c>
      <c r="E32" s="94">
        <v>42891</v>
      </c>
      <c r="F32" s="89">
        <v>4</v>
      </c>
      <c r="G32" s="90"/>
      <c r="H32" s="90"/>
      <c r="I32" s="90"/>
      <c r="J32" s="129">
        <v>0</v>
      </c>
      <c r="K32" s="129">
        <v>0</v>
      </c>
      <c r="L32" s="129">
        <v>1</v>
      </c>
      <c r="M32" s="130">
        <v>0</v>
      </c>
      <c r="N32" s="131">
        <v>5</v>
      </c>
      <c r="O32" s="131">
        <v>0</v>
      </c>
      <c r="P32" s="89"/>
      <c r="Q32" s="89"/>
      <c r="R32" s="89">
        <f>SUMIF('PHEP 2019'!B32,'Cham cong'!B40:B233,'Cham cong'!AL40:AL233)</f>
        <v>0</v>
      </c>
    </row>
    <row r="33" spans="2:18" ht="12.95" customHeight="1">
      <c r="B33" s="91" t="s">
        <v>337</v>
      </c>
      <c r="C33" s="105" t="s">
        <v>338</v>
      </c>
      <c r="D33" s="106" t="s">
        <v>42</v>
      </c>
      <c r="E33" s="94">
        <v>39083</v>
      </c>
      <c r="F33" s="89">
        <v>5</v>
      </c>
      <c r="G33" s="90">
        <v>2</v>
      </c>
      <c r="H33" s="90"/>
      <c r="I33" s="90"/>
      <c r="J33" s="129">
        <v>0</v>
      </c>
      <c r="K33" s="129">
        <v>0</v>
      </c>
      <c r="L33" s="129">
        <v>1</v>
      </c>
      <c r="M33" s="130">
        <v>0</v>
      </c>
      <c r="N33" s="131">
        <v>0</v>
      </c>
      <c r="O33" s="131">
        <v>3</v>
      </c>
      <c r="P33" s="89"/>
      <c r="Q33" s="89"/>
      <c r="R33" s="89">
        <f>SUMIF('PHEP 2019'!B33,'Cham cong'!B41:B234,'Cham cong'!AL40:AL234)</f>
        <v>0</v>
      </c>
    </row>
    <row r="34" spans="2:18" ht="12.95" customHeight="1">
      <c r="B34" s="91" t="s">
        <v>1195</v>
      </c>
      <c r="C34" s="110" t="s">
        <v>1196</v>
      </c>
      <c r="D34" s="111" t="s">
        <v>42</v>
      </c>
      <c r="E34" s="94">
        <v>42513</v>
      </c>
      <c r="F34" s="89">
        <v>4</v>
      </c>
      <c r="G34" s="90">
        <v>1</v>
      </c>
      <c r="H34" s="90">
        <v>5</v>
      </c>
      <c r="I34" s="90">
        <v>2</v>
      </c>
      <c r="J34" s="129">
        <v>0</v>
      </c>
      <c r="K34" s="129">
        <v>1</v>
      </c>
      <c r="L34" s="129">
        <v>0</v>
      </c>
      <c r="M34" s="130">
        <v>0</v>
      </c>
      <c r="N34" s="131">
        <v>0</v>
      </c>
      <c r="O34" s="131">
        <v>0</v>
      </c>
      <c r="P34" s="89"/>
      <c r="Q34" s="89"/>
      <c r="R34" s="89">
        <f>SUMIF('PHEP 2019'!B34,'Cham cong'!B42:B235,'Cham cong'!AL41:AL235)</f>
        <v>0</v>
      </c>
    </row>
    <row r="35" spans="2:18" ht="12.95" customHeight="1">
      <c r="B35" s="112" t="s">
        <v>395</v>
      </c>
      <c r="C35" s="113" t="s">
        <v>396</v>
      </c>
      <c r="D35" s="111" t="s">
        <v>42</v>
      </c>
      <c r="E35" s="114">
        <v>43087</v>
      </c>
      <c r="F35" s="89">
        <v>0</v>
      </c>
      <c r="G35" s="90"/>
      <c r="H35" s="90"/>
      <c r="I35" s="90"/>
      <c r="J35" s="129">
        <v>0</v>
      </c>
      <c r="K35" s="129">
        <v>0</v>
      </c>
      <c r="L35" s="129">
        <v>1</v>
      </c>
      <c r="M35" s="130">
        <v>1</v>
      </c>
      <c r="N35" s="131">
        <v>3</v>
      </c>
      <c r="O35" s="131">
        <v>0</v>
      </c>
      <c r="P35" s="89"/>
      <c r="Q35" s="89"/>
      <c r="R35" s="89">
        <f>SUMIF('PHEP 2019'!B35,'Cham cong'!B43:B236,'Cham cong'!AL42:AL236)</f>
        <v>0</v>
      </c>
    </row>
    <row r="36" spans="2:18" ht="12.95" customHeight="1">
      <c r="B36" s="95"/>
      <c r="C36" s="115" t="s">
        <v>341</v>
      </c>
      <c r="D36" s="116"/>
      <c r="E36" s="97"/>
      <c r="F36" s="89"/>
      <c r="G36" s="90"/>
      <c r="H36" s="90"/>
      <c r="I36" s="90"/>
      <c r="J36" s="129">
        <v>0</v>
      </c>
      <c r="K36" s="129">
        <v>0</v>
      </c>
      <c r="L36" s="129">
        <v>0</v>
      </c>
      <c r="M36" s="130">
        <v>0</v>
      </c>
      <c r="N36" s="131">
        <v>0</v>
      </c>
      <c r="O36" s="131">
        <v>0</v>
      </c>
      <c r="P36" s="89"/>
      <c r="Q36" s="89"/>
      <c r="R36" s="89">
        <f>SUMIF('PHEP 2019'!B36,'Cham cong'!B44:B237,'Cham cong'!AL43:AL237)</f>
        <v>0</v>
      </c>
    </row>
    <row r="37" spans="2:18" ht="12.95" customHeight="1">
      <c r="B37" s="98" t="s">
        <v>342</v>
      </c>
      <c r="C37" s="92" t="s">
        <v>343</v>
      </c>
      <c r="D37" s="100" t="s">
        <v>36</v>
      </c>
      <c r="E37" s="94">
        <v>40848</v>
      </c>
      <c r="F37" s="89">
        <v>12</v>
      </c>
      <c r="G37" s="90"/>
      <c r="H37" s="90"/>
      <c r="I37" s="90"/>
      <c r="J37" s="129">
        <v>0</v>
      </c>
      <c r="K37" s="129">
        <v>0</v>
      </c>
      <c r="L37" s="129">
        <v>0</v>
      </c>
      <c r="M37" s="130">
        <v>2</v>
      </c>
      <c r="N37" s="131">
        <v>1</v>
      </c>
      <c r="O37" s="131">
        <v>0</v>
      </c>
      <c r="P37" s="89"/>
      <c r="Q37" s="89"/>
      <c r="R37" s="89">
        <f>SUMIF('PHEP 2019'!B37,'Cham cong'!B44:B238,'Cham cong'!AL44:AL238)</f>
        <v>0</v>
      </c>
    </row>
    <row r="38" spans="2:18" ht="12.95" customHeight="1">
      <c r="B38" s="91" t="s">
        <v>344</v>
      </c>
      <c r="C38" s="105" t="s">
        <v>345</v>
      </c>
      <c r="D38" s="106" t="s">
        <v>38</v>
      </c>
      <c r="E38" s="94">
        <v>41487</v>
      </c>
      <c r="F38" s="89">
        <v>2</v>
      </c>
      <c r="G38" s="90">
        <v>1</v>
      </c>
      <c r="H38" s="90">
        <v>1</v>
      </c>
      <c r="I38" s="90"/>
      <c r="J38" s="129">
        <v>0</v>
      </c>
      <c r="K38" s="129">
        <v>1</v>
      </c>
      <c r="L38" s="129">
        <v>1</v>
      </c>
      <c r="M38" s="130">
        <v>4</v>
      </c>
      <c r="N38" s="131">
        <v>2</v>
      </c>
      <c r="O38" s="131">
        <v>1</v>
      </c>
      <c r="P38" s="89"/>
      <c r="Q38" s="89"/>
      <c r="R38" s="89">
        <f>SUMIF('PHEP 2019'!B38,'Cham cong'!B46:B239,'Cham cong'!AL44:AL239)</f>
        <v>0</v>
      </c>
    </row>
    <row r="39" spans="2:18" ht="12.95" customHeight="1">
      <c r="B39" s="91" t="s">
        <v>346</v>
      </c>
      <c r="C39" s="105" t="s">
        <v>347</v>
      </c>
      <c r="D39" s="106" t="s">
        <v>38</v>
      </c>
      <c r="E39" s="94">
        <v>42569</v>
      </c>
      <c r="F39" s="89">
        <v>9</v>
      </c>
      <c r="G39" s="90"/>
      <c r="H39" s="90">
        <v>1</v>
      </c>
      <c r="I39" s="90"/>
      <c r="J39" s="129">
        <v>4</v>
      </c>
      <c r="K39" s="129">
        <v>0</v>
      </c>
      <c r="L39" s="129">
        <v>2</v>
      </c>
      <c r="M39" s="130">
        <v>2</v>
      </c>
      <c r="N39" s="131">
        <v>1</v>
      </c>
      <c r="O39" s="131">
        <v>1</v>
      </c>
      <c r="P39" s="89"/>
      <c r="Q39" s="89"/>
      <c r="R39" s="89">
        <f>SUMIF('PHEP 2019'!B39,'Cham cong'!B47:B240,'Cham cong'!AL46:AL240)</f>
        <v>0</v>
      </c>
    </row>
    <row r="40" spans="2:18" ht="12.95" customHeight="1">
      <c r="B40" s="117" t="s">
        <v>348</v>
      </c>
      <c r="C40" s="118" t="s">
        <v>349</v>
      </c>
      <c r="D40" s="119" t="s">
        <v>38</v>
      </c>
      <c r="E40" s="114">
        <v>42835</v>
      </c>
      <c r="F40" s="89">
        <v>0</v>
      </c>
      <c r="G40" s="90"/>
      <c r="H40" s="90"/>
      <c r="I40" s="90"/>
      <c r="J40" s="129">
        <v>0</v>
      </c>
      <c r="K40" s="129">
        <v>1</v>
      </c>
      <c r="L40" s="129">
        <v>1</v>
      </c>
      <c r="M40" s="130">
        <v>2</v>
      </c>
      <c r="N40" s="131">
        <v>1</v>
      </c>
      <c r="O40" s="131">
        <v>3</v>
      </c>
      <c r="P40" s="89"/>
      <c r="Q40" s="89"/>
      <c r="R40" s="89">
        <f>SUMIF('PHEP 2019'!B40,'Cham cong'!B48:B241,'Cham cong'!AL47:AL241)</f>
        <v>0</v>
      </c>
    </row>
    <row r="41" spans="2:18" ht="12.95" customHeight="1">
      <c r="B41" s="91" t="s">
        <v>1197</v>
      </c>
      <c r="C41" s="105" t="s">
        <v>351</v>
      </c>
      <c r="D41" s="106" t="s">
        <v>62</v>
      </c>
      <c r="E41" s="94">
        <v>42565</v>
      </c>
      <c r="F41" s="89">
        <v>0</v>
      </c>
      <c r="G41" s="90"/>
      <c r="H41" s="90">
        <v>1</v>
      </c>
      <c r="I41" s="90">
        <v>1</v>
      </c>
      <c r="J41" s="129">
        <v>1</v>
      </c>
      <c r="K41" s="129">
        <v>0</v>
      </c>
      <c r="L41" s="129">
        <v>1</v>
      </c>
      <c r="M41" s="130">
        <v>3</v>
      </c>
      <c r="N41" s="131">
        <v>2</v>
      </c>
      <c r="O41" s="131">
        <v>1</v>
      </c>
      <c r="P41" s="89"/>
      <c r="Q41" s="89"/>
      <c r="R41" s="89">
        <f>SUMIF('PHEP 2019'!B41,'Cham cong'!B49:B242,'Cham cong'!AL48:AL242)</f>
        <v>0</v>
      </c>
    </row>
    <row r="42" spans="2:18" ht="12.95" customHeight="1">
      <c r="B42" s="95"/>
      <c r="C42" s="95" t="s">
        <v>352</v>
      </c>
      <c r="D42" s="96"/>
      <c r="E42" s="97"/>
      <c r="F42" s="89"/>
      <c r="G42" s="90"/>
      <c r="H42" s="90"/>
      <c r="I42" s="90"/>
      <c r="J42" s="129">
        <v>0</v>
      </c>
      <c r="K42" s="129">
        <v>0</v>
      </c>
      <c r="L42" s="129">
        <v>0</v>
      </c>
      <c r="M42" s="130">
        <v>0</v>
      </c>
      <c r="N42" s="131">
        <v>0</v>
      </c>
      <c r="O42" s="131">
        <v>0</v>
      </c>
      <c r="P42" s="89"/>
      <c r="Q42" s="89"/>
      <c r="R42" s="89">
        <f>SUMIF('PHEP 2019'!B42,'Cham cong'!B50:B243,'Cham cong'!AL49:AL243)</f>
        <v>0</v>
      </c>
    </row>
    <row r="43" spans="2:18" ht="12.95" customHeight="1">
      <c r="B43" s="98" t="s">
        <v>353</v>
      </c>
      <c r="C43" s="92" t="s">
        <v>354</v>
      </c>
      <c r="D43" s="106" t="s">
        <v>58</v>
      </c>
      <c r="E43" s="94">
        <v>42443</v>
      </c>
      <c r="F43" s="89"/>
      <c r="G43" s="90"/>
      <c r="H43" s="90"/>
      <c r="I43" s="90"/>
      <c r="J43" s="129">
        <v>0</v>
      </c>
      <c r="K43" s="129">
        <v>0</v>
      </c>
      <c r="L43" s="129">
        <v>0</v>
      </c>
      <c r="M43" s="130">
        <v>0</v>
      </c>
      <c r="N43" s="131">
        <v>0</v>
      </c>
      <c r="O43" s="131">
        <v>0</v>
      </c>
      <c r="P43" s="89"/>
      <c r="Q43" s="89"/>
      <c r="R43" s="89">
        <f>SUMIF('PHEP 2019'!B43,'Cham cong'!B52:B244,'Cham cong'!AL50:AL244)</f>
        <v>0</v>
      </c>
    </row>
    <row r="44" spans="2:18" ht="12.95" customHeight="1">
      <c r="B44" s="91" t="s">
        <v>1198</v>
      </c>
      <c r="C44" s="105" t="s">
        <v>467</v>
      </c>
      <c r="D44" s="106" t="s">
        <v>139</v>
      </c>
      <c r="E44" s="94">
        <v>42247</v>
      </c>
      <c r="F44" s="89">
        <v>9</v>
      </c>
      <c r="G44" s="90">
        <v>1</v>
      </c>
      <c r="H44" s="90">
        <v>6</v>
      </c>
      <c r="I44" s="90"/>
      <c r="J44" s="129">
        <v>0</v>
      </c>
      <c r="K44" s="129">
        <v>0</v>
      </c>
      <c r="L44" s="129">
        <v>0</v>
      </c>
      <c r="M44" s="130">
        <v>0</v>
      </c>
      <c r="N44" s="131">
        <v>2</v>
      </c>
      <c r="O44" s="131">
        <v>8</v>
      </c>
      <c r="P44" s="89"/>
      <c r="Q44" s="89"/>
      <c r="R44" s="89">
        <f>SUMIF('PHEP 2019'!B44,'Cham cong'!B52:B245,'Cham cong'!AL52:AL245)</f>
        <v>0</v>
      </c>
    </row>
    <row r="45" spans="2:18" ht="12.95" customHeight="1">
      <c r="B45" s="91" t="s">
        <v>355</v>
      </c>
      <c r="C45" s="105" t="s">
        <v>356</v>
      </c>
      <c r="D45" s="106" t="s">
        <v>60</v>
      </c>
      <c r="E45" s="94">
        <v>42515</v>
      </c>
      <c r="F45" s="89">
        <v>6</v>
      </c>
      <c r="G45" s="90">
        <v>1</v>
      </c>
      <c r="H45" s="90">
        <v>1</v>
      </c>
      <c r="I45" s="90">
        <v>1</v>
      </c>
      <c r="J45" s="129">
        <v>1</v>
      </c>
      <c r="K45" s="129">
        <v>2</v>
      </c>
      <c r="L45" s="129">
        <v>1</v>
      </c>
      <c r="M45" s="130">
        <v>1</v>
      </c>
      <c r="N45" s="131">
        <v>2</v>
      </c>
      <c r="O45" s="131">
        <v>0</v>
      </c>
      <c r="P45" s="89"/>
      <c r="Q45" s="89"/>
      <c r="R45" s="89">
        <f>SUMIF('PHEP 2019'!B45,'Cham cong'!B53:B246,'Cham cong'!AL52:AL246)</f>
        <v>0</v>
      </c>
    </row>
    <row r="46" spans="2:18" ht="12.95" customHeight="1">
      <c r="B46" s="91" t="s">
        <v>366</v>
      </c>
      <c r="C46" s="105" t="s">
        <v>367</v>
      </c>
      <c r="D46" s="106" t="s">
        <v>63</v>
      </c>
      <c r="E46" s="94">
        <v>42887</v>
      </c>
      <c r="F46" s="89">
        <v>1</v>
      </c>
      <c r="G46" s="90">
        <v>1</v>
      </c>
      <c r="H46" s="90"/>
      <c r="I46" s="90"/>
      <c r="J46" s="129">
        <v>1</v>
      </c>
      <c r="K46" s="129">
        <v>0</v>
      </c>
      <c r="L46" s="129">
        <v>0</v>
      </c>
      <c r="M46" s="130">
        <v>0</v>
      </c>
      <c r="N46" s="131">
        <v>2</v>
      </c>
      <c r="O46" s="131">
        <v>0</v>
      </c>
      <c r="P46" s="89"/>
      <c r="Q46" s="89"/>
      <c r="R46" s="89">
        <f>SUMIF('PHEP 2019'!B46,'Cham cong'!B54:B247,'Cham cong'!AL53:AL247)</f>
        <v>0</v>
      </c>
    </row>
    <row r="47" spans="2:18" ht="12.95" customHeight="1">
      <c r="B47" s="91" t="s">
        <v>368</v>
      </c>
      <c r="C47" s="110" t="s">
        <v>369</v>
      </c>
      <c r="D47" s="111" t="s">
        <v>62</v>
      </c>
      <c r="E47" s="94">
        <v>43040</v>
      </c>
      <c r="F47" s="89">
        <v>0</v>
      </c>
      <c r="G47" s="90">
        <v>2</v>
      </c>
      <c r="H47" s="90">
        <v>1</v>
      </c>
      <c r="I47" s="90">
        <v>1</v>
      </c>
      <c r="J47" s="129">
        <v>0</v>
      </c>
      <c r="K47" s="129">
        <v>1</v>
      </c>
      <c r="L47" s="129">
        <v>1</v>
      </c>
      <c r="M47" s="130">
        <v>1</v>
      </c>
      <c r="N47" s="131">
        <v>1</v>
      </c>
      <c r="O47" s="131">
        <v>0</v>
      </c>
      <c r="P47" s="89"/>
      <c r="Q47" s="89"/>
      <c r="R47" s="89">
        <f>SUMIF('PHEP 2019'!B47,'Cham cong'!B55:B248,'Cham cong'!AL54:AL248)</f>
        <v>0</v>
      </c>
    </row>
    <row r="48" spans="2:18" ht="12.95" customHeight="1">
      <c r="B48" s="112" t="s">
        <v>372</v>
      </c>
      <c r="C48" s="113" t="s">
        <v>375</v>
      </c>
      <c r="D48" s="111" t="s">
        <v>62</v>
      </c>
      <c r="E48" s="114">
        <v>43171</v>
      </c>
      <c r="F48" s="89">
        <v>0</v>
      </c>
      <c r="G48" s="90"/>
      <c r="H48" s="90"/>
      <c r="I48" s="90"/>
      <c r="J48" s="129">
        <v>0</v>
      </c>
      <c r="K48" s="129">
        <v>0</v>
      </c>
      <c r="L48" s="129">
        <v>0</v>
      </c>
      <c r="M48" s="130">
        <v>2</v>
      </c>
      <c r="N48" s="131">
        <v>1</v>
      </c>
      <c r="O48" s="131">
        <v>0</v>
      </c>
      <c r="P48" s="89"/>
      <c r="Q48" s="89"/>
      <c r="R48" s="89">
        <f>SUMIF('PHEP 2019'!B48,'Cham cong'!B55:B249,'Cham cong'!AL55:AL249)</f>
        <v>0</v>
      </c>
    </row>
    <row r="49" spans="2:18" ht="12.95" customHeight="1">
      <c r="B49" s="112" t="s">
        <v>374</v>
      </c>
      <c r="C49" s="113" t="s">
        <v>371</v>
      </c>
      <c r="D49" s="111" t="s">
        <v>62</v>
      </c>
      <c r="E49" s="114">
        <v>43192</v>
      </c>
      <c r="F49" s="89">
        <v>0</v>
      </c>
      <c r="G49" s="90"/>
      <c r="H49" s="90"/>
      <c r="I49" s="90"/>
      <c r="J49" s="129">
        <v>0</v>
      </c>
      <c r="K49" s="129">
        <v>0</v>
      </c>
      <c r="L49" s="129">
        <v>0</v>
      </c>
      <c r="M49" s="130">
        <v>2</v>
      </c>
      <c r="N49" s="131">
        <v>1</v>
      </c>
      <c r="O49" s="131">
        <v>1</v>
      </c>
      <c r="P49" s="89"/>
      <c r="Q49" s="89"/>
      <c r="R49" s="89">
        <f>SUMIF('PHEP 2019'!B49,'Cham cong'!B56:B250,'Cham cong'!AL55:AL250)</f>
        <v>0</v>
      </c>
    </row>
    <row r="50" spans="2:18" ht="12.95" customHeight="1">
      <c r="B50" s="120"/>
      <c r="C50" s="115" t="s">
        <v>1199</v>
      </c>
      <c r="D50" s="116"/>
      <c r="E50" s="97"/>
      <c r="F50" s="89"/>
      <c r="G50" s="90"/>
      <c r="H50" s="90"/>
      <c r="I50" s="90"/>
      <c r="J50" s="129">
        <v>0</v>
      </c>
      <c r="K50" s="129">
        <v>0</v>
      </c>
      <c r="L50" s="129">
        <v>0</v>
      </c>
      <c r="M50" s="130">
        <v>0</v>
      </c>
      <c r="N50" s="131">
        <v>0</v>
      </c>
      <c r="O50" s="131">
        <v>0</v>
      </c>
      <c r="P50" s="89"/>
      <c r="Q50" s="89"/>
      <c r="R50" s="89">
        <f>SUMIF('PHEP 2019'!B50,'Cham cong'!B57:B251,'Cham cong'!AL56:AL251)</f>
        <v>0</v>
      </c>
    </row>
    <row r="51" spans="2:18" ht="12.95" customHeight="1">
      <c r="B51" s="98" t="s">
        <v>1200</v>
      </c>
      <c r="C51" s="92" t="s">
        <v>1201</v>
      </c>
      <c r="D51" s="100" t="s">
        <v>47</v>
      </c>
      <c r="E51" s="94">
        <v>42971</v>
      </c>
      <c r="F51" s="89"/>
      <c r="G51" s="90"/>
      <c r="H51" s="90"/>
      <c r="I51" s="90"/>
      <c r="J51" s="129">
        <v>0</v>
      </c>
      <c r="K51" s="129">
        <v>0</v>
      </c>
      <c r="L51" s="129">
        <v>0</v>
      </c>
      <c r="M51" s="130">
        <v>0</v>
      </c>
      <c r="N51" s="131">
        <v>0</v>
      </c>
      <c r="O51" s="131">
        <v>0</v>
      </c>
      <c r="P51" s="89"/>
      <c r="Q51" s="89"/>
      <c r="R51" s="89">
        <f>SUMIF('PHEP 2019'!B51,'Cham cong'!B58:B252,'Cham cong'!AL57:AL252)</f>
        <v>0</v>
      </c>
    </row>
    <row r="52" spans="2:18" ht="12.95" customHeight="1">
      <c r="B52" s="121" t="s">
        <v>376</v>
      </c>
      <c r="C52" s="122"/>
      <c r="D52" s="122"/>
      <c r="E52" s="123"/>
      <c r="F52" s="89"/>
      <c r="G52" s="90"/>
      <c r="H52" s="90"/>
      <c r="I52" s="90"/>
      <c r="J52" s="129">
        <v>0</v>
      </c>
      <c r="K52" s="129">
        <v>0</v>
      </c>
      <c r="L52" s="129">
        <v>0</v>
      </c>
      <c r="M52" s="130">
        <v>0</v>
      </c>
      <c r="N52" s="131">
        <v>0</v>
      </c>
      <c r="O52" s="131">
        <v>0</v>
      </c>
      <c r="P52" s="89"/>
      <c r="Q52" s="89"/>
      <c r="R52" s="89">
        <f>SUMIF('PHEP 2019'!B52,'Cham cong'!B59:B253,'Cham cong'!AL58:AL253)</f>
        <v>0</v>
      </c>
    </row>
    <row r="53" spans="2:18" ht="12.95" customHeight="1">
      <c r="B53" s="95"/>
      <c r="C53" s="96" t="s">
        <v>377</v>
      </c>
      <c r="D53" s="96"/>
      <c r="E53" s="97"/>
      <c r="F53" s="89"/>
      <c r="G53" s="90"/>
      <c r="H53" s="90"/>
      <c r="I53" s="90"/>
      <c r="J53" s="129">
        <v>0</v>
      </c>
      <c r="K53" s="129">
        <v>0</v>
      </c>
      <c r="L53" s="129">
        <v>0</v>
      </c>
      <c r="M53" s="130">
        <v>0</v>
      </c>
      <c r="N53" s="131">
        <v>0</v>
      </c>
      <c r="O53" s="131">
        <v>0</v>
      </c>
      <c r="P53" s="89"/>
      <c r="Q53" s="89"/>
      <c r="R53" s="89">
        <f>SUMIF('PHEP 2019'!B53,'Cham cong'!B60:B254,'Cham cong'!AL59:AL254)</f>
        <v>0</v>
      </c>
    </row>
    <row r="54" spans="2:18" ht="12.95" customHeight="1">
      <c r="B54" s="98" t="s">
        <v>378</v>
      </c>
      <c r="C54" s="92" t="s">
        <v>379</v>
      </c>
      <c r="D54" s="100" t="s">
        <v>82</v>
      </c>
      <c r="E54" s="94">
        <v>39471</v>
      </c>
      <c r="F54" s="89"/>
      <c r="G54" s="90"/>
      <c r="H54" s="90"/>
      <c r="I54" s="90"/>
      <c r="J54" s="129">
        <v>0</v>
      </c>
      <c r="K54" s="129">
        <v>0</v>
      </c>
      <c r="L54" s="129">
        <v>0</v>
      </c>
      <c r="M54" s="130">
        <v>0</v>
      </c>
      <c r="N54" s="131">
        <v>2</v>
      </c>
      <c r="O54" s="131">
        <v>0</v>
      </c>
      <c r="P54" s="89"/>
      <c r="Q54" s="89"/>
      <c r="R54" s="89">
        <f>SUMIF('PHEP 2019'!B54,'Cham cong'!B60:B255,'Cham cong'!AL60:AL255)</f>
        <v>0</v>
      </c>
    </row>
    <row r="55" spans="2:18" ht="12.95" customHeight="1">
      <c r="B55" s="95"/>
      <c r="C55" s="96" t="s">
        <v>380</v>
      </c>
      <c r="D55" s="96"/>
      <c r="E55" s="97"/>
      <c r="F55" s="89"/>
      <c r="G55" s="90"/>
      <c r="H55" s="90"/>
      <c r="I55" s="90"/>
      <c r="J55" s="129">
        <v>0</v>
      </c>
      <c r="K55" s="129">
        <v>0</v>
      </c>
      <c r="L55" s="129">
        <v>0</v>
      </c>
      <c r="M55" s="130">
        <v>0</v>
      </c>
      <c r="N55" s="131">
        <v>0</v>
      </c>
      <c r="O55" s="131">
        <v>0</v>
      </c>
      <c r="P55" s="89"/>
      <c r="Q55" s="89"/>
      <c r="R55" s="89">
        <f>SUMIF('PHEP 2019'!B55,'Cham cong'!B67:B256,'Cham cong'!AL60:AL256)</f>
        <v>0</v>
      </c>
    </row>
    <row r="56" spans="2:18" ht="12.95" customHeight="1">
      <c r="B56" s="91" t="s">
        <v>319</v>
      </c>
      <c r="C56" s="124" t="s">
        <v>320</v>
      </c>
      <c r="D56" s="106" t="s">
        <v>50</v>
      </c>
      <c r="E56" s="94">
        <v>41877</v>
      </c>
      <c r="F56" s="89">
        <v>2</v>
      </c>
      <c r="G56" s="90"/>
      <c r="H56" s="90"/>
      <c r="I56" s="90"/>
      <c r="J56" s="129">
        <v>0</v>
      </c>
      <c r="K56" s="129">
        <v>0</v>
      </c>
      <c r="L56" s="129">
        <v>0</v>
      </c>
      <c r="M56" s="130">
        <v>2</v>
      </c>
      <c r="N56" s="131">
        <v>1</v>
      </c>
      <c r="O56" s="131">
        <v>1</v>
      </c>
      <c r="P56" s="89"/>
      <c r="Q56" s="89"/>
      <c r="R56" s="89">
        <f>SUMIF('PHEP 2019'!B56,'Cham cong'!B67:B257,'Cham cong'!AL67:AL257)</f>
        <v>0</v>
      </c>
    </row>
    <row r="57" spans="2:18" ht="12.95" customHeight="1">
      <c r="B57" s="91" t="s">
        <v>321</v>
      </c>
      <c r="C57" s="108" t="s">
        <v>322</v>
      </c>
      <c r="D57" s="106" t="s">
        <v>51</v>
      </c>
      <c r="E57" s="94">
        <v>42095</v>
      </c>
      <c r="F57" s="89">
        <v>9</v>
      </c>
      <c r="G57" s="90">
        <v>1</v>
      </c>
      <c r="H57" s="90">
        <v>3</v>
      </c>
      <c r="I57" s="90"/>
      <c r="J57" s="129">
        <v>3</v>
      </c>
      <c r="K57" s="129">
        <v>3</v>
      </c>
      <c r="L57" s="129">
        <v>0</v>
      </c>
      <c r="M57" s="130">
        <v>0</v>
      </c>
      <c r="N57" s="131">
        <v>9</v>
      </c>
      <c r="O57" s="131">
        <v>0</v>
      </c>
      <c r="P57" s="89"/>
      <c r="Q57" s="89"/>
      <c r="R57" s="89">
        <f>SUMIF('PHEP 2019'!B57,'Cham cong'!B67:B258,'Cham cong'!AL67:AL258)</f>
        <v>0</v>
      </c>
    </row>
    <row r="58" spans="2:18" ht="12.95" customHeight="1">
      <c r="B58" s="91" t="s">
        <v>1202</v>
      </c>
      <c r="C58" s="108" t="s">
        <v>478</v>
      </c>
      <c r="D58" s="106" t="s">
        <v>51</v>
      </c>
      <c r="E58" s="94">
        <v>42788</v>
      </c>
      <c r="F58" s="89">
        <v>7</v>
      </c>
      <c r="G58" s="90"/>
      <c r="H58" s="90"/>
      <c r="I58" s="90"/>
      <c r="J58" s="129">
        <v>0</v>
      </c>
      <c r="K58" s="129">
        <v>0</v>
      </c>
      <c r="L58" s="129">
        <v>0</v>
      </c>
      <c r="M58" s="130">
        <v>0</v>
      </c>
      <c r="N58" s="131">
        <v>3</v>
      </c>
      <c r="O58" s="131">
        <v>0</v>
      </c>
      <c r="P58" s="89"/>
      <c r="Q58" s="89"/>
      <c r="R58" s="89">
        <f>SUMIF('PHEP 2019'!B58,'Cham cong'!B68:B259,'Cham cong'!AL67:AL259)</f>
        <v>0</v>
      </c>
    </row>
    <row r="59" spans="2:18" ht="12.95" customHeight="1">
      <c r="B59" s="91" t="s">
        <v>381</v>
      </c>
      <c r="C59" s="108" t="s">
        <v>382</v>
      </c>
      <c r="D59" s="106" t="s">
        <v>51</v>
      </c>
      <c r="E59" s="94">
        <v>42810</v>
      </c>
      <c r="F59" s="89">
        <v>6</v>
      </c>
      <c r="G59" s="90"/>
      <c r="H59" s="90"/>
      <c r="I59" s="90"/>
      <c r="J59" s="129">
        <v>0</v>
      </c>
      <c r="K59" s="129">
        <v>0</v>
      </c>
      <c r="L59" s="129">
        <v>0</v>
      </c>
      <c r="M59" s="130">
        <v>0</v>
      </c>
      <c r="N59" s="131">
        <v>2</v>
      </c>
      <c r="O59" s="131">
        <v>0</v>
      </c>
      <c r="P59" s="89"/>
      <c r="Q59" s="89"/>
      <c r="R59" s="89">
        <f>SUMIF('PHEP 2019'!B59,'Cham cong'!B70:B260,'Cham cong'!AL68:AL260)</f>
        <v>0</v>
      </c>
    </row>
    <row r="60" spans="2:18" ht="12.95" customHeight="1">
      <c r="B60" s="91" t="s">
        <v>387</v>
      </c>
      <c r="C60" s="108" t="s">
        <v>388</v>
      </c>
      <c r="D60" s="106" t="s">
        <v>51</v>
      </c>
      <c r="E60" s="94">
        <v>42844</v>
      </c>
      <c r="F60" s="89">
        <v>5</v>
      </c>
      <c r="G60" s="90"/>
      <c r="H60" s="90"/>
      <c r="I60" s="90">
        <v>1</v>
      </c>
      <c r="J60" s="129">
        <v>1</v>
      </c>
      <c r="K60" s="129">
        <v>1</v>
      </c>
      <c r="L60" s="129">
        <v>0</v>
      </c>
      <c r="M60" s="130">
        <v>3</v>
      </c>
      <c r="N60" s="131">
        <v>1</v>
      </c>
      <c r="O60" s="131">
        <v>0</v>
      </c>
      <c r="P60" s="89"/>
      <c r="Q60" s="89"/>
      <c r="R60" s="89">
        <f>SUMIF('PHEP 2019'!B60,'Cham cong'!B71:B261,'Cham cong'!AL70:AL261)</f>
        <v>0</v>
      </c>
    </row>
    <row r="61" spans="2:18" ht="12.95" customHeight="1">
      <c r="B61" s="91" t="s">
        <v>389</v>
      </c>
      <c r="C61" s="125" t="s">
        <v>390</v>
      </c>
      <c r="D61" s="106" t="s">
        <v>51</v>
      </c>
      <c r="E61" s="94">
        <v>43083</v>
      </c>
      <c r="F61" s="89">
        <v>0</v>
      </c>
      <c r="G61" s="90"/>
      <c r="H61" s="90"/>
      <c r="I61" s="90"/>
      <c r="J61" s="129">
        <v>0</v>
      </c>
      <c r="K61" s="129">
        <v>0</v>
      </c>
      <c r="L61" s="129">
        <v>0</v>
      </c>
      <c r="M61" s="130">
        <v>0</v>
      </c>
      <c r="N61" s="131">
        <v>0</v>
      </c>
      <c r="O61" s="131">
        <v>0</v>
      </c>
      <c r="P61" s="89"/>
      <c r="Q61" s="89"/>
      <c r="R61" s="89">
        <f>SUMIF('PHEP 2019'!B61,'Cham cong'!B72:B262,'Cham cong'!AL71:AL262)</f>
        <v>0</v>
      </c>
    </row>
    <row r="62" spans="2:18" ht="12.95" customHeight="1">
      <c r="B62" s="117" t="s">
        <v>391</v>
      </c>
      <c r="C62" s="126" t="s">
        <v>1203</v>
      </c>
      <c r="D62" s="119" t="s">
        <v>48</v>
      </c>
      <c r="E62" s="114">
        <v>43125</v>
      </c>
      <c r="F62" s="89">
        <v>0</v>
      </c>
      <c r="G62" s="90"/>
      <c r="H62" s="90"/>
      <c r="I62" s="90"/>
      <c r="J62" s="129">
        <v>0</v>
      </c>
      <c r="K62" s="129">
        <v>1</v>
      </c>
      <c r="L62" s="129">
        <v>0</v>
      </c>
      <c r="M62" s="130">
        <v>0</v>
      </c>
      <c r="N62" s="131">
        <v>0</v>
      </c>
      <c r="O62" s="131">
        <v>0</v>
      </c>
      <c r="P62" s="89"/>
      <c r="Q62" s="89"/>
      <c r="R62" s="89">
        <f>SUMIF('PHEP 2019'!B62,'Cham cong'!B73:B263,'Cham cong'!AL72:AL263)</f>
        <v>0</v>
      </c>
    </row>
    <row r="63" spans="2:18" ht="12.95" customHeight="1">
      <c r="B63" s="117" t="s">
        <v>383</v>
      </c>
      <c r="C63" s="126" t="s">
        <v>384</v>
      </c>
      <c r="D63" s="119" t="s">
        <v>51</v>
      </c>
      <c r="E63" s="114">
        <v>43115</v>
      </c>
      <c r="F63" s="89">
        <v>0</v>
      </c>
      <c r="G63" s="90"/>
      <c r="H63" s="90"/>
      <c r="I63" s="90"/>
      <c r="J63" s="129">
        <v>0</v>
      </c>
      <c r="K63" s="129">
        <v>0</v>
      </c>
      <c r="L63" s="129">
        <v>0</v>
      </c>
      <c r="M63" s="130">
        <v>0</v>
      </c>
      <c r="N63" s="131">
        <v>0</v>
      </c>
      <c r="O63" s="131">
        <v>0</v>
      </c>
      <c r="P63" s="89"/>
      <c r="Q63" s="89"/>
      <c r="R63" s="89">
        <f>SUMIF('PHEP 2019'!B63,'Cham cong'!B74:B264,'Cham cong'!AL73:AL264)</f>
        <v>0</v>
      </c>
    </row>
    <row r="64" spans="2:18" ht="12.95" customHeight="1">
      <c r="B64" s="95"/>
      <c r="C64" s="96" t="s">
        <v>397</v>
      </c>
      <c r="D64" s="96"/>
      <c r="E64" s="97"/>
      <c r="F64" s="89"/>
      <c r="G64" s="90"/>
      <c r="H64" s="90"/>
      <c r="I64" s="90"/>
      <c r="J64" s="129">
        <v>0</v>
      </c>
      <c r="K64" s="129">
        <v>0</v>
      </c>
      <c r="L64" s="129">
        <v>0</v>
      </c>
      <c r="M64" s="130">
        <v>0</v>
      </c>
      <c r="N64" s="131">
        <v>0</v>
      </c>
      <c r="O64" s="131">
        <v>0</v>
      </c>
      <c r="P64" s="89"/>
      <c r="Q64" s="89"/>
      <c r="R64" s="89">
        <f>SUMIF('PHEP 2019'!B64,'Cham cong'!B74:B265,'Cham cong'!AL74:AL265)</f>
        <v>0</v>
      </c>
    </row>
    <row r="65" spans="2:18" ht="12.95" customHeight="1">
      <c r="B65" s="91" t="s">
        <v>398</v>
      </c>
      <c r="C65" s="108" t="s">
        <v>399</v>
      </c>
      <c r="D65" s="106" t="s">
        <v>34</v>
      </c>
      <c r="E65" s="94">
        <v>40868</v>
      </c>
      <c r="F65" s="89">
        <v>10</v>
      </c>
      <c r="G65" s="90"/>
      <c r="H65" s="90"/>
      <c r="I65" s="90"/>
      <c r="J65" s="129">
        <v>0</v>
      </c>
      <c r="K65" s="129">
        <v>0</v>
      </c>
      <c r="L65" s="129">
        <v>9</v>
      </c>
      <c r="M65" s="130">
        <v>0</v>
      </c>
      <c r="N65" s="131">
        <v>4</v>
      </c>
      <c r="O65" s="131">
        <v>0</v>
      </c>
      <c r="P65" s="89"/>
      <c r="Q65" s="89"/>
      <c r="R65" s="89">
        <f>SUMIF('PHEP 2019'!B65,'Cham cong'!B74:B266,'Cham cong'!AL74:AL266)</f>
        <v>0</v>
      </c>
    </row>
    <row r="66" spans="2:18" ht="12.95" customHeight="1">
      <c r="B66" s="101" t="s">
        <v>400</v>
      </c>
      <c r="C66" s="102" t="s">
        <v>401</v>
      </c>
      <c r="D66" s="103" t="s">
        <v>35</v>
      </c>
      <c r="E66" s="104">
        <v>42064</v>
      </c>
      <c r="F66" s="89">
        <v>10</v>
      </c>
      <c r="G66" s="90"/>
      <c r="H66" s="90">
        <v>2</v>
      </c>
      <c r="I66" s="90"/>
      <c r="J66" s="129">
        <v>0</v>
      </c>
      <c r="K66" s="129">
        <v>0</v>
      </c>
      <c r="L66" s="129">
        <v>0</v>
      </c>
      <c r="M66" s="130">
        <v>3</v>
      </c>
      <c r="N66" s="131">
        <v>0</v>
      </c>
      <c r="O66" s="131">
        <v>3</v>
      </c>
      <c r="P66" s="89"/>
      <c r="Q66" s="89"/>
      <c r="R66" s="89">
        <f>SUMIF('PHEP 2019'!B66,'Cham cong'!B75:B267,'Cham cong'!AL74:AL267)</f>
        <v>0</v>
      </c>
    </row>
    <row r="67" spans="2:18" ht="12.95" customHeight="1">
      <c r="B67" s="101" t="s">
        <v>402</v>
      </c>
      <c r="C67" s="102" t="s">
        <v>403</v>
      </c>
      <c r="D67" s="103" t="s">
        <v>35</v>
      </c>
      <c r="E67" s="104">
        <v>42618</v>
      </c>
      <c r="F67" s="89">
        <v>5</v>
      </c>
      <c r="G67" s="90"/>
      <c r="H67" s="90">
        <v>4</v>
      </c>
      <c r="I67" s="90"/>
      <c r="J67" s="129">
        <v>0</v>
      </c>
      <c r="K67" s="129">
        <v>0</v>
      </c>
      <c r="L67" s="129">
        <v>0</v>
      </c>
      <c r="M67" s="130">
        <v>3</v>
      </c>
      <c r="N67" s="131">
        <v>0</v>
      </c>
      <c r="O67" s="131">
        <v>0</v>
      </c>
      <c r="P67" s="89"/>
      <c r="Q67" s="89"/>
      <c r="R67" s="89">
        <f>SUMIF('PHEP 2019'!B67,'Cham cong'!B76:B268,'Cham cong'!AL75:AL268)</f>
        <v>0</v>
      </c>
    </row>
    <row r="68" spans="2:18" ht="12.95" customHeight="1">
      <c r="B68" s="95"/>
      <c r="C68" s="96" t="s">
        <v>404</v>
      </c>
      <c r="D68" s="96"/>
      <c r="E68" s="97"/>
      <c r="F68" s="89"/>
      <c r="G68" s="90"/>
      <c r="H68" s="90"/>
      <c r="I68" s="90"/>
      <c r="J68" s="129">
        <v>0</v>
      </c>
      <c r="K68" s="129">
        <v>0</v>
      </c>
      <c r="L68" s="129">
        <v>0</v>
      </c>
      <c r="M68" s="130">
        <v>0</v>
      </c>
      <c r="N68" s="131">
        <v>0</v>
      </c>
      <c r="O68" s="131">
        <v>0</v>
      </c>
      <c r="P68" s="89"/>
      <c r="Q68" s="89"/>
      <c r="R68" s="89">
        <f>SUMIF('PHEP 2019'!B68,'Cham cong'!B77:B269,'Cham cong'!AL76:AL269)</f>
        <v>0</v>
      </c>
    </row>
    <row r="69" spans="2:18" ht="12.95" customHeight="1">
      <c r="B69" s="91" t="s">
        <v>405</v>
      </c>
      <c r="C69" s="108" t="s">
        <v>406</v>
      </c>
      <c r="D69" s="106" t="s">
        <v>118</v>
      </c>
      <c r="E69" s="94">
        <v>41611</v>
      </c>
      <c r="F69" s="89">
        <v>4</v>
      </c>
      <c r="G69" s="90"/>
      <c r="H69" s="90">
        <v>2</v>
      </c>
      <c r="I69" s="90">
        <v>1</v>
      </c>
      <c r="J69" s="129">
        <v>0</v>
      </c>
      <c r="K69" s="129">
        <v>0</v>
      </c>
      <c r="L69" s="129">
        <v>1</v>
      </c>
      <c r="M69" s="130">
        <v>0</v>
      </c>
      <c r="N69" s="131">
        <v>2</v>
      </c>
      <c r="O69" s="131">
        <v>0</v>
      </c>
      <c r="P69" s="89"/>
      <c r="Q69" s="89"/>
      <c r="R69" s="89">
        <f>SUMIF('PHEP 2019'!B69,'Cham cong'!B37:B270,'Cham cong'!AL77:AL270)</f>
        <v>0</v>
      </c>
    </row>
    <row r="70" spans="2:18" ht="12.95" customHeight="1">
      <c r="B70" s="91" t="s">
        <v>410</v>
      </c>
      <c r="C70" s="108" t="s">
        <v>411</v>
      </c>
      <c r="D70" s="106" t="s">
        <v>120</v>
      </c>
      <c r="E70" s="94">
        <v>42201</v>
      </c>
      <c r="F70" s="89">
        <v>0</v>
      </c>
      <c r="G70" s="90">
        <v>1</v>
      </c>
      <c r="H70" s="90"/>
      <c r="I70" s="90"/>
      <c r="J70" s="129">
        <v>0</v>
      </c>
      <c r="K70" s="129">
        <v>2</v>
      </c>
      <c r="L70" s="129">
        <v>0</v>
      </c>
      <c r="M70" s="130">
        <v>0</v>
      </c>
      <c r="N70" s="131">
        <v>3</v>
      </c>
      <c r="O70" s="131">
        <v>1</v>
      </c>
      <c r="P70" s="89"/>
      <c r="Q70" s="89"/>
      <c r="R70" s="89">
        <f>SUMIF('PHEP 2019'!B70,'Cham cong'!B38:B271,'Cham cong'!AL37:AL271)</f>
        <v>0</v>
      </c>
    </row>
    <row r="71" spans="2:18" ht="12.95" customHeight="1">
      <c r="B71" s="91" t="s">
        <v>412</v>
      </c>
      <c r="C71" s="108" t="s">
        <v>413</v>
      </c>
      <c r="D71" s="106" t="s">
        <v>123</v>
      </c>
      <c r="E71" s="94">
        <v>42065</v>
      </c>
      <c r="F71" s="89">
        <v>-4</v>
      </c>
      <c r="G71" s="90"/>
      <c r="H71" s="90"/>
      <c r="I71" s="90">
        <v>4</v>
      </c>
      <c r="J71" s="129">
        <v>0</v>
      </c>
      <c r="K71" s="129">
        <v>0</v>
      </c>
      <c r="L71" s="129">
        <v>1</v>
      </c>
      <c r="M71" s="130">
        <v>2</v>
      </c>
      <c r="N71" s="131">
        <v>0</v>
      </c>
      <c r="O71" s="131">
        <v>1</v>
      </c>
      <c r="P71" s="89"/>
      <c r="Q71" s="89"/>
      <c r="R71" s="89">
        <f>SUMIF('PHEP 2019'!B71,'Cham cong'!B78:B272,'Cham cong'!AL38:AL272)</f>
        <v>0</v>
      </c>
    </row>
    <row r="72" spans="2:18" ht="12.95" customHeight="1">
      <c r="B72" s="91" t="s">
        <v>414</v>
      </c>
      <c r="C72" s="124" t="s">
        <v>415</v>
      </c>
      <c r="D72" s="106" t="s">
        <v>123</v>
      </c>
      <c r="E72" s="94">
        <v>41108</v>
      </c>
      <c r="F72" s="89">
        <v>6</v>
      </c>
      <c r="G72" s="90"/>
      <c r="H72" s="90"/>
      <c r="I72" s="90"/>
      <c r="J72" s="129">
        <v>1</v>
      </c>
      <c r="K72" s="129">
        <v>1</v>
      </c>
      <c r="L72" s="129">
        <v>1</v>
      </c>
      <c r="M72" s="130">
        <v>3</v>
      </c>
      <c r="N72" s="131">
        <v>1</v>
      </c>
      <c r="O72" s="131">
        <v>0</v>
      </c>
      <c r="P72" s="89"/>
      <c r="Q72" s="89"/>
      <c r="R72" s="89">
        <f>SUMIF('PHEP 2019'!B72,'Cham cong'!B79:B273,'Cham cong'!AL78:AL273)</f>
        <v>0</v>
      </c>
    </row>
    <row r="73" spans="2:18" ht="12.95" customHeight="1">
      <c r="B73" s="91" t="s">
        <v>420</v>
      </c>
      <c r="C73" s="124" t="s">
        <v>421</v>
      </c>
      <c r="D73" s="106" t="s">
        <v>111</v>
      </c>
      <c r="E73" s="94">
        <v>42933</v>
      </c>
      <c r="F73" s="89">
        <v>4</v>
      </c>
      <c r="G73" s="90"/>
      <c r="H73" s="90"/>
      <c r="I73" s="90"/>
      <c r="J73" s="129">
        <v>0</v>
      </c>
      <c r="K73" s="129">
        <v>0</v>
      </c>
      <c r="L73" s="129">
        <v>0</v>
      </c>
      <c r="M73" s="130">
        <v>0</v>
      </c>
      <c r="N73" s="131">
        <v>0</v>
      </c>
      <c r="O73" s="131">
        <v>0</v>
      </c>
      <c r="P73" s="89"/>
      <c r="Q73" s="89"/>
      <c r="R73" s="89">
        <f>SUMIF('PHEP 2019'!B73,'Cham cong'!B80:B274,'Cham cong'!AL79:AL274)</f>
        <v>0</v>
      </c>
    </row>
    <row r="74" spans="2:18" ht="12.95" customHeight="1">
      <c r="B74" s="91" t="s">
        <v>418</v>
      </c>
      <c r="C74" s="108" t="s">
        <v>419</v>
      </c>
      <c r="D74" s="132" t="str">
        <f>'[5]THANG B.LUONG'!$B$93</f>
        <v>Nhân viên vận hành máy</v>
      </c>
      <c r="E74" s="94">
        <v>42419</v>
      </c>
      <c r="F74" s="89">
        <v>3</v>
      </c>
      <c r="G74" s="90">
        <v>1</v>
      </c>
      <c r="H74" s="90">
        <v>1</v>
      </c>
      <c r="I74" s="90"/>
      <c r="J74" s="129">
        <v>2</v>
      </c>
      <c r="K74" s="129">
        <v>1</v>
      </c>
      <c r="L74" s="129">
        <v>2</v>
      </c>
      <c r="M74" s="130">
        <v>1</v>
      </c>
      <c r="N74" s="131">
        <v>2</v>
      </c>
      <c r="O74" s="131">
        <v>2</v>
      </c>
      <c r="P74" s="89"/>
      <c r="Q74" s="89"/>
      <c r="R74" s="89">
        <f>SUMIF('PHEP 2019'!B74,'Cham cong'!B81:B275,'Cham cong'!AL80:AL275)</f>
        <v>0</v>
      </c>
    </row>
    <row r="75" spans="2:18" ht="12.95" customHeight="1">
      <c r="B75" s="91" t="s">
        <v>1204</v>
      </c>
      <c r="C75" s="108" t="s">
        <v>1205</v>
      </c>
      <c r="D75" s="132" t="str">
        <f>'[5]THANG B.LUONG'!$B$93</f>
        <v>Nhân viên vận hành máy</v>
      </c>
      <c r="E75" s="94">
        <v>41956</v>
      </c>
      <c r="F75" s="89">
        <v>11</v>
      </c>
      <c r="G75" s="90"/>
      <c r="H75" s="90">
        <v>3</v>
      </c>
      <c r="I75" s="90"/>
      <c r="J75" s="129">
        <v>1</v>
      </c>
      <c r="K75" s="129">
        <v>1</v>
      </c>
      <c r="L75" s="129">
        <v>0</v>
      </c>
      <c r="M75" s="130">
        <v>0</v>
      </c>
      <c r="N75" s="131">
        <v>0</v>
      </c>
      <c r="O75" s="131">
        <v>0</v>
      </c>
      <c r="P75" s="89"/>
      <c r="Q75" s="89"/>
      <c r="R75" s="89">
        <f>SUMIF('PHEP 2019'!B75,'Cham cong'!B82:B276,'Cham cong'!AL81:AL276)</f>
        <v>0</v>
      </c>
    </row>
    <row r="76" spans="2:18" ht="12.95" customHeight="1">
      <c r="B76" s="91" t="s">
        <v>1206</v>
      </c>
      <c r="C76" s="108" t="s">
        <v>1207</v>
      </c>
      <c r="D76" s="132" t="str">
        <f>'[5]THANG B.LUONG'!$B$93</f>
        <v>Nhân viên vận hành máy</v>
      </c>
      <c r="E76" s="94">
        <v>41640</v>
      </c>
      <c r="F76" s="89">
        <v>2</v>
      </c>
      <c r="G76" s="90">
        <v>1</v>
      </c>
      <c r="H76" s="90"/>
      <c r="I76" s="90"/>
      <c r="J76" s="129">
        <v>0</v>
      </c>
      <c r="K76" s="129">
        <v>0</v>
      </c>
      <c r="L76" s="129">
        <v>0</v>
      </c>
      <c r="M76" s="130">
        <v>0</v>
      </c>
      <c r="N76" s="131">
        <v>0</v>
      </c>
      <c r="O76" s="131">
        <v>0</v>
      </c>
      <c r="P76" s="89"/>
      <c r="Q76" s="89"/>
      <c r="R76" s="89">
        <f>SUMIF('PHEP 2019'!B76,'Cham cong'!B85:B277,'Cham cong'!AL82:AL277)</f>
        <v>0</v>
      </c>
    </row>
    <row r="77" spans="2:18" ht="12.95" customHeight="1">
      <c r="B77" s="91" t="s">
        <v>437</v>
      </c>
      <c r="C77" s="108" t="s">
        <v>438</v>
      </c>
      <c r="D77" s="132" t="str">
        <f>'[5]THANG B.LUONG'!$B$93</f>
        <v>Nhân viên vận hành máy</v>
      </c>
      <c r="E77" s="94">
        <v>42417</v>
      </c>
      <c r="F77" s="89">
        <v>5</v>
      </c>
      <c r="G77" s="90">
        <v>1</v>
      </c>
      <c r="H77" s="90">
        <v>1</v>
      </c>
      <c r="I77" s="90"/>
      <c r="J77" s="129">
        <v>1</v>
      </c>
      <c r="K77" s="129">
        <v>0</v>
      </c>
      <c r="L77" s="129">
        <v>1</v>
      </c>
      <c r="M77" s="130">
        <v>1</v>
      </c>
      <c r="N77" s="131">
        <v>1</v>
      </c>
      <c r="O77" s="131">
        <v>0</v>
      </c>
      <c r="P77" s="89"/>
      <c r="Q77" s="89"/>
      <c r="R77" s="89">
        <f>SUMIF('PHEP 2019'!B77,'Cham cong'!B88:B278,'Cham cong'!AL85:AL278)</f>
        <v>0</v>
      </c>
    </row>
    <row r="78" spans="2:18" ht="12.95" customHeight="1">
      <c r="B78" s="95"/>
      <c r="C78" s="96" t="s">
        <v>736</v>
      </c>
      <c r="D78" s="96"/>
      <c r="E78" s="97"/>
      <c r="F78" s="89"/>
      <c r="G78" s="90"/>
      <c r="H78" s="90"/>
      <c r="I78" s="90"/>
      <c r="J78" s="129">
        <v>0</v>
      </c>
      <c r="K78" s="129">
        <v>0</v>
      </c>
      <c r="L78" s="129">
        <v>0</v>
      </c>
      <c r="M78" s="130">
        <v>0</v>
      </c>
      <c r="N78" s="131">
        <v>0</v>
      </c>
      <c r="O78" s="131">
        <v>0</v>
      </c>
      <c r="P78" s="89"/>
      <c r="Q78" s="89"/>
      <c r="R78" s="89">
        <f>SUMIF('PHEP 2019'!B78,'Cham cong'!B89:B279,'Cham cong'!AL88:AL279)</f>
        <v>0</v>
      </c>
    </row>
    <row r="79" spans="2:18" ht="12.95" customHeight="1">
      <c r="B79" s="133" t="s">
        <v>431</v>
      </c>
      <c r="C79" s="124" t="s">
        <v>432</v>
      </c>
      <c r="D79" s="106" t="s">
        <v>84</v>
      </c>
      <c r="E79" s="94">
        <v>38078</v>
      </c>
      <c r="F79" s="89">
        <v>10</v>
      </c>
      <c r="G79" s="90"/>
      <c r="H79" s="90"/>
      <c r="I79" s="90">
        <v>1</v>
      </c>
      <c r="J79" s="129">
        <v>2</v>
      </c>
      <c r="K79" s="129">
        <v>6</v>
      </c>
      <c r="L79" s="129">
        <v>0</v>
      </c>
      <c r="M79" s="130">
        <v>0</v>
      </c>
      <c r="N79" s="131">
        <v>7</v>
      </c>
      <c r="O79" s="131">
        <v>0</v>
      </c>
      <c r="P79" s="89"/>
      <c r="Q79" s="89"/>
      <c r="R79" s="89">
        <f>SUMIF('PHEP 2019'!B79,'Cham cong'!B90:B280,'Cham cong'!AL89:AL280)</f>
        <v>0</v>
      </c>
    </row>
    <row r="80" spans="2:18" ht="12.95" customHeight="1">
      <c r="B80" s="101" t="s">
        <v>1208</v>
      </c>
      <c r="C80" s="102" t="s">
        <v>1209</v>
      </c>
      <c r="D80" s="103" t="s">
        <v>86</v>
      </c>
      <c r="E80" s="104">
        <v>41715</v>
      </c>
      <c r="F80" s="89">
        <v>7</v>
      </c>
      <c r="G80" s="90"/>
      <c r="H80" s="90"/>
      <c r="I80" s="90">
        <v>5</v>
      </c>
      <c r="J80" s="129">
        <v>0</v>
      </c>
      <c r="K80" s="129">
        <v>0</v>
      </c>
      <c r="L80" s="129">
        <v>0</v>
      </c>
      <c r="M80" s="130">
        <v>0</v>
      </c>
      <c r="N80" s="131">
        <v>2</v>
      </c>
      <c r="O80" s="131">
        <v>0</v>
      </c>
      <c r="P80" s="89"/>
      <c r="Q80" s="89"/>
      <c r="R80" s="89">
        <f>SUMIF('PHEP 2019'!B80,'Cham cong'!B91:B281,'Cham cong'!AL90:AL281)</f>
        <v>0</v>
      </c>
    </row>
    <row r="81" spans="2:19" ht="12.95" customHeight="1">
      <c r="B81" s="101" t="s">
        <v>470</v>
      </c>
      <c r="C81" s="102" t="s">
        <v>471</v>
      </c>
      <c r="D81" s="103" t="s">
        <v>86</v>
      </c>
      <c r="E81" s="104">
        <v>42969</v>
      </c>
      <c r="F81" s="89">
        <v>2</v>
      </c>
      <c r="G81" s="90"/>
      <c r="H81" s="90"/>
      <c r="I81" s="90"/>
      <c r="J81" s="129">
        <v>0</v>
      </c>
      <c r="K81" s="129">
        <v>0</v>
      </c>
      <c r="L81" s="129">
        <v>1</v>
      </c>
      <c r="M81" s="130">
        <v>0</v>
      </c>
      <c r="N81" s="131">
        <v>0</v>
      </c>
      <c r="O81" s="131">
        <v>0</v>
      </c>
      <c r="P81" s="89"/>
      <c r="Q81" s="89"/>
      <c r="R81" s="89">
        <f>SUMIF('PHEP 2019'!B81,'Cham cong'!B93:B282,'Cham cong'!AL91:AL282)</f>
        <v>0</v>
      </c>
    </row>
    <row r="82" spans="2:19" ht="12.95" customHeight="1">
      <c r="B82" s="95"/>
      <c r="C82" s="96" t="s">
        <v>737</v>
      </c>
      <c r="D82" s="96"/>
      <c r="E82" s="97"/>
      <c r="F82" s="89"/>
      <c r="G82" s="90"/>
      <c r="H82" s="90"/>
      <c r="I82" s="90"/>
      <c r="J82" s="129">
        <v>0</v>
      </c>
      <c r="K82" s="129">
        <v>0</v>
      </c>
      <c r="L82" s="129">
        <v>0</v>
      </c>
      <c r="M82" s="130">
        <v>0</v>
      </c>
      <c r="N82" s="131">
        <v>0</v>
      </c>
      <c r="O82" s="131">
        <v>0</v>
      </c>
      <c r="P82" s="89"/>
      <c r="Q82" s="89"/>
      <c r="R82" s="89">
        <f>SUMIF('PHEP 2019'!B82,'Cham cong'!B94:B283,'Cham cong'!AL93:AL283)</f>
        <v>0</v>
      </c>
    </row>
    <row r="83" spans="2:19" ht="12.95" customHeight="1">
      <c r="B83" s="117" t="s">
        <v>473</v>
      </c>
      <c r="C83" s="118" t="s">
        <v>474</v>
      </c>
      <c r="D83" s="119">
        <f>'[5]THANG B.LUONG'!A73</f>
        <v>69</v>
      </c>
      <c r="E83" s="114">
        <v>43132</v>
      </c>
      <c r="F83" s="89"/>
      <c r="G83" s="90"/>
      <c r="H83" s="90"/>
      <c r="I83" s="90"/>
      <c r="J83" s="129">
        <v>0</v>
      </c>
      <c r="K83" s="129">
        <v>0</v>
      </c>
      <c r="L83" s="129">
        <v>0</v>
      </c>
      <c r="M83" s="130">
        <v>3</v>
      </c>
      <c r="N83" s="131">
        <v>1</v>
      </c>
      <c r="O83" s="131">
        <v>1</v>
      </c>
      <c r="P83" s="89"/>
      <c r="Q83" s="89"/>
      <c r="R83" s="89">
        <f>SUMIF('PHEP 2019'!B83,'Cham cong'!B94:B284,'Cham cong'!AL94:AL284)</f>
        <v>0</v>
      </c>
    </row>
    <row r="84" spans="2:19" ht="12.95" customHeight="1">
      <c r="B84" s="91" t="s">
        <v>1210</v>
      </c>
      <c r="C84" s="105" t="s">
        <v>429</v>
      </c>
      <c r="D84" s="106" t="s">
        <v>95</v>
      </c>
      <c r="E84" s="94">
        <v>42339</v>
      </c>
      <c r="F84" s="89">
        <v>6</v>
      </c>
      <c r="G84" s="90"/>
      <c r="H84" s="90"/>
      <c r="I84" s="90"/>
      <c r="J84" s="129">
        <v>0</v>
      </c>
      <c r="K84" s="129">
        <v>1</v>
      </c>
      <c r="L84" s="129">
        <v>0</v>
      </c>
      <c r="M84" s="130">
        <v>1</v>
      </c>
      <c r="N84" s="131">
        <v>2</v>
      </c>
      <c r="O84" s="131">
        <v>0</v>
      </c>
      <c r="P84" s="89"/>
      <c r="Q84" s="89"/>
      <c r="R84" s="89">
        <f>SUMIF('PHEP 2019'!B84,'Cham cong'!B95:B285,'Cham cong'!AL94:AL285)</f>
        <v>0</v>
      </c>
    </row>
    <row r="85" spans="2:19" ht="12.95" customHeight="1">
      <c r="B85" s="95"/>
      <c r="C85" s="96" t="s">
        <v>485</v>
      </c>
      <c r="D85" s="96"/>
      <c r="E85" s="97"/>
      <c r="F85" s="89"/>
      <c r="G85" s="90"/>
      <c r="H85" s="90"/>
      <c r="I85" s="90"/>
      <c r="J85" s="129">
        <v>0</v>
      </c>
      <c r="K85" s="129">
        <v>0</v>
      </c>
      <c r="L85" s="129">
        <v>0</v>
      </c>
      <c r="M85" s="130">
        <v>0</v>
      </c>
      <c r="N85" s="131">
        <v>0</v>
      </c>
      <c r="O85" s="131">
        <v>0</v>
      </c>
      <c r="P85" s="89"/>
      <c r="Q85" s="89"/>
      <c r="R85" s="89">
        <f>SUMIF('PHEP 2019'!B85,'Cham cong'!B95:B286,'Cham cong'!AL95:AL286)</f>
        <v>0</v>
      </c>
    </row>
    <row r="86" spans="2:19" ht="12.95" customHeight="1">
      <c r="B86" s="91" t="s">
        <v>486</v>
      </c>
      <c r="C86" s="105" t="s">
        <v>487</v>
      </c>
      <c r="D86" s="106" t="s">
        <v>103</v>
      </c>
      <c r="E86" s="94">
        <v>42542</v>
      </c>
      <c r="F86" s="89">
        <v>8</v>
      </c>
      <c r="G86" s="90"/>
      <c r="H86" s="90"/>
      <c r="I86" s="90"/>
      <c r="J86" s="129">
        <v>0</v>
      </c>
      <c r="K86" s="129">
        <v>1</v>
      </c>
      <c r="L86" s="129">
        <v>4</v>
      </c>
      <c r="M86" s="130">
        <v>1</v>
      </c>
      <c r="N86" s="131">
        <v>3</v>
      </c>
      <c r="O86" s="131">
        <v>1</v>
      </c>
      <c r="P86" s="89"/>
      <c r="Q86" s="89"/>
      <c r="R86" s="89">
        <f>SUMIF('PHEP 2019'!B86,'Cham cong'!B96:B287,'Cham cong'!AL95:AL287)</f>
        <v>0</v>
      </c>
    </row>
    <row r="87" spans="2:19" ht="12.95" customHeight="1">
      <c r="B87" s="91" t="s">
        <v>488</v>
      </c>
      <c r="C87" s="124" t="s">
        <v>489</v>
      </c>
      <c r="D87" s="106" t="s">
        <v>108</v>
      </c>
      <c r="E87" s="94">
        <v>42443</v>
      </c>
      <c r="F87" s="89">
        <v>1</v>
      </c>
      <c r="G87" s="90">
        <v>2</v>
      </c>
      <c r="H87" s="90"/>
      <c r="I87" s="90">
        <v>1</v>
      </c>
      <c r="J87" s="129">
        <v>1</v>
      </c>
      <c r="K87" s="129">
        <v>0</v>
      </c>
      <c r="L87" s="129">
        <v>2</v>
      </c>
      <c r="M87" s="130">
        <v>3</v>
      </c>
      <c r="N87" s="131">
        <v>2</v>
      </c>
      <c r="O87" s="131">
        <v>3</v>
      </c>
      <c r="P87" s="89"/>
      <c r="Q87" s="89"/>
      <c r="R87" s="89">
        <f>SUMIF('PHEP 2019'!B87,'Cham cong'!B97:B288,'Cham cong'!AL96:AL288)</f>
        <v>0</v>
      </c>
      <c r="S87" s="81">
        <v>-2</v>
      </c>
    </row>
    <row r="88" spans="2:19" ht="12.95" customHeight="1">
      <c r="B88" s="95"/>
      <c r="C88" s="96" t="s">
        <v>738</v>
      </c>
      <c r="D88" s="96"/>
      <c r="E88" s="97"/>
      <c r="F88" s="89"/>
      <c r="G88" s="90"/>
      <c r="H88" s="90"/>
      <c r="I88" s="90"/>
      <c r="J88" s="129">
        <v>0</v>
      </c>
      <c r="K88" s="129">
        <v>0</v>
      </c>
      <c r="L88" s="129">
        <v>0</v>
      </c>
      <c r="M88" s="130">
        <v>0</v>
      </c>
      <c r="N88" s="131">
        <v>0</v>
      </c>
      <c r="O88" s="131">
        <v>0</v>
      </c>
      <c r="P88" s="89"/>
      <c r="Q88" s="89"/>
      <c r="R88" s="89">
        <f>SUMIF('PHEP 2019'!B88,'Cham cong'!B99:B289,'Cham cong'!AL97:AL289)</f>
        <v>0</v>
      </c>
    </row>
    <row r="89" spans="2:19" ht="12.95" customHeight="1">
      <c r="B89" s="91" t="s">
        <v>491</v>
      </c>
      <c r="C89" s="105" t="s">
        <v>492</v>
      </c>
      <c r="D89" s="134" t="str">
        <f>'[2]THANG B.LUONG'!$B$99</f>
        <v>Trưởng phòng quản lý chất lượng sản phẩm</v>
      </c>
      <c r="E89" s="94">
        <v>38579</v>
      </c>
      <c r="F89" s="89">
        <v>0</v>
      </c>
      <c r="G89" s="90"/>
      <c r="H89" s="90"/>
      <c r="I89" s="90">
        <v>1</v>
      </c>
      <c r="J89" s="129">
        <v>1</v>
      </c>
      <c r="K89" s="129">
        <v>2</v>
      </c>
      <c r="L89" s="129">
        <v>1</v>
      </c>
      <c r="M89" s="130">
        <v>0</v>
      </c>
      <c r="N89" s="131">
        <v>0</v>
      </c>
      <c r="O89" s="131">
        <v>1</v>
      </c>
      <c r="P89" s="89"/>
      <c r="Q89" s="89"/>
      <c r="R89" s="89">
        <f>SUMIF('PHEP 2019'!B89,'Cham cong'!B101:B290,'Cham cong'!AL99:AL290)</f>
        <v>0</v>
      </c>
    </row>
    <row r="90" spans="2:19" ht="12.95" customHeight="1">
      <c r="B90" s="135" t="s">
        <v>497</v>
      </c>
      <c r="C90" s="136"/>
      <c r="D90" s="136"/>
      <c r="E90" s="136"/>
      <c r="F90" s="89"/>
      <c r="G90" s="90"/>
      <c r="H90" s="90"/>
      <c r="I90" s="90"/>
      <c r="J90" s="129">
        <v>0</v>
      </c>
      <c r="K90" s="129">
        <v>0</v>
      </c>
      <c r="L90" s="129">
        <v>0</v>
      </c>
      <c r="M90" s="130">
        <v>0</v>
      </c>
      <c r="N90" s="131">
        <v>0</v>
      </c>
      <c r="O90" s="131">
        <v>0</v>
      </c>
      <c r="P90" s="89"/>
      <c r="Q90" s="89"/>
      <c r="R90" s="89">
        <f>SUMIF('PHEP 2019'!B90,'Cham cong'!B100:B291,'Cham cong'!AL101:AL291)</f>
        <v>0</v>
      </c>
    </row>
    <row r="91" spans="2:19" ht="12.95" customHeight="1">
      <c r="B91" s="95"/>
      <c r="C91" s="96" t="s">
        <v>74</v>
      </c>
      <c r="D91" s="96"/>
      <c r="E91" s="97"/>
      <c r="F91" s="89"/>
      <c r="G91" s="90"/>
      <c r="H91" s="90"/>
      <c r="I91" s="90"/>
      <c r="J91" s="129">
        <v>0</v>
      </c>
      <c r="K91" s="129">
        <v>0</v>
      </c>
      <c r="L91" s="129">
        <v>0</v>
      </c>
      <c r="M91" s="130">
        <v>0</v>
      </c>
      <c r="N91" s="131">
        <v>0</v>
      </c>
      <c r="O91" s="131">
        <v>0</v>
      </c>
      <c r="P91" s="89"/>
      <c r="Q91" s="89"/>
      <c r="R91" s="89">
        <f>SUMIF('PHEP 2019'!B91,'Cham cong'!B105:B292,'Cham cong'!AL100:AL292)</f>
        <v>0</v>
      </c>
    </row>
    <row r="92" spans="2:19" ht="12.95" customHeight="1">
      <c r="B92" s="105" t="s">
        <v>499</v>
      </c>
      <c r="C92" s="105" t="s">
        <v>500</v>
      </c>
      <c r="D92" s="132">
        <f>'[5]THANG B.LUONG'!A59</f>
        <v>55</v>
      </c>
      <c r="E92" s="94">
        <v>43115</v>
      </c>
      <c r="F92" s="89"/>
      <c r="G92" s="90"/>
      <c r="H92" s="90"/>
      <c r="I92" s="90"/>
      <c r="J92" s="129">
        <v>0</v>
      </c>
      <c r="K92" s="129">
        <v>0</v>
      </c>
      <c r="L92" s="129">
        <v>0</v>
      </c>
      <c r="M92" s="130">
        <v>0</v>
      </c>
      <c r="N92" s="131">
        <v>0</v>
      </c>
      <c r="O92" s="131">
        <v>0</v>
      </c>
      <c r="P92" s="89"/>
      <c r="Q92" s="89"/>
      <c r="R92" s="89">
        <f>SUMIF('PHEP 2019'!B92,'Cham cong'!B112:B293,'Cham cong'!AL105:AL293)</f>
        <v>0</v>
      </c>
    </row>
    <row r="93" spans="2:19" ht="12.95" customHeight="1">
      <c r="B93" s="137"/>
      <c r="C93" s="138" t="s">
        <v>502</v>
      </c>
      <c r="D93" s="137"/>
      <c r="E93" s="97"/>
      <c r="F93" s="89"/>
      <c r="G93" s="90"/>
      <c r="H93" s="90"/>
      <c r="I93" s="90"/>
      <c r="J93" s="129">
        <v>0</v>
      </c>
      <c r="K93" s="129">
        <v>0</v>
      </c>
      <c r="L93" s="129">
        <v>0</v>
      </c>
      <c r="M93" s="130">
        <v>0</v>
      </c>
      <c r="N93" s="131">
        <v>0</v>
      </c>
      <c r="O93" s="131">
        <v>0</v>
      </c>
      <c r="P93" s="89"/>
      <c r="Q93" s="89"/>
      <c r="R93" s="89">
        <f>SUMIF('PHEP 2019'!B93,'Cham cong'!B105:B294,'Cham cong'!AL112:AL294)</f>
        <v>0</v>
      </c>
    </row>
    <row r="94" spans="2:19" ht="12.95" customHeight="1">
      <c r="B94" s="105" t="s">
        <v>504</v>
      </c>
      <c r="C94" s="105" t="s">
        <v>505</v>
      </c>
      <c r="D94" s="139" t="str">
        <f>'[2]THANG B.LUONG'!$B$60</f>
        <v>Sale admin</v>
      </c>
      <c r="E94" s="94">
        <v>42513</v>
      </c>
      <c r="F94" s="89">
        <v>8</v>
      </c>
      <c r="G94" s="90"/>
      <c r="H94" s="90">
        <v>4</v>
      </c>
      <c r="I94" s="90">
        <v>1</v>
      </c>
      <c r="J94" s="129">
        <v>1</v>
      </c>
      <c r="K94" s="129">
        <v>2</v>
      </c>
      <c r="L94" s="129">
        <v>0</v>
      </c>
      <c r="M94" s="130">
        <v>5</v>
      </c>
      <c r="N94" s="131">
        <v>2</v>
      </c>
      <c r="O94" s="131">
        <v>1</v>
      </c>
      <c r="P94" s="89"/>
      <c r="Q94" s="89"/>
      <c r="R94" s="89">
        <f>SUMIF('PHEP 2019'!B94,'Cham cong'!B105:B295,'Cham cong'!AL105:AL295)</f>
        <v>0</v>
      </c>
    </row>
    <row r="95" spans="2:19" ht="12.95" customHeight="1">
      <c r="B95" s="140"/>
      <c r="C95" s="141" t="s">
        <v>507</v>
      </c>
      <c r="D95" s="140"/>
      <c r="E95" s="97"/>
      <c r="F95" s="89"/>
      <c r="G95" s="90"/>
      <c r="H95" s="90"/>
      <c r="I95" s="90"/>
      <c r="J95" s="129">
        <v>0</v>
      </c>
      <c r="K95" s="129">
        <v>0</v>
      </c>
      <c r="L95" s="129">
        <v>0</v>
      </c>
      <c r="M95" s="130">
        <v>0</v>
      </c>
      <c r="N95" s="131">
        <v>0</v>
      </c>
      <c r="O95" s="131">
        <v>0</v>
      </c>
      <c r="P95" s="89"/>
      <c r="Q95" s="89"/>
      <c r="R95" s="89">
        <f>SUMIF('PHEP 2019'!B95,'Cham cong'!B106:B296,'Cham cong'!AL105:AL296)</f>
        <v>0</v>
      </c>
    </row>
    <row r="96" spans="2:19" ht="12.95" customHeight="1">
      <c r="B96" s="105" t="s">
        <v>984</v>
      </c>
      <c r="C96" s="105" t="s">
        <v>985</v>
      </c>
      <c r="D96" s="139" t="str">
        <f>'[2]THANG B.LUONG'!$B$63</f>
        <v>Trưởng sale Tỉnh</v>
      </c>
      <c r="E96" s="94">
        <v>41061</v>
      </c>
      <c r="F96" s="89">
        <v>8</v>
      </c>
      <c r="G96" s="90"/>
      <c r="H96" s="90"/>
      <c r="I96" s="90"/>
      <c r="J96" s="129">
        <v>0</v>
      </c>
      <c r="K96" s="129">
        <v>0</v>
      </c>
      <c r="L96" s="129">
        <v>0</v>
      </c>
      <c r="M96" s="130">
        <v>0</v>
      </c>
      <c r="N96" s="131">
        <v>0</v>
      </c>
      <c r="O96" s="131">
        <v>0</v>
      </c>
      <c r="P96" s="89"/>
      <c r="Q96" s="89"/>
      <c r="R96" s="89">
        <f>SUMIF('PHEP 2019'!B96,'Cham cong'!B107:B297,'Cham cong'!AL106:AL297)</f>
        <v>0</v>
      </c>
    </row>
    <row r="97" spans="2:18" ht="12.95" customHeight="1">
      <c r="B97" s="105" t="s">
        <v>518</v>
      </c>
      <c r="C97" s="105" t="s">
        <v>519</v>
      </c>
      <c r="D97" s="139" t="s">
        <v>79</v>
      </c>
      <c r="E97" s="94">
        <v>39508</v>
      </c>
      <c r="F97" s="89">
        <v>12</v>
      </c>
      <c r="G97" s="90"/>
      <c r="H97" s="90"/>
      <c r="I97" s="90"/>
      <c r="J97" s="129">
        <v>0</v>
      </c>
      <c r="K97" s="129">
        <v>0</v>
      </c>
      <c r="L97" s="129">
        <v>0</v>
      </c>
      <c r="M97" s="130">
        <v>0</v>
      </c>
      <c r="N97" s="131">
        <v>2</v>
      </c>
      <c r="O97" s="131">
        <v>0</v>
      </c>
      <c r="P97" s="89"/>
      <c r="Q97" s="89"/>
      <c r="R97" s="89">
        <f>SUMIF('PHEP 2019'!B97,'Cham cong'!B108:B298,'Cham cong'!AL107:AL298)</f>
        <v>0</v>
      </c>
    </row>
    <row r="98" spans="2:18" ht="12.95" customHeight="1">
      <c r="B98" s="105" t="s">
        <v>509</v>
      </c>
      <c r="C98" s="105" t="s">
        <v>980</v>
      </c>
      <c r="D98" s="139" t="str">
        <f>'[2]THANG B.LUONG'!$B$61</f>
        <v>Trưởng sale TP</v>
      </c>
      <c r="E98" s="94">
        <v>42280</v>
      </c>
      <c r="F98" s="89">
        <v>12</v>
      </c>
      <c r="G98" s="90"/>
      <c r="H98" s="90"/>
      <c r="I98" s="90"/>
      <c r="J98" s="129">
        <v>0</v>
      </c>
      <c r="K98" s="129">
        <v>0</v>
      </c>
      <c r="L98" s="129">
        <v>0</v>
      </c>
      <c r="M98" s="130">
        <v>0</v>
      </c>
      <c r="N98" s="131">
        <v>2</v>
      </c>
      <c r="O98" s="131">
        <v>0</v>
      </c>
      <c r="P98" s="89"/>
      <c r="Q98" s="89"/>
      <c r="R98" s="89">
        <f>SUMIF('PHEP 2019'!B98,'Cham cong'!B109:B299,'Cham cong'!AL108:AL299)</f>
        <v>0</v>
      </c>
    </row>
    <row r="99" spans="2:18" ht="12.95" customHeight="1">
      <c r="B99" s="105" t="s">
        <v>972</v>
      </c>
      <c r="C99" s="105" t="s">
        <v>973</v>
      </c>
      <c r="D99" s="139" t="s">
        <v>79</v>
      </c>
      <c r="E99" s="94">
        <v>42495</v>
      </c>
      <c r="F99" s="89">
        <v>12</v>
      </c>
      <c r="G99" s="90"/>
      <c r="H99" s="90"/>
      <c r="I99" s="90"/>
      <c r="J99" s="129">
        <v>0</v>
      </c>
      <c r="K99" s="129">
        <v>0</v>
      </c>
      <c r="L99" s="129">
        <v>0</v>
      </c>
      <c r="M99" s="130">
        <v>0</v>
      </c>
      <c r="N99" s="131">
        <v>0</v>
      </c>
      <c r="O99" s="131">
        <v>0</v>
      </c>
      <c r="P99" s="89"/>
      <c r="Q99" s="89"/>
      <c r="R99" s="89">
        <f>SUMIF('PHEP 2019'!B99,'Cham cong'!B110:B300,'Cham cong'!AL109:AL300)</f>
        <v>0</v>
      </c>
    </row>
    <row r="100" spans="2:18" ht="12.95" customHeight="1">
      <c r="B100" s="105" t="s">
        <v>521</v>
      </c>
      <c r="C100" s="105" t="s">
        <v>522</v>
      </c>
      <c r="D100" s="139" t="s">
        <v>79</v>
      </c>
      <c r="E100" s="94">
        <v>42639</v>
      </c>
      <c r="F100" s="89">
        <v>4</v>
      </c>
      <c r="G100" s="90"/>
      <c r="H100" s="90"/>
      <c r="I100" s="90"/>
      <c r="J100" s="129">
        <v>0</v>
      </c>
      <c r="K100" s="129">
        <v>2</v>
      </c>
      <c r="L100" s="129">
        <v>0</v>
      </c>
      <c r="M100" s="130">
        <v>0</v>
      </c>
      <c r="N100" s="131">
        <v>2</v>
      </c>
      <c r="O100" s="131">
        <v>0</v>
      </c>
      <c r="P100" s="89"/>
      <c r="Q100" s="89"/>
      <c r="R100" s="89">
        <f>SUMIF('PHEP 2019'!B100,'Cham cong'!B113:B301,'Cham cong'!AL110:AL301)</f>
        <v>0</v>
      </c>
    </row>
    <row r="101" spans="2:18" ht="12.95" customHeight="1">
      <c r="B101" s="105" t="s">
        <v>524</v>
      </c>
      <c r="C101" s="105" t="s">
        <v>525</v>
      </c>
      <c r="D101" s="139" t="s">
        <v>79</v>
      </c>
      <c r="E101" s="94">
        <v>42786</v>
      </c>
      <c r="F101" s="89">
        <v>8</v>
      </c>
      <c r="G101" s="90"/>
      <c r="H101" s="90"/>
      <c r="I101" s="90"/>
      <c r="J101" s="129">
        <v>0</v>
      </c>
      <c r="K101" s="129">
        <v>1</v>
      </c>
      <c r="L101" s="129">
        <v>3</v>
      </c>
      <c r="M101" s="130">
        <v>0</v>
      </c>
      <c r="N101" s="131">
        <v>2</v>
      </c>
      <c r="O101" s="131">
        <v>0</v>
      </c>
      <c r="P101" s="89"/>
      <c r="Q101" s="89"/>
      <c r="R101" s="89">
        <f>SUMIF('PHEP 2019'!B101,'Cham cong'!B114:B302,'Cham cong'!AL113:AL302)</f>
        <v>0</v>
      </c>
    </row>
    <row r="102" spans="2:18" ht="12.95" customHeight="1">
      <c r="B102" s="137"/>
      <c r="C102" s="142" t="s">
        <v>552</v>
      </c>
      <c r="D102" s="137"/>
      <c r="E102" s="97"/>
      <c r="F102" s="89"/>
      <c r="G102" s="90"/>
      <c r="H102" s="90"/>
      <c r="I102" s="90"/>
      <c r="J102" s="129">
        <v>0</v>
      </c>
      <c r="K102" s="129">
        <v>0</v>
      </c>
      <c r="L102" s="129">
        <v>0</v>
      </c>
      <c r="M102" s="130">
        <v>0</v>
      </c>
      <c r="N102" s="131">
        <v>0</v>
      </c>
      <c r="O102" s="131">
        <v>0</v>
      </c>
      <c r="P102" s="89"/>
      <c r="Q102" s="89"/>
      <c r="R102" s="89">
        <f>SUMIF('PHEP 2019'!B102,'Cham cong'!B115:B303,'Cham cong'!AL114:AL303)</f>
        <v>0</v>
      </c>
    </row>
    <row r="103" spans="2:18" ht="12.95" customHeight="1">
      <c r="B103" s="105" t="s">
        <v>553</v>
      </c>
      <c r="C103" s="143" t="s">
        <v>554</v>
      </c>
      <c r="D103" s="139" t="str">
        <f>'[2]THANG B.LUONG'!$B$65</f>
        <v>Trưởng đội vận chuyển</v>
      </c>
      <c r="E103" s="94">
        <v>39539</v>
      </c>
      <c r="F103" s="89">
        <v>0</v>
      </c>
      <c r="G103" s="90"/>
      <c r="H103" s="90"/>
      <c r="I103" s="90"/>
      <c r="J103" s="129">
        <v>0</v>
      </c>
      <c r="K103" s="129">
        <v>0</v>
      </c>
      <c r="L103" s="129">
        <v>6</v>
      </c>
      <c r="M103" s="130">
        <v>2</v>
      </c>
      <c r="N103" s="131">
        <v>0</v>
      </c>
      <c r="O103" s="131">
        <v>0</v>
      </c>
      <c r="P103" s="89"/>
      <c r="Q103" s="89"/>
      <c r="R103" s="89">
        <f>SUMIF('PHEP 2019'!B103,'Cham cong'!B117:B304,'Cham cong'!AL115:AL304)</f>
        <v>0</v>
      </c>
    </row>
    <row r="104" spans="2:18" ht="12.95" customHeight="1">
      <c r="B104" s="105" t="s">
        <v>555</v>
      </c>
      <c r="C104" s="105" t="s">
        <v>556</v>
      </c>
      <c r="D104" s="144" t="str">
        <f>'[5]THANG B.LUONG'!$B$49</f>
        <v>Tài xế</v>
      </c>
      <c r="E104" s="94">
        <v>40486</v>
      </c>
      <c r="F104" s="89">
        <v>10</v>
      </c>
      <c r="G104" s="90"/>
      <c r="H104" s="90"/>
      <c r="I104" s="90"/>
      <c r="J104" s="129">
        <v>0</v>
      </c>
      <c r="K104" s="129">
        <v>0</v>
      </c>
      <c r="L104" s="129">
        <v>0</v>
      </c>
      <c r="M104" s="130">
        <v>0</v>
      </c>
      <c r="N104" s="131">
        <v>2</v>
      </c>
      <c r="O104" s="131">
        <v>0</v>
      </c>
      <c r="P104" s="89"/>
      <c r="Q104" s="89"/>
      <c r="R104" s="89">
        <f>SUMIF('PHEP 2019'!B104,'Cham cong'!B104:B305,'Cham cong'!AL117:AL305)</f>
        <v>0</v>
      </c>
    </row>
    <row r="105" spans="2:18" ht="12.95" customHeight="1">
      <c r="B105" s="105" t="s">
        <v>557</v>
      </c>
      <c r="C105" s="143" t="s">
        <v>558</v>
      </c>
      <c r="D105" s="139" t="s">
        <v>49</v>
      </c>
      <c r="E105" s="94">
        <v>41682</v>
      </c>
      <c r="F105" s="89">
        <v>12</v>
      </c>
      <c r="G105" s="90"/>
      <c r="H105" s="90"/>
      <c r="I105" s="90"/>
      <c r="J105" s="129">
        <v>2</v>
      </c>
      <c r="K105" s="129">
        <v>0</v>
      </c>
      <c r="L105" s="129">
        <v>2</v>
      </c>
      <c r="M105" s="130">
        <v>0</v>
      </c>
      <c r="N105" s="131">
        <v>4</v>
      </c>
      <c r="O105" s="131">
        <v>0</v>
      </c>
      <c r="P105" s="89"/>
      <c r="Q105" s="89"/>
      <c r="R105" s="89">
        <f>SUMIF('PHEP 2019'!B105,'Cham cong'!B104:B306,'Cham cong'!AL104:AL306)</f>
        <v>0</v>
      </c>
    </row>
    <row r="106" spans="2:18" ht="12.95" customHeight="1">
      <c r="B106" s="105" t="s">
        <v>1211</v>
      </c>
      <c r="C106" s="105" t="s">
        <v>1212</v>
      </c>
      <c r="D106" s="144" t="str">
        <f>'[5]THANG B.LUONG'!$B$49</f>
        <v>Tài xế</v>
      </c>
      <c r="E106" s="94">
        <v>42217</v>
      </c>
      <c r="F106" s="89">
        <v>10</v>
      </c>
      <c r="G106" s="90"/>
      <c r="H106" s="90"/>
      <c r="I106" s="90"/>
      <c r="J106" s="129">
        <v>1</v>
      </c>
      <c r="K106" s="129">
        <v>13</v>
      </c>
      <c r="L106" s="129">
        <v>0</v>
      </c>
      <c r="M106" s="130">
        <v>0</v>
      </c>
      <c r="N106" s="131">
        <v>0</v>
      </c>
      <c r="O106" s="131">
        <v>0</v>
      </c>
      <c r="P106" s="89"/>
      <c r="Q106" s="89"/>
      <c r="R106" s="89">
        <f>SUMIF('PHEP 2019'!B106,'Cham cong'!B104:B307,'Cham cong'!AL104:AL307)</f>
        <v>0</v>
      </c>
    </row>
    <row r="107" spans="2:18" ht="12.95" customHeight="1">
      <c r="B107" s="105" t="s">
        <v>559</v>
      </c>
      <c r="C107" s="105" t="s">
        <v>560</v>
      </c>
      <c r="D107" s="144" t="str">
        <f>'[5]THANG B.LUONG'!$B$49</f>
        <v>Tài xế</v>
      </c>
      <c r="E107" s="94">
        <v>42248</v>
      </c>
      <c r="F107" s="89">
        <v>12</v>
      </c>
      <c r="G107" s="90"/>
      <c r="H107" s="90"/>
      <c r="I107" s="90"/>
      <c r="J107" s="129">
        <v>0</v>
      </c>
      <c r="K107" s="129">
        <v>2</v>
      </c>
      <c r="L107" s="129">
        <v>0</v>
      </c>
      <c r="M107" s="130">
        <v>0</v>
      </c>
      <c r="N107" s="131">
        <v>0</v>
      </c>
      <c r="O107" s="131">
        <v>0</v>
      </c>
      <c r="P107" s="89"/>
      <c r="Q107" s="89"/>
      <c r="R107" s="89">
        <f>SUMIF('PHEP 2019'!B107,'Cham cong'!B118:B308,'Cham cong'!AL104:AL308)</f>
        <v>0</v>
      </c>
    </row>
    <row r="108" spans="2:18" ht="12.95" customHeight="1">
      <c r="B108" s="105" t="s">
        <v>561</v>
      </c>
      <c r="C108" s="105" t="s">
        <v>562</v>
      </c>
      <c r="D108" s="144" t="str">
        <f>'[5]THANG B.LUONG'!$B$49</f>
        <v>Tài xế</v>
      </c>
      <c r="E108" s="94">
        <v>42597</v>
      </c>
      <c r="F108" s="89">
        <v>12</v>
      </c>
      <c r="G108" s="90"/>
      <c r="H108" s="90"/>
      <c r="I108" s="90"/>
      <c r="J108" s="129">
        <v>0</v>
      </c>
      <c r="K108" s="129">
        <v>0</v>
      </c>
      <c r="L108" s="129">
        <v>6</v>
      </c>
      <c r="M108" s="130">
        <v>2</v>
      </c>
      <c r="N108" s="131">
        <v>0</v>
      </c>
      <c r="O108" s="131">
        <v>0</v>
      </c>
      <c r="P108" s="89"/>
      <c r="Q108" s="89"/>
      <c r="R108" s="89">
        <f>SUMIF('PHEP 2019'!B108,'Cham cong'!B119:B309,'Cham cong'!AL118:AL309)</f>
        <v>0</v>
      </c>
    </row>
    <row r="109" spans="2:18" ht="12.95" customHeight="1">
      <c r="B109" s="105" t="s">
        <v>563</v>
      </c>
      <c r="C109" s="105" t="s">
        <v>564</v>
      </c>
      <c r="D109" s="144" t="str">
        <f>'[5]THANG B.LUONG'!$B$49</f>
        <v>Tài xế</v>
      </c>
      <c r="E109" s="94">
        <v>42441</v>
      </c>
      <c r="F109" s="89">
        <v>8</v>
      </c>
      <c r="G109" s="90"/>
      <c r="H109" s="90"/>
      <c r="I109" s="90"/>
      <c r="J109" s="129">
        <v>6</v>
      </c>
      <c r="K109" s="129">
        <v>0</v>
      </c>
      <c r="L109" s="129">
        <v>1</v>
      </c>
      <c r="M109" s="130">
        <v>2</v>
      </c>
      <c r="N109" s="131">
        <v>0</v>
      </c>
      <c r="O109" s="131">
        <v>0</v>
      </c>
      <c r="P109" s="89"/>
      <c r="Q109" s="89"/>
      <c r="R109" s="89">
        <f>SUMIF('PHEP 2019'!B109,'Cham cong'!B119:B310,'Cham cong'!AL119:AL310)</f>
        <v>0</v>
      </c>
    </row>
    <row r="110" spans="2:18" ht="12.95" customHeight="1">
      <c r="B110" s="105" t="s">
        <v>565</v>
      </c>
      <c r="C110" s="105" t="s">
        <v>566</v>
      </c>
      <c r="D110" s="144" t="str">
        <f>'[5]THANG B.LUONG'!$B$49</f>
        <v>Tài xế</v>
      </c>
      <c r="E110" s="94">
        <v>42788</v>
      </c>
      <c r="F110" s="89">
        <v>12</v>
      </c>
      <c r="G110" s="90"/>
      <c r="H110" s="90"/>
      <c r="I110" s="90"/>
      <c r="J110" s="129">
        <v>1</v>
      </c>
      <c r="K110" s="129">
        <v>0</v>
      </c>
      <c r="L110" s="129">
        <v>0</v>
      </c>
      <c r="M110" s="130">
        <v>0</v>
      </c>
      <c r="N110" s="131">
        <v>0</v>
      </c>
      <c r="O110" s="131">
        <v>0</v>
      </c>
      <c r="P110" s="89"/>
      <c r="Q110" s="89"/>
      <c r="R110" s="89">
        <f>SUMIF('PHEP 2019'!B110,'Cham cong'!B123:B311,'Cham cong'!AL119:AL311)</f>
        <v>0</v>
      </c>
    </row>
    <row r="111" spans="2:18" ht="12.95" customHeight="1">
      <c r="B111" s="105" t="s">
        <v>567</v>
      </c>
      <c r="C111" s="105" t="s">
        <v>568</v>
      </c>
      <c r="D111" s="144" t="str">
        <f>'[5]THANG B.LUONG'!$B$49</f>
        <v>Tài xế</v>
      </c>
      <c r="E111" s="94">
        <v>42805</v>
      </c>
      <c r="F111" s="89">
        <v>10</v>
      </c>
      <c r="G111" s="90"/>
      <c r="H111" s="90"/>
      <c r="I111" s="90"/>
      <c r="J111" s="129">
        <v>1</v>
      </c>
      <c r="K111" s="129">
        <v>1</v>
      </c>
      <c r="L111" s="129">
        <v>0</v>
      </c>
      <c r="M111" s="130">
        <v>2</v>
      </c>
      <c r="N111" s="131">
        <v>0</v>
      </c>
      <c r="O111" s="131">
        <v>0</v>
      </c>
      <c r="P111" s="89"/>
      <c r="Q111" s="89"/>
      <c r="R111" s="89">
        <f>SUMIF('PHEP 2019'!B111,'Cham cong'!B124:B312,'Cham cong'!AL123:AL312)</f>
        <v>0</v>
      </c>
    </row>
    <row r="112" spans="2:18" ht="12.95" customHeight="1">
      <c r="B112" s="105" t="s">
        <v>1213</v>
      </c>
      <c r="C112" s="105" t="s">
        <v>1214</v>
      </c>
      <c r="D112" s="144" t="str">
        <f>'[5]THANG B.LUONG'!$B$49</f>
        <v>Tài xế</v>
      </c>
      <c r="E112" s="94">
        <v>42826</v>
      </c>
      <c r="F112" s="89"/>
      <c r="G112" s="90"/>
      <c r="H112" s="90"/>
      <c r="I112" s="90"/>
      <c r="J112" s="129">
        <v>0</v>
      </c>
      <c r="K112" s="129">
        <v>0</v>
      </c>
      <c r="L112" s="129">
        <v>0</v>
      </c>
      <c r="M112" s="130">
        <v>0</v>
      </c>
      <c r="N112" s="131">
        <v>0</v>
      </c>
      <c r="O112" s="131">
        <v>0</v>
      </c>
      <c r="P112" s="89"/>
      <c r="Q112" s="89"/>
      <c r="R112" s="89">
        <f>SUMIF('PHEP 2019'!B112,'Cham cong'!B125:B313,'Cham cong'!AL124:AL313)</f>
        <v>0</v>
      </c>
    </row>
    <row r="113" spans="2:18" ht="12.95" customHeight="1">
      <c r="B113" s="105" t="s">
        <v>1215</v>
      </c>
      <c r="C113" s="105" t="s">
        <v>1216</v>
      </c>
      <c r="D113" s="144" t="str">
        <f>'[5]THANG B.LUONG'!$B$49</f>
        <v>Tài xế</v>
      </c>
      <c r="E113" s="94">
        <v>42863</v>
      </c>
      <c r="F113" s="89">
        <v>8</v>
      </c>
      <c r="G113" s="90"/>
      <c r="H113" s="90"/>
      <c r="I113" s="90"/>
      <c r="J113" s="129">
        <v>2</v>
      </c>
      <c r="K113" s="129">
        <v>3</v>
      </c>
      <c r="L113" s="129">
        <v>0</v>
      </c>
      <c r="M113" s="130">
        <v>0</v>
      </c>
      <c r="N113" s="131">
        <v>3</v>
      </c>
      <c r="O113" s="131">
        <v>0</v>
      </c>
      <c r="P113" s="89"/>
      <c r="Q113" s="89"/>
      <c r="R113" s="89">
        <f>SUMIF('PHEP 2019'!B113,'Cham cong'!B126:B314,'Cham cong'!AL125:AL314)</f>
        <v>0</v>
      </c>
    </row>
    <row r="114" spans="2:18" ht="12.95" customHeight="1">
      <c r="B114" s="105" t="s">
        <v>1217</v>
      </c>
      <c r="C114" s="105" t="s">
        <v>1218</v>
      </c>
      <c r="D114" s="144" t="str">
        <f>'[5]THANG B.LUONG'!$B$49</f>
        <v>Tài xế</v>
      </c>
      <c r="E114" s="94">
        <v>42948</v>
      </c>
      <c r="F114" s="89">
        <v>0</v>
      </c>
      <c r="G114" s="90"/>
      <c r="H114" s="90"/>
      <c r="I114" s="90"/>
      <c r="J114" s="129">
        <v>4</v>
      </c>
      <c r="K114" s="129">
        <v>0</v>
      </c>
      <c r="L114" s="129">
        <v>0</v>
      </c>
      <c r="M114" s="130">
        <v>0</v>
      </c>
      <c r="N114" s="131">
        <v>0</v>
      </c>
      <c r="O114" s="131">
        <v>0</v>
      </c>
      <c r="P114" s="89"/>
      <c r="Q114" s="89"/>
      <c r="R114" s="89">
        <f>SUMIF('PHEP 2019'!B114,'Cham cong'!B127:B315,'Cham cong'!AL126:AL315)</f>
        <v>0</v>
      </c>
    </row>
    <row r="115" spans="2:18" ht="12.95" customHeight="1">
      <c r="B115" s="140"/>
      <c r="C115" s="141" t="s">
        <v>577</v>
      </c>
      <c r="D115" s="140"/>
      <c r="E115" s="97"/>
      <c r="F115" s="89"/>
      <c r="G115" s="90"/>
      <c r="H115" s="90"/>
      <c r="I115" s="90"/>
      <c r="J115" s="129">
        <v>0</v>
      </c>
      <c r="K115" s="129">
        <v>0</v>
      </c>
      <c r="L115" s="129">
        <v>0</v>
      </c>
      <c r="M115" s="130">
        <v>0</v>
      </c>
      <c r="N115" s="131">
        <v>0</v>
      </c>
      <c r="O115" s="131">
        <v>0</v>
      </c>
      <c r="P115" s="89"/>
      <c r="Q115" s="89"/>
      <c r="R115" s="89">
        <f>SUMIF('PHEP 2019'!B115,'Cham cong'!B128:B316,'Cham cong'!AL127:AL316)</f>
        <v>0</v>
      </c>
    </row>
    <row r="116" spans="2:18" ht="12.95" customHeight="1">
      <c r="B116" s="105" t="s">
        <v>628</v>
      </c>
      <c r="C116" s="105" t="s">
        <v>629</v>
      </c>
      <c r="D116" s="139" t="str">
        <f>'[5]THANG B.LUONG'!$B$53</f>
        <v>NV Giao nhận/ Phụ xe</v>
      </c>
      <c r="E116" s="94">
        <v>41831</v>
      </c>
      <c r="F116" s="89">
        <v>10</v>
      </c>
      <c r="G116" s="90"/>
      <c r="H116" s="90"/>
      <c r="I116" s="90"/>
      <c r="J116" s="129">
        <v>0</v>
      </c>
      <c r="K116" s="129">
        <v>0</v>
      </c>
      <c r="L116" s="129">
        <v>7</v>
      </c>
      <c r="M116" s="130">
        <v>3</v>
      </c>
      <c r="N116" s="131">
        <v>0</v>
      </c>
      <c r="O116" s="131">
        <v>1</v>
      </c>
      <c r="P116" s="89"/>
      <c r="Q116" s="89"/>
      <c r="R116" s="89">
        <f>SUMIF('PHEP 2019'!B116,'Cham cong'!B128:B317,'Cham cong'!AL128:AL317)</f>
        <v>0</v>
      </c>
    </row>
    <row r="117" spans="2:18" ht="12.95" customHeight="1">
      <c r="B117" s="105" t="s">
        <v>1219</v>
      </c>
      <c r="C117" s="105" t="s">
        <v>1220</v>
      </c>
      <c r="D117" s="139" t="str">
        <f>'[5]THANG B.LUONG'!$B$53</f>
        <v>NV Giao nhận/ Phụ xe</v>
      </c>
      <c r="E117" s="94">
        <v>42390</v>
      </c>
      <c r="F117" s="89">
        <v>9</v>
      </c>
      <c r="G117" s="90"/>
      <c r="H117" s="90"/>
      <c r="I117" s="90"/>
      <c r="J117" s="129">
        <v>0</v>
      </c>
      <c r="K117" s="129">
        <v>0</v>
      </c>
      <c r="L117" s="129">
        <v>0</v>
      </c>
      <c r="M117" s="130">
        <v>3</v>
      </c>
      <c r="N117" s="131">
        <v>1</v>
      </c>
      <c r="O117" s="131">
        <v>1</v>
      </c>
      <c r="P117" s="89"/>
      <c r="Q117" s="89"/>
      <c r="R117" s="89">
        <f>SUMIF('PHEP 2019'!B117,'Cham cong'!B130:B318,'Cham cong'!AL128:AL318)</f>
        <v>0</v>
      </c>
    </row>
    <row r="118" spans="2:18" ht="12.95" customHeight="1">
      <c r="B118" s="105" t="s">
        <v>578</v>
      </c>
      <c r="C118" s="105" t="s">
        <v>579</v>
      </c>
      <c r="D118" s="139" t="str">
        <f>'[5]THANG B.LUONG'!$B$53</f>
        <v>NV Giao nhận/ Phụ xe</v>
      </c>
      <c r="E118" s="94">
        <v>42217</v>
      </c>
      <c r="F118" s="89">
        <v>11</v>
      </c>
      <c r="G118" s="90"/>
      <c r="H118" s="90"/>
      <c r="I118" s="90">
        <v>1</v>
      </c>
      <c r="J118" s="129">
        <v>0</v>
      </c>
      <c r="K118" s="129">
        <v>3</v>
      </c>
      <c r="L118" s="129">
        <v>1</v>
      </c>
      <c r="M118" s="130">
        <v>1</v>
      </c>
      <c r="N118" s="131">
        <v>1</v>
      </c>
      <c r="O118" s="131">
        <v>0</v>
      </c>
      <c r="P118" s="89"/>
      <c r="Q118" s="89"/>
      <c r="R118" s="89">
        <f>SUMIF('PHEP 2019'!B118,'Cham cong'!B131:B319,'Cham cong'!AL130:AL319)</f>
        <v>0</v>
      </c>
    </row>
    <row r="119" spans="2:18" ht="12.95" customHeight="1">
      <c r="B119" s="105" t="s">
        <v>1221</v>
      </c>
      <c r="C119" s="105" t="s">
        <v>1222</v>
      </c>
      <c r="D119" s="139" t="str">
        <f>'[5]THANG B.LUONG'!$B$53</f>
        <v>NV Giao nhận/ Phụ xe</v>
      </c>
      <c r="E119" s="94">
        <v>42865</v>
      </c>
      <c r="F119" s="89">
        <v>6</v>
      </c>
      <c r="G119" s="90"/>
      <c r="H119" s="90"/>
      <c r="I119" s="90">
        <v>1</v>
      </c>
      <c r="J119" s="129">
        <v>0</v>
      </c>
      <c r="K119" s="129">
        <v>2</v>
      </c>
      <c r="L119" s="129">
        <v>0</v>
      </c>
      <c r="M119" s="130">
        <v>0</v>
      </c>
      <c r="N119" s="131">
        <v>0</v>
      </c>
      <c r="O119" s="131">
        <v>0</v>
      </c>
      <c r="P119" s="89"/>
      <c r="Q119" s="89"/>
      <c r="R119" s="89">
        <f>SUMIF('PHEP 2019'!B119,'Cham cong'!B132:B320,'Cham cong'!AL131:AL320)</f>
        <v>0</v>
      </c>
    </row>
    <row r="120" spans="2:18" ht="12.95" customHeight="1">
      <c r="B120" s="105" t="s">
        <v>580</v>
      </c>
      <c r="C120" s="105" t="s">
        <v>581</v>
      </c>
      <c r="D120" s="139" t="str">
        <f>'[5]THANG B.LUONG'!$B$53</f>
        <v>NV Giao nhận/ Phụ xe</v>
      </c>
      <c r="E120" s="94">
        <v>42689</v>
      </c>
      <c r="F120" s="89">
        <v>11</v>
      </c>
      <c r="G120" s="90"/>
      <c r="H120" s="90"/>
      <c r="I120" s="90"/>
      <c r="J120" s="129">
        <v>0</v>
      </c>
      <c r="K120" s="129">
        <v>3</v>
      </c>
      <c r="L120" s="129">
        <v>1</v>
      </c>
      <c r="M120" s="130">
        <v>3</v>
      </c>
      <c r="N120" s="131">
        <v>0</v>
      </c>
      <c r="O120" s="131">
        <v>1</v>
      </c>
      <c r="P120" s="89"/>
      <c r="Q120" s="89"/>
      <c r="R120" s="89">
        <f>SUMIF('PHEP 2019'!B120,'Cham cong'!B133:B321,'Cham cong'!AL132:AL321)</f>
        <v>0</v>
      </c>
    </row>
    <row r="121" spans="2:18" ht="12.95" customHeight="1">
      <c r="B121" s="105" t="s">
        <v>582</v>
      </c>
      <c r="C121" s="105" t="s">
        <v>583</v>
      </c>
      <c r="D121" s="139" t="str">
        <f>'[5]THANG B.LUONG'!$B$53</f>
        <v>NV Giao nhận/ Phụ xe</v>
      </c>
      <c r="E121" s="94">
        <v>42923</v>
      </c>
      <c r="F121" s="89">
        <v>4</v>
      </c>
      <c r="G121" s="90"/>
      <c r="H121" s="90"/>
      <c r="I121" s="90"/>
      <c r="J121" s="129">
        <v>0</v>
      </c>
      <c r="K121" s="129">
        <v>3</v>
      </c>
      <c r="L121" s="129">
        <v>0</v>
      </c>
      <c r="M121" s="130">
        <v>2</v>
      </c>
      <c r="N121" s="131">
        <v>0</v>
      </c>
      <c r="O121" s="131">
        <v>0</v>
      </c>
      <c r="P121" s="89"/>
      <c r="Q121" s="89"/>
      <c r="R121" s="89">
        <f>SUMIF('PHEP 2019'!B121,'Cham cong'!B134:B322,'Cham cong'!AL133:AL322)</f>
        <v>0</v>
      </c>
    </row>
    <row r="122" spans="2:18" ht="12.95" customHeight="1">
      <c r="B122" s="105" t="s">
        <v>1223</v>
      </c>
      <c r="C122" s="105" t="s">
        <v>1224</v>
      </c>
      <c r="D122" s="139" t="str">
        <f>'[5]THANG B.LUONG'!$B$53</f>
        <v>NV Giao nhận/ Phụ xe</v>
      </c>
      <c r="E122" s="94">
        <v>42971</v>
      </c>
      <c r="F122" s="89">
        <v>2</v>
      </c>
      <c r="G122" s="90"/>
      <c r="H122" s="90"/>
      <c r="I122" s="90"/>
      <c r="J122" s="129">
        <v>6</v>
      </c>
      <c r="K122" s="129">
        <v>0</v>
      </c>
      <c r="L122" s="129">
        <v>3</v>
      </c>
      <c r="M122" s="130">
        <v>0</v>
      </c>
      <c r="N122" s="131">
        <v>0</v>
      </c>
      <c r="O122" s="131">
        <v>0</v>
      </c>
      <c r="P122" s="89"/>
      <c r="Q122" s="89"/>
      <c r="R122" s="89">
        <f>SUMIF('PHEP 2019'!B122,'Cham cong'!B135:B323,'Cham cong'!AL134:AL323)</f>
        <v>0</v>
      </c>
    </row>
    <row r="123" spans="2:18" ht="12.95" customHeight="1">
      <c r="B123" s="105" t="s">
        <v>1225</v>
      </c>
      <c r="C123" s="105" t="s">
        <v>1226</v>
      </c>
      <c r="D123" s="139" t="str">
        <f>'[5]THANG B.LUONG'!$B$53</f>
        <v>NV Giao nhận/ Phụ xe</v>
      </c>
      <c r="E123" s="94">
        <v>42982</v>
      </c>
      <c r="F123" s="89">
        <v>2</v>
      </c>
      <c r="G123" s="90"/>
      <c r="H123" s="90"/>
      <c r="I123" s="90">
        <v>1</v>
      </c>
      <c r="J123" s="129">
        <v>3</v>
      </c>
      <c r="K123" s="129">
        <v>0</v>
      </c>
      <c r="L123" s="129">
        <v>2</v>
      </c>
      <c r="M123" s="130">
        <v>1</v>
      </c>
      <c r="N123" s="131">
        <v>0</v>
      </c>
      <c r="O123" s="131">
        <v>0</v>
      </c>
      <c r="P123" s="89"/>
      <c r="Q123" s="89"/>
      <c r="R123" s="89">
        <f>SUMIF('PHEP 2019'!B123,'Cham cong'!B136:B324,'Cham cong'!AL135:AL324)</f>
        <v>0</v>
      </c>
    </row>
    <row r="124" spans="2:18" ht="12.95" customHeight="1">
      <c r="B124" s="105" t="s">
        <v>584</v>
      </c>
      <c r="C124" s="105" t="s">
        <v>585</v>
      </c>
      <c r="D124" s="139" t="str">
        <f>'[5]THANG B.LUONG'!$B$53</f>
        <v>NV Giao nhận/ Phụ xe</v>
      </c>
      <c r="E124" s="94">
        <v>43005</v>
      </c>
      <c r="F124" s="89">
        <v>1</v>
      </c>
      <c r="G124" s="90"/>
      <c r="H124" s="90"/>
      <c r="I124" s="90"/>
      <c r="J124" s="129">
        <v>0</v>
      </c>
      <c r="K124" s="129">
        <v>0</v>
      </c>
      <c r="L124" s="129">
        <v>0</v>
      </c>
      <c r="M124" s="130">
        <v>0</v>
      </c>
      <c r="N124" s="131">
        <v>0</v>
      </c>
      <c r="O124" s="131">
        <v>0</v>
      </c>
      <c r="P124" s="89"/>
      <c r="Q124" s="89"/>
      <c r="R124" s="89">
        <f>SUMIF('PHEP 2019'!B124,'Cham cong'!B137:B325,'Cham cong'!AL136:AL325)</f>
        <v>0</v>
      </c>
    </row>
    <row r="125" spans="2:18" ht="12.95" customHeight="1">
      <c r="B125" s="105" t="s">
        <v>1227</v>
      </c>
      <c r="C125" s="105" t="s">
        <v>1228</v>
      </c>
      <c r="D125" s="139" t="str">
        <f>'[5]THANG B.LUONG'!$B$53</f>
        <v>NV Giao nhận/ Phụ xe</v>
      </c>
      <c r="E125" s="94">
        <v>43006</v>
      </c>
      <c r="F125" s="89">
        <v>1</v>
      </c>
      <c r="G125" s="90"/>
      <c r="H125" s="90"/>
      <c r="I125" s="90"/>
      <c r="J125" s="129">
        <v>0</v>
      </c>
      <c r="K125" s="129">
        <v>0</v>
      </c>
      <c r="L125" s="129">
        <v>0</v>
      </c>
      <c r="M125" s="130">
        <v>0</v>
      </c>
      <c r="N125" s="131">
        <v>0</v>
      </c>
      <c r="O125" s="131">
        <v>0</v>
      </c>
      <c r="P125" s="89"/>
      <c r="Q125" s="89"/>
      <c r="R125" s="89">
        <f>SUMIF('PHEP 2019'!B125,'Cham cong'!B139:B326,'Cham cong'!AL137:AL326)</f>
        <v>0</v>
      </c>
    </row>
    <row r="126" spans="2:18" ht="12.95" customHeight="1">
      <c r="B126" s="105" t="s">
        <v>586</v>
      </c>
      <c r="C126" s="105" t="s">
        <v>587</v>
      </c>
      <c r="D126" s="139" t="str">
        <f>'[5]THANG B.LUONG'!$B$53</f>
        <v>NV Giao nhận/ Phụ xe</v>
      </c>
      <c r="E126" s="94">
        <v>42998</v>
      </c>
      <c r="F126" s="89">
        <v>1</v>
      </c>
      <c r="G126" s="90"/>
      <c r="H126" s="90"/>
      <c r="I126" s="90"/>
      <c r="J126" s="129">
        <v>0</v>
      </c>
      <c r="K126" s="129">
        <v>0</v>
      </c>
      <c r="L126" s="129">
        <v>0</v>
      </c>
      <c r="M126" s="130">
        <v>0</v>
      </c>
      <c r="N126" s="131">
        <v>0</v>
      </c>
      <c r="O126" s="131">
        <v>0</v>
      </c>
      <c r="P126" s="89"/>
      <c r="Q126" s="89"/>
      <c r="R126" s="89">
        <f>SUMIF('PHEP 2019'!B126,'Cham cong'!B140:B327,'Cham cong'!AL139:AL327)</f>
        <v>0</v>
      </c>
    </row>
    <row r="127" spans="2:18" ht="12.95" customHeight="1">
      <c r="B127" s="105" t="s">
        <v>1229</v>
      </c>
      <c r="C127" s="105" t="s">
        <v>1230</v>
      </c>
      <c r="D127" s="139" t="str">
        <f>'[5]THANG B.LUONG'!$B$53</f>
        <v>NV Giao nhận/ Phụ xe</v>
      </c>
      <c r="E127" s="94">
        <v>43003</v>
      </c>
      <c r="F127" s="89">
        <v>1</v>
      </c>
      <c r="G127" s="90"/>
      <c r="H127" s="90"/>
      <c r="I127" s="90"/>
      <c r="J127" s="129">
        <v>0</v>
      </c>
      <c r="K127" s="129">
        <v>0</v>
      </c>
      <c r="L127" s="129">
        <v>0</v>
      </c>
      <c r="M127" s="130">
        <v>1</v>
      </c>
      <c r="N127" s="131">
        <v>1</v>
      </c>
      <c r="O127" s="131">
        <v>0</v>
      </c>
      <c r="P127" s="89"/>
      <c r="Q127" s="89"/>
      <c r="R127" s="89">
        <f>SUMIF('PHEP 2019'!B127,'Cham cong'!B141:B328,'Cham cong'!AL140:AL328)</f>
        <v>0</v>
      </c>
    </row>
    <row r="128" spans="2:18" ht="12.95" customHeight="1">
      <c r="B128" s="105" t="s">
        <v>588</v>
      </c>
      <c r="C128" s="105" t="s">
        <v>589</v>
      </c>
      <c r="D128" s="139" t="str">
        <f>'[5]THANG B.LUONG'!$B$53</f>
        <v>NV Giao nhận/ Phụ xe</v>
      </c>
      <c r="E128" s="94">
        <v>43004</v>
      </c>
      <c r="F128" s="89">
        <v>1</v>
      </c>
      <c r="G128" s="90"/>
      <c r="H128" s="90"/>
      <c r="I128" s="90"/>
      <c r="J128" s="129">
        <v>0</v>
      </c>
      <c r="K128" s="129">
        <v>0</v>
      </c>
      <c r="L128" s="129">
        <v>0</v>
      </c>
      <c r="M128" s="130">
        <v>1</v>
      </c>
      <c r="N128" s="131">
        <v>1</v>
      </c>
      <c r="O128" s="131">
        <v>1</v>
      </c>
      <c r="P128" s="89"/>
      <c r="Q128" s="89"/>
      <c r="R128" s="89">
        <f>SUMIF('PHEP 2019'!B128,'Cham cong'!B142:B329,'Cham cong'!AL141:AL329)</f>
        <v>0</v>
      </c>
    </row>
    <row r="129" spans="2:18" ht="12.95" customHeight="1">
      <c r="B129" s="105"/>
      <c r="C129" s="105"/>
      <c r="D129" s="139"/>
      <c r="E129" s="94"/>
      <c r="F129" s="89"/>
      <c r="G129" s="90"/>
      <c r="H129" s="90"/>
      <c r="I129" s="90"/>
      <c r="J129" s="129">
        <v>0</v>
      </c>
      <c r="K129" s="129">
        <v>0</v>
      </c>
      <c r="L129" s="129">
        <v>0</v>
      </c>
      <c r="M129" s="130">
        <v>0</v>
      </c>
      <c r="N129" s="131">
        <v>0</v>
      </c>
      <c r="O129" s="131">
        <v>0</v>
      </c>
      <c r="P129" s="89"/>
      <c r="Q129" s="89"/>
      <c r="R129" s="89">
        <f>SUMIF('PHEP 2019'!B129,'Cham cong'!B143:B330,'Cham cong'!AL142:AL330)</f>
        <v>0</v>
      </c>
    </row>
    <row r="130" spans="2:18" ht="12.95" customHeight="1">
      <c r="B130" s="140"/>
      <c r="C130" s="141" t="s">
        <v>615</v>
      </c>
      <c r="D130" s="140"/>
      <c r="E130" s="97"/>
      <c r="F130" s="89"/>
      <c r="G130" s="90"/>
      <c r="H130" s="90"/>
      <c r="I130" s="90"/>
      <c r="J130" s="129">
        <v>0</v>
      </c>
      <c r="K130" s="129">
        <v>0</v>
      </c>
      <c r="L130" s="129">
        <v>0</v>
      </c>
      <c r="M130" s="130">
        <v>0</v>
      </c>
      <c r="N130" s="131">
        <v>0</v>
      </c>
      <c r="O130" s="131">
        <v>0</v>
      </c>
      <c r="P130" s="89"/>
      <c r="Q130" s="89"/>
      <c r="R130" s="89">
        <f>SUMIF('PHEP 2019'!B130,'Cham cong'!B144:B331,'Cham cong'!AL143:AL331)</f>
        <v>0</v>
      </c>
    </row>
    <row r="131" spans="2:18" ht="12.95" customHeight="1">
      <c r="B131" s="105" t="s">
        <v>616</v>
      </c>
      <c r="C131" s="105" t="s">
        <v>617</v>
      </c>
      <c r="D131" s="139" t="str">
        <f>'[2]THANG B.LUONG'!$B$68</f>
        <v>Trưởng đội giao nhận</v>
      </c>
      <c r="E131" s="94">
        <v>41518</v>
      </c>
      <c r="F131" s="89">
        <v>10</v>
      </c>
      <c r="G131" s="90"/>
      <c r="H131" s="90"/>
      <c r="I131" s="90"/>
      <c r="J131" s="129">
        <v>0</v>
      </c>
      <c r="K131" s="129">
        <v>0</v>
      </c>
      <c r="L131" s="129">
        <v>2</v>
      </c>
      <c r="M131" s="130">
        <v>0</v>
      </c>
      <c r="N131" s="131">
        <v>0</v>
      </c>
      <c r="O131" s="131">
        <v>0</v>
      </c>
      <c r="P131" s="89"/>
      <c r="Q131" s="89"/>
      <c r="R131" s="89">
        <f>SUMIF('PHEP 2019'!B131,'Cham cong'!B145:B332,'Cham cong'!AL144:AL332)</f>
        <v>0</v>
      </c>
    </row>
    <row r="132" spans="2:18" ht="12.95" customHeight="1">
      <c r="B132" s="105" t="s">
        <v>618</v>
      </c>
      <c r="C132" s="105" t="s">
        <v>619</v>
      </c>
      <c r="D132" s="139" t="str">
        <f>'[5]THANG B.LUONG'!$B$53</f>
        <v>NV Giao nhận/ Phụ xe</v>
      </c>
      <c r="E132" s="94">
        <v>41842</v>
      </c>
      <c r="F132" s="89">
        <v>0</v>
      </c>
      <c r="G132" s="90"/>
      <c r="H132" s="90">
        <v>7</v>
      </c>
      <c r="I132" s="90">
        <v>3</v>
      </c>
      <c r="J132" s="129">
        <v>0</v>
      </c>
      <c r="K132" s="129">
        <v>0</v>
      </c>
      <c r="L132" s="129">
        <v>0</v>
      </c>
      <c r="M132" s="130">
        <v>0</v>
      </c>
      <c r="N132" s="131">
        <v>1</v>
      </c>
      <c r="O132" s="131">
        <v>0</v>
      </c>
      <c r="P132" s="89"/>
      <c r="Q132" s="89"/>
      <c r="R132" s="89">
        <f>SUMIF('PHEP 2019'!B132,'Cham cong'!B146:B333,'Cham cong'!AL145:AL333)</f>
        <v>0</v>
      </c>
    </row>
    <row r="133" spans="2:18" ht="12.95" customHeight="1">
      <c r="B133" s="105" t="s">
        <v>1231</v>
      </c>
      <c r="C133" s="105" t="s">
        <v>1232</v>
      </c>
      <c r="D133" s="139" t="str">
        <f>'[5]THANG B.LUONG'!$B$53</f>
        <v>NV Giao nhận/ Phụ xe</v>
      </c>
      <c r="E133" s="94">
        <v>42171</v>
      </c>
      <c r="F133" s="89">
        <v>0</v>
      </c>
      <c r="G133" s="90">
        <v>2</v>
      </c>
      <c r="H133" s="90">
        <v>2</v>
      </c>
      <c r="I133" s="90"/>
      <c r="J133" s="129">
        <v>3</v>
      </c>
      <c r="K133" s="129">
        <v>0</v>
      </c>
      <c r="L133" s="129">
        <v>0</v>
      </c>
      <c r="M133" s="130">
        <v>0</v>
      </c>
      <c r="N133" s="131">
        <v>0</v>
      </c>
      <c r="O133" s="131">
        <v>0</v>
      </c>
      <c r="P133" s="89"/>
      <c r="Q133" s="89"/>
      <c r="R133" s="89">
        <f>SUMIF('PHEP 2019'!B133,'Cham cong'!B147:B334,'Cham cong'!AL146:AL334)</f>
        <v>0</v>
      </c>
    </row>
    <row r="134" spans="2:18" ht="12.95" customHeight="1">
      <c r="B134" s="105" t="s">
        <v>1233</v>
      </c>
      <c r="C134" s="105" t="s">
        <v>1234</v>
      </c>
      <c r="D134" s="139" t="str">
        <f>'[5]THANG B.LUONG'!$B$53</f>
        <v>NV Giao nhận/ Phụ xe</v>
      </c>
      <c r="E134" s="94">
        <v>42461</v>
      </c>
      <c r="F134" s="89">
        <v>0</v>
      </c>
      <c r="G134" s="90"/>
      <c r="H134" s="90">
        <v>1</v>
      </c>
      <c r="I134" s="90">
        <v>1</v>
      </c>
      <c r="J134" s="129">
        <v>0</v>
      </c>
      <c r="K134" s="129">
        <v>0</v>
      </c>
      <c r="L134" s="129">
        <v>0</v>
      </c>
      <c r="M134" s="130">
        <v>0</v>
      </c>
      <c r="N134" s="131">
        <v>0</v>
      </c>
      <c r="O134" s="131">
        <v>0</v>
      </c>
      <c r="P134" s="89"/>
      <c r="Q134" s="89"/>
      <c r="R134" s="89">
        <f>SUMIF('PHEP 2019'!B134,'Cham cong'!B149:B335,'Cham cong'!AL147:AL335)</f>
        <v>0</v>
      </c>
    </row>
    <row r="135" spans="2:18" ht="12.95" customHeight="1">
      <c r="B135" s="105" t="s">
        <v>620</v>
      </c>
      <c r="C135" s="105" t="s">
        <v>621</v>
      </c>
      <c r="D135" s="139" t="str">
        <f>'[5]THANG B.LUONG'!$B$53</f>
        <v>NV Giao nhận/ Phụ xe</v>
      </c>
      <c r="E135" s="94">
        <v>42492</v>
      </c>
      <c r="F135" s="89">
        <v>2</v>
      </c>
      <c r="G135" s="90">
        <v>3</v>
      </c>
      <c r="H135" s="90"/>
      <c r="I135" s="90"/>
      <c r="J135" s="129">
        <v>2</v>
      </c>
      <c r="K135" s="129">
        <v>2</v>
      </c>
      <c r="L135" s="129">
        <v>4</v>
      </c>
      <c r="M135" s="130">
        <v>0</v>
      </c>
      <c r="N135" s="131">
        <v>2</v>
      </c>
      <c r="O135" s="131">
        <v>0</v>
      </c>
      <c r="P135" s="89"/>
      <c r="Q135" s="89"/>
      <c r="R135" s="89">
        <f>SUMIF('PHEP 2019'!B135,'Cham cong'!B150:B336,'Cham cong'!AL149:AL336)</f>
        <v>0</v>
      </c>
    </row>
    <row r="136" spans="2:18" ht="12.95" customHeight="1">
      <c r="B136" s="105" t="s">
        <v>1235</v>
      </c>
      <c r="C136" s="105" t="s">
        <v>1236</v>
      </c>
      <c r="D136" s="139" t="str">
        <f>'[5]THANG B.LUONG'!$B$53</f>
        <v>NV Giao nhận/ Phụ xe</v>
      </c>
      <c r="E136" s="94">
        <v>42492</v>
      </c>
      <c r="F136" s="89"/>
      <c r="G136" s="90"/>
      <c r="H136" s="90"/>
      <c r="I136" s="90"/>
      <c r="J136" s="129">
        <v>0</v>
      </c>
      <c r="K136" s="129">
        <v>0</v>
      </c>
      <c r="L136" s="129">
        <v>0</v>
      </c>
      <c r="M136" s="130">
        <v>0</v>
      </c>
      <c r="N136" s="131">
        <v>0</v>
      </c>
      <c r="O136" s="131">
        <v>0</v>
      </c>
      <c r="P136" s="89"/>
      <c r="Q136" s="89"/>
      <c r="R136" s="89">
        <f>SUMIF('PHEP 2019'!B136,'Cham cong'!B151:B337,'Cham cong'!AL150:AL337)</f>
        <v>0</v>
      </c>
    </row>
    <row r="137" spans="2:18" ht="12.95" customHeight="1">
      <c r="B137" s="105" t="s">
        <v>622</v>
      </c>
      <c r="C137" s="105" t="s">
        <v>623</v>
      </c>
      <c r="D137" s="139" t="str">
        <f>'[5]THANG B.LUONG'!$B$53</f>
        <v>NV Giao nhận/ Phụ xe</v>
      </c>
      <c r="E137" s="94">
        <v>42808</v>
      </c>
      <c r="F137" s="89">
        <v>6</v>
      </c>
      <c r="G137" s="90">
        <v>2</v>
      </c>
      <c r="H137" s="90"/>
      <c r="I137" s="90"/>
      <c r="J137" s="129">
        <v>1</v>
      </c>
      <c r="K137" s="129">
        <v>4</v>
      </c>
      <c r="L137" s="129">
        <v>0</v>
      </c>
      <c r="M137" s="130">
        <v>2</v>
      </c>
      <c r="N137" s="131">
        <v>2</v>
      </c>
      <c r="O137" s="131">
        <v>0</v>
      </c>
      <c r="P137" s="89"/>
      <c r="Q137" s="89"/>
      <c r="R137" s="89">
        <f>SUMIF('PHEP 2019'!B137,'Cham cong'!B153:B338,'Cham cong'!AL151:AL338)</f>
        <v>0</v>
      </c>
    </row>
    <row r="138" spans="2:18" ht="12.95" customHeight="1">
      <c r="B138" s="105" t="s">
        <v>1237</v>
      </c>
      <c r="C138" s="105" t="s">
        <v>1238</v>
      </c>
      <c r="D138" s="139" t="str">
        <f>'[5]THANG B.LUONG'!$B$53</f>
        <v>NV Giao nhận/ Phụ xe</v>
      </c>
      <c r="E138" s="94">
        <v>42912</v>
      </c>
      <c r="F138" s="89"/>
      <c r="G138" s="90"/>
      <c r="H138" s="90"/>
      <c r="I138" s="90"/>
      <c r="J138" s="129">
        <v>0</v>
      </c>
      <c r="K138" s="129">
        <v>0</v>
      </c>
      <c r="L138" s="129">
        <v>0</v>
      </c>
      <c r="M138" s="130">
        <v>0</v>
      </c>
      <c r="N138" s="131">
        <v>0</v>
      </c>
      <c r="O138" s="131">
        <v>0</v>
      </c>
      <c r="P138" s="89"/>
      <c r="Q138" s="89"/>
      <c r="R138" s="89">
        <f>SUMIF('PHEP 2019'!B138,'Cham cong'!B153:B339,'Cham cong'!AL153:AL339)</f>
        <v>0</v>
      </c>
    </row>
    <row r="139" spans="2:18" ht="12.95" customHeight="1">
      <c r="B139" s="105" t="s">
        <v>624</v>
      </c>
      <c r="C139" s="105" t="s">
        <v>625</v>
      </c>
      <c r="D139" s="139" t="str">
        <f>'[5]THANG B.LUONG'!$B$53</f>
        <v>NV Giao nhận/ Phụ xe</v>
      </c>
      <c r="E139" s="94">
        <v>42877</v>
      </c>
      <c r="F139" s="89">
        <v>5</v>
      </c>
      <c r="G139" s="90"/>
      <c r="H139" s="90">
        <v>2</v>
      </c>
      <c r="I139" s="90"/>
      <c r="J139" s="129">
        <v>2</v>
      </c>
      <c r="K139" s="129">
        <v>1</v>
      </c>
      <c r="L139" s="129">
        <v>4</v>
      </c>
      <c r="M139" s="130">
        <v>2</v>
      </c>
      <c r="N139" s="131">
        <v>3</v>
      </c>
      <c r="O139" s="131">
        <v>1</v>
      </c>
      <c r="P139" s="89"/>
      <c r="Q139" s="89"/>
      <c r="R139" s="89">
        <f>SUMIF('PHEP 2019'!B139,'Cham cong'!B154:B340,'Cham cong'!AL153:AL340)</f>
        <v>0</v>
      </c>
    </row>
    <row r="140" spans="2:18" ht="12.95" customHeight="1">
      <c r="B140" s="105" t="s">
        <v>626</v>
      </c>
      <c r="C140" s="105" t="s">
        <v>627</v>
      </c>
      <c r="D140" s="139" t="str">
        <f>'[5]THANG B.LUONG'!$B$53</f>
        <v>NV Giao nhận/ Phụ xe</v>
      </c>
      <c r="E140" s="94">
        <v>42970</v>
      </c>
      <c r="F140" s="89">
        <v>2</v>
      </c>
      <c r="G140" s="90">
        <v>2</v>
      </c>
      <c r="H140" s="90">
        <v>1</v>
      </c>
      <c r="I140" s="90">
        <v>1</v>
      </c>
      <c r="J140" s="129">
        <v>1</v>
      </c>
      <c r="K140" s="129">
        <v>0</v>
      </c>
      <c r="L140" s="129">
        <v>2</v>
      </c>
      <c r="M140" s="130">
        <v>1</v>
      </c>
      <c r="N140" s="131">
        <v>0</v>
      </c>
      <c r="O140" s="131">
        <v>0</v>
      </c>
      <c r="P140" s="89"/>
      <c r="Q140" s="89"/>
      <c r="R140" s="89">
        <f>SUMIF('PHEP 2019'!B140,'Cham cong'!B154:B341,'Cham cong'!AL154:AL341)</f>
        <v>0</v>
      </c>
    </row>
  </sheetData>
  <mergeCells count="1">
    <mergeCell ref="A1:R1"/>
  </mergeCells>
  <pageMargins left="0.69930555555555596" right="0.69930555555555596" top="0.75" bottom="0.75" header="0.3" footer="0.3"/>
  <pageSetup orientation="portrait"/>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workbookViewId="0">
      <selection activeCell="M45" sqref="M45"/>
    </sheetView>
  </sheetViews>
  <sheetFormatPr defaultColWidth="9.140625" defaultRowHeight="11.25"/>
  <cols>
    <col min="1" max="1" width="2.7109375" style="6" customWidth="1"/>
    <col min="2" max="2" width="6" style="6" customWidth="1"/>
    <col min="3" max="3" width="18.28515625" style="6" customWidth="1"/>
    <col min="4" max="4" width="7.5703125" style="6" customWidth="1"/>
    <col min="5" max="5" width="7.140625" style="6" customWidth="1"/>
    <col min="6" max="6" width="6.28515625" style="6" customWidth="1"/>
    <col min="7" max="7" width="5.42578125" style="1" customWidth="1"/>
    <col min="8" max="8" width="5.85546875" style="6" customWidth="1"/>
    <col min="9" max="9" width="7.5703125" style="6" customWidth="1"/>
    <col min="10" max="10" width="7" style="1" customWidth="1"/>
    <col min="11" max="18" width="6.42578125" style="6" customWidth="1"/>
    <col min="19" max="23" width="7.28515625" style="6" customWidth="1"/>
    <col min="24" max="24" width="8" style="6" customWidth="1"/>
    <col min="25" max="25" width="7.42578125" style="7" customWidth="1"/>
    <col min="26" max="16384" width="9.140625" style="6"/>
  </cols>
  <sheetData>
    <row r="1" spans="1:25">
      <c r="A1" s="1638" t="s">
        <v>1239</v>
      </c>
      <c r="B1" s="1638"/>
      <c r="C1" s="1638"/>
      <c r="D1" s="1638"/>
      <c r="E1" s="1638"/>
      <c r="F1" s="1638"/>
      <c r="G1" s="1638"/>
      <c r="H1" s="1638"/>
      <c r="I1" s="1638"/>
      <c r="J1" s="1638"/>
      <c r="K1" s="1638"/>
      <c r="L1" s="1638"/>
      <c r="M1" s="1638"/>
      <c r="N1" s="1638"/>
      <c r="O1" s="1638"/>
      <c r="P1" s="1638"/>
      <c r="Q1" s="1638"/>
      <c r="R1" s="1638"/>
      <c r="S1" s="1638"/>
      <c r="T1" s="1638"/>
      <c r="U1" s="1638"/>
      <c r="V1" s="1638"/>
      <c r="W1" s="1638"/>
      <c r="X1" s="1638"/>
    </row>
    <row r="2" spans="1:25">
      <c r="A2" s="8"/>
      <c r="B2" s="8"/>
    </row>
    <row r="3" spans="1:25">
      <c r="A3" s="8"/>
      <c r="B3" s="8"/>
    </row>
    <row r="4" spans="1:25">
      <c r="N4" s="6" t="s">
        <v>742</v>
      </c>
    </row>
    <row r="12" spans="1:25">
      <c r="A12" s="9"/>
      <c r="B12" s="9"/>
      <c r="C12" s="10"/>
      <c r="D12" s="1713" t="s">
        <v>767</v>
      </c>
      <c r="E12" s="1713"/>
      <c r="F12" s="1713"/>
      <c r="G12" s="1713"/>
      <c r="H12" s="1713"/>
      <c r="I12" s="1714" t="s">
        <v>768</v>
      </c>
      <c r="J12" s="1714"/>
      <c r="K12" s="1714"/>
      <c r="L12" s="1714"/>
      <c r="M12" s="1714"/>
      <c r="N12" s="1715" t="s">
        <v>769</v>
      </c>
      <c r="O12" s="1715"/>
      <c r="P12" s="1715"/>
      <c r="Q12" s="1715"/>
      <c r="R12" s="1715"/>
      <c r="S12" s="1714" t="s">
        <v>770</v>
      </c>
      <c r="T12" s="1714"/>
      <c r="U12" s="1714"/>
      <c r="V12" s="1714"/>
      <c r="W12" s="1714"/>
      <c r="X12" s="1714"/>
      <c r="Y12" s="73" t="s">
        <v>1240</v>
      </c>
    </row>
    <row r="13" spans="1:25">
      <c r="A13" s="1632" t="s">
        <v>2</v>
      </c>
      <c r="B13" s="1633" t="s">
        <v>771</v>
      </c>
      <c r="C13" s="1632" t="s">
        <v>772</v>
      </c>
      <c r="D13" s="1635" t="s">
        <v>773</v>
      </c>
      <c r="E13" s="1637" t="s">
        <v>774</v>
      </c>
      <c r="F13" s="1637" t="s">
        <v>775</v>
      </c>
      <c r="G13" s="1637" t="s">
        <v>776</v>
      </c>
      <c r="H13" s="1635" t="s">
        <v>777</v>
      </c>
      <c r="I13" s="1629" t="s">
        <v>773</v>
      </c>
      <c r="J13" s="1631" t="s">
        <v>774</v>
      </c>
      <c r="K13" s="1631" t="s">
        <v>775</v>
      </c>
      <c r="L13" s="1631" t="s">
        <v>776</v>
      </c>
      <c r="M13" s="1631" t="s">
        <v>777</v>
      </c>
      <c r="N13" s="1628" t="s">
        <v>773</v>
      </c>
      <c r="O13" s="1627" t="s">
        <v>774</v>
      </c>
      <c r="P13" s="1627" t="s">
        <v>775</v>
      </c>
      <c r="Q13" s="1627" t="s">
        <v>776</v>
      </c>
      <c r="R13" s="1627" t="s">
        <v>777</v>
      </c>
      <c r="S13" s="1629" t="s">
        <v>773</v>
      </c>
      <c r="T13" s="1631" t="s">
        <v>774</v>
      </c>
      <c r="U13" s="1631" t="s">
        <v>775</v>
      </c>
      <c r="V13" s="1631" t="s">
        <v>776</v>
      </c>
      <c r="W13" s="1631" t="s">
        <v>777</v>
      </c>
      <c r="X13" s="1631" t="s">
        <v>778</v>
      </c>
      <c r="Y13" s="1625" t="s">
        <v>1241</v>
      </c>
    </row>
    <row r="14" spans="1:25" ht="40.5" customHeight="1">
      <c r="A14" s="1633"/>
      <c r="B14" s="1634"/>
      <c r="C14" s="1633"/>
      <c r="D14" s="1636"/>
      <c r="E14" s="1635"/>
      <c r="F14" s="1635"/>
      <c r="G14" s="1635"/>
      <c r="H14" s="1660"/>
      <c r="I14" s="1630"/>
      <c r="J14" s="1629"/>
      <c r="K14" s="1629"/>
      <c r="L14" s="1629"/>
      <c r="M14" s="1629"/>
      <c r="N14" s="1656"/>
      <c r="O14" s="1628"/>
      <c r="P14" s="1628"/>
      <c r="Q14" s="1628"/>
      <c r="R14" s="1628"/>
      <c r="S14" s="1630"/>
      <c r="T14" s="1629"/>
      <c r="U14" s="1629"/>
      <c r="V14" s="1629"/>
      <c r="W14" s="1629"/>
      <c r="X14" s="1629"/>
      <c r="Y14" s="1626"/>
    </row>
    <row r="15" spans="1:25" s="1" customFormat="1">
      <c r="A15" s="11">
        <v>1</v>
      </c>
      <c r="B15" s="12" t="s">
        <v>521</v>
      </c>
      <c r="C15" s="13" t="s">
        <v>779</v>
      </c>
      <c r="D15" s="14">
        <v>1033</v>
      </c>
      <c r="E15" s="14">
        <v>500</v>
      </c>
      <c r="F15" s="14">
        <v>80</v>
      </c>
      <c r="G15" s="15">
        <v>5</v>
      </c>
      <c r="H15" s="16">
        <v>0.7</v>
      </c>
      <c r="I15" s="48">
        <v>883</v>
      </c>
      <c r="J15" s="49">
        <v>478</v>
      </c>
      <c r="K15" s="48">
        <v>85</v>
      </c>
      <c r="L15" s="48">
        <v>5</v>
      </c>
      <c r="M15" s="50">
        <v>0.85435575992255597</v>
      </c>
      <c r="N15" s="50">
        <f t="shared" ref="N15:R15" si="0">I15/D15</f>
        <v>0.85479186834462728</v>
      </c>
      <c r="O15" s="50">
        <f t="shared" ref="O15:R32" si="1">J15/E15</f>
        <v>0.95599999999999996</v>
      </c>
      <c r="P15" s="50">
        <f t="shared" si="1"/>
        <v>1.0625</v>
      </c>
      <c r="Q15" s="50">
        <f t="shared" si="0"/>
        <v>1</v>
      </c>
      <c r="R15" s="50">
        <f t="shared" si="0"/>
        <v>1.2205082284607942</v>
      </c>
      <c r="S15" s="48">
        <f>IF(N15&gt;=120%,3000,IF(N15&gt;=100%,2000,IF(N15&gt;=80%,1000,"")))</f>
        <v>1000</v>
      </c>
      <c r="T15" s="48">
        <f>IF(O15&gt;=100%,2000,IF(O15&gt;=80%,1000,0))</f>
        <v>1000</v>
      </c>
      <c r="U15" s="48">
        <f t="shared" ref="U15:U19" si="2">IF(P15&gt;=80%,1000,0)</f>
        <v>1000</v>
      </c>
      <c r="V15" s="48">
        <f>IF(Q15&gt;=100%,500,0)</f>
        <v>500</v>
      </c>
      <c r="W15" s="48">
        <f>IF(R15&gt;=100%,500,0)</f>
        <v>500</v>
      </c>
      <c r="X15" s="69">
        <f>SUM(S15:W15)</f>
        <v>4000</v>
      </c>
      <c r="Y15" s="74"/>
    </row>
    <row r="16" spans="1:25" s="1" customFormat="1">
      <c r="A16" s="11">
        <v>2</v>
      </c>
      <c r="B16" s="17" t="s">
        <v>518</v>
      </c>
      <c r="C16" s="13" t="s">
        <v>780</v>
      </c>
      <c r="D16" s="14">
        <v>1039</v>
      </c>
      <c r="E16" s="14">
        <v>650</v>
      </c>
      <c r="F16" s="14">
        <v>82</v>
      </c>
      <c r="G16" s="15">
        <v>5</v>
      </c>
      <c r="H16" s="16">
        <v>0.7</v>
      </c>
      <c r="I16" s="48">
        <v>922</v>
      </c>
      <c r="J16" s="49">
        <v>687</v>
      </c>
      <c r="K16" s="48">
        <v>87</v>
      </c>
      <c r="L16" s="48">
        <v>6</v>
      </c>
      <c r="M16" s="50">
        <v>0.88713907603464903</v>
      </c>
      <c r="N16" s="50">
        <f t="shared" ref="N16:N32" si="3">I16/D16</f>
        <v>0.88739172281039458</v>
      </c>
      <c r="O16" s="50">
        <f t="shared" si="1"/>
        <v>1.0569230769230769</v>
      </c>
      <c r="P16" s="50">
        <f t="shared" si="1"/>
        <v>1.0609756097560976</v>
      </c>
      <c r="Q16" s="50">
        <f t="shared" si="1"/>
        <v>1.2</v>
      </c>
      <c r="R16" s="50">
        <f t="shared" si="1"/>
        <v>1.2673415371923558</v>
      </c>
      <c r="S16" s="48">
        <f t="shared" ref="S16:S31" si="4">IF(N16&gt;=120%,3000,IF(N16&gt;=100%,2000,IF(N16&gt;=80%,1000,"")))</f>
        <v>1000</v>
      </c>
      <c r="T16" s="48">
        <f t="shared" ref="T16:T30" si="5">IF(O16&gt;=100%,2000,IF(O16&gt;=80%,1000,0))</f>
        <v>2000</v>
      </c>
      <c r="U16" s="48">
        <f t="shared" si="2"/>
        <v>1000</v>
      </c>
      <c r="V16" s="48">
        <f t="shared" ref="V16:W31" si="6">IF(Q16&gt;=100%,500,0)</f>
        <v>500</v>
      </c>
      <c r="W16" s="48">
        <f t="shared" si="6"/>
        <v>500</v>
      </c>
      <c r="X16" s="69">
        <f t="shared" ref="X16:X32" si="7">SUM(S16:W16)</f>
        <v>5000</v>
      </c>
      <c r="Y16" s="74"/>
    </row>
    <row r="17" spans="1:25" s="1" customFormat="1">
      <c r="A17" s="11">
        <v>3</v>
      </c>
      <c r="B17" s="12" t="s">
        <v>524</v>
      </c>
      <c r="C17" s="13" t="s">
        <v>781</v>
      </c>
      <c r="D17" s="14">
        <v>880</v>
      </c>
      <c r="E17" s="14">
        <v>750</v>
      </c>
      <c r="F17" s="14">
        <v>70</v>
      </c>
      <c r="G17" s="15">
        <v>5</v>
      </c>
      <c r="H17" s="16">
        <v>0.7</v>
      </c>
      <c r="I17" s="48">
        <v>814</v>
      </c>
      <c r="J17" s="49">
        <v>769</v>
      </c>
      <c r="K17" s="48">
        <v>75</v>
      </c>
      <c r="L17" s="48">
        <v>5</v>
      </c>
      <c r="M17" s="50">
        <v>0.92508295454545497</v>
      </c>
      <c r="N17" s="50">
        <f t="shared" si="3"/>
        <v>0.92500000000000004</v>
      </c>
      <c r="O17" s="50">
        <f t="shared" si="1"/>
        <v>1.0253333333333334</v>
      </c>
      <c r="P17" s="50">
        <f t="shared" si="1"/>
        <v>1.0714285714285714</v>
      </c>
      <c r="Q17" s="50">
        <f t="shared" si="1"/>
        <v>1</v>
      </c>
      <c r="R17" s="50">
        <f t="shared" si="1"/>
        <v>1.3215470779220786</v>
      </c>
      <c r="S17" s="48">
        <f t="shared" si="4"/>
        <v>1000</v>
      </c>
      <c r="T17" s="48">
        <f t="shared" si="5"/>
        <v>2000</v>
      </c>
      <c r="U17" s="48">
        <f t="shared" si="2"/>
        <v>1000</v>
      </c>
      <c r="V17" s="48">
        <f t="shared" si="6"/>
        <v>500</v>
      </c>
      <c r="W17" s="48">
        <f t="shared" si="6"/>
        <v>500</v>
      </c>
      <c r="X17" s="69">
        <f t="shared" si="7"/>
        <v>5000</v>
      </c>
      <c r="Y17" s="74"/>
    </row>
    <row r="18" spans="1:25" s="2" customFormat="1" ht="11.25" customHeight="1">
      <c r="A18" s="18">
        <v>4</v>
      </c>
      <c r="B18" s="19" t="s">
        <v>1242</v>
      </c>
      <c r="C18" s="20" t="s">
        <v>1243</v>
      </c>
      <c r="D18" s="21">
        <f t="shared" ref="D18:G18" si="8">SUM(D15:D17)</f>
        <v>2952</v>
      </c>
      <c r="E18" s="21">
        <f t="shared" si="8"/>
        <v>1900</v>
      </c>
      <c r="F18" s="21">
        <f t="shared" si="8"/>
        <v>232</v>
      </c>
      <c r="G18" s="22">
        <f t="shared" si="8"/>
        <v>15</v>
      </c>
      <c r="H18" s="23">
        <v>0.7</v>
      </c>
      <c r="I18" s="21">
        <f t="shared" ref="I18:L18" si="9">SUM(I15:I17)</f>
        <v>2619</v>
      </c>
      <c r="J18" s="22">
        <f t="shared" si="9"/>
        <v>1934</v>
      </c>
      <c r="K18" s="21">
        <f t="shared" si="9"/>
        <v>247</v>
      </c>
      <c r="L18" s="21">
        <f t="shared" si="9"/>
        <v>16</v>
      </c>
      <c r="M18" s="51">
        <v>0.88697831978319797</v>
      </c>
      <c r="N18" s="23">
        <f t="shared" si="3"/>
        <v>0.88719512195121952</v>
      </c>
      <c r="O18" s="51">
        <f t="shared" si="1"/>
        <v>1.0178947368421052</v>
      </c>
      <c r="P18" s="51">
        <f t="shared" si="1"/>
        <v>1.0646551724137931</v>
      </c>
      <c r="Q18" s="51">
        <f t="shared" si="1"/>
        <v>1.0666666666666667</v>
      </c>
      <c r="R18" s="51">
        <f t="shared" si="1"/>
        <v>1.2671118854045686</v>
      </c>
      <c r="S18" s="70">
        <f t="shared" si="4"/>
        <v>1000</v>
      </c>
      <c r="T18" s="70">
        <f t="shared" si="5"/>
        <v>2000</v>
      </c>
      <c r="U18" s="70">
        <f t="shared" si="2"/>
        <v>1000</v>
      </c>
      <c r="V18" s="70">
        <f>IF(Q18&gt;=100%,1000,0)</f>
        <v>1000</v>
      </c>
      <c r="W18" s="70">
        <f>IF(R18&gt;=100%,1000,0)</f>
        <v>1000</v>
      </c>
      <c r="X18" s="70">
        <f t="shared" si="7"/>
        <v>6000</v>
      </c>
      <c r="Y18" s="75"/>
    </row>
    <row r="19" spans="1:25" s="2" customFormat="1" ht="13.5" customHeight="1">
      <c r="A19" s="18">
        <v>5</v>
      </c>
      <c r="B19" s="19" t="s">
        <v>527</v>
      </c>
      <c r="C19" s="20" t="s">
        <v>528</v>
      </c>
      <c r="D19" s="24">
        <f t="shared" ref="D19:G19" si="10">SUM(D20:D25)</f>
        <v>727</v>
      </c>
      <c r="E19" s="24">
        <f t="shared" si="10"/>
        <v>0</v>
      </c>
      <c r="F19" s="24">
        <f t="shared" si="10"/>
        <v>68</v>
      </c>
      <c r="G19" s="25">
        <f t="shared" si="10"/>
        <v>30</v>
      </c>
      <c r="H19" s="23">
        <v>0.7</v>
      </c>
      <c r="I19" s="24">
        <f>SUM(I20:I25)</f>
        <v>486</v>
      </c>
      <c r="J19" s="24">
        <f t="shared" ref="J19:R19" si="11">SUM(J20:J25)</f>
        <v>0</v>
      </c>
      <c r="K19" s="24">
        <f t="shared" si="11"/>
        <v>82</v>
      </c>
      <c r="L19" s="24">
        <f t="shared" si="11"/>
        <v>30</v>
      </c>
      <c r="M19" s="52">
        <v>0.67</v>
      </c>
      <c r="N19" s="23">
        <f t="shared" si="3"/>
        <v>0.66850068775790916</v>
      </c>
      <c r="O19" s="52">
        <f t="shared" si="11"/>
        <v>0</v>
      </c>
      <c r="P19" s="52">
        <f t="shared" si="11"/>
        <v>6.875</v>
      </c>
      <c r="Q19" s="52">
        <f t="shared" si="11"/>
        <v>6</v>
      </c>
      <c r="R19" s="52">
        <f t="shared" si="11"/>
        <v>4.4857142857142858</v>
      </c>
      <c r="S19" s="70" t="str">
        <f t="shared" si="4"/>
        <v/>
      </c>
      <c r="T19" s="70">
        <f t="shared" si="5"/>
        <v>0</v>
      </c>
      <c r="U19" s="70">
        <f t="shared" si="2"/>
        <v>1000</v>
      </c>
      <c r="V19" s="70">
        <f>IF(Q19&gt;=80%,1000,0)</f>
        <v>1000</v>
      </c>
      <c r="W19" s="70">
        <f>IF(R19&gt;=80%,1000,0)</f>
        <v>1000</v>
      </c>
      <c r="X19" s="70">
        <f t="shared" si="7"/>
        <v>3000</v>
      </c>
      <c r="Y19" s="76"/>
    </row>
    <row r="20" spans="1:25" s="3" customFormat="1">
      <c r="A20" s="11">
        <v>6</v>
      </c>
      <c r="B20" s="17" t="s">
        <v>532</v>
      </c>
      <c r="C20" s="26" t="s">
        <v>782</v>
      </c>
      <c r="D20" s="27">
        <v>57</v>
      </c>
      <c r="E20" s="27"/>
      <c r="F20" s="27">
        <v>8</v>
      </c>
      <c r="G20" s="28">
        <v>5</v>
      </c>
      <c r="H20" s="16">
        <v>0.7</v>
      </c>
      <c r="I20" s="53">
        <v>28</v>
      </c>
      <c r="J20" s="54"/>
      <c r="K20" s="55">
        <v>8</v>
      </c>
      <c r="L20" s="56">
        <v>5</v>
      </c>
      <c r="M20" s="57">
        <v>0.49</v>
      </c>
      <c r="N20" s="50">
        <f t="shared" si="3"/>
        <v>0.49122807017543857</v>
      </c>
      <c r="O20" s="58"/>
      <c r="P20" s="50">
        <f t="shared" si="1"/>
        <v>1</v>
      </c>
      <c r="Q20" s="58">
        <f t="shared" ref="Q20:Q25" si="12">IFERROR(L20/G20,0)</f>
        <v>1</v>
      </c>
      <c r="R20" s="50">
        <f t="shared" si="1"/>
        <v>0.70000000000000007</v>
      </c>
      <c r="S20" s="48" t="str">
        <f t="shared" si="4"/>
        <v/>
      </c>
      <c r="T20" s="48">
        <f t="shared" si="5"/>
        <v>0</v>
      </c>
      <c r="U20" s="48">
        <v>0</v>
      </c>
      <c r="V20" s="48">
        <v>0</v>
      </c>
      <c r="W20" s="48">
        <f t="shared" si="6"/>
        <v>0</v>
      </c>
      <c r="X20" s="69">
        <f t="shared" si="7"/>
        <v>0</v>
      </c>
      <c r="Y20" s="77">
        <v>1500</v>
      </c>
    </row>
    <row r="21" spans="1:25" s="3" customFormat="1">
      <c r="A21" s="11">
        <v>7</v>
      </c>
      <c r="B21" s="17" t="s">
        <v>530</v>
      </c>
      <c r="C21" s="26" t="s">
        <v>783</v>
      </c>
      <c r="D21" s="27">
        <v>136</v>
      </c>
      <c r="E21" s="27"/>
      <c r="F21" s="27">
        <v>8</v>
      </c>
      <c r="G21" s="28">
        <v>5</v>
      </c>
      <c r="H21" s="16">
        <v>0.7</v>
      </c>
      <c r="I21" s="53">
        <v>113</v>
      </c>
      <c r="J21" s="54"/>
      <c r="K21" s="55">
        <v>11</v>
      </c>
      <c r="L21" s="56">
        <v>8</v>
      </c>
      <c r="M21" s="57">
        <v>0.83</v>
      </c>
      <c r="N21" s="50">
        <f t="shared" si="3"/>
        <v>0.83088235294117652</v>
      </c>
      <c r="O21" s="58"/>
      <c r="P21" s="50">
        <f t="shared" si="1"/>
        <v>1.375</v>
      </c>
      <c r="Q21" s="58">
        <f t="shared" si="12"/>
        <v>1.6</v>
      </c>
      <c r="R21" s="50">
        <f t="shared" si="1"/>
        <v>1.1857142857142857</v>
      </c>
      <c r="S21" s="48">
        <f t="shared" si="4"/>
        <v>1000</v>
      </c>
      <c r="T21" s="48">
        <f t="shared" si="5"/>
        <v>0</v>
      </c>
      <c r="U21" s="48">
        <f t="shared" ref="U21:U24" si="13">IF(P21&gt;=80%,1000,0)</f>
        <v>1000</v>
      </c>
      <c r="V21" s="48">
        <f t="shared" si="6"/>
        <v>500</v>
      </c>
      <c r="W21" s="48">
        <f t="shared" si="6"/>
        <v>500</v>
      </c>
      <c r="X21" s="69">
        <f t="shared" si="7"/>
        <v>3000</v>
      </c>
      <c r="Y21" s="77"/>
    </row>
    <row r="22" spans="1:25" s="3" customFormat="1">
      <c r="A22" s="11">
        <v>8</v>
      </c>
      <c r="B22" s="29" t="s">
        <v>531</v>
      </c>
      <c r="C22" s="26" t="s">
        <v>784</v>
      </c>
      <c r="D22" s="27">
        <v>157</v>
      </c>
      <c r="E22" s="27"/>
      <c r="F22" s="27">
        <v>16</v>
      </c>
      <c r="G22" s="28">
        <v>5</v>
      </c>
      <c r="H22" s="16">
        <v>0.7</v>
      </c>
      <c r="I22" s="53">
        <v>118</v>
      </c>
      <c r="J22" s="54"/>
      <c r="K22" s="55">
        <v>20</v>
      </c>
      <c r="L22" s="56">
        <v>5</v>
      </c>
      <c r="M22" s="57">
        <v>0.75</v>
      </c>
      <c r="N22" s="50">
        <f t="shared" si="3"/>
        <v>0.75159235668789814</v>
      </c>
      <c r="O22" s="58"/>
      <c r="P22" s="50">
        <f t="shared" si="1"/>
        <v>1.25</v>
      </c>
      <c r="Q22" s="58">
        <f t="shared" si="12"/>
        <v>1</v>
      </c>
      <c r="R22" s="50">
        <f t="shared" si="1"/>
        <v>1.0714285714285714</v>
      </c>
      <c r="S22" s="48" t="str">
        <f t="shared" si="4"/>
        <v/>
      </c>
      <c r="T22" s="48">
        <f t="shared" si="5"/>
        <v>0</v>
      </c>
      <c r="U22" s="48">
        <f t="shared" si="13"/>
        <v>1000</v>
      </c>
      <c r="V22" s="48">
        <f t="shared" si="6"/>
        <v>500</v>
      </c>
      <c r="W22" s="48">
        <f t="shared" si="6"/>
        <v>500</v>
      </c>
      <c r="X22" s="69">
        <f t="shared" si="7"/>
        <v>2000</v>
      </c>
      <c r="Y22" s="77"/>
    </row>
    <row r="23" spans="1:25" s="3" customFormat="1">
      <c r="A23" s="11">
        <v>9</v>
      </c>
      <c r="B23" s="29" t="s">
        <v>534</v>
      </c>
      <c r="C23" s="26" t="s">
        <v>785</v>
      </c>
      <c r="D23" s="27">
        <v>58</v>
      </c>
      <c r="E23" s="27"/>
      <c r="F23" s="27">
        <v>4</v>
      </c>
      <c r="G23" s="28">
        <v>5</v>
      </c>
      <c r="H23" s="16">
        <v>0.7</v>
      </c>
      <c r="I23" s="53">
        <v>6</v>
      </c>
      <c r="J23" s="54"/>
      <c r="K23" s="55">
        <v>4</v>
      </c>
      <c r="L23" s="59">
        <v>4</v>
      </c>
      <c r="M23" s="57">
        <v>0.1</v>
      </c>
      <c r="N23" s="50">
        <f t="shared" si="3"/>
        <v>0.10344827586206896</v>
      </c>
      <c r="O23" s="58"/>
      <c r="P23" s="50">
        <f t="shared" si="1"/>
        <v>1</v>
      </c>
      <c r="Q23" s="58">
        <f t="shared" si="12"/>
        <v>0.8</v>
      </c>
      <c r="R23" s="50">
        <f t="shared" si="1"/>
        <v>0.14285714285714288</v>
      </c>
      <c r="S23" s="48" t="str">
        <f t="shared" si="4"/>
        <v/>
      </c>
      <c r="T23" s="48">
        <f t="shared" si="5"/>
        <v>0</v>
      </c>
      <c r="U23" s="48">
        <v>0</v>
      </c>
      <c r="V23" s="48">
        <f t="shared" si="6"/>
        <v>0</v>
      </c>
      <c r="W23" s="48">
        <f t="shared" si="6"/>
        <v>0</v>
      </c>
      <c r="X23" s="69">
        <f t="shared" si="7"/>
        <v>0</v>
      </c>
      <c r="Y23" s="77">
        <v>1500</v>
      </c>
    </row>
    <row r="24" spans="1:25" s="3" customFormat="1">
      <c r="A24" s="11">
        <v>10</v>
      </c>
      <c r="B24" s="17" t="s">
        <v>1244</v>
      </c>
      <c r="C24" s="26" t="s">
        <v>1245</v>
      </c>
      <c r="D24" s="27">
        <v>53</v>
      </c>
      <c r="E24" s="27"/>
      <c r="F24" s="27">
        <v>4</v>
      </c>
      <c r="G24" s="28">
        <v>5</v>
      </c>
      <c r="H24" s="16">
        <v>0.7</v>
      </c>
      <c r="I24" s="60">
        <v>9</v>
      </c>
      <c r="J24" s="61"/>
      <c r="K24" s="55">
        <v>4</v>
      </c>
      <c r="L24" s="59">
        <v>4</v>
      </c>
      <c r="M24" s="57">
        <v>0.17</v>
      </c>
      <c r="N24" s="50">
        <f t="shared" si="3"/>
        <v>0.16981132075471697</v>
      </c>
      <c r="O24" s="58"/>
      <c r="P24" s="50">
        <f t="shared" si="1"/>
        <v>1</v>
      </c>
      <c r="Q24" s="58">
        <f t="shared" si="12"/>
        <v>0.8</v>
      </c>
      <c r="R24" s="50">
        <f t="shared" si="1"/>
        <v>0.24285714285714288</v>
      </c>
      <c r="S24" s="48" t="str">
        <f t="shared" si="4"/>
        <v/>
      </c>
      <c r="T24" s="48">
        <f t="shared" si="5"/>
        <v>0</v>
      </c>
      <c r="U24" s="48">
        <f t="shared" si="13"/>
        <v>1000</v>
      </c>
      <c r="V24" s="48">
        <f t="shared" si="6"/>
        <v>0</v>
      </c>
      <c r="W24" s="48">
        <f t="shared" si="6"/>
        <v>0</v>
      </c>
      <c r="X24" s="69">
        <f t="shared" si="7"/>
        <v>1000</v>
      </c>
      <c r="Y24" s="77"/>
    </row>
    <row r="25" spans="1:25" s="3" customFormat="1">
      <c r="A25" s="11">
        <v>11</v>
      </c>
      <c r="B25" s="29" t="s">
        <v>535</v>
      </c>
      <c r="C25" s="26" t="s">
        <v>786</v>
      </c>
      <c r="D25" s="27">
        <v>266</v>
      </c>
      <c r="E25" s="27"/>
      <c r="F25" s="27">
        <v>28</v>
      </c>
      <c r="G25" s="28">
        <v>5</v>
      </c>
      <c r="H25" s="16">
        <v>0.7</v>
      </c>
      <c r="I25" s="53">
        <v>212</v>
      </c>
      <c r="J25" s="54"/>
      <c r="K25" s="55">
        <v>35</v>
      </c>
      <c r="L25" s="59">
        <v>4</v>
      </c>
      <c r="M25" s="57">
        <v>0.8</v>
      </c>
      <c r="N25" s="50">
        <f t="shared" si="3"/>
        <v>0.79699248120300747</v>
      </c>
      <c r="O25" s="58"/>
      <c r="P25" s="50">
        <f t="shared" si="1"/>
        <v>1.25</v>
      </c>
      <c r="Q25" s="58">
        <f t="shared" si="12"/>
        <v>0.8</v>
      </c>
      <c r="R25" s="50">
        <f t="shared" si="1"/>
        <v>1.142857142857143</v>
      </c>
      <c r="S25" s="48" t="str">
        <f t="shared" si="4"/>
        <v/>
      </c>
      <c r="T25" s="48">
        <f t="shared" si="5"/>
        <v>0</v>
      </c>
      <c r="U25" s="48">
        <v>0</v>
      </c>
      <c r="V25" s="48">
        <v>0</v>
      </c>
      <c r="W25" s="48">
        <v>0</v>
      </c>
      <c r="X25" s="69">
        <v>0</v>
      </c>
      <c r="Y25" s="77">
        <v>1500</v>
      </c>
    </row>
    <row r="26" spans="1:25" s="2" customFormat="1" ht="14.25" customHeight="1">
      <c r="A26" s="18">
        <v>12</v>
      </c>
      <c r="B26" s="19" t="s">
        <v>539</v>
      </c>
      <c r="C26" s="20" t="s">
        <v>540</v>
      </c>
      <c r="D26" s="30">
        <f t="shared" ref="D26:G26" si="14">SUM(D27:D30)</f>
        <v>286</v>
      </c>
      <c r="E26" s="30">
        <f t="shared" si="14"/>
        <v>0</v>
      </c>
      <c r="F26" s="30">
        <f t="shared" si="14"/>
        <v>60</v>
      </c>
      <c r="G26" s="31">
        <f t="shared" si="14"/>
        <v>19</v>
      </c>
      <c r="H26" s="23">
        <v>0.7</v>
      </c>
      <c r="I26" s="30">
        <f t="shared" ref="I26:L26" si="15">SUM(I27:I30)</f>
        <v>221</v>
      </c>
      <c r="J26" s="31">
        <f t="shared" si="15"/>
        <v>0</v>
      </c>
      <c r="K26" s="31">
        <f t="shared" si="15"/>
        <v>65</v>
      </c>
      <c r="L26" s="30">
        <f t="shared" si="15"/>
        <v>19</v>
      </c>
      <c r="M26" s="52">
        <v>0.77</v>
      </c>
      <c r="N26" s="23">
        <f t="shared" si="3"/>
        <v>0.77272727272727271</v>
      </c>
      <c r="O26" s="52"/>
      <c r="P26" s="51">
        <f t="shared" si="1"/>
        <v>1.0833333333333333</v>
      </c>
      <c r="Q26" s="52">
        <f t="shared" ref="Q26:Q30" si="16">L26/G26</f>
        <v>1</v>
      </c>
      <c r="R26" s="51">
        <f t="shared" si="1"/>
        <v>1.1000000000000001</v>
      </c>
      <c r="S26" s="70" t="str">
        <f t="shared" si="4"/>
        <v/>
      </c>
      <c r="T26" s="70">
        <f t="shared" si="5"/>
        <v>0</v>
      </c>
      <c r="U26" s="70">
        <f t="shared" ref="U26:W26" si="17">IF(P26&gt;=80%,1000,0)</f>
        <v>1000</v>
      </c>
      <c r="V26" s="70">
        <f t="shared" si="17"/>
        <v>1000</v>
      </c>
      <c r="W26" s="70">
        <f t="shared" si="17"/>
        <v>1000</v>
      </c>
      <c r="X26" s="70">
        <f t="shared" si="7"/>
        <v>3000</v>
      </c>
      <c r="Y26" s="76"/>
    </row>
    <row r="27" spans="1:25" s="3" customFormat="1">
      <c r="A27" s="11">
        <v>13</v>
      </c>
      <c r="B27" s="29" t="s">
        <v>545</v>
      </c>
      <c r="C27" s="26" t="s">
        <v>546</v>
      </c>
      <c r="D27" s="32">
        <v>58</v>
      </c>
      <c r="E27" s="32"/>
      <c r="F27" s="32">
        <v>14</v>
      </c>
      <c r="G27" s="28">
        <v>3</v>
      </c>
      <c r="H27" s="16">
        <v>0.7</v>
      </c>
      <c r="I27" s="62">
        <v>42</v>
      </c>
      <c r="J27" s="63"/>
      <c r="K27" s="55">
        <v>15</v>
      </c>
      <c r="L27" s="55">
        <v>3</v>
      </c>
      <c r="M27" s="57">
        <v>0.73</v>
      </c>
      <c r="N27" s="50">
        <f t="shared" si="3"/>
        <v>0.72413793103448276</v>
      </c>
      <c r="O27" s="58"/>
      <c r="P27" s="50">
        <f t="shared" si="1"/>
        <v>1.0714285714285714</v>
      </c>
      <c r="Q27" s="58">
        <f t="shared" si="16"/>
        <v>1</v>
      </c>
      <c r="R27" s="50">
        <f t="shared" si="1"/>
        <v>1.0428571428571429</v>
      </c>
      <c r="S27" s="48" t="str">
        <f t="shared" si="4"/>
        <v/>
      </c>
      <c r="T27" s="48">
        <f t="shared" si="5"/>
        <v>0</v>
      </c>
      <c r="U27" s="48">
        <v>0</v>
      </c>
      <c r="V27" s="48">
        <v>0</v>
      </c>
      <c r="W27" s="48">
        <v>0</v>
      </c>
      <c r="X27" s="69">
        <v>0</v>
      </c>
      <c r="Y27" s="77">
        <v>1500</v>
      </c>
    </row>
    <row r="28" spans="1:25" s="3" customFormat="1">
      <c r="A28" s="11">
        <v>14</v>
      </c>
      <c r="B28" s="29" t="s">
        <v>547</v>
      </c>
      <c r="C28" s="26" t="s">
        <v>787</v>
      </c>
      <c r="D28" s="32">
        <v>59</v>
      </c>
      <c r="E28" s="32"/>
      <c r="F28" s="32">
        <v>7</v>
      </c>
      <c r="G28" s="28">
        <v>2</v>
      </c>
      <c r="H28" s="16">
        <v>0.7</v>
      </c>
      <c r="I28" s="62">
        <v>35</v>
      </c>
      <c r="J28" s="63"/>
      <c r="K28" s="55">
        <v>8</v>
      </c>
      <c r="L28" s="55">
        <v>2</v>
      </c>
      <c r="M28" s="57">
        <v>0.59</v>
      </c>
      <c r="N28" s="50">
        <f t="shared" si="3"/>
        <v>0.59322033898305082</v>
      </c>
      <c r="O28" s="58"/>
      <c r="P28" s="50">
        <f t="shared" si="1"/>
        <v>1.1428571428571428</v>
      </c>
      <c r="Q28" s="58">
        <f t="shared" si="1"/>
        <v>1</v>
      </c>
      <c r="R28" s="50">
        <f t="shared" si="1"/>
        <v>0.84285714285714286</v>
      </c>
      <c r="S28" s="48" t="str">
        <f t="shared" si="4"/>
        <v/>
      </c>
      <c r="T28" s="48">
        <f t="shared" si="5"/>
        <v>0</v>
      </c>
      <c r="U28" s="48">
        <v>0</v>
      </c>
      <c r="V28" s="48">
        <v>0</v>
      </c>
      <c r="W28" s="48">
        <v>0</v>
      </c>
      <c r="X28" s="69">
        <v>0</v>
      </c>
      <c r="Y28" s="77">
        <v>1500</v>
      </c>
    </row>
    <row r="29" spans="1:25" s="3" customFormat="1">
      <c r="A29" s="11">
        <v>15</v>
      </c>
      <c r="B29" s="29" t="s">
        <v>541</v>
      </c>
      <c r="C29" s="26" t="s">
        <v>542</v>
      </c>
      <c r="D29" s="32">
        <v>95</v>
      </c>
      <c r="E29" s="32"/>
      <c r="F29" s="32">
        <v>26</v>
      </c>
      <c r="G29" s="28">
        <v>7</v>
      </c>
      <c r="H29" s="16">
        <v>0.7</v>
      </c>
      <c r="I29" s="62">
        <v>78</v>
      </c>
      <c r="J29" s="63"/>
      <c r="K29" s="55">
        <v>28</v>
      </c>
      <c r="L29" s="55">
        <v>7</v>
      </c>
      <c r="M29" s="57">
        <v>0.82</v>
      </c>
      <c r="N29" s="50">
        <f t="shared" si="3"/>
        <v>0.82105263157894737</v>
      </c>
      <c r="O29" s="58"/>
      <c r="P29" s="50">
        <f t="shared" si="1"/>
        <v>1.0769230769230769</v>
      </c>
      <c r="Q29" s="58">
        <f t="shared" si="1"/>
        <v>1</v>
      </c>
      <c r="R29" s="50">
        <f t="shared" si="1"/>
        <v>1.1714285714285715</v>
      </c>
      <c r="S29" s="48">
        <f t="shared" si="4"/>
        <v>1000</v>
      </c>
      <c r="T29" s="48">
        <f t="shared" si="5"/>
        <v>0</v>
      </c>
      <c r="U29" s="48">
        <f t="shared" ref="U29:U31" si="18">IF(P29&gt;=80%,1000,0)</f>
        <v>1000</v>
      </c>
      <c r="V29" s="48">
        <f t="shared" si="6"/>
        <v>500</v>
      </c>
      <c r="W29" s="48">
        <f t="shared" si="6"/>
        <v>500</v>
      </c>
      <c r="X29" s="69">
        <f t="shared" si="7"/>
        <v>3000</v>
      </c>
      <c r="Y29" s="77"/>
    </row>
    <row r="30" spans="1:25" s="3" customFormat="1">
      <c r="A30" s="11">
        <v>16</v>
      </c>
      <c r="B30" s="17" t="s">
        <v>543</v>
      </c>
      <c r="C30" s="26" t="s">
        <v>544</v>
      </c>
      <c r="D30" s="32">
        <v>74</v>
      </c>
      <c r="E30" s="32"/>
      <c r="F30" s="32">
        <v>13</v>
      </c>
      <c r="G30" s="28">
        <v>7</v>
      </c>
      <c r="H30" s="16">
        <v>0.7</v>
      </c>
      <c r="I30" s="62">
        <v>66</v>
      </c>
      <c r="J30" s="63"/>
      <c r="K30" s="55">
        <v>14</v>
      </c>
      <c r="L30" s="64">
        <v>7</v>
      </c>
      <c r="M30" s="57">
        <v>0.89</v>
      </c>
      <c r="N30" s="50">
        <f t="shared" si="3"/>
        <v>0.89189189189189189</v>
      </c>
      <c r="O30" s="58"/>
      <c r="P30" s="50">
        <f t="shared" si="1"/>
        <v>1.0769230769230769</v>
      </c>
      <c r="Q30" s="58">
        <f t="shared" si="16"/>
        <v>1</v>
      </c>
      <c r="R30" s="50">
        <f t="shared" si="1"/>
        <v>1.2714285714285716</v>
      </c>
      <c r="S30" s="48">
        <f t="shared" si="4"/>
        <v>1000</v>
      </c>
      <c r="T30" s="48">
        <f t="shared" si="5"/>
        <v>0</v>
      </c>
      <c r="U30" s="48">
        <f t="shared" si="18"/>
        <v>1000</v>
      </c>
      <c r="V30" s="48">
        <f t="shared" si="6"/>
        <v>500</v>
      </c>
      <c r="W30" s="48">
        <f t="shared" si="6"/>
        <v>500</v>
      </c>
      <c r="X30" s="69">
        <f t="shared" si="7"/>
        <v>3000</v>
      </c>
      <c r="Y30" s="77"/>
    </row>
    <row r="31" spans="1:25" s="4" customFormat="1" ht="10.5">
      <c r="A31" s="33">
        <v>17</v>
      </c>
      <c r="B31" s="34" t="s">
        <v>504</v>
      </c>
      <c r="C31" s="35" t="s">
        <v>76</v>
      </c>
      <c r="D31" s="36">
        <v>3500</v>
      </c>
      <c r="E31" s="36">
        <v>2600</v>
      </c>
      <c r="F31" s="36">
        <f t="shared" ref="F31:L31" si="19">F18+F19+F26</f>
        <v>360</v>
      </c>
      <c r="G31" s="36">
        <v>60</v>
      </c>
      <c r="H31" s="37">
        <v>0.7</v>
      </c>
      <c r="I31" s="36">
        <v>3538</v>
      </c>
      <c r="J31" s="36">
        <v>2692</v>
      </c>
      <c r="K31" s="36">
        <f t="shared" si="19"/>
        <v>394</v>
      </c>
      <c r="L31" s="36">
        <f t="shared" si="19"/>
        <v>65</v>
      </c>
      <c r="M31" s="37">
        <v>0.69772225689286604</v>
      </c>
      <c r="N31" s="37">
        <f t="shared" si="3"/>
        <v>1.0108571428571429</v>
      </c>
      <c r="O31" s="37">
        <f t="shared" si="1"/>
        <v>1.0353846153846153</v>
      </c>
      <c r="P31" s="37">
        <f t="shared" si="1"/>
        <v>1.0944444444444446</v>
      </c>
      <c r="Q31" s="37">
        <f t="shared" si="1"/>
        <v>1.0833333333333333</v>
      </c>
      <c r="R31" s="37">
        <f t="shared" si="1"/>
        <v>0.996746081275523</v>
      </c>
      <c r="S31" s="36">
        <f t="shared" si="4"/>
        <v>2000</v>
      </c>
      <c r="T31" s="36">
        <f>IF(O31&gt;=100%,1500,IF(O31&gt;=80%,1000,0))</f>
        <v>1500</v>
      </c>
      <c r="U31" s="36">
        <f t="shared" si="18"/>
        <v>1000</v>
      </c>
      <c r="V31" s="36">
        <f t="shared" si="6"/>
        <v>500</v>
      </c>
      <c r="W31" s="36">
        <f>IF(R31&gt;=80%,1000,0)</f>
        <v>1000</v>
      </c>
      <c r="X31" s="36">
        <f t="shared" si="7"/>
        <v>6000</v>
      </c>
      <c r="Y31" s="78"/>
    </row>
    <row r="32" spans="1:25" s="2" customFormat="1" ht="14.25" customHeight="1">
      <c r="A32" s="18">
        <v>18</v>
      </c>
      <c r="B32" s="19" t="s">
        <v>509</v>
      </c>
      <c r="C32" s="20" t="s">
        <v>788</v>
      </c>
      <c r="D32" s="30">
        <f>SUM(D33:D34)</f>
        <v>5000</v>
      </c>
      <c r="E32" s="30">
        <f t="shared" ref="E32:M32" si="20">SUM(E33:E34)</f>
        <v>0</v>
      </c>
      <c r="F32" s="30">
        <f t="shared" si="20"/>
        <v>0</v>
      </c>
      <c r="G32" s="30">
        <f t="shared" si="20"/>
        <v>8</v>
      </c>
      <c r="H32" s="30">
        <f t="shared" si="20"/>
        <v>0</v>
      </c>
      <c r="I32" s="30">
        <f t="shared" si="20"/>
        <v>6220</v>
      </c>
      <c r="J32" s="30">
        <f t="shared" si="20"/>
        <v>0</v>
      </c>
      <c r="K32" s="30">
        <f t="shared" si="20"/>
        <v>0</v>
      </c>
      <c r="L32" s="30">
        <f t="shared" si="20"/>
        <v>11</v>
      </c>
      <c r="M32" s="30">
        <f t="shared" si="20"/>
        <v>0</v>
      </c>
      <c r="N32" s="23">
        <f t="shared" si="3"/>
        <v>1.244</v>
      </c>
      <c r="O32" s="52">
        <f>SUM(O33:O34)</f>
        <v>0</v>
      </c>
      <c r="P32" s="52">
        <f>SUM(P33:P34)</f>
        <v>0</v>
      </c>
      <c r="Q32" s="71">
        <f t="shared" si="1"/>
        <v>1.375</v>
      </c>
      <c r="R32" s="52"/>
      <c r="S32" s="70">
        <f t="shared" ref="S32:S34" si="21">IF(N32&gt;=120%,9000,IF(N32&gt;=100%,7000,IF(N32&gt;=80%,2000,"")))</f>
        <v>9000</v>
      </c>
      <c r="T32" s="30"/>
      <c r="U32" s="30"/>
      <c r="V32" s="70">
        <f>IF(Q32&gt;=100%,1000,0)</f>
        <v>1000</v>
      </c>
      <c r="W32" s="30"/>
      <c r="X32" s="70">
        <f t="shared" si="7"/>
        <v>10000</v>
      </c>
      <c r="Y32" s="76"/>
    </row>
    <row r="33" spans="1:25" s="5" customFormat="1" ht="12" customHeight="1">
      <c r="A33" s="38">
        <v>19</v>
      </c>
      <c r="B33" s="39" t="s">
        <v>512</v>
      </c>
      <c r="C33" s="40" t="s">
        <v>513</v>
      </c>
      <c r="D33" s="41">
        <v>2900</v>
      </c>
      <c r="E33" s="41"/>
      <c r="F33" s="41"/>
      <c r="G33" s="42">
        <v>6</v>
      </c>
      <c r="H33" s="41"/>
      <c r="I33" s="65">
        <v>3732</v>
      </c>
      <c r="J33" s="66"/>
      <c r="K33" s="65"/>
      <c r="L33" s="65">
        <v>2</v>
      </c>
      <c r="M33" s="65"/>
      <c r="N33" s="50"/>
      <c r="O33" s="67"/>
      <c r="P33" s="67"/>
      <c r="Q33" s="67">
        <f>L33/G33</f>
        <v>0.33333333333333331</v>
      </c>
      <c r="R33" s="67"/>
      <c r="S33" s="48" t="str">
        <f t="shared" si="21"/>
        <v/>
      </c>
      <c r="T33" s="65"/>
      <c r="U33" s="65"/>
      <c r="V33" s="65"/>
      <c r="W33" s="65"/>
      <c r="X33" s="72"/>
      <c r="Y33" s="79">
        <v>1500</v>
      </c>
    </row>
    <row r="34" spans="1:25" s="5" customFormat="1" ht="12" customHeight="1">
      <c r="A34" s="38">
        <v>20</v>
      </c>
      <c r="B34" s="39" t="s">
        <v>515</v>
      </c>
      <c r="C34" s="40" t="s">
        <v>516</v>
      </c>
      <c r="D34" s="41">
        <v>2100</v>
      </c>
      <c r="E34" s="41"/>
      <c r="F34" s="41"/>
      <c r="G34" s="42">
        <v>2</v>
      </c>
      <c r="H34" s="41"/>
      <c r="I34" s="65">
        <v>2488</v>
      </c>
      <c r="J34" s="66"/>
      <c r="K34" s="65"/>
      <c r="L34" s="65">
        <v>9</v>
      </c>
      <c r="M34" s="65"/>
      <c r="N34" s="50"/>
      <c r="O34" s="67"/>
      <c r="P34" s="67"/>
      <c r="Q34" s="67">
        <f>L34/G34</f>
        <v>4.5</v>
      </c>
      <c r="R34" s="67"/>
      <c r="S34" s="48" t="str">
        <f t="shared" si="21"/>
        <v/>
      </c>
      <c r="T34" s="65"/>
      <c r="U34" s="65"/>
      <c r="V34" s="65"/>
      <c r="W34" s="65"/>
      <c r="X34" s="72"/>
      <c r="Y34" s="79">
        <v>1500</v>
      </c>
    </row>
    <row r="35" spans="1:25" s="3" customFormat="1">
      <c r="A35" s="43"/>
      <c r="B35" s="44"/>
      <c r="C35" s="45"/>
      <c r="D35" s="46"/>
      <c r="E35" s="46"/>
      <c r="F35" s="46"/>
      <c r="G35" s="47"/>
      <c r="H35" s="46"/>
      <c r="I35" s="46"/>
      <c r="J35" s="47"/>
      <c r="K35" s="46"/>
      <c r="L35" s="46"/>
      <c r="M35" s="46"/>
      <c r="N35" s="68"/>
      <c r="O35" s="68"/>
      <c r="P35" s="68"/>
      <c r="Q35" s="68"/>
      <c r="R35" s="68"/>
      <c r="S35" s="46"/>
      <c r="T35" s="46"/>
      <c r="U35" s="46"/>
      <c r="V35" s="46"/>
      <c r="W35" s="46"/>
      <c r="X35" s="46"/>
      <c r="Y35" s="80"/>
    </row>
    <row r="36" spans="1:25">
      <c r="A36" s="6">
        <v>1</v>
      </c>
      <c r="B36" s="6">
        <v>2</v>
      </c>
      <c r="C36" s="6">
        <v>3</v>
      </c>
      <c r="D36" s="6">
        <v>4</v>
      </c>
      <c r="E36" s="6">
        <v>5</v>
      </c>
      <c r="F36" s="6">
        <v>6</v>
      </c>
      <c r="G36" s="6">
        <v>7</v>
      </c>
      <c r="H36" s="6">
        <v>8</v>
      </c>
      <c r="I36" s="6">
        <v>9</v>
      </c>
      <c r="J36" s="6">
        <v>10</v>
      </c>
      <c r="K36" s="6">
        <v>11</v>
      </c>
      <c r="L36" s="6">
        <v>12</v>
      </c>
      <c r="M36" s="6">
        <v>13</v>
      </c>
      <c r="N36" s="6">
        <v>14</v>
      </c>
      <c r="O36" s="6">
        <v>15</v>
      </c>
      <c r="P36" s="6">
        <v>16</v>
      </c>
      <c r="Q36" s="6">
        <v>17</v>
      </c>
      <c r="R36" s="6">
        <v>18</v>
      </c>
      <c r="S36" s="6">
        <v>19</v>
      </c>
      <c r="T36" s="6">
        <v>20</v>
      </c>
      <c r="U36" s="6">
        <v>21</v>
      </c>
      <c r="V36" s="6">
        <v>22</v>
      </c>
      <c r="W36" s="6">
        <v>23</v>
      </c>
      <c r="X36" s="6">
        <v>24</v>
      </c>
      <c r="Y36" s="7">
        <v>25</v>
      </c>
    </row>
  </sheetData>
  <mergeCells count="30">
    <mergeCell ref="A1:X1"/>
    <mergeCell ref="D12:H12"/>
    <mergeCell ref="I12:M12"/>
    <mergeCell ref="N12:R12"/>
    <mergeCell ref="S12:X12"/>
    <mergeCell ref="A13:A14"/>
    <mergeCell ref="B13:B14"/>
    <mergeCell ref="C13:C14"/>
    <mergeCell ref="D13:D14"/>
    <mergeCell ref="E13:E14"/>
    <mergeCell ref="F13:F14"/>
    <mergeCell ref="G13:G14"/>
    <mergeCell ref="H13:H14"/>
    <mergeCell ref="I13:I14"/>
    <mergeCell ref="J13:J14"/>
    <mergeCell ref="K13:K14"/>
    <mergeCell ref="L13:L14"/>
    <mergeCell ref="M13:M14"/>
    <mergeCell ref="N13:N14"/>
    <mergeCell ref="O13:O14"/>
    <mergeCell ref="P13:P14"/>
    <mergeCell ref="Q13:Q14"/>
    <mergeCell ref="R13:R14"/>
    <mergeCell ref="S13:S14"/>
    <mergeCell ref="T13:T14"/>
    <mergeCell ref="U13:U14"/>
    <mergeCell ref="V13:V14"/>
    <mergeCell ref="W13:W14"/>
    <mergeCell ref="X13:X14"/>
    <mergeCell ref="Y13:Y14"/>
  </mergeCells>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tint="-0.249977111117893"/>
  </sheetPr>
  <dimension ref="A1:BO228"/>
  <sheetViews>
    <sheetView zoomScale="115" zoomScaleNormal="115" workbookViewId="0">
      <pane xSplit="6" ySplit="8" topLeftCell="G125" activePane="bottomRight" state="frozen"/>
      <selection pane="topRight"/>
      <selection pane="bottomLeft"/>
      <selection pane="bottomRight" activeCell="E145" sqref="E145"/>
    </sheetView>
  </sheetViews>
  <sheetFormatPr defaultColWidth="9.140625" defaultRowHeight="12"/>
  <cols>
    <col min="1" max="1" width="3.28515625" style="872" customWidth="1"/>
    <col min="2" max="2" width="6.42578125" style="1250" customWidth="1"/>
    <col min="3" max="3" width="15.42578125" style="873" customWidth="1"/>
    <col min="4" max="4" width="14.28515625" style="873" customWidth="1"/>
    <col min="5" max="5" width="9.7109375" style="874" customWidth="1"/>
    <col min="6" max="6" width="4.5703125" style="873" customWidth="1"/>
    <col min="7" max="7" width="4.140625" style="874" customWidth="1"/>
    <col min="8" max="8" width="4.42578125" style="874" customWidth="1"/>
    <col min="9" max="9" width="4.5703125" style="874" customWidth="1"/>
    <col min="10" max="10" width="6.85546875" style="875" customWidth="1"/>
    <col min="11" max="11" width="6.42578125" style="875" customWidth="1"/>
    <col min="12" max="12" width="5.5703125" style="875" customWidth="1"/>
    <col min="13" max="13" width="5.85546875" style="875" customWidth="1"/>
    <col min="14" max="14" width="7.5703125" style="875" hidden="1" customWidth="1"/>
    <col min="15" max="15" width="5.7109375" style="875" customWidth="1"/>
    <col min="16" max="16" width="5.42578125" style="875" customWidth="1"/>
    <col min="17" max="17" width="4.42578125" style="875" customWidth="1"/>
    <col min="18" max="18" width="5.85546875" style="875" hidden="1" customWidth="1"/>
    <col min="19" max="19" width="7.5703125" style="875" hidden="1" customWidth="1"/>
    <col min="20" max="21" width="6" style="875" customWidth="1"/>
    <col min="22" max="22" width="7" style="875" customWidth="1"/>
    <col min="23" max="23" width="5.28515625" style="876" customWidth="1"/>
    <col min="24" max="24" width="4.140625" style="875" customWidth="1"/>
    <col min="25" max="25" width="4.140625" style="875" hidden="1" customWidth="1"/>
    <col min="26" max="26" width="4.140625" style="875" customWidth="1"/>
    <col min="27" max="28" width="4.140625" style="875" hidden="1" customWidth="1"/>
    <col min="29" max="29" width="6.28515625" style="875" customWidth="1"/>
    <col min="30" max="30" width="7.85546875" style="875" customWidth="1"/>
    <col min="31" max="31" width="6.7109375" style="875" customWidth="1"/>
    <col min="32" max="32" width="6.28515625" style="875" customWidth="1"/>
    <col min="33" max="33" width="5.85546875" style="875" customWidth="1"/>
    <col min="34" max="34" width="5.140625" style="875" hidden="1" customWidth="1"/>
    <col min="35" max="35" width="5.42578125" style="875" customWidth="1"/>
    <col min="36" max="36" width="6.140625" style="875" customWidth="1"/>
    <col min="37" max="37" width="7.42578125" style="877" customWidth="1"/>
    <col min="38" max="38" width="6.42578125" style="875" customWidth="1"/>
    <col min="39" max="39" width="7.42578125" style="875" customWidth="1"/>
    <col min="40" max="40" width="6.85546875" style="875" customWidth="1"/>
    <col min="41" max="41" width="6.5703125" style="875" hidden="1" customWidth="1"/>
    <col min="42" max="42" width="7.85546875" style="877" customWidth="1"/>
    <col min="43" max="43" width="11" style="873" hidden="1" customWidth="1"/>
    <col min="44" max="44" width="12.5703125" style="878" hidden="1" customWidth="1"/>
    <col min="45" max="45" width="12.140625" style="873" hidden="1" customWidth="1"/>
    <col min="46" max="46" width="10.85546875" style="873" hidden="1" customWidth="1"/>
    <col min="47" max="49" width="12.28515625" style="875" hidden="1" customWidth="1"/>
    <col min="50" max="50" width="16" style="873" hidden="1" customWidth="1"/>
    <col min="51" max="51" width="11.140625" style="875" hidden="1" customWidth="1"/>
    <col min="52" max="53" width="9.140625" style="873" hidden="1" customWidth="1"/>
    <col min="54" max="55" width="11.28515625" style="873" hidden="1" customWidth="1"/>
    <col min="56" max="56" width="8.5703125" style="873" hidden="1" customWidth="1"/>
    <col min="57" max="57" width="9.140625" style="873" hidden="1" customWidth="1"/>
    <col min="58" max="58" width="15.42578125" style="873" hidden="1" customWidth="1"/>
    <col min="59" max="59" width="12" style="875" hidden="1" customWidth="1"/>
    <col min="60" max="60" width="12.5703125" style="873" hidden="1" customWidth="1"/>
    <col min="61" max="62" width="9.140625" style="873" hidden="1" customWidth="1"/>
    <col min="63" max="63" width="12.140625" style="875" hidden="1" customWidth="1"/>
    <col min="64" max="64" width="10.85546875" style="875" hidden="1" customWidth="1"/>
    <col min="65" max="65" width="13.28515625" style="873" hidden="1" customWidth="1"/>
    <col min="66" max="66" width="13.28515625" style="873" customWidth="1"/>
    <col min="67" max="16384" width="9.140625" style="873"/>
  </cols>
  <sheetData>
    <row r="1" spans="1:64">
      <c r="B1" s="1250">
        <v>1</v>
      </c>
      <c r="C1" s="873">
        <v>2</v>
      </c>
      <c r="D1" s="873">
        <v>3</v>
      </c>
      <c r="E1" s="879">
        <v>4</v>
      </c>
      <c r="F1" s="873">
        <v>5</v>
      </c>
      <c r="G1" s="873">
        <v>6</v>
      </c>
      <c r="H1" s="873">
        <v>7</v>
      </c>
      <c r="I1" s="873">
        <v>8</v>
      </c>
      <c r="J1" s="873">
        <v>9</v>
      </c>
      <c r="K1" s="873">
        <v>10</v>
      </c>
      <c r="L1" s="873">
        <v>11</v>
      </c>
      <c r="M1" s="873">
        <v>12</v>
      </c>
      <c r="N1" s="873">
        <v>13</v>
      </c>
      <c r="O1" s="873">
        <v>14</v>
      </c>
      <c r="P1" s="873">
        <v>15</v>
      </c>
      <c r="Q1" s="873">
        <v>16</v>
      </c>
      <c r="R1" s="873">
        <v>17</v>
      </c>
      <c r="S1" s="873">
        <v>18</v>
      </c>
      <c r="T1" s="873">
        <v>19</v>
      </c>
      <c r="U1" s="873">
        <v>20</v>
      </c>
      <c r="V1" s="873">
        <v>21</v>
      </c>
      <c r="W1" s="873">
        <v>22</v>
      </c>
      <c r="X1" s="873">
        <v>23</v>
      </c>
      <c r="Y1" s="873">
        <v>24</v>
      </c>
      <c r="Z1" s="873">
        <v>25</v>
      </c>
      <c r="AA1" s="873">
        <v>26</v>
      </c>
      <c r="AB1" s="873">
        <v>27</v>
      </c>
      <c r="AC1" s="873">
        <v>28</v>
      </c>
      <c r="AD1" s="873">
        <v>29</v>
      </c>
      <c r="AE1" s="873">
        <v>30</v>
      </c>
      <c r="AF1" s="873">
        <v>31</v>
      </c>
      <c r="AG1" s="873">
        <v>32</v>
      </c>
      <c r="AH1" s="873">
        <v>33</v>
      </c>
      <c r="AI1" s="873">
        <v>34</v>
      </c>
      <c r="AJ1" s="873">
        <v>35</v>
      </c>
      <c r="AK1" s="877">
        <v>36</v>
      </c>
      <c r="AL1" s="873">
        <v>37</v>
      </c>
      <c r="AM1" s="873">
        <v>38</v>
      </c>
      <c r="AN1" s="875">
        <v>39</v>
      </c>
      <c r="AO1" s="873">
        <v>40</v>
      </c>
      <c r="AP1" s="865">
        <v>41</v>
      </c>
      <c r="AQ1" s="873">
        <v>34</v>
      </c>
    </row>
    <row r="2" spans="1:64" ht="18" customHeight="1">
      <c r="A2" s="1584" t="s">
        <v>214</v>
      </c>
      <c r="B2" s="1584"/>
      <c r="C2" s="1584"/>
      <c r="D2" s="880"/>
      <c r="E2" s="881"/>
      <c r="F2" s="880"/>
      <c r="G2" s="881"/>
      <c r="H2" s="881"/>
      <c r="I2" s="881"/>
      <c r="J2" s="917"/>
      <c r="K2" s="917"/>
      <c r="L2" s="917"/>
      <c r="M2" s="917"/>
      <c r="N2" s="917"/>
      <c r="O2" s="917"/>
      <c r="P2" s="917"/>
      <c r="Q2" s="917"/>
      <c r="R2" s="917"/>
      <c r="S2" s="917"/>
      <c r="T2" s="917"/>
      <c r="U2" s="917"/>
      <c r="V2" s="917"/>
      <c r="W2" s="923"/>
      <c r="X2" s="917"/>
      <c r="Y2" s="917"/>
      <c r="Z2" s="917"/>
      <c r="AA2" s="917"/>
      <c r="AB2" s="917"/>
      <c r="AC2" s="917"/>
      <c r="AD2" s="917"/>
      <c r="AE2" s="917"/>
      <c r="AF2" s="917"/>
      <c r="AG2" s="917"/>
      <c r="AH2" s="917"/>
      <c r="AI2" s="917"/>
      <c r="AJ2" s="917"/>
      <c r="AK2" s="934"/>
      <c r="AL2" s="917"/>
      <c r="AM2" s="917"/>
      <c r="AN2" s="917"/>
      <c r="AO2" s="917"/>
      <c r="AP2" s="934"/>
      <c r="AT2" s="873">
        <v>0</v>
      </c>
    </row>
    <row r="3" spans="1:64">
      <c r="A3" s="882"/>
      <c r="B3" s="1251"/>
      <c r="C3" s="883"/>
      <c r="D3" s="883"/>
      <c r="E3" s="884"/>
      <c r="F3" s="883"/>
      <c r="G3" s="884"/>
      <c r="H3" s="884"/>
      <c r="I3" s="881"/>
      <c r="J3" s="884">
        <v>43702</v>
      </c>
      <c r="K3" s="883"/>
      <c r="L3" s="883"/>
      <c r="M3" s="883"/>
      <c r="N3" s="883"/>
      <c r="O3" s="883"/>
      <c r="P3" s="883"/>
      <c r="Q3" s="883"/>
      <c r="R3" s="883"/>
      <c r="S3" s="883"/>
      <c r="T3" s="883"/>
      <c r="U3" s="883"/>
      <c r="V3" s="883"/>
      <c r="W3" s="883"/>
      <c r="X3" s="1401" t="s">
        <v>1309</v>
      </c>
      <c r="Y3" s="924"/>
      <c r="Z3" s="924"/>
      <c r="AA3" s="1585"/>
      <c r="AB3" s="1585"/>
      <c r="AC3" s="933"/>
      <c r="AD3" s="933"/>
      <c r="AE3" s="933"/>
      <c r="AF3" s="933"/>
      <c r="AG3" s="933"/>
      <c r="AH3" s="933"/>
      <c r="AI3" s="933"/>
      <c r="AJ3" s="933"/>
      <c r="AK3" s="935" t="s">
        <v>215</v>
      </c>
      <c r="AL3" s="936">
        <v>1.4999999999999999E-2</v>
      </c>
      <c r="AM3" s="883"/>
      <c r="AN3" s="935">
        <v>0.105</v>
      </c>
      <c r="AO3" s="936"/>
      <c r="AP3" s="934"/>
      <c r="AQ3" s="947"/>
      <c r="AR3" s="947"/>
      <c r="AS3" s="947"/>
      <c r="AT3" s="947"/>
    </row>
    <row r="4" spans="1:64" ht="3" customHeight="1">
      <c r="A4" s="882"/>
      <c r="B4" s="1251"/>
      <c r="C4" s="885"/>
      <c r="D4" s="880"/>
      <c r="E4" s="881"/>
      <c r="F4" s="880"/>
      <c r="G4" s="881"/>
      <c r="H4" s="881"/>
      <c r="I4" s="881"/>
      <c r="J4" s="917"/>
      <c r="K4" s="917"/>
      <c r="L4" s="917"/>
      <c r="M4" s="917"/>
      <c r="N4" s="917"/>
      <c r="O4" s="917"/>
      <c r="P4" s="917"/>
      <c r="Q4" s="917"/>
      <c r="R4" s="917"/>
      <c r="S4" s="917"/>
      <c r="T4" s="917"/>
      <c r="U4" s="917"/>
      <c r="V4" s="917"/>
      <c r="W4" s="923"/>
      <c r="X4" s="917"/>
      <c r="Y4" s="917"/>
      <c r="Z4" s="917"/>
      <c r="AA4" s="917"/>
      <c r="AB4" s="917"/>
      <c r="AC4" s="917"/>
      <c r="AD4" s="917"/>
      <c r="AE4" s="917"/>
      <c r="AF4" s="917"/>
      <c r="AG4" s="917"/>
      <c r="AH4" s="917"/>
      <c r="AI4" s="917"/>
      <c r="AJ4" s="917"/>
      <c r="AK4" s="934"/>
      <c r="AL4" s="917"/>
      <c r="AM4" s="917"/>
      <c r="AN4" s="917"/>
      <c r="AO4" s="917"/>
      <c r="AP4" s="934"/>
    </row>
    <row r="5" spans="1:64" s="855" customFormat="1" ht="15.75" customHeight="1">
      <c r="A5" s="1570" t="s">
        <v>216</v>
      </c>
      <c r="B5" s="1573" t="s">
        <v>217</v>
      </c>
      <c r="C5" s="1574" t="s">
        <v>218</v>
      </c>
      <c r="D5" s="1574" t="s">
        <v>219</v>
      </c>
      <c r="E5" s="1575" t="s">
        <v>220</v>
      </c>
      <c r="F5" s="1563" t="s">
        <v>221</v>
      </c>
      <c r="G5" s="1586" t="s">
        <v>222</v>
      </c>
      <c r="H5" s="1587"/>
      <c r="I5" s="1588"/>
      <c r="J5" s="1576" t="s">
        <v>223</v>
      </c>
      <c r="K5" s="1589" t="s">
        <v>224</v>
      </c>
      <c r="L5" s="1590"/>
      <c r="M5" s="1590"/>
      <c r="N5" s="1591"/>
      <c r="O5" s="1592" t="s">
        <v>225</v>
      </c>
      <c r="P5" s="1593"/>
      <c r="Q5" s="1593"/>
      <c r="R5" s="1593"/>
      <c r="S5" s="1593"/>
      <c r="T5" s="1593"/>
      <c r="U5" s="1594"/>
      <c r="V5" s="1556" t="s">
        <v>226</v>
      </c>
      <c r="W5" s="1556" t="s">
        <v>227</v>
      </c>
      <c r="X5" s="1556" t="s">
        <v>228</v>
      </c>
      <c r="Y5" s="1556" t="s">
        <v>229</v>
      </c>
      <c r="Z5" s="1556" t="s">
        <v>230</v>
      </c>
      <c r="AA5" s="1556" t="s">
        <v>231</v>
      </c>
      <c r="AB5" s="1556" t="s">
        <v>232</v>
      </c>
      <c r="AC5" s="1556" t="s">
        <v>233</v>
      </c>
      <c r="AD5" s="1556" t="s">
        <v>234</v>
      </c>
      <c r="AE5" s="1556" t="s">
        <v>235</v>
      </c>
      <c r="AF5" s="1556" t="s">
        <v>236</v>
      </c>
      <c r="AG5" s="1556" t="s">
        <v>237</v>
      </c>
      <c r="AH5" s="1556" t="s">
        <v>238</v>
      </c>
      <c r="AI5" s="1556" t="s">
        <v>239</v>
      </c>
      <c r="AJ5" s="1556" t="s">
        <v>240</v>
      </c>
      <c r="AK5" s="1559" t="s">
        <v>241</v>
      </c>
      <c r="AL5" s="1559" t="s">
        <v>242</v>
      </c>
      <c r="AM5" s="1560" t="s">
        <v>243</v>
      </c>
      <c r="AN5" s="1559" t="s">
        <v>244</v>
      </c>
      <c r="AO5" s="1563" t="s">
        <v>245</v>
      </c>
      <c r="AP5" s="1559" t="s">
        <v>246</v>
      </c>
      <c r="AQ5" s="855" t="s">
        <v>246</v>
      </c>
      <c r="AU5" s="948"/>
      <c r="AV5" s="948"/>
      <c r="AW5" s="948"/>
      <c r="AY5" s="948"/>
      <c r="BG5" s="948"/>
      <c r="BK5" s="948"/>
      <c r="BL5" s="948"/>
    </row>
    <row r="6" spans="1:64" s="855" customFormat="1" ht="15.75" customHeight="1">
      <c r="A6" s="1571"/>
      <c r="B6" s="1573"/>
      <c r="C6" s="1574"/>
      <c r="D6" s="1574"/>
      <c r="E6" s="1575"/>
      <c r="F6" s="1564"/>
      <c r="G6" s="887" t="s">
        <v>247</v>
      </c>
      <c r="H6" s="887" t="s">
        <v>248</v>
      </c>
      <c r="I6" s="887" t="s">
        <v>249</v>
      </c>
      <c r="J6" s="1577"/>
      <c r="K6" s="1579" t="s">
        <v>250</v>
      </c>
      <c r="L6" s="1579" t="s">
        <v>251</v>
      </c>
      <c r="M6" s="1579" t="s">
        <v>252</v>
      </c>
      <c r="N6" s="1579" t="s">
        <v>253</v>
      </c>
      <c r="O6" s="1581" t="s">
        <v>254</v>
      </c>
      <c r="P6" s="1581" t="s">
        <v>255</v>
      </c>
      <c r="Q6" s="1581" t="s">
        <v>256</v>
      </c>
      <c r="R6" s="1581" t="s">
        <v>257</v>
      </c>
      <c r="S6" s="1581" t="s">
        <v>258</v>
      </c>
      <c r="T6" s="1581" t="s">
        <v>259</v>
      </c>
      <c r="U6" s="1581" t="s">
        <v>260</v>
      </c>
      <c r="V6" s="1557"/>
      <c r="W6" s="1557"/>
      <c r="X6" s="1557"/>
      <c r="Y6" s="1557"/>
      <c r="Z6" s="1557"/>
      <c r="AA6" s="1557"/>
      <c r="AB6" s="1557"/>
      <c r="AC6" s="1557"/>
      <c r="AD6" s="1557"/>
      <c r="AE6" s="1557"/>
      <c r="AF6" s="1557"/>
      <c r="AG6" s="1557"/>
      <c r="AH6" s="1557"/>
      <c r="AI6" s="1557"/>
      <c r="AJ6" s="1557"/>
      <c r="AK6" s="1559"/>
      <c r="AL6" s="1559"/>
      <c r="AM6" s="1561"/>
      <c r="AN6" s="1559"/>
      <c r="AO6" s="1564"/>
      <c r="AP6" s="1559"/>
      <c r="AU6" s="948"/>
      <c r="AV6" s="948"/>
      <c r="AW6" s="948"/>
      <c r="AY6" s="948"/>
      <c r="BG6" s="948"/>
      <c r="BK6" s="948"/>
      <c r="BL6" s="948"/>
    </row>
    <row r="7" spans="1:64" s="855" customFormat="1" ht="21.4" customHeight="1">
      <c r="A7" s="1572"/>
      <c r="B7" s="1573"/>
      <c r="C7" s="1574"/>
      <c r="D7" s="1574"/>
      <c r="E7" s="1575"/>
      <c r="F7" s="1565"/>
      <c r="G7" s="886"/>
      <c r="H7" s="886"/>
      <c r="I7" s="886"/>
      <c r="J7" s="1578"/>
      <c r="K7" s="1580"/>
      <c r="L7" s="1580"/>
      <c r="M7" s="1580"/>
      <c r="N7" s="1580"/>
      <c r="O7" s="1582" t="s">
        <v>254</v>
      </c>
      <c r="P7" s="1582" t="s">
        <v>255</v>
      </c>
      <c r="Q7" s="1582" t="s">
        <v>261</v>
      </c>
      <c r="R7" s="1582" t="s">
        <v>257</v>
      </c>
      <c r="S7" s="1582" t="s">
        <v>258</v>
      </c>
      <c r="T7" s="1582" t="s">
        <v>259</v>
      </c>
      <c r="U7" s="1582" t="s">
        <v>260</v>
      </c>
      <c r="V7" s="1558"/>
      <c r="W7" s="1558"/>
      <c r="X7" s="1558"/>
      <c r="Y7" s="1558"/>
      <c r="Z7" s="1558"/>
      <c r="AA7" s="1558"/>
      <c r="AB7" s="1558"/>
      <c r="AC7" s="1558"/>
      <c r="AD7" s="1558"/>
      <c r="AE7" s="1558"/>
      <c r="AF7" s="1558"/>
      <c r="AG7" s="1558"/>
      <c r="AH7" s="1558"/>
      <c r="AI7" s="1558"/>
      <c r="AJ7" s="1558"/>
      <c r="AK7" s="1559"/>
      <c r="AL7" s="1559"/>
      <c r="AM7" s="1562"/>
      <c r="AN7" s="1559"/>
      <c r="AO7" s="1565"/>
      <c r="AP7" s="1559"/>
      <c r="AU7" s="948"/>
      <c r="AV7" s="948"/>
      <c r="AW7" s="948"/>
      <c r="AY7" s="948"/>
      <c r="BG7" s="948"/>
      <c r="BK7" s="948"/>
      <c r="BL7" s="948"/>
    </row>
    <row r="8" spans="1:64" s="855" customFormat="1" ht="15" customHeight="1">
      <c r="A8" s="888"/>
      <c r="B8" s="1252" t="s">
        <v>262</v>
      </c>
      <c r="C8" s="136"/>
      <c r="D8" s="136"/>
      <c r="E8" s="889"/>
      <c r="F8" s="136"/>
      <c r="G8" s="136"/>
      <c r="H8" s="136"/>
      <c r="I8" s="136"/>
      <c r="J8" s="136"/>
      <c r="K8" s="136"/>
      <c r="L8" s="136"/>
      <c r="M8" s="136"/>
      <c r="N8" s="136"/>
      <c r="O8" s="136"/>
      <c r="P8" s="136"/>
      <c r="Q8" s="136"/>
      <c r="R8" s="136"/>
      <c r="S8" s="136"/>
      <c r="T8" s="136"/>
      <c r="U8" s="136"/>
      <c r="V8" s="136"/>
      <c r="W8" s="136"/>
      <c r="X8" s="136"/>
      <c r="Y8" s="136"/>
      <c r="Z8" s="136"/>
      <c r="AA8" s="136"/>
      <c r="AB8" s="136"/>
      <c r="AC8" s="136"/>
      <c r="AD8" s="136"/>
      <c r="AE8" s="136"/>
      <c r="AF8" s="136"/>
      <c r="AG8" s="136"/>
      <c r="AH8" s="136"/>
      <c r="AI8" s="136"/>
      <c r="AJ8" s="136"/>
      <c r="AK8" s="136"/>
      <c r="AL8" s="136"/>
      <c r="AM8" s="136"/>
      <c r="AN8" s="136"/>
      <c r="AO8" s="136"/>
      <c r="AP8" s="136">
        <f>SUM(AP9:AP211)/2</f>
        <v>2090600</v>
      </c>
      <c r="AU8" s="948"/>
      <c r="AV8" s="948"/>
      <c r="AW8" s="948"/>
      <c r="AY8" s="948"/>
      <c r="BG8" s="948"/>
      <c r="BK8" s="948"/>
      <c r="BL8" s="948"/>
    </row>
    <row r="9" spans="1:64" s="856" customFormat="1">
      <c r="A9" s="890"/>
      <c r="B9" s="1253"/>
      <c r="C9" s="891" t="s">
        <v>263</v>
      </c>
      <c r="D9" s="892"/>
      <c r="E9" s="893"/>
      <c r="F9" s="894"/>
      <c r="G9" s="894"/>
      <c r="H9" s="894"/>
      <c r="I9" s="918"/>
      <c r="J9" s="918"/>
      <c r="K9" s="918"/>
      <c r="L9" s="918"/>
      <c r="M9" s="918"/>
      <c r="N9" s="918"/>
      <c r="O9" s="918"/>
      <c r="P9" s="918"/>
      <c r="Q9" s="918"/>
      <c r="R9" s="918"/>
      <c r="S9" s="918"/>
      <c r="T9" s="918"/>
      <c r="U9" s="918"/>
      <c r="V9" s="925"/>
      <c r="W9" s="926"/>
      <c r="X9" s="918"/>
      <c r="Y9" s="918"/>
      <c r="Z9" s="918"/>
      <c r="AA9" s="918"/>
      <c r="AB9" s="918"/>
      <c r="AC9" s="918"/>
      <c r="AD9" s="918"/>
      <c r="AE9" s="918"/>
      <c r="AF9" s="918"/>
      <c r="AG9" s="918"/>
      <c r="AH9" s="918"/>
      <c r="AI9" s="918"/>
      <c r="AJ9" s="918"/>
      <c r="AK9" s="937">
        <f>SUM(AK10:AK11)</f>
        <v>277280</v>
      </c>
      <c r="AL9" s="937">
        <f t="shared" ref="AL9:AP9" si="0">SUM(AL10:AL11)</f>
        <v>1249.5</v>
      </c>
      <c r="AM9" s="937">
        <f t="shared" si="0"/>
        <v>11900</v>
      </c>
      <c r="AN9" s="937">
        <f t="shared" si="0"/>
        <v>0</v>
      </c>
      <c r="AO9" s="937">
        <f t="shared" si="0"/>
        <v>0</v>
      </c>
      <c r="AP9" s="937">
        <f t="shared" si="0"/>
        <v>276030</v>
      </c>
      <c r="AQ9" s="937">
        <f t="shared" ref="AQ9:AZ9" si="1">SUM(AQ10:AQ11)</f>
        <v>0</v>
      </c>
      <c r="AR9" s="937">
        <f t="shared" si="1"/>
        <v>277280000</v>
      </c>
      <c r="AS9" s="937">
        <f t="shared" si="1"/>
        <v>11900000</v>
      </c>
      <c r="AT9" s="937">
        <f t="shared" si="1"/>
        <v>0</v>
      </c>
      <c r="AU9" s="937">
        <f t="shared" si="1"/>
        <v>0</v>
      </c>
      <c r="AV9" s="937">
        <f t="shared" si="1"/>
        <v>0</v>
      </c>
      <c r="AW9" s="937">
        <f t="shared" si="1"/>
        <v>0</v>
      </c>
      <c r="AX9" s="937">
        <f t="shared" si="1"/>
        <v>0</v>
      </c>
      <c r="AY9" s="937">
        <f t="shared" si="1"/>
        <v>0</v>
      </c>
      <c r="AZ9" s="937">
        <f t="shared" si="1"/>
        <v>0</v>
      </c>
      <c r="BG9" s="949"/>
      <c r="BK9" s="949"/>
      <c r="BL9" s="949"/>
    </row>
    <row r="10" spans="1:64" s="857" customFormat="1" ht="13.5" hidden="1" customHeight="1">
      <c r="A10" s="895">
        <v>1</v>
      </c>
      <c r="B10" s="98" t="s">
        <v>264</v>
      </c>
      <c r="C10" s="573" t="s">
        <v>265</v>
      </c>
      <c r="D10" s="574" t="s">
        <v>7</v>
      </c>
      <c r="E10" s="896">
        <v>37987</v>
      </c>
      <c r="F10" s="897">
        <v>2</v>
      </c>
      <c r="G10" s="106">
        <f>DATEDIF(E10,$J$3,"y")</f>
        <v>15</v>
      </c>
      <c r="H10" s="106">
        <f>DATEDIF(E10,$J$3,"ym")</f>
        <v>7</v>
      </c>
      <c r="I10" s="17">
        <f>DATEDIF(E10,$J$3,"md")</f>
        <v>24</v>
      </c>
      <c r="J10" s="17">
        <f>VLOOKUP(D10,'THANG B.LUONG'!$B$5:$I$511,F10+1,0)</f>
        <v>104000</v>
      </c>
      <c r="K10" s="17">
        <v>0</v>
      </c>
      <c r="L10" s="17">
        <v>8000</v>
      </c>
      <c r="M10" s="17">
        <f>IF(G10&gt;=3,J10*(0.03+(G10-3)*0.01),0)</f>
        <v>15600</v>
      </c>
      <c r="N10" s="17">
        <v>0</v>
      </c>
      <c r="O10" s="17">
        <v>1000</v>
      </c>
      <c r="P10" s="17">
        <v>2000</v>
      </c>
      <c r="Q10" s="17">
        <v>0</v>
      </c>
      <c r="R10" s="17">
        <v>0</v>
      </c>
      <c r="S10" s="17">
        <v>0</v>
      </c>
      <c r="T10" s="17">
        <v>4000</v>
      </c>
      <c r="U10" s="17">
        <v>0</v>
      </c>
      <c r="V10" s="927">
        <f t="shared" ref="V10:V17" si="2">SUM(J10:U10)-P10</f>
        <v>132600</v>
      </c>
      <c r="W10" s="928">
        <f>VLOOKUP(B10,'Cham cong'!$B$9:$BY$275,35,0)</f>
        <v>26</v>
      </c>
      <c r="X10" s="17">
        <f>VLOOKUP(B10,'Cham cong'!$B$9:$BY$275,37,0)</f>
        <v>0</v>
      </c>
      <c r="Y10" s="17">
        <f>VLOOKUP(B10,'Cham cong'!$B$9:$BY$275,38,0)</f>
        <v>1</v>
      </c>
      <c r="Z10" s="17">
        <f>VLOOKUP(B10,'Cham cong'!$B$9:$BY$275,72,0)</f>
        <v>0</v>
      </c>
      <c r="AA10" s="17">
        <f>VLOOKUP(B10,'Cham cong'!$B$9:$BY$275,71,0)</f>
        <v>0</v>
      </c>
      <c r="AB10" s="17">
        <f>VLOOKUP(B10,'Cham cong'!$B$9:$BY$275,36,0)</f>
        <v>0</v>
      </c>
      <c r="AC10" s="17"/>
      <c r="AD10" s="17"/>
      <c r="AE10" s="17"/>
      <c r="AF10" s="17"/>
      <c r="AG10" s="17"/>
      <c r="AH10" s="17"/>
      <c r="AI10" s="17"/>
      <c r="AJ10" s="17"/>
      <c r="AK10" s="927">
        <f>V10/'Cham cong'!$AS$3*(W10+Z10/8*2+AA10/8*1.5+AB10*3)+J10/'Cham cong'!$AS$3*(X10+Y10)+AC10+P10+AE10+AG10+AH10+AI10+AJ10</f>
        <v>138600</v>
      </c>
      <c r="AL10" s="17">
        <f>AM10*$AN$3</f>
        <v>0</v>
      </c>
      <c r="AM10" s="17">
        <v>0</v>
      </c>
      <c r="AN10" s="938">
        <f>VLOOKUP(B10,'Cham cong'!$B$9:$BY$275,75,0)</f>
        <v>0</v>
      </c>
      <c r="AO10" s="938"/>
      <c r="AP10" s="950">
        <f>ROUND(AK10-AL10-AN10+AO10,-1)</f>
        <v>138600</v>
      </c>
      <c r="AR10" s="951">
        <f t="shared" ref="AR10:AR21" si="3">AK10*1000</f>
        <v>138600000</v>
      </c>
      <c r="AS10" s="856">
        <f t="shared" ref="AS10:AS44" si="4">AM10*1000</f>
        <v>0</v>
      </c>
      <c r="AT10" s="856">
        <f t="shared" ref="AT10:AT44" si="5">AN10*1000</f>
        <v>0</v>
      </c>
      <c r="AU10" s="952"/>
      <c r="AV10" s="952"/>
      <c r="AW10" s="952"/>
      <c r="AY10" s="952"/>
      <c r="BG10" s="952"/>
      <c r="BK10" s="952"/>
      <c r="BL10" s="952"/>
    </row>
    <row r="11" spans="1:64" s="856" customFormat="1">
      <c r="A11" s="895">
        <v>2</v>
      </c>
      <c r="B11" s="1254" t="s">
        <v>266</v>
      </c>
      <c r="C11" s="92" t="s">
        <v>267</v>
      </c>
      <c r="D11" s="93" t="s">
        <v>8</v>
      </c>
      <c r="E11" s="896">
        <v>37347</v>
      </c>
      <c r="F11" s="897">
        <v>2</v>
      </c>
      <c r="G11" s="106">
        <f>DATEDIF(E11,$J$3,"y")</f>
        <v>17</v>
      </c>
      <c r="H11" s="106">
        <f>DATEDIF(E11,$J$3,"ym")</f>
        <v>4</v>
      </c>
      <c r="I11" s="17">
        <f>DATEDIF(E11,$J$3,"md")</f>
        <v>24</v>
      </c>
      <c r="J11" s="17">
        <f>VLOOKUP(D11,'THANG B.LUONG'!$B$5:$I$511,F11+1,0)</f>
        <v>104000</v>
      </c>
      <c r="K11" s="17">
        <v>0</v>
      </c>
      <c r="L11" s="17">
        <v>6000</v>
      </c>
      <c r="M11" s="17">
        <f>IF(G11&gt;=3,J11*(0.03+(G11-3)*0.01),0)</f>
        <v>17680</v>
      </c>
      <c r="N11" s="17">
        <v>0</v>
      </c>
      <c r="O11" s="17">
        <v>1000</v>
      </c>
      <c r="P11" s="17">
        <v>2000</v>
      </c>
      <c r="Q11" s="17">
        <v>0</v>
      </c>
      <c r="R11" s="17">
        <v>0</v>
      </c>
      <c r="S11" s="17">
        <v>0</v>
      </c>
      <c r="T11" s="17">
        <v>4000</v>
      </c>
      <c r="U11" s="17">
        <v>0</v>
      </c>
      <c r="V11" s="927">
        <f t="shared" si="2"/>
        <v>132680</v>
      </c>
      <c r="W11" s="928">
        <f>VLOOKUP(B11,'Cham cong'!$B$9:$BY$275,35,0)</f>
        <v>26</v>
      </c>
      <c r="X11" s="17">
        <f>VLOOKUP(B11,'Cham cong'!$B$9:$BY$275,37,0)</f>
        <v>0</v>
      </c>
      <c r="Y11" s="17">
        <f>VLOOKUP(B11,'Cham cong'!$B$9:$BY$275,38,0)</f>
        <v>1</v>
      </c>
      <c r="Z11" s="17">
        <f>VLOOKUP(B11,'Cham cong'!$B$9:$BY$275,72,0)</f>
        <v>0</v>
      </c>
      <c r="AA11" s="17">
        <f>VLOOKUP(B11,'Cham cong'!$B$9:$BY$275,71,0)</f>
        <v>0</v>
      </c>
      <c r="AB11" s="17">
        <f>VLOOKUP(B11,'Cham cong'!$B$9:$BY$275,36,0)</f>
        <v>0</v>
      </c>
      <c r="AC11" s="17"/>
      <c r="AD11" s="17"/>
      <c r="AE11" s="17"/>
      <c r="AF11" s="17"/>
      <c r="AG11" s="17"/>
      <c r="AH11" s="17"/>
      <c r="AI11" s="17"/>
      <c r="AJ11" s="17"/>
      <c r="AK11" s="927">
        <f>V11/'Cham cong'!$AS$3*(W11+Z11/8*2+AA11/8*1.5+AB11*3)+J11/'Cham cong'!$AS$3*(X11+Y11)+AC11+P11+AE11+AG11+AH11+AI11+AJ11</f>
        <v>138680</v>
      </c>
      <c r="AL11" s="17">
        <f>AM11*$AN$3</f>
        <v>1249.5</v>
      </c>
      <c r="AM11" s="920">
        <v>11900</v>
      </c>
      <c r="AN11" s="938">
        <f>VLOOKUP(B11,'Cham cong'!$B$9:$BY$275,75,0)</f>
        <v>0</v>
      </c>
      <c r="AO11" s="938"/>
      <c r="AP11" s="950">
        <f>ROUND(AK11-AL11-AN11+AO11,-1)</f>
        <v>137430</v>
      </c>
      <c r="AQ11" s="953"/>
      <c r="AR11" s="951">
        <f t="shared" si="3"/>
        <v>138680000</v>
      </c>
      <c r="AS11" s="856">
        <f t="shared" si="4"/>
        <v>11900000</v>
      </c>
      <c r="AT11" s="856">
        <f t="shared" si="5"/>
        <v>0</v>
      </c>
      <c r="AU11" s="949"/>
      <c r="AV11" s="949"/>
      <c r="AW11" s="949"/>
      <c r="AY11" s="949"/>
      <c r="BG11" s="949"/>
      <c r="BK11" s="949"/>
      <c r="BL11" s="949"/>
    </row>
    <row r="12" spans="1:64" s="856" customFormat="1">
      <c r="A12" s="898"/>
      <c r="B12" s="95"/>
      <c r="C12" s="95" t="s">
        <v>268</v>
      </c>
      <c r="D12" s="96"/>
      <c r="E12" s="899"/>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c r="AE12" s="140"/>
      <c r="AF12" s="140"/>
      <c r="AG12" s="140"/>
      <c r="AH12" s="140"/>
      <c r="AI12" s="140"/>
      <c r="AJ12" s="140"/>
      <c r="AK12" s="937">
        <f>SUM(AK13:AK24)</f>
        <v>172950.55128205128</v>
      </c>
      <c r="AL12" s="937">
        <f t="shared" ref="AL12:AP12" si="6">SUM(AL13:AL24)</f>
        <v>5426.085</v>
      </c>
      <c r="AM12" s="937">
        <f t="shared" si="6"/>
        <v>51677</v>
      </c>
      <c r="AN12" s="937">
        <f t="shared" si="6"/>
        <v>13000</v>
      </c>
      <c r="AO12" s="937">
        <f t="shared" si="6"/>
        <v>0</v>
      </c>
      <c r="AP12" s="937">
        <f t="shared" si="6"/>
        <v>154520</v>
      </c>
      <c r="AQ12" s="937">
        <f>SUM(AQ13:AQ23)</f>
        <v>172950551.28205127</v>
      </c>
      <c r="AR12" s="954">
        <f t="shared" si="3"/>
        <v>172950551.2820513</v>
      </c>
      <c r="AS12" s="937">
        <f>SUM(AS13:AS23)</f>
        <v>46877000</v>
      </c>
      <c r="AT12" s="937">
        <f>SUM(AT13:AT23)</f>
        <v>13000000</v>
      </c>
      <c r="AU12" s="949"/>
      <c r="AV12" s="949"/>
      <c r="AW12" s="949"/>
      <c r="AY12" s="949"/>
      <c r="BG12" s="949"/>
      <c r="BK12" s="949"/>
      <c r="BL12" s="949"/>
    </row>
    <row r="13" spans="1:64" s="856" customFormat="1">
      <c r="A13" s="895">
        <v>1</v>
      </c>
      <c r="B13" s="98" t="s">
        <v>269</v>
      </c>
      <c r="C13" s="900" t="s">
        <v>270</v>
      </c>
      <c r="D13" s="100" t="s">
        <v>14</v>
      </c>
      <c r="E13" s="896">
        <v>40040</v>
      </c>
      <c r="F13" s="897">
        <v>1</v>
      </c>
      <c r="G13" s="106">
        <f t="shared" ref="G13:G24" si="7">DATEDIF(E13,$J$3,"y")</f>
        <v>10</v>
      </c>
      <c r="H13" s="106">
        <f t="shared" ref="H13:H24" si="8">DATEDIF(E13,$J$3,"ym")</f>
        <v>0</v>
      </c>
      <c r="I13" s="17">
        <f t="shared" ref="I13:I24" si="9">DATEDIF(E13,$J$3,"md")</f>
        <v>10</v>
      </c>
      <c r="J13" s="17">
        <f>VLOOKUP(D13,'THANG B.LUONG'!$B$5:$I$511,F13+1,0)</f>
        <v>25120</v>
      </c>
      <c r="K13" s="17">
        <v>0</v>
      </c>
      <c r="L13" s="17">
        <v>3000</v>
      </c>
      <c r="M13" s="17">
        <f t="shared" ref="M13:M23" si="10">IF(G13&gt;=3,J13*(0.03+(G13-3)*0.01),0)</f>
        <v>2512</v>
      </c>
      <c r="N13" s="17">
        <v>0</v>
      </c>
      <c r="O13" s="17">
        <v>1000</v>
      </c>
      <c r="P13" s="17">
        <v>1000</v>
      </c>
      <c r="Q13" s="17">
        <v>0</v>
      </c>
      <c r="R13" s="17">
        <v>0</v>
      </c>
      <c r="S13" s="17">
        <v>0</v>
      </c>
      <c r="T13" s="17">
        <v>0</v>
      </c>
      <c r="U13" s="17">
        <v>0</v>
      </c>
      <c r="V13" s="927">
        <f t="shared" si="2"/>
        <v>31632</v>
      </c>
      <c r="W13" s="928">
        <f>VLOOKUP(B13,'Cham cong'!$B$9:$BY$275,35,0)</f>
        <v>26</v>
      </c>
      <c r="X13" s="17">
        <f>VLOOKUP(B13,'Cham cong'!$B$9:$BY$275,37,0)</f>
        <v>0</v>
      </c>
      <c r="Y13" s="17">
        <f>VLOOKUP(B13,'Cham cong'!$B$9:$BY$275,38,0)</f>
        <v>1</v>
      </c>
      <c r="Z13" s="17">
        <f>VLOOKUP(B13,'Cham cong'!$B$9:$BY$275,72,0)</f>
        <v>0</v>
      </c>
      <c r="AA13" s="17">
        <f>VLOOKUP(B13,'Cham cong'!$B$9:$BY$275,71,0)</f>
        <v>0</v>
      </c>
      <c r="AB13" s="17">
        <f>VLOOKUP(B13,'Cham cong'!$B$9:$BY$275,36,0)</f>
        <v>0</v>
      </c>
      <c r="AC13" s="17"/>
      <c r="AD13" s="17"/>
      <c r="AE13" s="17"/>
      <c r="AF13" s="17"/>
      <c r="AG13" s="17"/>
      <c r="AH13" s="17"/>
      <c r="AI13" s="17"/>
      <c r="AJ13" s="17"/>
      <c r="AK13" s="927">
        <f>V13/'Cham cong'!$AS$3*(W13+Z13/8*2+AA13/8*1.5+AB13*3)+J13/'Cham cong'!$AS$3*(X13+Y13)+AC13+P13+AE13+AG13+AH13+AI13+AJ13</f>
        <v>33598.153846153844</v>
      </c>
      <c r="AL13" s="17">
        <f t="shared" ref="AL13:AL24" si="11">AM13*$AN$3</f>
        <v>871.5</v>
      </c>
      <c r="AM13" s="920">
        <v>8300</v>
      </c>
      <c r="AN13" s="938">
        <f>VLOOKUP(B13,'Cham cong'!$B$9:$BY$275,75,0)</f>
        <v>0</v>
      </c>
      <c r="AO13" s="938"/>
      <c r="AP13" s="950">
        <f t="shared" ref="AP13:AP24" si="12">ROUND(AK13-AL13-AN13+AO13,-1)</f>
        <v>32730</v>
      </c>
      <c r="AR13" s="951">
        <f t="shared" si="3"/>
        <v>33598153.84615384</v>
      </c>
      <c r="AS13" s="955">
        <f t="shared" si="4"/>
        <v>8300000</v>
      </c>
      <c r="AT13" s="856">
        <f t="shared" si="5"/>
        <v>0</v>
      </c>
      <c r="AU13" s="949"/>
      <c r="AV13" s="949"/>
      <c r="AW13" s="949"/>
      <c r="AY13" s="949"/>
      <c r="BG13" s="949"/>
      <c r="BK13" s="949"/>
      <c r="BL13" s="949"/>
    </row>
    <row r="14" spans="1:64" s="856" customFormat="1" ht="13.5" customHeight="1">
      <c r="A14" s="901">
        <v>2</v>
      </c>
      <c r="B14" s="101" t="s">
        <v>271</v>
      </c>
      <c r="C14" s="102" t="s">
        <v>272</v>
      </c>
      <c r="D14" s="103" t="s">
        <v>21</v>
      </c>
      <c r="E14" s="902">
        <v>41838</v>
      </c>
      <c r="F14" s="903">
        <v>2</v>
      </c>
      <c r="G14" s="103">
        <f t="shared" si="7"/>
        <v>5</v>
      </c>
      <c r="H14" s="103">
        <f t="shared" si="8"/>
        <v>1</v>
      </c>
      <c r="I14" s="919">
        <f t="shared" si="9"/>
        <v>7</v>
      </c>
      <c r="J14" s="919">
        <f>VLOOKUP(D14,'THANG B.LUONG'!$B$5:$I$511,F14+1,0)</f>
        <v>5870</v>
      </c>
      <c r="K14" s="919">
        <v>0</v>
      </c>
      <c r="L14" s="919">
        <v>200</v>
      </c>
      <c r="M14" s="919">
        <f t="shared" si="10"/>
        <v>293.5</v>
      </c>
      <c r="N14" s="919">
        <v>0</v>
      </c>
      <c r="O14" s="919">
        <v>0</v>
      </c>
      <c r="P14" s="919">
        <v>0</v>
      </c>
      <c r="Q14" s="919">
        <v>0</v>
      </c>
      <c r="R14" s="919">
        <v>0</v>
      </c>
      <c r="S14" s="919">
        <v>0</v>
      </c>
      <c r="T14" s="919">
        <v>0</v>
      </c>
      <c r="U14" s="919">
        <v>0</v>
      </c>
      <c r="V14" s="929">
        <f t="shared" si="2"/>
        <v>6363.5</v>
      </c>
      <c r="W14" s="930">
        <f>VLOOKUP(B14,'Cham cong'!$B$9:$BY$275,35,0)</f>
        <v>30</v>
      </c>
      <c r="X14" s="919">
        <f>VLOOKUP(B14,'Cham cong'!$B$9:$BY$275,37,0)</f>
        <v>0</v>
      </c>
      <c r="Y14" s="919">
        <f>VLOOKUP(B14,'Cham cong'!$B$9:$BY$275,38,0)</f>
        <v>1</v>
      </c>
      <c r="Z14" s="919">
        <f>VLOOKUP(B14,'Cham cong'!$B$9:$BY$275,72,0)</f>
        <v>0</v>
      </c>
      <c r="AA14" s="919">
        <f>VLOOKUP(B14,'Cham cong'!$B$9:$BY$275,71,0)</f>
        <v>0</v>
      </c>
      <c r="AB14" s="919">
        <f>VLOOKUP(B14,'Cham cong'!$B$9:$BY$275,36,0)</f>
        <v>0</v>
      </c>
      <c r="AC14" s="919"/>
      <c r="AD14" s="919"/>
      <c r="AE14" s="919"/>
      <c r="AF14" s="919"/>
      <c r="AG14" s="919"/>
      <c r="AH14" s="919"/>
      <c r="AI14" s="919"/>
      <c r="AJ14" s="919"/>
      <c r="AK14" s="929">
        <f>V14/'Cham cong'!$AT$3*(W14+Z14/8*2+AA14/8*1.5+AB14*3)+J14/'Cham cong'!$AT$3*(X14+Y14)+AC14+P14+AE14+AG14+AH14+AI14+AJ14</f>
        <v>6559.166666666667</v>
      </c>
      <c r="AL14" s="919">
        <f t="shared" si="11"/>
        <v>480.58499999999998</v>
      </c>
      <c r="AM14" s="919">
        <v>4577</v>
      </c>
      <c r="AN14" s="939">
        <f>VLOOKUP(B14,'Cham cong'!$B$9:$BY$275,75,0)</f>
        <v>2000</v>
      </c>
      <c r="AO14" s="939"/>
      <c r="AP14" s="956">
        <f t="shared" si="12"/>
        <v>4080</v>
      </c>
      <c r="AQ14" s="957">
        <f>AR13+AR15+AR16+AR23</f>
        <v>61057538.461538449</v>
      </c>
      <c r="AR14" s="951">
        <f t="shared" si="3"/>
        <v>6559166.666666667</v>
      </c>
      <c r="AS14" s="955">
        <f t="shared" si="4"/>
        <v>4577000</v>
      </c>
      <c r="AT14" s="856">
        <f t="shared" si="5"/>
        <v>2000000</v>
      </c>
      <c r="AU14" s="949"/>
      <c r="AV14" s="949"/>
      <c r="AW14" s="949"/>
      <c r="AY14" s="949"/>
      <c r="BG14" s="949"/>
      <c r="BK14" s="949">
        <v>3030</v>
      </c>
      <c r="BL14" s="949">
        <f>AP14-BK14</f>
        <v>1050</v>
      </c>
    </row>
    <row r="15" spans="1:64" s="857" customFormat="1" ht="12.75">
      <c r="A15" s="895">
        <v>3</v>
      </c>
      <c r="B15" s="91" t="s">
        <v>273</v>
      </c>
      <c r="C15" s="105" t="s">
        <v>274</v>
      </c>
      <c r="D15" s="106" t="s">
        <v>15</v>
      </c>
      <c r="E15" s="896">
        <v>40045</v>
      </c>
      <c r="F15" s="897">
        <v>2</v>
      </c>
      <c r="G15" s="106">
        <f t="shared" si="7"/>
        <v>10</v>
      </c>
      <c r="H15" s="106">
        <f t="shared" si="8"/>
        <v>0</v>
      </c>
      <c r="I15" s="17">
        <f t="shared" si="9"/>
        <v>5</v>
      </c>
      <c r="J15" s="17">
        <f>VLOOKUP(D15,'THANG B.LUONG'!$B$5:$I$511,F15+1,0)</f>
        <v>8540</v>
      </c>
      <c r="K15" s="17">
        <v>0</v>
      </c>
      <c r="L15" s="17">
        <v>0</v>
      </c>
      <c r="M15" s="17">
        <f t="shared" si="10"/>
        <v>854</v>
      </c>
      <c r="N15" s="17">
        <v>0</v>
      </c>
      <c r="O15" s="17">
        <v>0</v>
      </c>
      <c r="P15" s="17">
        <v>0</v>
      </c>
      <c r="Q15" s="17">
        <v>0</v>
      </c>
      <c r="R15" s="17">
        <v>0</v>
      </c>
      <c r="S15" s="17">
        <v>0</v>
      </c>
      <c r="T15" s="17">
        <v>0</v>
      </c>
      <c r="U15" s="17">
        <v>0</v>
      </c>
      <c r="V15" s="927">
        <f t="shared" si="2"/>
        <v>9394</v>
      </c>
      <c r="W15" s="928">
        <f>VLOOKUP(B15,'Cham cong'!$B$9:$BY$275,35,0)</f>
        <v>26</v>
      </c>
      <c r="X15" s="17">
        <f>VLOOKUP(B15,'Cham cong'!$B$9:$BY$275,37,0)</f>
        <v>0</v>
      </c>
      <c r="Y15" s="17">
        <f>VLOOKUP(B15,'Cham cong'!$B$9:$BY$275,38,0)</f>
        <v>1</v>
      </c>
      <c r="Z15" s="17">
        <f>VLOOKUP(B15,'Cham cong'!$B$9:$BY$275,72,0)</f>
        <v>0</v>
      </c>
      <c r="AA15" s="17">
        <f>VLOOKUP(B15,'Cham cong'!$B$9:$BY$275,71,0)</f>
        <v>0</v>
      </c>
      <c r="AB15" s="17">
        <f>VLOOKUP(B15,'Cham cong'!$B$9:$BY$275,36,0)</f>
        <v>0</v>
      </c>
      <c r="AC15" s="17"/>
      <c r="AD15" s="17"/>
      <c r="AE15" s="17"/>
      <c r="AF15" s="17"/>
      <c r="AG15" s="17"/>
      <c r="AH15" s="17"/>
      <c r="AI15" s="17"/>
      <c r="AJ15" s="17"/>
      <c r="AK15" s="927">
        <f>V15/'Cham cong'!$AS$3*(W15+Z15/8*2+AA15/8*1.5+AB15*3)+J15/'Cham cong'!$AS$3*(X15+Y15)+AC15+P15+AE15+AG15+AH15+AI15+AJ15</f>
        <v>9722.461538461539</v>
      </c>
      <c r="AL15" s="17">
        <f t="shared" si="11"/>
        <v>504</v>
      </c>
      <c r="AM15" s="940">
        <v>4800</v>
      </c>
      <c r="AN15" s="938">
        <f>VLOOKUP(B15,'Cham cong'!$B$9:$BY$275,75,0)</f>
        <v>0</v>
      </c>
      <c r="AO15" s="938"/>
      <c r="AP15" s="950">
        <f t="shared" si="12"/>
        <v>9220</v>
      </c>
      <c r="AQ15" s="958" t="s">
        <v>1246</v>
      </c>
      <c r="AR15" s="951">
        <f t="shared" si="3"/>
        <v>9722461.5384615399</v>
      </c>
      <c r="AS15" s="955">
        <f t="shared" si="4"/>
        <v>4800000</v>
      </c>
      <c r="AT15" s="856">
        <f t="shared" si="5"/>
        <v>0</v>
      </c>
      <c r="AU15" s="952"/>
      <c r="AV15" s="952"/>
      <c r="AW15" s="952"/>
      <c r="AY15" s="952"/>
      <c r="BG15" s="952"/>
      <c r="BK15" s="952"/>
      <c r="BL15" s="952"/>
    </row>
    <row r="16" spans="1:64" s="856" customFormat="1" ht="13.5" customHeight="1">
      <c r="A16" s="895">
        <v>4</v>
      </c>
      <c r="B16" s="91" t="s">
        <v>275</v>
      </c>
      <c r="C16" s="105" t="s">
        <v>276</v>
      </c>
      <c r="D16" s="106" t="s">
        <v>15</v>
      </c>
      <c r="E16" s="896">
        <v>42842</v>
      </c>
      <c r="F16" s="897">
        <v>2</v>
      </c>
      <c r="G16" s="106">
        <f t="shared" si="7"/>
        <v>2</v>
      </c>
      <c r="H16" s="106">
        <f t="shared" si="8"/>
        <v>4</v>
      </c>
      <c r="I16" s="17">
        <f t="shared" si="9"/>
        <v>8</v>
      </c>
      <c r="J16" s="17">
        <f>VLOOKUP(D16,'THANG B.LUONG'!$B$5:$I$511,F16+1,0)</f>
        <v>8540</v>
      </c>
      <c r="K16" s="17">
        <v>0</v>
      </c>
      <c r="L16" s="17">
        <v>0</v>
      </c>
      <c r="M16" s="17">
        <f t="shared" si="10"/>
        <v>0</v>
      </c>
      <c r="N16" s="17">
        <v>0</v>
      </c>
      <c r="O16" s="17">
        <v>0</v>
      </c>
      <c r="P16" s="17">
        <v>0</v>
      </c>
      <c r="Q16" s="17">
        <v>0</v>
      </c>
      <c r="R16" s="17">
        <v>0</v>
      </c>
      <c r="S16" s="17">
        <v>0</v>
      </c>
      <c r="T16" s="17">
        <v>0</v>
      </c>
      <c r="U16" s="17">
        <v>0</v>
      </c>
      <c r="V16" s="927">
        <f t="shared" si="2"/>
        <v>8540</v>
      </c>
      <c r="W16" s="928">
        <f>VLOOKUP(B16,'Cham cong'!$B$9:$BY$275,35,0)</f>
        <v>26</v>
      </c>
      <c r="X16" s="17">
        <f>VLOOKUP(B16,'Cham cong'!$B$9:$BY$275,37,0)</f>
        <v>0</v>
      </c>
      <c r="Y16" s="17">
        <f>VLOOKUP(B16,'Cham cong'!$B$9:$BY$275,38,0)</f>
        <v>1</v>
      </c>
      <c r="Z16" s="17">
        <f>VLOOKUP(B16,'Cham cong'!$B$9:$BY$275,72,0)</f>
        <v>0</v>
      </c>
      <c r="AA16" s="17">
        <f>VLOOKUP(B16,'Cham cong'!$B$9:$BY$275,71,0)</f>
        <v>0</v>
      </c>
      <c r="AB16" s="17">
        <f>VLOOKUP(B16,'Cham cong'!$B$9:$BY$275,36,0)</f>
        <v>0</v>
      </c>
      <c r="AC16" s="17"/>
      <c r="AD16" s="17"/>
      <c r="AE16" s="17"/>
      <c r="AF16" s="17"/>
      <c r="AG16" s="17"/>
      <c r="AH16" s="17"/>
      <c r="AI16" s="17"/>
      <c r="AJ16" s="17"/>
      <c r="AK16" s="927">
        <f>V16/'Cham cong'!$AS$3*(W16+Z16/8*2+AA16/8*1.5+AB16*3)+J16/'Cham cong'!$AS$3*(X16+Y16)+AC16+P16+AE16+AG16+AH16+AI16+AJ16</f>
        <v>8868.461538461539</v>
      </c>
      <c r="AL16" s="17">
        <f t="shared" si="11"/>
        <v>504</v>
      </c>
      <c r="AM16" s="940">
        <v>4800</v>
      </c>
      <c r="AN16" s="938">
        <f>VLOOKUP(B16,'Cham cong'!$B$9:$BY$275,75,0)</f>
        <v>0</v>
      </c>
      <c r="AO16" s="938"/>
      <c r="AP16" s="950">
        <f t="shared" si="12"/>
        <v>8360</v>
      </c>
      <c r="AR16" s="951">
        <f t="shared" si="3"/>
        <v>8868461.5384615399</v>
      </c>
      <c r="AS16" s="955">
        <f t="shared" si="4"/>
        <v>4800000</v>
      </c>
      <c r="AT16" s="856">
        <f t="shared" si="5"/>
        <v>0</v>
      </c>
      <c r="AU16" s="949"/>
      <c r="AV16" s="949"/>
      <c r="AW16" s="949"/>
      <c r="AY16" s="949"/>
      <c r="BG16" s="949"/>
      <c r="BK16" s="949"/>
      <c r="BL16" s="949"/>
    </row>
    <row r="17" spans="1:64" s="856" customFormat="1">
      <c r="A17" s="895">
        <v>5</v>
      </c>
      <c r="B17" s="91" t="s">
        <v>277</v>
      </c>
      <c r="C17" s="105" t="s">
        <v>278</v>
      </c>
      <c r="D17" s="106" t="s">
        <v>19</v>
      </c>
      <c r="E17" s="896">
        <v>43101</v>
      </c>
      <c r="F17" s="897">
        <v>3</v>
      </c>
      <c r="G17" s="106">
        <f t="shared" si="7"/>
        <v>1</v>
      </c>
      <c r="H17" s="106">
        <f t="shared" si="8"/>
        <v>7</v>
      </c>
      <c r="I17" s="17">
        <f t="shared" si="9"/>
        <v>24</v>
      </c>
      <c r="J17" s="17">
        <f>VLOOKUP(D17,'THANG B.LUONG'!$B$5:$I$511,F17+1,0)</f>
        <v>15890</v>
      </c>
      <c r="K17" s="17">
        <v>0</v>
      </c>
      <c r="L17" s="17">
        <v>1000</v>
      </c>
      <c r="M17" s="17">
        <f t="shared" si="10"/>
        <v>0</v>
      </c>
      <c r="N17" s="17">
        <v>0</v>
      </c>
      <c r="O17" s="17">
        <v>200</v>
      </c>
      <c r="P17" s="17">
        <v>200</v>
      </c>
      <c r="Q17" s="17">
        <v>0</v>
      </c>
      <c r="R17" s="17">
        <v>0</v>
      </c>
      <c r="S17" s="17">
        <v>0</v>
      </c>
      <c r="T17" s="17">
        <v>0</v>
      </c>
      <c r="U17" s="17">
        <v>0</v>
      </c>
      <c r="V17" s="927">
        <f t="shared" si="2"/>
        <v>17090</v>
      </c>
      <c r="W17" s="928">
        <f>VLOOKUP(B17,'Cham cong'!$B$9:$BY$275,35,0)</f>
        <v>26</v>
      </c>
      <c r="X17" s="17">
        <f>VLOOKUP(B17,'Cham cong'!$B$9:$BY$275,37,0)</f>
        <v>0</v>
      </c>
      <c r="Y17" s="17">
        <f>VLOOKUP(B17,'Cham cong'!$B$9:$BY$275,38,0)</f>
        <v>1</v>
      </c>
      <c r="Z17" s="17">
        <f>VLOOKUP(B17,'Cham cong'!$B$9:$BY$275,72,0)</f>
        <v>0</v>
      </c>
      <c r="AA17" s="17">
        <f>VLOOKUP(B17,'Cham cong'!$B$9:$BY$275,71,0)</f>
        <v>0</v>
      </c>
      <c r="AB17" s="17">
        <f>VLOOKUP(B17,'Cham cong'!$B$9:$BY$275,36,0)</f>
        <v>0</v>
      </c>
      <c r="AC17" s="17"/>
      <c r="AD17" s="17"/>
      <c r="AE17" s="17"/>
      <c r="AF17" s="17"/>
      <c r="AG17" s="17"/>
      <c r="AH17" s="941"/>
      <c r="AI17" s="17"/>
      <c r="AJ17" s="17"/>
      <c r="AK17" s="927">
        <f>V17/'Cham cong'!$AS$3*(W17+Z17/8*2+AA17/8*1.5+AB17*3)+J17/'Cham cong'!$AS$3*(X17+Y17)+AC17+P17+AE17+AG17+AH17+AI17+AJ17</f>
        <v>17901.153846153848</v>
      </c>
      <c r="AL17" s="17">
        <f t="shared" si="11"/>
        <v>525</v>
      </c>
      <c r="AM17" s="17">
        <v>5000</v>
      </c>
      <c r="AN17" s="938">
        <f>VLOOKUP(B17,'Cham cong'!$B$9:$BY$275,75,0)</f>
        <v>0</v>
      </c>
      <c r="AO17" s="938"/>
      <c r="AP17" s="950">
        <f t="shared" si="12"/>
        <v>17380</v>
      </c>
      <c r="AQ17" s="959">
        <f>AR17+AR18</f>
        <v>48690000</v>
      </c>
      <c r="AR17" s="951">
        <f t="shared" si="3"/>
        <v>17901153.846153848</v>
      </c>
      <c r="AS17" s="960">
        <f t="shared" si="4"/>
        <v>5000000</v>
      </c>
      <c r="AT17" s="856">
        <f t="shared" si="5"/>
        <v>0</v>
      </c>
      <c r="AU17" s="949"/>
      <c r="AV17" s="949"/>
      <c r="AW17" s="949"/>
      <c r="AY17" s="949"/>
      <c r="BG17" s="949"/>
      <c r="BK17" s="949"/>
      <c r="BL17" s="949"/>
    </row>
    <row r="18" spans="1:64" s="856" customFormat="1">
      <c r="A18" s="895">
        <v>6</v>
      </c>
      <c r="B18" s="91" t="s">
        <v>279</v>
      </c>
      <c r="C18" s="105" t="s">
        <v>280</v>
      </c>
      <c r="D18" s="106" t="s">
        <v>19</v>
      </c>
      <c r="E18" s="896">
        <v>43137</v>
      </c>
      <c r="F18" s="897">
        <v>6</v>
      </c>
      <c r="G18" s="106">
        <f t="shared" si="7"/>
        <v>1</v>
      </c>
      <c r="H18" s="106">
        <f t="shared" si="8"/>
        <v>6</v>
      </c>
      <c r="I18" s="17">
        <f t="shared" si="9"/>
        <v>19</v>
      </c>
      <c r="J18" s="17">
        <f>VLOOKUP(D18,'THANG B.LUONG'!$B$5:$I$511,F18+1,0)</f>
        <v>22330</v>
      </c>
      <c r="K18" s="17">
        <v>0</v>
      </c>
      <c r="L18" s="17">
        <v>1000</v>
      </c>
      <c r="M18" s="17">
        <f t="shared" si="10"/>
        <v>0</v>
      </c>
      <c r="N18" s="17">
        <v>0</v>
      </c>
      <c r="O18" s="17">
        <v>200</v>
      </c>
      <c r="P18" s="17">
        <v>200</v>
      </c>
      <c r="Q18" s="17">
        <v>0</v>
      </c>
      <c r="R18" s="17">
        <v>0</v>
      </c>
      <c r="S18" s="17">
        <v>0</v>
      </c>
      <c r="T18" s="17">
        <v>0</v>
      </c>
      <c r="U18" s="17">
        <v>6200</v>
      </c>
      <c r="V18" s="927">
        <f t="shared" ref="V18:V24" si="13">SUM(J18:U18)-P18</f>
        <v>29730</v>
      </c>
      <c r="W18" s="928">
        <f>VLOOKUP(B18,'Cham cong'!$B$9:$BY$275,35,0)</f>
        <v>26</v>
      </c>
      <c r="X18" s="17">
        <f>VLOOKUP(B18,'Cham cong'!$B$9:$BY$275,37,0)</f>
        <v>0</v>
      </c>
      <c r="Y18" s="17">
        <f>VLOOKUP(B18,'Cham cong'!$B$9:$BY$275,38,0)</f>
        <v>1</v>
      </c>
      <c r="Z18" s="17">
        <f>VLOOKUP(B18,'Cham cong'!$B$9:$BY$275,72,0)</f>
        <v>0</v>
      </c>
      <c r="AA18" s="17">
        <f>VLOOKUP(B18,'Cham cong'!$B$9:$BY$275,71,0)</f>
        <v>0</v>
      </c>
      <c r="AB18" s="17">
        <f>VLOOKUP(B18,'Cham cong'!$B$9:$BY$275,36,0)</f>
        <v>0</v>
      </c>
      <c r="AC18" s="17"/>
      <c r="AD18" s="17"/>
      <c r="AE18" s="17"/>
      <c r="AF18" s="17"/>
      <c r="AG18" s="17"/>
      <c r="AH18" s="941"/>
      <c r="AI18" s="17"/>
      <c r="AJ18" s="17"/>
      <c r="AK18" s="927">
        <f>V18/'Cham cong'!$AS$3*(W18+Z18/8*2+AA18/8*1.5+AB18*3)+J18/'Cham cong'!$AS$3*(X18+Y18)+AC18+P18+AE18+AG18+AH18+AI18+AJ18</f>
        <v>30788.846153846156</v>
      </c>
      <c r="AL18" s="17">
        <f t="shared" si="11"/>
        <v>525</v>
      </c>
      <c r="AM18" s="17">
        <v>5000</v>
      </c>
      <c r="AN18" s="938">
        <f>VLOOKUP(B18,'Cham cong'!$B$9:$BY$275,75,0)</f>
        <v>0</v>
      </c>
      <c r="AO18" s="938"/>
      <c r="AP18" s="950">
        <f t="shared" si="12"/>
        <v>30260</v>
      </c>
      <c r="AQ18" s="856" t="s">
        <v>1247</v>
      </c>
      <c r="AR18" s="951">
        <f t="shared" si="3"/>
        <v>30788846.153846156</v>
      </c>
      <c r="AS18" s="960">
        <f t="shared" si="4"/>
        <v>5000000</v>
      </c>
      <c r="AT18" s="856">
        <f t="shared" si="5"/>
        <v>0</v>
      </c>
      <c r="AU18" s="949"/>
      <c r="AV18" s="949"/>
      <c r="AW18" s="949"/>
      <c r="AY18" s="949"/>
      <c r="BG18" s="949"/>
      <c r="BK18" s="949"/>
      <c r="BL18" s="949"/>
    </row>
    <row r="19" spans="1:64" s="856" customFormat="1">
      <c r="A19" s="895">
        <v>7</v>
      </c>
      <c r="B19" s="91" t="s">
        <v>281</v>
      </c>
      <c r="C19" s="105" t="s">
        <v>282</v>
      </c>
      <c r="D19" s="106" t="str">
        <f>'THANG B.LUONG'!$B$51</f>
        <v>Tài xế</v>
      </c>
      <c r="E19" s="896">
        <v>43040</v>
      </c>
      <c r="F19" s="897">
        <v>5</v>
      </c>
      <c r="G19" s="106">
        <f t="shared" si="7"/>
        <v>1</v>
      </c>
      <c r="H19" s="106">
        <f t="shared" si="8"/>
        <v>9</v>
      </c>
      <c r="I19" s="17">
        <f t="shared" si="9"/>
        <v>24</v>
      </c>
      <c r="J19" s="17">
        <f>VLOOKUP(D19,'THANG B.LUONG'!$B$5:$I$511,F19+1,0)</f>
        <v>6340</v>
      </c>
      <c r="K19" s="17">
        <v>0</v>
      </c>
      <c r="L19" s="17">
        <v>0</v>
      </c>
      <c r="M19" s="17">
        <f t="shared" si="10"/>
        <v>0</v>
      </c>
      <c r="N19" s="17">
        <v>0</v>
      </c>
      <c r="O19" s="17">
        <v>0</v>
      </c>
      <c r="P19" s="17">
        <v>0</v>
      </c>
      <c r="Q19" s="17">
        <v>0</v>
      </c>
      <c r="R19" s="17">
        <v>0</v>
      </c>
      <c r="S19" s="17">
        <v>0</v>
      </c>
      <c r="T19" s="17">
        <v>0</v>
      </c>
      <c r="U19" s="920">
        <v>2660</v>
      </c>
      <c r="V19" s="927">
        <f t="shared" si="13"/>
        <v>9000</v>
      </c>
      <c r="W19" s="928">
        <f>VLOOKUP(B19,'Cham cong'!$B$9:$BY$275,35,0)</f>
        <v>26</v>
      </c>
      <c r="X19" s="17">
        <f>VLOOKUP(B19,'Cham cong'!$B$9:$BY$275,37,0)</f>
        <v>0</v>
      </c>
      <c r="Y19" s="17">
        <f>VLOOKUP(B19,'Cham cong'!$B$9:$BY$275,38,0)</f>
        <v>1</v>
      </c>
      <c r="Z19" s="17">
        <f>VLOOKUP(B19,'Cham cong'!$B$9:$BY$275,72,0)</f>
        <v>0</v>
      </c>
      <c r="AA19" s="17">
        <f>VLOOKUP(B19,'Cham cong'!$B$9:$BY$275,71,0)</f>
        <v>0</v>
      </c>
      <c r="AB19" s="17">
        <f>VLOOKUP(B19,'Cham cong'!$B$9:$BY$275,36,0)</f>
        <v>0</v>
      </c>
      <c r="AC19" s="17"/>
      <c r="AD19" s="17"/>
      <c r="AE19" s="17"/>
      <c r="AF19" s="17"/>
      <c r="AG19" s="17"/>
      <c r="AH19" s="17"/>
      <c r="AI19" s="17"/>
      <c r="AJ19" s="17">
        <v>1000</v>
      </c>
      <c r="AK19" s="927">
        <f>V19/'Cham cong'!$AS$3*(W19+Z19/8*2+AA19/8*1.5+AB19*3)+J19/'Cham cong'!$AS$3*(X19+Y19)+AC19+P19+AE19+AG19+AH19+AI19+AJ19</f>
        <v>10243.846153846154</v>
      </c>
      <c r="AL19" s="17">
        <f t="shared" si="11"/>
        <v>504</v>
      </c>
      <c r="AM19" s="17">
        <v>4800</v>
      </c>
      <c r="AN19" s="938">
        <f>VLOOKUP(B19,'Cham cong'!$B$9:$BY$275,75,0)</f>
        <v>4000</v>
      </c>
      <c r="AO19" s="938"/>
      <c r="AP19" s="950">
        <f t="shared" si="12"/>
        <v>5740</v>
      </c>
      <c r="AR19" s="951">
        <f t="shared" si="3"/>
        <v>10243846.153846154</v>
      </c>
      <c r="AS19" s="961">
        <f t="shared" si="4"/>
        <v>4800000</v>
      </c>
      <c r="AT19" s="856">
        <f t="shared" si="5"/>
        <v>4000000</v>
      </c>
      <c r="AU19" s="949"/>
      <c r="AV19" s="949"/>
      <c r="AW19" s="949"/>
      <c r="AY19" s="949"/>
      <c r="BG19" s="949"/>
      <c r="BK19" s="949"/>
      <c r="BL19" s="949"/>
    </row>
    <row r="20" spans="1:64" s="858" customFormat="1">
      <c r="A20" s="895">
        <v>8</v>
      </c>
      <c r="B20" s="91" t="s">
        <v>283</v>
      </c>
      <c r="C20" s="318" t="s">
        <v>284</v>
      </c>
      <c r="D20" s="39" t="str">
        <f>'THANG B.LUONG'!$B$51</f>
        <v>Tài xế</v>
      </c>
      <c r="E20" s="904">
        <v>43228</v>
      </c>
      <c r="F20" s="905">
        <v>5</v>
      </c>
      <c r="G20" s="39">
        <f t="shared" si="7"/>
        <v>1</v>
      </c>
      <c r="H20" s="39">
        <f t="shared" si="8"/>
        <v>3</v>
      </c>
      <c r="I20" s="920">
        <f t="shared" si="9"/>
        <v>17</v>
      </c>
      <c r="J20" s="920">
        <f>VLOOKUP(D20,'THANG B.LUONG'!$B$5:$I$511,F20+1,0)</f>
        <v>6340</v>
      </c>
      <c r="K20" s="920">
        <v>0</v>
      </c>
      <c r="L20" s="920">
        <v>0</v>
      </c>
      <c r="M20" s="920">
        <f t="shared" si="10"/>
        <v>0</v>
      </c>
      <c r="N20" s="920">
        <v>0</v>
      </c>
      <c r="O20" s="920">
        <v>0</v>
      </c>
      <c r="P20" s="920">
        <v>0</v>
      </c>
      <c r="Q20" s="920">
        <v>0</v>
      </c>
      <c r="R20" s="920">
        <v>0</v>
      </c>
      <c r="S20" s="920">
        <v>0</v>
      </c>
      <c r="T20" s="920">
        <v>0</v>
      </c>
      <c r="U20" s="920">
        <v>2660</v>
      </c>
      <c r="V20" s="927">
        <f t="shared" si="13"/>
        <v>9000</v>
      </c>
      <c r="W20" s="928">
        <f>VLOOKUP(B20,'Cham cong'!$B$9:$BY$275,35,0)</f>
        <v>26</v>
      </c>
      <c r="X20" s="17">
        <f>VLOOKUP(B20,'Cham cong'!$B$9:$BY$275,37,0)</f>
        <v>0</v>
      </c>
      <c r="Y20" s="17">
        <f>VLOOKUP(B20,'Cham cong'!$B$9:$BY$275,38,0)</f>
        <v>1</v>
      </c>
      <c r="Z20" s="17">
        <f>VLOOKUP(B20,'Cham cong'!$B$9:$BY$275,72,0)</f>
        <v>0</v>
      </c>
      <c r="AA20" s="17">
        <f>VLOOKUP(B20,'Cham cong'!$B$9:$BY$275,71,0)</f>
        <v>0</v>
      </c>
      <c r="AB20" s="17">
        <f>VLOOKUP(B20,'Cham cong'!$B$9:$BY$275,36,0)</f>
        <v>0</v>
      </c>
      <c r="AC20" s="920"/>
      <c r="AD20" s="920"/>
      <c r="AE20" s="920"/>
      <c r="AF20" s="920"/>
      <c r="AG20" s="920"/>
      <c r="AH20" s="920"/>
      <c r="AI20" s="920"/>
      <c r="AJ20" s="920"/>
      <c r="AK20" s="941">
        <f>V20/'Cham cong'!$AS$3*(W20+Z20/8*2+AA20/8*1.5+AB20*3)+J20/'Cham cong'!$AS$3*(X20+Y20)+AC20+P20+AE20+AG20+AH20+AI20+AJ20</f>
        <v>9243.8461538461543</v>
      </c>
      <c r="AL20" s="920">
        <f t="shared" si="11"/>
        <v>504</v>
      </c>
      <c r="AM20" s="17">
        <v>4800</v>
      </c>
      <c r="AN20" s="938">
        <f>VLOOKUP(B20,'Cham cong'!$B$9:$BY$275,75,0)</f>
        <v>0</v>
      </c>
      <c r="AO20" s="938"/>
      <c r="AP20" s="962">
        <f t="shared" si="12"/>
        <v>8740</v>
      </c>
      <c r="AQ20" s="963">
        <f>AR20+AR21+AR14</f>
        <v>25046858.974358976</v>
      </c>
      <c r="AR20" s="951">
        <f t="shared" si="3"/>
        <v>9243846.153846154</v>
      </c>
      <c r="AS20" s="964">
        <f t="shared" ref="AS20:AT21" si="14">AM20*1000</f>
        <v>4800000</v>
      </c>
      <c r="AT20" s="859">
        <f t="shared" si="14"/>
        <v>0</v>
      </c>
      <c r="AU20" s="965"/>
      <c r="AV20" s="965"/>
      <c r="AW20" s="965"/>
      <c r="AY20" s="965"/>
      <c r="BG20" s="965"/>
      <c r="BK20" s="965"/>
      <c r="BL20" s="965"/>
    </row>
    <row r="21" spans="1:64" s="858" customFormat="1" ht="12.75" hidden="1">
      <c r="A21" s="895">
        <v>9</v>
      </c>
      <c r="B21" s="91" t="s">
        <v>285</v>
      </c>
      <c r="C21" s="318" t="s">
        <v>286</v>
      </c>
      <c r="D21" s="39" t="str">
        <f>'THANG B.LUONG'!$B$51</f>
        <v>Tài xế</v>
      </c>
      <c r="E21" s="904">
        <v>43253</v>
      </c>
      <c r="F21" s="905">
        <v>5</v>
      </c>
      <c r="G21" s="39">
        <f t="shared" si="7"/>
        <v>1</v>
      </c>
      <c r="H21" s="39">
        <f t="shared" si="8"/>
        <v>2</v>
      </c>
      <c r="I21" s="920">
        <f t="shared" si="9"/>
        <v>23</v>
      </c>
      <c r="J21" s="920">
        <f>VLOOKUP(D21,'THANG B.LUONG'!$B$5:$I$511,F21+1,0)</f>
        <v>6340</v>
      </c>
      <c r="K21" s="920">
        <v>0</v>
      </c>
      <c r="L21" s="920">
        <v>0</v>
      </c>
      <c r="M21" s="920">
        <f t="shared" si="10"/>
        <v>0</v>
      </c>
      <c r="N21" s="920">
        <v>0</v>
      </c>
      <c r="O21" s="920">
        <v>0</v>
      </c>
      <c r="P21" s="920">
        <v>0</v>
      </c>
      <c r="Q21" s="920">
        <v>0</v>
      </c>
      <c r="R21" s="920">
        <v>0</v>
      </c>
      <c r="S21" s="920">
        <v>0</v>
      </c>
      <c r="T21" s="920">
        <v>0</v>
      </c>
      <c r="U21" s="920">
        <v>2660</v>
      </c>
      <c r="V21" s="927">
        <f t="shared" si="13"/>
        <v>9000</v>
      </c>
      <c r="W21" s="928">
        <f>VLOOKUP(B21,'Cham cong'!$B$9:$BY$275,35,0)</f>
        <v>26</v>
      </c>
      <c r="X21" s="17">
        <f>VLOOKUP(B21,'Cham cong'!$B$9:$BY$275,37,0)</f>
        <v>0</v>
      </c>
      <c r="Y21" s="17">
        <f>VLOOKUP(B21,'Cham cong'!$B$9:$BY$275,38,0)</f>
        <v>1</v>
      </c>
      <c r="Z21" s="17">
        <f>VLOOKUP(B21,'Cham cong'!$B$9:$BY$275,72,0)</f>
        <v>0</v>
      </c>
      <c r="AA21" s="17">
        <f>VLOOKUP(B21,'Cham cong'!$B$9:$BY$275,71,0)</f>
        <v>0</v>
      </c>
      <c r="AB21" s="17">
        <f>VLOOKUP(B21,'Cham cong'!$B$9:$BY$275,36,0)</f>
        <v>0</v>
      </c>
      <c r="AC21" s="920"/>
      <c r="AD21" s="920"/>
      <c r="AE21" s="920"/>
      <c r="AF21" s="920"/>
      <c r="AG21" s="920"/>
      <c r="AH21" s="920"/>
      <c r="AI21" s="920"/>
      <c r="AJ21" s="920"/>
      <c r="AK21" s="941">
        <f>V21/'Cham cong'!$AS$3*(W21+Z21/8*2+AA21/8*1.5+AB21*3)+J21/'Cham cong'!$AS$3*(X21+Y21)+AC21+P21+AE21+AG21+AH21+AI21+AJ21</f>
        <v>9243.8461538461543</v>
      </c>
      <c r="AL21" s="920">
        <f t="shared" si="11"/>
        <v>0</v>
      </c>
      <c r="AM21" s="940">
        <v>0</v>
      </c>
      <c r="AN21" s="938">
        <f>VLOOKUP(B21,'Cham cong'!$B$9:$BY$275,75,0)</f>
        <v>4000</v>
      </c>
      <c r="AO21" s="938"/>
      <c r="AP21" s="950">
        <f t="shared" si="12"/>
        <v>5240</v>
      </c>
      <c r="AQ21" s="858" t="s">
        <v>1248</v>
      </c>
      <c r="AR21" s="951">
        <f t="shared" si="3"/>
        <v>9243846.153846154</v>
      </c>
      <c r="AS21" s="859">
        <f t="shared" si="14"/>
        <v>0</v>
      </c>
      <c r="AT21" s="859">
        <f t="shared" si="14"/>
        <v>4000000</v>
      </c>
      <c r="AU21" s="965"/>
      <c r="AV21" s="965"/>
      <c r="AW21" s="965"/>
      <c r="AY21" s="965"/>
      <c r="BB21" s="978"/>
      <c r="BG21" s="965"/>
      <c r="BK21" s="965"/>
      <c r="BL21" s="965"/>
    </row>
    <row r="22" spans="1:64" s="1305" customFormat="1" ht="12.75" hidden="1">
      <c r="A22" s="1291">
        <v>10</v>
      </c>
      <c r="B22" s="1292" t="s">
        <v>287</v>
      </c>
      <c r="C22" s="1293" t="s">
        <v>288</v>
      </c>
      <c r="D22" s="1294" t="str">
        <f>'THANG B.LUONG'!$B$51</f>
        <v>Tài xế</v>
      </c>
      <c r="E22" s="1295">
        <v>43563</v>
      </c>
      <c r="F22" s="1296">
        <v>5</v>
      </c>
      <c r="G22" s="1294">
        <f t="shared" si="7"/>
        <v>0</v>
      </c>
      <c r="H22" s="1294">
        <f t="shared" si="8"/>
        <v>4</v>
      </c>
      <c r="I22" s="1297">
        <f t="shared" si="9"/>
        <v>17</v>
      </c>
      <c r="J22" s="1297">
        <f>VLOOKUP(D22,'THANG B.LUONG'!$B$5:$I$511,F22+1,0)</f>
        <v>6340</v>
      </c>
      <c r="K22" s="1297">
        <v>0</v>
      </c>
      <c r="L22" s="1297">
        <v>0</v>
      </c>
      <c r="M22" s="1297">
        <f t="shared" ref="M22" si="15">IF(G22&gt;=3,J22*(0.03+(G22-3)*0.01),0)</f>
        <v>0</v>
      </c>
      <c r="N22" s="1297">
        <v>0</v>
      </c>
      <c r="O22" s="1297">
        <v>0</v>
      </c>
      <c r="P22" s="1297">
        <v>0</v>
      </c>
      <c r="Q22" s="1297">
        <v>0</v>
      </c>
      <c r="R22" s="1297">
        <v>0</v>
      </c>
      <c r="S22" s="1297">
        <v>0</v>
      </c>
      <c r="T22" s="1297">
        <v>0</v>
      </c>
      <c r="U22" s="1297">
        <v>2660</v>
      </c>
      <c r="V22" s="1298">
        <f>SUM(J22:U22)-P22</f>
        <v>9000</v>
      </c>
      <c r="W22" s="928">
        <f>VLOOKUP(B22,'Cham cong'!$B$9:$BY$275,35,0)</f>
        <v>26</v>
      </c>
      <c r="X22" s="1300">
        <v>0</v>
      </c>
      <c r="Y22" s="1300">
        <v>0</v>
      </c>
      <c r="Z22" s="1300">
        <f>VLOOKUP(B22,'Cham cong'!$B$9:$BY$275,72,0)</f>
        <v>0</v>
      </c>
      <c r="AA22" s="1300">
        <f>VLOOKUP(B22,'Cham cong'!$B$9:$BY$275,71,0)</f>
        <v>0</v>
      </c>
      <c r="AB22" s="1300">
        <f>VLOOKUP(B22,'Cham cong'!$B$9:$BY$275,36,0)</f>
        <v>0</v>
      </c>
      <c r="AC22" s="1297"/>
      <c r="AD22" s="1297"/>
      <c r="AE22" s="1297"/>
      <c r="AF22" s="1297"/>
      <c r="AG22" s="1297"/>
      <c r="AH22" s="1297"/>
      <c r="AI22" s="1297"/>
      <c r="AJ22" s="1300">
        <v>1000</v>
      </c>
      <c r="AK22" s="1301">
        <f>V22/'Cham cong'!$AS$3*(W22+Z22/8*2+AA22/8*1.5+AB22*3)+J22/'Cham cong'!$AS$3*(X22+Y22)+AC22+P22+AE22+AG22+AH22+AI22+AJ22</f>
        <v>10000</v>
      </c>
      <c r="AL22" s="1297">
        <f t="shared" ref="AL22" si="16">AM22*$AN$3</f>
        <v>0</v>
      </c>
      <c r="AM22" s="1302">
        <v>0</v>
      </c>
      <c r="AN22" s="938">
        <f>VLOOKUP(B22,'Cham cong'!$B$9:$BY$275,75,0)</f>
        <v>0</v>
      </c>
      <c r="AO22" s="1303"/>
      <c r="AP22" s="1304">
        <f t="shared" si="12"/>
        <v>10000</v>
      </c>
      <c r="AR22" s="1306">
        <f t="shared" ref="AR22" si="17">AK22*1000</f>
        <v>10000000</v>
      </c>
      <c r="AS22" s="1307">
        <f t="shared" ref="AS22" si="18">AM22*1000</f>
        <v>0</v>
      </c>
      <c r="AT22" s="1308">
        <f t="shared" ref="AT22" si="19">AN22*1000</f>
        <v>0</v>
      </c>
      <c r="AU22" s="1309"/>
      <c r="AV22" s="1309"/>
      <c r="AW22" s="1309"/>
      <c r="AY22" s="1309"/>
      <c r="BE22" s="1305" t="s">
        <v>1263</v>
      </c>
      <c r="BG22" s="1309"/>
      <c r="BK22" s="1309"/>
      <c r="BL22" s="1309"/>
    </row>
    <row r="23" spans="1:64" s="859" customFormat="1" ht="12.75">
      <c r="A23" s="895">
        <v>11</v>
      </c>
      <c r="B23" s="91" t="s">
        <v>289</v>
      </c>
      <c r="C23" s="108" t="s">
        <v>290</v>
      </c>
      <c r="D23" s="106" t="s">
        <v>15</v>
      </c>
      <c r="E23" s="896">
        <v>42983</v>
      </c>
      <c r="F23" s="897">
        <v>2</v>
      </c>
      <c r="G23" s="106">
        <f t="shared" si="7"/>
        <v>1</v>
      </c>
      <c r="H23" s="106">
        <f t="shared" si="8"/>
        <v>11</v>
      </c>
      <c r="I23" s="17">
        <f t="shared" si="9"/>
        <v>20</v>
      </c>
      <c r="J23" s="17">
        <f>VLOOKUP(D23,'THANG B.LUONG'!$B$5:$I$511,F23+1,0)</f>
        <v>8540</v>
      </c>
      <c r="K23" s="17">
        <v>0</v>
      </c>
      <c r="L23" s="17">
        <v>0</v>
      </c>
      <c r="M23" s="17">
        <f t="shared" si="10"/>
        <v>0</v>
      </c>
      <c r="N23" s="17">
        <v>0</v>
      </c>
      <c r="O23" s="17">
        <v>0</v>
      </c>
      <c r="P23" s="17">
        <v>0</v>
      </c>
      <c r="Q23" s="17">
        <v>0</v>
      </c>
      <c r="R23" s="17">
        <v>0</v>
      </c>
      <c r="S23" s="17">
        <v>0</v>
      </c>
      <c r="T23" s="17">
        <v>0</v>
      </c>
      <c r="U23" s="17">
        <v>0</v>
      </c>
      <c r="V23" s="927">
        <f t="shared" si="13"/>
        <v>8540</v>
      </c>
      <c r="W23" s="928">
        <f>VLOOKUP(B23,'Cham cong'!$B$9:$BY$275,35,0)</f>
        <v>26</v>
      </c>
      <c r="X23" s="17">
        <f>VLOOKUP(B23,'Cham cong'!$B$9:$BY$275,37,0)</f>
        <v>0</v>
      </c>
      <c r="Y23" s="17">
        <f>VLOOKUP(B23,'Cham cong'!$B$9:$BY$275,38,0)</f>
        <v>1</v>
      </c>
      <c r="Z23" s="17">
        <f>VLOOKUP(B23,'Cham cong'!$B$9:$BY$275,72,0)</f>
        <v>0</v>
      </c>
      <c r="AA23" s="17">
        <f>VLOOKUP(B23,'Cham cong'!$B$9:$BY$275,71,0)</f>
        <v>0</v>
      </c>
      <c r="AB23" s="17">
        <f>VLOOKUP(B23,'Cham cong'!$B$9:$BY$275,36,0)</f>
        <v>0</v>
      </c>
      <c r="AC23" s="17"/>
      <c r="AD23" s="17"/>
      <c r="AE23" s="17"/>
      <c r="AF23" s="17"/>
      <c r="AG23" s="17"/>
      <c r="AH23" s="17"/>
      <c r="AI23" s="17"/>
      <c r="AJ23" s="17"/>
      <c r="AK23" s="927">
        <f>V23/'Cham cong'!$AS$3*(W23+Z23/8*2+AA23/8*1.5+AB23*3)+J23/'Cham cong'!$AS$3*(X23+Y23)+AC23+P23+AE23+AG23+AH23+AI23+AJ23</f>
        <v>8868.461538461539</v>
      </c>
      <c r="AL23" s="17">
        <f t="shared" si="11"/>
        <v>504</v>
      </c>
      <c r="AM23" s="940">
        <v>4800</v>
      </c>
      <c r="AN23" s="938">
        <f>VLOOKUP(B23,'Cham cong'!$B$9:$BY$275,75,0)</f>
        <v>3000</v>
      </c>
      <c r="AO23" s="938"/>
      <c r="AP23" s="950">
        <f t="shared" si="12"/>
        <v>5360</v>
      </c>
      <c r="AQ23" s="967">
        <f>AR19+AR24+AR22</f>
        <v>38156153.846153848</v>
      </c>
      <c r="AR23" s="951">
        <f t="shared" ref="AR23:AR27" si="20">AK23*1000</f>
        <v>8868461.5384615399</v>
      </c>
      <c r="AS23" s="955">
        <f t="shared" si="4"/>
        <v>4800000</v>
      </c>
      <c r="AT23" s="856">
        <f t="shared" si="5"/>
        <v>3000000</v>
      </c>
      <c r="AU23" s="968"/>
      <c r="AV23" s="968"/>
      <c r="AW23" s="968"/>
      <c r="AY23" s="968"/>
      <c r="BG23" s="968"/>
      <c r="BK23" s="968"/>
      <c r="BL23" s="968"/>
    </row>
    <row r="24" spans="1:64" s="860" customFormat="1">
      <c r="A24" s="895">
        <v>13</v>
      </c>
      <c r="B24" s="1255" t="s">
        <v>291</v>
      </c>
      <c r="C24" s="907" t="s">
        <v>292</v>
      </c>
      <c r="D24" s="12" t="str">
        <f>'THANG B.LUONG'!B238</f>
        <v>Thư ký Chủ tịch</v>
      </c>
      <c r="E24" s="908">
        <v>43389</v>
      </c>
      <c r="F24" s="909">
        <v>2</v>
      </c>
      <c r="G24" s="12">
        <f t="shared" si="7"/>
        <v>0</v>
      </c>
      <c r="H24" s="12">
        <f t="shared" si="8"/>
        <v>10</v>
      </c>
      <c r="I24" s="921">
        <f t="shared" si="9"/>
        <v>9</v>
      </c>
      <c r="J24" s="921">
        <f>VLOOKUP(D24,'THANG B.LUONG'!$B$5:$I$511,F24+1,0)</f>
        <v>14360</v>
      </c>
      <c r="K24" s="921">
        <v>0</v>
      </c>
      <c r="L24" s="921">
        <v>2000</v>
      </c>
      <c r="M24" s="921">
        <v>0</v>
      </c>
      <c r="N24" s="921">
        <v>0</v>
      </c>
      <c r="O24" s="921">
        <v>500</v>
      </c>
      <c r="P24" s="921">
        <v>500</v>
      </c>
      <c r="Q24" s="921">
        <v>0</v>
      </c>
      <c r="R24" s="921">
        <v>0</v>
      </c>
      <c r="S24" s="921">
        <v>0</v>
      </c>
      <c r="T24" s="921">
        <v>0</v>
      </c>
      <c r="U24" s="921">
        <v>0</v>
      </c>
      <c r="V24" s="932">
        <f t="shared" si="13"/>
        <v>16860</v>
      </c>
      <c r="W24" s="928">
        <f>VLOOKUP(B24,'Cham cong'!$B$9:$BY$275,35,0)</f>
        <v>26</v>
      </c>
      <c r="X24" s="17">
        <f>VLOOKUP(B24,'Cham cong'!$B$9:$BY$275,37,0)</f>
        <v>0</v>
      </c>
      <c r="Y24" s="17">
        <f>VLOOKUP(B24,'Cham cong'!$B$9:$BY$275,38,0)</f>
        <v>1</v>
      </c>
      <c r="Z24" s="17">
        <f>VLOOKUP(B24,'Cham cong'!$B$9:$BY$275,72,0)</f>
        <v>0</v>
      </c>
      <c r="AA24" s="17">
        <f>VLOOKUP(B24,'Cham cong'!$B$9:$BY$275,71,0)</f>
        <v>0</v>
      </c>
      <c r="AB24" s="17">
        <f>VLOOKUP(B24,'Cham cong'!$B$9:$BY$275,36,0)</f>
        <v>0</v>
      </c>
      <c r="AC24" s="921"/>
      <c r="AD24" s="921"/>
      <c r="AE24" s="921"/>
      <c r="AF24" s="921"/>
      <c r="AG24" s="921"/>
      <c r="AH24" s="921"/>
      <c r="AI24" s="921"/>
      <c r="AJ24" s="921"/>
      <c r="AK24" s="932">
        <f>V24/'Cham cong'!$AS$3*(W24+Z24/8*2+AA24/8*1.5+AB24*3)+J24/'Cham cong'!$AS$3*(X24+Y24)+AC24+P24+AE24+AG24+AH24+AI24+AJ24</f>
        <v>17912.307692307691</v>
      </c>
      <c r="AL24" s="921">
        <f t="shared" si="11"/>
        <v>504</v>
      </c>
      <c r="AM24" s="921">
        <v>4800</v>
      </c>
      <c r="AN24" s="938">
        <f>VLOOKUP(B24,'Cham cong'!$B$9:$BY$275,75,0)</f>
        <v>0</v>
      </c>
      <c r="AO24" s="938"/>
      <c r="AP24" s="969">
        <f t="shared" si="12"/>
        <v>17410</v>
      </c>
      <c r="AR24" s="951">
        <f t="shared" si="20"/>
        <v>17912307.692307692</v>
      </c>
      <c r="AS24" s="970">
        <f t="shared" ref="AS24:AT24" si="21">AM24*1000</f>
        <v>4800000</v>
      </c>
      <c r="AT24" s="861">
        <f t="shared" si="21"/>
        <v>0</v>
      </c>
      <c r="AU24" s="971">
        <v>16040</v>
      </c>
      <c r="AV24" s="971"/>
      <c r="AW24" s="971"/>
      <c r="AX24" s="972"/>
      <c r="AY24" s="971"/>
      <c r="BG24" s="971"/>
      <c r="BK24" s="971"/>
      <c r="BL24" s="971"/>
    </row>
    <row r="25" spans="1:64" s="856" customFormat="1">
      <c r="A25" s="910"/>
      <c r="B25" s="109"/>
      <c r="C25" s="95" t="s">
        <v>293</v>
      </c>
      <c r="D25" s="96"/>
      <c r="E25" s="899"/>
      <c r="F25" s="140"/>
      <c r="G25" s="140"/>
      <c r="H25" s="140"/>
      <c r="I25" s="140"/>
      <c r="J25" s="140"/>
      <c r="K25" s="140"/>
      <c r="L25" s="140"/>
      <c r="M25" s="140"/>
      <c r="N25" s="140"/>
      <c r="O25" s="140"/>
      <c r="P25" s="140"/>
      <c r="Q25" s="140"/>
      <c r="R25" s="140"/>
      <c r="S25" s="140"/>
      <c r="T25" s="140"/>
      <c r="U25" s="140"/>
      <c r="V25" s="140"/>
      <c r="W25" s="140"/>
      <c r="X25" s="140"/>
      <c r="Y25" s="140"/>
      <c r="Z25" s="140"/>
      <c r="AA25" s="140"/>
      <c r="AB25" s="140"/>
      <c r="AC25" s="140"/>
      <c r="AD25" s="140"/>
      <c r="AE25" s="140"/>
      <c r="AF25" s="140"/>
      <c r="AG25" s="140"/>
      <c r="AH25" s="140"/>
      <c r="AI25" s="140"/>
      <c r="AJ25" s="140"/>
      <c r="AK25" s="937">
        <f>SUM(AK26:AK26)</f>
        <v>12312.515384615384</v>
      </c>
      <c r="AL25" s="937">
        <f t="shared" ref="AL25:AP25" si="22">SUM(AL26:AL26)</f>
        <v>525</v>
      </c>
      <c r="AM25" s="937">
        <f t="shared" si="22"/>
        <v>5000</v>
      </c>
      <c r="AN25" s="937">
        <f t="shared" si="22"/>
        <v>0</v>
      </c>
      <c r="AO25" s="937">
        <f t="shared" si="22"/>
        <v>0</v>
      </c>
      <c r="AP25" s="937">
        <f t="shared" si="22"/>
        <v>11790</v>
      </c>
      <c r="AQ25" s="856">
        <v>0</v>
      </c>
      <c r="AR25" s="973">
        <f t="shared" si="20"/>
        <v>12312515.384615384</v>
      </c>
      <c r="AS25" s="856">
        <f t="shared" si="4"/>
        <v>5000000</v>
      </c>
      <c r="AT25" s="856">
        <f t="shared" si="5"/>
        <v>0</v>
      </c>
      <c r="AU25" s="949"/>
      <c r="AV25" s="949"/>
      <c r="AW25" s="949"/>
      <c r="AY25" s="949"/>
      <c r="BG25" s="949"/>
      <c r="BK25" s="949"/>
      <c r="BL25" s="949"/>
    </row>
    <row r="26" spans="1:64" s="857" customFormat="1">
      <c r="A26" s="895">
        <v>1</v>
      </c>
      <c r="B26" s="91" t="s">
        <v>294</v>
      </c>
      <c r="C26" s="105" t="s">
        <v>295</v>
      </c>
      <c r="D26" s="106" t="s">
        <v>11</v>
      </c>
      <c r="E26" s="896">
        <v>42555</v>
      </c>
      <c r="F26" s="897">
        <v>1</v>
      </c>
      <c r="G26" s="106">
        <f>DATEDIF(E26,$J$3,"y")</f>
        <v>3</v>
      </c>
      <c r="H26" s="106">
        <f>DATEDIF(E26,$J$3,"ym")</f>
        <v>1</v>
      </c>
      <c r="I26" s="17">
        <f>DATEDIF(E26,$J$3,"md")</f>
        <v>21</v>
      </c>
      <c r="J26" s="17">
        <f>VLOOKUP(D26,'THANG B.LUONG'!$B$5:$I$511,F26+1,0)</f>
        <v>11430</v>
      </c>
      <c r="K26" s="17">
        <v>0</v>
      </c>
      <c r="L26" s="17">
        <v>0</v>
      </c>
      <c r="M26" s="17">
        <f>IF(G26&gt;=3,J26*(0.03+(G26-3)*0.01),0)</f>
        <v>342.9</v>
      </c>
      <c r="N26" s="17">
        <v>0</v>
      </c>
      <c r="O26" s="17">
        <v>0</v>
      </c>
      <c r="P26" s="17">
        <v>100</v>
      </c>
      <c r="Q26" s="17">
        <v>0</v>
      </c>
      <c r="R26" s="17">
        <v>0</v>
      </c>
      <c r="S26" s="17">
        <v>0</v>
      </c>
      <c r="T26" s="17">
        <v>0</v>
      </c>
      <c r="U26" s="17">
        <v>0</v>
      </c>
      <c r="V26" s="927">
        <f>SUM(J26:U26)-P26</f>
        <v>11772.9</v>
      </c>
      <c r="W26" s="928">
        <f>VLOOKUP(B26,'Cham cong'!$B$9:$BY$275,35,0)</f>
        <v>26</v>
      </c>
      <c r="X26" s="17">
        <f>VLOOKUP(B26,'Cham cong'!$B$9:$BY$275,37,0)</f>
        <v>0</v>
      </c>
      <c r="Y26" s="17">
        <f>VLOOKUP(B26,'Cham cong'!$B$9:$BY$275,38,0)</f>
        <v>1</v>
      </c>
      <c r="Z26" s="17">
        <f>VLOOKUP(B26,'Cham cong'!$B$9:$BY$275,72,0)</f>
        <v>0</v>
      </c>
      <c r="AA26" s="17">
        <f>VLOOKUP(B26,'Cham cong'!$B$9:$BY$275,71,0)</f>
        <v>0</v>
      </c>
      <c r="AB26" s="17">
        <f>VLOOKUP(B26,'Cham cong'!$B$9:$BY$275,36,0)</f>
        <v>0</v>
      </c>
      <c r="AC26" s="17"/>
      <c r="AD26" s="17"/>
      <c r="AE26" s="17"/>
      <c r="AF26" s="17"/>
      <c r="AG26" s="17"/>
      <c r="AH26" s="17"/>
      <c r="AI26" s="17"/>
      <c r="AJ26" s="17"/>
      <c r="AK26" s="927">
        <f>V26/'Cham cong'!$AS$3*(W26+Z26/8*2+AA26/8*1.5+AB26*3)+J26/'Cham cong'!$AS$3*(X26+Y26)+AC26+P26+AE26+AG26+AH26+AI26+AJ26</f>
        <v>12312.515384615384</v>
      </c>
      <c r="AL26" s="17">
        <f>AM26*$AN$3</f>
        <v>525</v>
      </c>
      <c r="AM26" s="920">
        <v>5000</v>
      </c>
      <c r="AN26" s="938">
        <f>VLOOKUP(B26,'Cham cong'!$B$9:$BY$275,75,0)</f>
        <v>0</v>
      </c>
      <c r="AO26" s="938"/>
      <c r="AP26" s="950">
        <f>ROUND(AK26-AL26-AN26+AO26,-1)</f>
        <v>11790</v>
      </c>
      <c r="AR26" s="974">
        <f t="shared" si="20"/>
        <v>12312515.384615384</v>
      </c>
      <c r="AS26" s="856">
        <f t="shared" si="4"/>
        <v>5000000</v>
      </c>
      <c r="AT26" s="856">
        <f t="shared" si="5"/>
        <v>0</v>
      </c>
      <c r="AU26" s="952"/>
      <c r="AV26" s="952"/>
      <c r="AW26" s="952"/>
      <c r="AY26" s="952"/>
      <c r="BG26" s="952"/>
      <c r="BK26" s="952"/>
      <c r="BL26" s="952"/>
    </row>
    <row r="27" spans="1:64" s="857" customFormat="1">
      <c r="A27" s="911"/>
      <c r="B27" s="1256"/>
      <c r="C27" s="141" t="s">
        <v>296</v>
      </c>
      <c r="D27" s="894"/>
      <c r="E27" s="912"/>
      <c r="F27" s="913"/>
      <c r="G27" s="894"/>
      <c r="H27" s="894"/>
      <c r="I27" s="918"/>
      <c r="J27" s="918"/>
      <c r="K27" s="918"/>
      <c r="L27" s="918"/>
      <c r="M27" s="918"/>
      <c r="N27" s="918"/>
      <c r="O27" s="918"/>
      <c r="P27" s="918"/>
      <c r="Q27" s="918"/>
      <c r="R27" s="918"/>
      <c r="S27" s="918"/>
      <c r="T27" s="918"/>
      <c r="U27" s="918"/>
      <c r="V27" s="925"/>
      <c r="W27" s="926"/>
      <c r="X27" s="918"/>
      <c r="Y27" s="918"/>
      <c r="Z27" s="918"/>
      <c r="AA27" s="918"/>
      <c r="AB27" s="918"/>
      <c r="AC27" s="918"/>
      <c r="AD27" s="918"/>
      <c r="AE27" s="918"/>
      <c r="AF27" s="918"/>
      <c r="AG27" s="918"/>
      <c r="AH27" s="918"/>
      <c r="AI27" s="918"/>
      <c r="AJ27" s="918"/>
      <c r="AK27" s="937">
        <f>SUM(AK28:AK28)</f>
        <v>63912.153846153844</v>
      </c>
      <c r="AL27" s="937">
        <f t="shared" ref="AL27:AP27" si="23">SUM(AL28:AL28)</f>
        <v>871.5</v>
      </c>
      <c r="AM27" s="937">
        <f t="shared" si="23"/>
        <v>8300</v>
      </c>
      <c r="AN27" s="937">
        <f t="shared" si="23"/>
        <v>0</v>
      </c>
      <c r="AO27" s="937">
        <f t="shared" si="23"/>
        <v>0</v>
      </c>
      <c r="AP27" s="937">
        <f t="shared" si="23"/>
        <v>63040</v>
      </c>
      <c r="AR27" s="974">
        <f t="shared" si="20"/>
        <v>63912153.84615384</v>
      </c>
      <c r="AS27" s="856">
        <f t="shared" si="4"/>
        <v>8300000</v>
      </c>
      <c r="AT27" s="856">
        <f t="shared" si="5"/>
        <v>0</v>
      </c>
      <c r="AU27" s="952"/>
      <c r="AV27" s="952"/>
      <c r="AW27" s="952"/>
      <c r="AY27" s="952"/>
      <c r="BG27" s="952"/>
      <c r="BK27" s="952"/>
      <c r="BL27" s="952"/>
    </row>
    <row r="28" spans="1:64" s="1314" customFormat="1">
      <c r="A28" s="1291">
        <v>1</v>
      </c>
      <c r="B28" s="1383" t="s">
        <v>297</v>
      </c>
      <c r="C28" s="1384" t="s">
        <v>298</v>
      </c>
      <c r="D28" s="1385" t="s">
        <v>299</v>
      </c>
      <c r="E28" s="1312">
        <v>43507</v>
      </c>
      <c r="F28" s="1313">
        <v>3</v>
      </c>
      <c r="G28" s="1311">
        <f>DATEDIF(E28,$J$3,"y")</f>
        <v>0</v>
      </c>
      <c r="H28" s="1311">
        <f>DATEDIF(E28,$J$3,"ym")</f>
        <v>6</v>
      </c>
      <c r="I28" s="1300">
        <f>DATEDIF(E28,$J$3,"md")</f>
        <v>14</v>
      </c>
      <c r="J28" s="1382">
        <v>36170</v>
      </c>
      <c r="K28" s="1300">
        <v>0</v>
      </c>
      <c r="L28" s="1300">
        <v>3000</v>
      </c>
      <c r="M28" s="1300">
        <f>IF(G28&gt;=3,J28*(0.03+(G28-3)*0.01),0)</f>
        <v>0</v>
      </c>
      <c r="N28" s="1300">
        <v>0</v>
      </c>
      <c r="O28" s="1300">
        <v>1000</v>
      </c>
      <c r="P28" s="1300">
        <v>1000</v>
      </c>
      <c r="Q28" s="1300">
        <v>0</v>
      </c>
      <c r="R28" s="1300">
        <f>30%*'THANG B.LUONG'!D34</f>
        <v>6351</v>
      </c>
      <c r="S28" s="1300">
        <v>0</v>
      </c>
      <c r="T28" s="1300">
        <v>0</v>
      </c>
      <c r="U28" s="1300">
        <v>0</v>
      </c>
      <c r="V28" s="1300">
        <f>SUM(J28:U28)-P28</f>
        <v>46521</v>
      </c>
      <c r="W28" s="1299">
        <f>VLOOKUP(B28,'Cham cong'!$B$9:$BY$275,35,0)</f>
        <v>26</v>
      </c>
      <c r="X28" s="1300">
        <f>VLOOKUP(B28,'Cham cong'!$B$9:$BY$275,37,0)</f>
        <v>0</v>
      </c>
      <c r="Y28" s="1300">
        <f>VLOOKUP(B28,'Cham cong'!$B$9:$BY$275,38,0)</f>
        <v>1</v>
      </c>
      <c r="Z28" s="1300">
        <f>VLOOKUP(B28,'Cham cong'!$B$9:$BY$275,72,0)</f>
        <v>0</v>
      </c>
      <c r="AA28" s="1300">
        <f>VLOOKUP(B28,'Cham cong'!$B$9:$BY$275,71,0)</f>
        <v>0</v>
      </c>
      <c r="AB28" s="1300">
        <f>VLOOKUP(B28,'Cham cong'!$B$9:$BY$275,36,0)</f>
        <v>0</v>
      </c>
      <c r="AC28" s="1300"/>
      <c r="AD28" s="1300"/>
      <c r="AE28" s="1300"/>
      <c r="AF28" s="1300"/>
      <c r="AG28" s="1300"/>
      <c r="AH28" s="1300"/>
      <c r="AI28" s="1300"/>
      <c r="AJ28" s="1300">
        <v>15000</v>
      </c>
      <c r="AK28" s="1300">
        <f>V28/'Cham cong'!$AS$3*(W28+Z28/8*2+AA28/8*1.5+AB28*3)+J28/'Cham cong'!$AS$3*(X28+Y28)+AC28+P28+AE28+AG28+AH28+AI28+AJ28</f>
        <v>63912.153846153844</v>
      </c>
      <c r="AL28" s="1300">
        <f>AM28*$AN$3</f>
        <v>871.5</v>
      </c>
      <c r="AM28" s="920">
        <v>8300</v>
      </c>
      <c r="AN28" s="1303">
        <f>VLOOKUP(B28,'Cham cong'!$B$9:$BY$275,75,0)</f>
        <v>0</v>
      </c>
      <c r="AO28" s="1303"/>
      <c r="AP28" s="1303">
        <f>ROUND(AK28-AL28-AN28+AO28,-1)</f>
        <v>63040</v>
      </c>
      <c r="AR28" s="1315"/>
      <c r="AU28" s="1318"/>
      <c r="AV28" s="1318"/>
      <c r="AW28" s="1318"/>
      <c r="AY28" s="1318"/>
      <c r="BG28" s="1318"/>
      <c r="BK28" s="1318"/>
      <c r="BL28" s="1318"/>
    </row>
    <row r="29" spans="1:64" s="856" customFormat="1">
      <c r="A29" s="910"/>
      <c r="B29" s="109"/>
      <c r="C29" s="95" t="s">
        <v>300</v>
      </c>
      <c r="D29" s="96"/>
      <c r="E29" s="899"/>
      <c r="F29" s="140"/>
      <c r="G29" s="140"/>
      <c r="H29" s="140"/>
      <c r="I29" s="140"/>
      <c r="J29" s="140"/>
      <c r="K29" s="140"/>
      <c r="L29" s="140"/>
      <c r="M29" s="140"/>
      <c r="N29" s="140"/>
      <c r="O29" s="140"/>
      <c r="P29" s="140"/>
      <c r="Q29" s="140"/>
      <c r="R29" s="140"/>
      <c r="S29" s="140"/>
      <c r="T29" s="140"/>
      <c r="U29" s="140"/>
      <c r="V29" s="140"/>
      <c r="W29" s="140"/>
      <c r="X29" s="140"/>
      <c r="Y29" s="140"/>
      <c r="Z29" s="140"/>
      <c r="AA29" s="140"/>
      <c r="AB29" s="140"/>
      <c r="AC29" s="140"/>
      <c r="AD29" s="140"/>
      <c r="AE29" s="140"/>
      <c r="AF29" s="140"/>
      <c r="AG29" s="140"/>
      <c r="AH29" s="140"/>
      <c r="AI29" s="140"/>
      <c r="AJ29" s="140"/>
      <c r="AK29" s="937">
        <f>SUM(AK30:AK41)</f>
        <v>208145.30961538461</v>
      </c>
      <c r="AL29" s="937">
        <f t="shared" ref="AL29:AP29" si="24">SUM(AL30:AL41)</f>
        <v>5187</v>
      </c>
      <c r="AM29" s="937">
        <f t="shared" si="24"/>
        <v>57700</v>
      </c>
      <c r="AN29" s="937">
        <f t="shared" si="24"/>
        <v>4000</v>
      </c>
      <c r="AO29" s="937">
        <f t="shared" si="24"/>
        <v>0</v>
      </c>
      <c r="AP29" s="937">
        <f t="shared" si="24"/>
        <v>198950</v>
      </c>
      <c r="AR29" s="974">
        <f t="shared" ref="AR29:AR37" si="25">AK29*1000</f>
        <v>208145309.61538461</v>
      </c>
      <c r="AS29" s="953">
        <f>AM29*1000</f>
        <v>57700000</v>
      </c>
      <c r="AT29" s="856">
        <f t="shared" si="5"/>
        <v>4000000</v>
      </c>
      <c r="AU29" s="949"/>
      <c r="AV29" s="949"/>
      <c r="AW29" s="949"/>
      <c r="AY29" s="949"/>
      <c r="BG29" s="949"/>
      <c r="BK29" s="949"/>
      <c r="BL29" s="949"/>
    </row>
    <row r="30" spans="1:64" s="856" customFormat="1" ht="13.5" customHeight="1">
      <c r="A30" s="895">
        <v>1</v>
      </c>
      <c r="B30" s="98" t="s">
        <v>301</v>
      </c>
      <c r="C30" s="92" t="s">
        <v>302</v>
      </c>
      <c r="D30" s="100" t="s">
        <v>23</v>
      </c>
      <c r="E30" s="896">
        <v>41852</v>
      </c>
      <c r="F30" s="897">
        <v>3</v>
      </c>
      <c r="G30" s="106">
        <f t="shared" ref="G30:G41" si="26">DATEDIF(E30,$J$3,"y")</f>
        <v>5</v>
      </c>
      <c r="H30" s="106">
        <f t="shared" ref="H30:H41" si="27">DATEDIF(E30,$J$3,"ym")</f>
        <v>0</v>
      </c>
      <c r="I30" s="17">
        <f t="shared" ref="I30:I41" si="28">DATEDIF(E30,$J$3,"md")</f>
        <v>24</v>
      </c>
      <c r="J30" s="17">
        <f>VLOOKUP(D30,'THANG B.LUONG'!$B$5:$I$511,F30+1,0)</f>
        <v>36680</v>
      </c>
      <c r="K30" s="17">
        <v>0</v>
      </c>
      <c r="L30" s="17">
        <v>3000</v>
      </c>
      <c r="M30" s="17">
        <f t="shared" ref="M30:M41" si="29">IF(G30&gt;=3,J30*(0.03+(G30-3)*0.01),0)</f>
        <v>1834</v>
      </c>
      <c r="N30" s="17">
        <v>0</v>
      </c>
      <c r="O30" s="17">
        <v>1000</v>
      </c>
      <c r="P30" s="17">
        <v>1000</v>
      </c>
      <c r="Q30" s="17">
        <v>0</v>
      </c>
      <c r="R30" s="17">
        <v>0</v>
      </c>
      <c r="S30" s="17">
        <v>0</v>
      </c>
      <c r="T30" s="17">
        <v>0</v>
      </c>
      <c r="U30" s="17">
        <v>0</v>
      </c>
      <c r="V30" s="927">
        <f t="shared" ref="V30:V41" si="30">SUM(J30:U30)-P30</f>
        <v>42514</v>
      </c>
      <c r="W30" s="928">
        <f>VLOOKUP(B30,'Cham cong'!$B$9:$BY$275,35,0)</f>
        <v>26</v>
      </c>
      <c r="X30" s="17">
        <f>VLOOKUP(B30,'Cham cong'!$B$9:$BY$275,37,0)</f>
        <v>0</v>
      </c>
      <c r="Y30" s="17">
        <f>VLOOKUP(B30,'Cham cong'!$B$9:$BY$275,38,0)</f>
        <v>1</v>
      </c>
      <c r="Z30" s="17">
        <f>VLOOKUP(B30,'Cham cong'!$B$9:$BY$275,72,0)</f>
        <v>0</v>
      </c>
      <c r="AA30" s="17">
        <f>VLOOKUP(B30,'Cham cong'!$B$9:$BY$275,71,0)</f>
        <v>0</v>
      </c>
      <c r="AB30" s="17">
        <f>VLOOKUP(B30,'Cham cong'!$B$9:$BY$275,36,0)</f>
        <v>0</v>
      </c>
      <c r="AC30" s="17"/>
      <c r="AD30" s="17"/>
      <c r="AE30" s="17"/>
      <c r="AF30" s="17"/>
      <c r="AG30" s="17"/>
      <c r="AH30" s="17"/>
      <c r="AI30" s="17"/>
      <c r="AJ30" s="1069">
        <v>30000</v>
      </c>
      <c r="AK30" s="927">
        <f>V30/'Cham cong'!$AS$3*(W30+Z30/8*2+AA30/8*1.5+AB30*3)+J30/'Cham cong'!$AS$3*(X30+Y30)+AC30+P30+AE30+AG30+AH30+AI30+AJ30</f>
        <v>74924.769230769234</v>
      </c>
      <c r="AL30" s="920">
        <v>0</v>
      </c>
      <c r="AM30" s="920">
        <v>8300</v>
      </c>
      <c r="AN30" s="938">
        <f>VLOOKUP(B30,'Cham cong'!$B$9:$BY$275,75,0)</f>
        <v>0</v>
      </c>
      <c r="AO30" s="938"/>
      <c r="AP30" s="950">
        <f t="shared" ref="AP30:AP41" si="31">ROUND(AK30-AL30-AN30+AO30,-1)</f>
        <v>74920</v>
      </c>
      <c r="AQ30" s="856">
        <v>41600</v>
      </c>
      <c r="AR30" s="951">
        <f t="shared" si="25"/>
        <v>74924769.230769232</v>
      </c>
      <c r="AS30" s="856">
        <f t="shared" si="4"/>
        <v>8300000</v>
      </c>
      <c r="AT30" s="856">
        <f t="shared" si="5"/>
        <v>0</v>
      </c>
      <c r="AU30" s="949"/>
      <c r="AV30" s="949"/>
      <c r="AW30" s="949"/>
      <c r="AY30" s="949"/>
      <c r="BG30" s="949"/>
      <c r="BK30" s="949"/>
      <c r="BL30" s="949"/>
    </row>
    <row r="31" spans="1:64" s="856" customFormat="1" ht="12.75">
      <c r="A31" s="895">
        <v>2</v>
      </c>
      <c r="B31" s="91" t="s">
        <v>303</v>
      </c>
      <c r="C31" s="105" t="s">
        <v>304</v>
      </c>
      <c r="D31" s="106" t="s">
        <v>33</v>
      </c>
      <c r="E31" s="896">
        <v>40239</v>
      </c>
      <c r="F31" s="897">
        <v>3</v>
      </c>
      <c r="G31" s="106">
        <f t="shared" si="26"/>
        <v>9</v>
      </c>
      <c r="H31" s="106">
        <f t="shared" si="27"/>
        <v>5</v>
      </c>
      <c r="I31" s="17">
        <f t="shared" si="28"/>
        <v>23</v>
      </c>
      <c r="J31" s="17">
        <f>VLOOKUP(D31,'THANG B.LUONG'!$B$5:$I$511,F31+1,0)</f>
        <v>8510</v>
      </c>
      <c r="K31" s="17">
        <v>0</v>
      </c>
      <c r="L31" s="17">
        <v>2000</v>
      </c>
      <c r="M31" s="17">
        <f t="shared" si="29"/>
        <v>765.9</v>
      </c>
      <c r="N31" s="17">
        <v>0</v>
      </c>
      <c r="O31" s="17">
        <v>0</v>
      </c>
      <c r="P31" s="17">
        <v>0</v>
      </c>
      <c r="Q31" s="17">
        <v>0</v>
      </c>
      <c r="R31" s="17">
        <v>0</v>
      </c>
      <c r="S31" s="17">
        <v>0</v>
      </c>
      <c r="T31" s="17">
        <v>0</v>
      </c>
      <c r="U31" s="17">
        <v>0</v>
      </c>
      <c r="V31" s="927">
        <f t="shared" si="30"/>
        <v>11275.9</v>
      </c>
      <c r="W31" s="928">
        <f>VLOOKUP(B31,'Cham cong'!$B$9:$BY$275,35,0)</f>
        <v>26</v>
      </c>
      <c r="X31" s="17">
        <f>VLOOKUP(B31,'Cham cong'!$B$9:$BY$275,37,0)</f>
        <v>0</v>
      </c>
      <c r="Y31" s="17">
        <f>VLOOKUP(B31,'Cham cong'!$B$9:$BY$275,38,0)</f>
        <v>1</v>
      </c>
      <c r="Z31" s="17">
        <f>VLOOKUP(B31,'Cham cong'!$B$9:$BY$275,72,0)</f>
        <v>0</v>
      </c>
      <c r="AA31" s="17">
        <f>VLOOKUP(B31,'Cham cong'!$B$9:$BY$275,71,0)</f>
        <v>0</v>
      </c>
      <c r="AB31" s="17">
        <f>VLOOKUP(B31,'Cham cong'!$B$9:$BY$275,36,0)</f>
        <v>0</v>
      </c>
      <c r="AC31" s="17"/>
      <c r="AD31" s="17"/>
      <c r="AE31" s="17"/>
      <c r="AF31" s="17"/>
      <c r="AG31" s="17"/>
      <c r="AH31" s="17"/>
      <c r="AI31" s="17"/>
      <c r="AJ31" s="17"/>
      <c r="AK31" s="927">
        <f>V31/'Cham cong'!$AS$3*(W31+Z31/8*2+AA31/8*1.5+AB31*3)+J31/'Cham cong'!$AS$3*(X31+Y31)+AC31+P31+AE31+AG31+AH31+AI31+AJ31</f>
        <v>11603.207692307691</v>
      </c>
      <c r="AL31" s="17">
        <f t="shared" ref="AL31:AL41" si="32">AM31*$AN$3</f>
        <v>504</v>
      </c>
      <c r="AM31" s="940">
        <v>4800</v>
      </c>
      <c r="AN31" s="938">
        <f>VLOOKUP(B31,'Cham cong'!$B$9:$BY$275,75,0)</f>
        <v>0</v>
      </c>
      <c r="AO31" s="938"/>
      <c r="AP31" s="950">
        <f t="shared" si="31"/>
        <v>11100</v>
      </c>
      <c r="AR31" s="951">
        <f t="shared" si="25"/>
        <v>11603207.692307692</v>
      </c>
      <c r="AS31" s="856">
        <f t="shared" si="4"/>
        <v>4800000</v>
      </c>
      <c r="AT31" s="856">
        <f t="shared" si="5"/>
        <v>0</v>
      </c>
      <c r="AU31" s="949"/>
      <c r="AV31" s="949"/>
      <c r="AW31" s="949"/>
      <c r="AY31" s="949"/>
      <c r="BG31" s="949"/>
      <c r="BK31" s="949"/>
      <c r="BL31" s="949"/>
    </row>
    <row r="32" spans="1:64" s="856" customFormat="1" ht="12.75">
      <c r="A32" s="895">
        <v>3</v>
      </c>
      <c r="B32" s="91" t="s">
        <v>305</v>
      </c>
      <c r="C32" s="105" t="s">
        <v>306</v>
      </c>
      <c r="D32" s="106" t="s">
        <v>30</v>
      </c>
      <c r="E32" s="896">
        <v>42187</v>
      </c>
      <c r="F32" s="897">
        <v>2</v>
      </c>
      <c r="G32" s="106">
        <f t="shared" si="26"/>
        <v>4</v>
      </c>
      <c r="H32" s="106">
        <f t="shared" si="27"/>
        <v>1</v>
      </c>
      <c r="I32" s="17">
        <f t="shared" si="28"/>
        <v>23</v>
      </c>
      <c r="J32" s="17">
        <f>VLOOKUP(D32,'THANG B.LUONG'!$B$5:$I$511,F32+1,0)</f>
        <v>8280</v>
      </c>
      <c r="K32" s="17">
        <v>0</v>
      </c>
      <c r="L32" s="17">
        <v>0</v>
      </c>
      <c r="M32" s="17">
        <f t="shared" si="29"/>
        <v>331.2</v>
      </c>
      <c r="N32" s="17">
        <v>0</v>
      </c>
      <c r="O32" s="17">
        <v>0</v>
      </c>
      <c r="P32" s="17">
        <v>0</v>
      </c>
      <c r="Q32" s="17">
        <v>0</v>
      </c>
      <c r="R32" s="17">
        <f>30%*'THANG B.LUONG'!C25</f>
        <v>3516</v>
      </c>
      <c r="S32" s="17">
        <v>0</v>
      </c>
      <c r="T32" s="17">
        <v>0</v>
      </c>
      <c r="U32" s="17">
        <v>0</v>
      </c>
      <c r="V32" s="927">
        <f t="shared" si="30"/>
        <v>12127.2</v>
      </c>
      <c r="W32" s="928">
        <f>VLOOKUP(B32,'Cham cong'!$B$9:$BY$275,35,0)</f>
        <v>26</v>
      </c>
      <c r="X32" s="17">
        <f>VLOOKUP(B32,'Cham cong'!$B$9:$BY$275,37,0)</f>
        <v>0</v>
      </c>
      <c r="Y32" s="17">
        <f>VLOOKUP(B32,'Cham cong'!$B$9:$BY$275,38,0)</f>
        <v>1</v>
      </c>
      <c r="Z32" s="17">
        <f>VLOOKUP(B32,'Cham cong'!$B$9:$BY$275,72,0)</f>
        <v>0</v>
      </c>
      <c r="AA32" s="17">
        <f>VLOOKUP(B32,'Cham cong'!$B$9:$BY$275,71,0)</f>
        <v>0</v>
      </c>
      <c r="AB32" s="17">
        <f>VLOOKUP(B32,'Cham cong'!$B$9:$BY$275,36,0)</f>
        <v>0</v>
      </c>
      <c r="AC32" s="17"/>
      <c r="AD32" s="17"/>
      <c r="AE32" s="17"/>
      <c r="AF32" s="17"/>
      <c r="AG32" s="17"/>
      <c r="AH32" s="17"/>
      <c r="AI32" s="17"/>
      <c r="AJ32" s="17"/>
      <c r="AK32" s="927">
        <f>V32/'Cham cong'!$AS$3*(W32+Z32/8*2+AA32/8*1.5+AB32*3)+J32/'Cham cong'!$AS$3*(X32+Y32)+AC32+P32+AE32+AG32+AH32+AI32+AJ32</f>
        <v>12445.66153846154</v>
      </c>
      <c r="AL32" s="17">
        <f t="shared" si="32"/>
        <v>504</v>
      </c>
      <c r="AM32" s="940">
        <v>4800</v>
      </c>
      <c r="AN32" s="938">
        <f>VLOOKUP(B32,'Cham cong'!$B$9:$BY$275,75,0)</f>
        <v>0</v>
      </c>
      <c r="AO32" s="938"/>
      <c r="AP32" s="950">
        <f t="shared" si="31"/>
        <v>11940</v>
      </c>
      <c r="AR32" s="951">
        <f t="shared" si="25"/>
        <v>12445661.53846154</v>
      </c>
      <c r="AS32" s="856">
        <f t="shared" si="4"/>
        <v>4800000</v>
      </c>
      <c r="AT32" s="856">
        <f t="shared" si="5"/>
        <v>0</v>
      </c>
      <c r="AU32" s="949"/>
      <c r="AV32" s="949"/>
      <c r="AW32" s="949"/>
      <c r="AY32" s="949"/>
      <c r="BG32" s="949"/>
      <c r="BK32" s="949"/>
      <c r="BL32" s="949"/>
    </row>
    <row r="33" spans="1:64" s="856" customFormat="1" ht="12.75">
      <c r="A33" s="895">
        <v>4</v>
      </c>
      <c r="B33" s="91" t="s">
        <v>307</v>
      </c>
      <c r="C33" s="105" t="s">
        <v>308</v>
      </c>
      <c r="D33" s="106" t="s">
        <v>30</v>
      </c>
      <c r="E33" s="896">
        <v>42537</v>
      </c>
      <c r="F33" s="897">
        <v>2</v>
      </c>
      <c r="G33" s="106">
        <f t="shared" si="26"/>
        <v>3</v>
      </c>
      <c r="H33" s="106">
        <f t="shared" si="27"/>
        <v>2</v>
      </c>
      <c r="I33" s="17">
        <f t="shared" si="28"/>
        <v>9</v>
      </c>
      <c r="J33" s="17">
        <f>VLOOKUP(D33,'THANG B.LUONG'!$B$5:$I$511,F33+1,0)</f>
        <v>8280</v>
      </c>
      <c r="K33" s="17">
        <v>0</v>
      </c>
      <c r="L33" s="17">
        <v>0</v>
      </c>
      <c r="M33" s="17">
        <f t="shared" si="29"/>
        <v>248.39999999999998</v>
      </c>
      <c r="N33" s="17">
        <v>0</v>
      </c>
      <c r="O33" s="17">
        <v>0</v>
      </c>
      <c r="P33" s="17">
        <v>0</v>
      </c>
      <c r="Q33" s="17">
        <v>0</v>
      </c>
      <c r="R33" s="17">
        <v>0</v>
      </c>
      <c r="S33" s="17">
        <v>0</v>
      </c>
      <c r="T33" s="17">
        <v>0</v>
      </c>
      <c r="U33" s="17">
        <v>0</v>
      </c>
      <c r="V33" s="927">
        <f t="shared" si="30"/>
        <v>8528.4</v>
      </c>
      <c r="W33" s="928">
        <f>VLOOKUP(B33,'Cham cong'!$B$9:$BY$275,35,0)</f>
        <v>26</v>
      </c>
      <c r="X33" s="17">
        <f>VLOOKUP(B33,'Cham cong'!$B$9:$BY$275,37,0)</f>
        <v>0</v>
      </c>
      <c r="Y33" s="17">
        <f>VLOOKUP(B33,'Cham cong'!$B$9:$BY$275,38,0)</f>
        <v>1</v>
      </c>
      <c r="Z33" s="17">
        <f>VLOOKUP(B33,'Cham cong'!$B$9:$BY$275,72,0)</f>
        <v>0</v>
      </c>
      <c r="AA33" s="17">
        <f>VLOOKUP(B33,'Cham cong'!$B$9:$BY$275,71,0)</f>
        <v>0</v>
      </c>
      <c r="AB33" s="17">
        <f>VLOOKUP(B33,'Cham cong'!$B$9:$BY$275,36,0)</f>
        <v>0</v>
      </c>
      <c r="AC33" s="17"/>
      <c r="AD33" s="17"/>
      <c r="AE33" s="17"/>
      <c r="AF33" s="17"/>
      <c r="AG33" s="17"/>
      <c r="AH33" s="17"/>
      <c r="AI33" s="17"/>
      <c r="AJ33" s="17"/>
      <c r="AK33" s="927">
        <f>V33/'Cham cong'!$AS$3*(W33+Z33/8*2+AA33/8*1.5+AB33*3)+J33/'Cham cong'!$AS$3*(X33+Y33)+AC33+P33+AE33+AG33+AH33+AI33+AJ33</f>
        <v>8846.8615384615387</v>
      </c>
      <c r="AL33" s="17">
        <f t="shared" si="32"/>
        <v>504</v>
      </c>
      <c r="AM33" s="940">
        <v>4800</v>
      </c>
      <c r="AN33" s="938">
        <f>VLOOKUP(B33,'Cham cong'!$B$9:$BY$275,75,0)</f>
        <v>0</v>
      </c>
      <c r="AO33" s="938"/>
      <c r="AP33" s="950">
        <f t="shared" si="31"/>
        <v>8340</v>
      </c>
      <c r="AR33" s="951">
        <f t="shared" si="25"/>
        <v>8846861.538461538</v>
      </c>
      <c r="AS33" s="856">
        <f t="shared" si="4"/>
        <v>4800000</v>
      </c>
      <c r="AT33" s="856">
        <f t="shared" si="5"/>
        <v>0</v>
      </c>
      <c r="AU33" s="949"/>
      <c r="AV33" s="949"/>
      <c r="AW33" s="949"/>
      <c r="AY33" s="949"/>
      <c r="BG33" s="949"/>
      <c r="BK33" s="949"/>
      <c r="BL33" s="949"/>
    </row>
    <row r="34" spans="1:64" s="856" customFormat="1">
      <c r="A34" s="895">
        <v>5</v>
      </c>
      <c r="B34" s="91" t="s">
        <v>309</v>
      </c>
      <c r="C34" s="105" t="s">
        <v>310</v>
      </c>
      <c r="D34" s="106" t="s">
        <v>28</v>
      </c>
      <c r="E34" s="896">
        <v>42795</v>
      </c>
      <c r="F34" s="897">
        <v>2</v>
      </c>
      <c r="G34" s="106">
        <f t="shared" si="26"/>
        <v>2</v>
      </c>
      <c r="H34" s="106">
        <f t="shared" si="27"/>
        <v>5</v>
      </c>
      <c r="I34" s="17">
        <f t="shared" si="28"/>
        <v>24</v>
      </c>
      <c r="J34" s="17">
        <f>VLOOKUP(D34,'THANG B.LUONG'!$B$5:$I$511,F34+1,0)</f>
        <v>12950</v>
      </c>
      <c r="K34" s="17">
        <v>0</v>
      </c>
      <c r="L34" s="17">
        <v>0</v>
      </c>
      <c r="M34" s="17">
        <f t="shared" si="29"/>
        <v>0</v>
      </c>
      <c r="N34" s="17">
        <v>0</v>
      </c>
      <c r="O34" s="17">
        <v>0</v>
      </c>
      <c r="P34" s="17">
        <v>0</v>
      </c>
      <c r="Q34" s="17">
        <v>0</v>
      </c>
      <c r="R34" s="17">
        <v>0</v>
      </c>
      <c r="S34" s="17">
        <v>0</v>
      </c>
      <c r="T34" s="17">
        <v>0</v>
      </c>
      <c r="U34" s="17">
        <v>0</v>
      </c>
      <c r="V34" s="927">
        <f t="shared" si="30"/>
        <v>12950</v>
      </c>
      <c r="W34" s="928">
        <f>VLOOKUP(B34,'Cham cong'!$B$9:$BY$275,35,0)</f>
        <v>26</v>
      </c>
      <c r="X34" s="17">
        <f>VLOOKUP(B34,'Cham cong'!$B$9:$BY$275,37,0)</f>
        <v>0</v>
      </c>
      <c r="Y34" s="17">
        <f>VLOOKUP(B34,'Cham cong'!$B$9:$BY$275,38,0)</f>
        <v>1</v>
      </c>
      <c r="Z34" s="17">
        <f>VLOOKUP(B34,'Cham cong'!$B$9:$BY$275,72,0)</f>
        <v>0</v>
      </c>
      <c r="AA34" s="17">
        <f>VLOOKUP(B34,'Cham cong'!$B$9:$BY$275,71,0)</f>
        <v>0</v>
      </c>
      <c r="AB34" s="17">
        <f>VLOOKUP(B34,'Cham cong'!$B$9:$BY$275,36,0)</f>
        <v>0</v>
      </c>
      <c r="AC34" s="17"/>
      <c r="AD34" s="17"/>
      <c r="AE34" s="17"/>
      <c r="AF34" s="17"/>
      <c r="AG34" s="17"/>
      <c r="AH34" s="17"/>
      <c r="AI34" s="17"/>
      <c r="AJ34" s="17">
        <v>10000</v>
      </c>
      <c r="AK34" s="927">
        <f>V34/'Cham cong'!$AS$3*(W34+Z34/8*2+AA34/8*1.5+AB34*3)+J34/'Cham cong'!$AS$3*(X34+Y34)+AC34+P34+AE34+AG34+AH34+AI34+AJ34</f>
        <v>23448.076923076922</v>
      </c>
      <c r="AL34" s="17">
        <f t="shared" si="32"/>
        <v>577.5</v>
      </c>
      <c r="AM34" s="17">
        <v>5500</v>
      </c>
      <c r="AN34" s="938">
        <f>VLOOKUP(B34,'Cham cong'!$B$9:$BY$275,75,0)</f>
        <v>3000</v>
      </c>
      <c r="AO34" s="938"/>
      <c r="AP34" s="950">
        <f t="shared" si="31"/>
        <v>19870</v>
      </c>
      <c r="AR34" s="951">
        <f t="shared" si="25"/>
        <v>23448076.92307692</v>
      </c>
      <c r="AS34" s="856">
        <f t="shared" si="4"/>
        <v>5500000</v>
      </c>
      <c r="AT34" s="856">
        <f t="shared" si="5"/>
        <v>3000000</v>
      </c>
      <c r="AU34" s="949"/>
      <c r="AV34" s="949"/>
      <c r="AW34" s="949"/>
      <c r="AY34" s="949"/>
      <c r="BG34" s="949"/>
      <c r="BK34" s="949"/>
      <c r="BL34" s="949"/>
    </row>
    <row r="35" spans="1:64" s="1507" customFormat="1" hidden="1">
      <c r="A35" s="1497">
        <v>5</v>
      </c>
      <c r="B35" s="1498" t="s">
        <v>1319</v>
      </c>
      <c r="C35" s="1499" t="s">
        <v>1320</v>
      </c>
      <c r="D35" s="661" t="s">
        <v>29</v>
      </c>
      <c r="E35" s="1500">
        <v>43682</v>
      </c>
      <c r="F35" s="1501">
        <v>2</v>
      </c>
      <c r="G35" s="661">
        <f t="shared" ref="G35" si="33">DATEDIF(E35,$J$3,"y")</f>
        <v>0</v>
      </c>
      <c r="H35" s="661">
        <f t="shared" ref="H35" si="34">DATEDIF(E35,$J$3,"ym")</f>
        <v>0</v>
      </c>
      <c r="I35" s="1502">
        <f t="shared" ref="I35" si="35">DATEDIF(E35,$J$3,"md")</f>
        <v>20</v>
      </c>
      <c r="J35" s="1502">
        <v>7500</v>
      </c>
      <c r="K35" s="1502">
        <v>0</v>
      </c>
      <c r="L35" s="1502">
        <v>0</v>
      </c>
      <c r="M35" s="1502">
        <f t="shared" ref="M35" si="36">IF(G35&gt;=3,J35*(0.03+(G35-3)*0.01),0)</f>
        <v>0</v>
      </c>
      <c r="N35" s="1502">
        <v>0</v>
      </c>
      <c r="O35" s="1502">
        <v>0</v>
      </c>
      <c r="P35" s="1502">
        <v>0</v>
      </c>
      <c r="Q35" s="1502">
        <v>0</v>
      </c>
      <c r="R35" s="1502">
        <v>0</v>
      </c>
      <c r="S35" s="1502">
        <v>0</v>
      </c>
      <c r="T35" s="1502">
        <v>0</v>
      </c>
      <c r="U35" s="1502">
        <v>0</v>
      </c>
      <c r="V35" s="1503">
        <f t="shared" ref="V35" si="37">SUM(J35:U35)-P35</f>
        <v>7500</v>
      </c>
      <c r="W35" s="1504">
        <f>VLOOKUP(B35,'Cham cong'!$B$9:$BY$275,35,0)</f>
        <v>26</v>
      </c>
      <c r="X35" s="1502">
        <f>VLOOKUP(B35,'Cham cong'!$B$9:$BY$275,37,0)</f>
        <v>0</v>
      </c>
      <c r="Y35" s="1502">
        <f>VLOOKUP(B35,'Cham cong'!$B$9:$BY$275,38,0)</f>
        <v>1</v>
      </c>
      <c r="Z35" s="1502">
        <f>VLOOKUP(B35,'Cham cong'!$B$9:$BY$275,72,0)</f>
        <v>0</v>
      </c>
      <c r="AA35" s="1502">
        <f>VLOOKUP(B35,'Cham cong'!$B$9:$BY$275,71,0)</f>
        <v>0</v>
      </c>
      <c r="AB35" s="1502">
        <f>VLOOKUP(B35,'Cham cong'!$B$9:$BY$275,36,0)</f>
        <v>0</v>
      </c>
      <c r="AC35" s="1502"/>
      <c r="AD35" s="1502"/>
      <c r="AE35" s="1502"/>
      <c r="AF35" s="1502"/>
      <c r="AG35" s="1502"/>
      <c r="AH35" s="1502"/>
      <c r="AI35" s="1502"/>
      <c r="AJ35" s="1502"/>
      <c r="AK35" s="1503">
        <f>V35/'Cham cong'!$AS$3*(W35+Z35/8*2+AA35/8*1.5+AB35*3)+J35/'Cham cong'!$AS$3*(X35+Y35)+AC35+P35+AE35+AG35+AH35+AI35+AJ35</f>
        <v>7788.4615384615381</v>
      </c>
      <c r="AL35" s="1502">
        <f t="shared" ref="AL35" si="38">AM35*$AN$3</f>
        <v>0</v>
      </c>
      <c r="AM35" s="1502">
        <v>0</v>
      </c>
      <c r="AN35" s="938">
        <f>VLOOKUP(B35,'Cham cong'!$B$9:$BY$275,75,0)</f>
        <v>0</v>
      </c>
      <c r="AO35" s="1505"/>
      <c r="AP35" s="1506">
        <f t="shared" ref="AP35" si="39">ROUND(AK35-AL35-AN35+AO35,-1)</f>
        <v>7790</v>
      </c>
      <c r="AR35" s="1512">
        <f t="shared" ref="AR35" si="40">AK35*1000</f>
        <v>7788461.538461538</v>
      </c>
      <c r="AS35" s="1507">
        <f t="shared" ref="AS35" si="41">AM35*1000</f>
        <v>0</v>
      </c>
      <c r="AT35" s="1507">
        <f t="shared" ref="AT35" si="42">AN35*1000</f>
        <v>0</v>
      </c>
      <c r="AU35" s="1509"/>
      <c r="AV35" s="1509"/>
      <c r="AW35" s="1509"/>
      <c r="AY35" s="1509"/>
      <c r="BG35" s="1509"/>
      <c r="BK35" s="1509"/>
      <c r="BL35" s="1509"/>
    </row>
    <row r="36" spans="1:64" s="857" customFormat="1" ht="13.5" customHeight="1">
      <c r="A36" s="895">
        <v>6</v>
      </c>
      <c r="B36" s="91" t="s">
        <v>311</v>
      </c>
      <c r="C36" s="105" t="s">
        <v>312</v>
      </c>
      <c r="D36" s="106" t="s">
        <v>25</v>
      </c>
      <c r="E36" s="896">
        <v>42809</v>
      </c>
      <c r="F36" s="897">
        <v>3</v>
      </c>
      <c r="G36" s="106">
        <f t="shared" si="26"/>
        <v>2</v>
      </c>
      <c r="H36" s="106">
        <f t="shared" si="27"/>
        <v>5</v>
      </c>
      <c r="I36" s="17">
        <f t="shared" si="28"/>
        <v>10</v>
      </c>
      <c r="J36" s="17">
        <f>VLOOKUP(D36,'THANG B.LUONG'!$B$5:$I$511,F36+1,0)</f>
        <v>15280</v>
      </c>
      <c r="K36" s="17">
        <v>0</v>
      </c>
      <c r="L36" s="17">
        <v>0</v>
      </c>
      <c r="M36" s="17">
        <f t="shared" si="29"/>
        <v>0</v>
      </c>
      <c r="N36" s="17">
        <v>0</v>
      </c>
      <c r="O36" s="17">
        <v>200</v>
      </c>
      <c r="P36" s="17">
        <v>0</v>
      </c>
      <c r="Q36" s="17">
        <v>0</v>
      </c>
      <c r="R36" s="17">
        <v>0</v>
      </c>
      <c r="S36" s="17">
        <v>0</v>
      </c>
      <c r="T36" s="17">
        <v>0</v>
      </c>
      <c r="U36" s="17">
        <v>0</v>
      </c>
      <c r="V36" s="927">
        <f t="shared" si="30"/>
        <v>15480</v>
      </c>
      <c r="W36" s="928">
        <f>VLOOKUP(B36,'Cham cong'!$B$9:$BY$275,35,0)</f>
        <v>26</v>
      </c>
      <c r="X36" s="17">
        <f>VLOOKUP(B36,'Cham cong'!$B$9:$BY$275,37,0)</f>
        <v>0</v>
      </c>
      <c r="Y36" s="17">
        <f>VLOOKUP(B36,'Cham cong'!$B$9:$BY$275,38,0)</f>
        <v>1</v>
      </c>
      <c r="Z36" s="17">
        <f>VLOOKUP(B36,'Cham cong'!$B$9:$BY$275,72,0)</f>
        <v>0</v>
      </c>
      <c r="AA36" s="17">
        <f>VLOOKUP(B36,'Cham cong'!$B$9:$BY$275,71,0)</f>
        <v>0</v>
      </c>
      <c r="AB36" s="17">
        <f>VLOOKUP(B36,'Cham cong'!$B$9:$BY$275,36,0)</f>
        <v>0</v>
      </c>
      <c r="AC36" s="17"/>
      <c r="AD36" s="17"/>
      <c r="AE36" s="17"/>
      <c r="AF36" s="17"/>
      <c r="AG36" s="17"/>
      <c r="AH36" s="17"/>
      <c r="AI36" s="17"/>
      <c r="AJ36" s="17"/>
      <c r="AK36" s="927">
        <f>V36/'Cham cong'!$AS$3*(W36+Z36/8*2+AA36/8*1.5+AB36*3)+J36/'Cham cong'!$AS$3*(X36+Y36)+AC36+P36+AE36+AG36+AH36+AI36+AJ36</f>
        <v>16067.692307692309</v>
      </c>
      <c r="AL36" s="17">
        <f t="shared" si="32"/>
        <v>525</v>
      </c>
      <c r="AM36" s="940">
        <v>5000</v>
      </c>
      <c r="AN36" s="938">
        <f>VLOOKUP(B36,'Cham cong'!$B$9:$BY$275,75,0)</f>
        <v>0</v>
      </c>
      <c r="AO36" s="938"/>
      <c r="AP36" s="950">
        <f t="shared" si="31"/>
        <v>15540</v>
      </c>
      <c r="AQ36" s="857">
        <v>15760</v>
      </c>
      <c r="AR36" s="951">
        <f t="shared" si="25"/>
        <v>16067692.307692308</v>
      </c>
      <c r="AS36" s="856">
        <f t="shared" si="4"/>
        <v>5000000</v>
      </c>
      <c r="AT36" s="856">
        <f t="shared" si="5"/>
        <v>0</v>
      </c>
      <c r="AU36" s="952"/>
      <c r="AV36" s="952"/>
      <c r="AW36" s="952"/>
      <c r="AY36" s="952"/>
      <c r="BG36" s="952"/>
      <c r="BK36" s="952"/>
      <c r="BL36" s="952"/>
    </row>
    <row r="37" spans="1:64" s="856" customFormat="1">
      <c r="A37" s="895">
        <v>7</v>
      </c>
      <c r="B37" s="1257" t="s">
        <v>313</v>
      </c>
      <c r="C37" s="914" t="s">
        <v>314</v>
      </c>
      <c r="D37" s="106" t="str">
        <f>'THANG B.LUONG'!B28</f>
        <v xml:space="preserve"> Kế toán nội bộ</v>
      </c>
      <c r="E37" s="896">
        <v>43070</v>
      </c>
      <c r="F37" s="897">
        <v>1</v>
      </c>
      <c r="G37" s="106">
        <f t="shared" si="26"/>
        <v>1</v>
      </c>
      <c r="H37" s="106">
        <f t="shared" si="27"/>
        <v>8</v>
      </c>
      <c r="I37" s="17">
        <f t="shared" si="28"/>
        <v>24</v>
      </c>
      <c r="J37" s="17">
        <f>VLOOKUP(D37,'THANG B.LUONG'!$B$5:$I$511,F37+1,0)</f>
        <v>7530</v>
      </c>
      <c r="K37" s="17">
        <v>0</v>
      </c>
      <c r="L37" s="17">
        <v>0</v>
      </c>
      <c r="M37" s="17">
        <f t="shared" si="29"/>
        <v>0</v>
      </c>
      <c r="N37" s="17">
        <v>0</v>
      </c>
      <c r="O37" s="17">
        <v>0</v>
      </c>
      <c r="P37" s="17">
        <v>0</v>
      </c>
      <c r="Q37" s="17">
        <v>0</v>
      </c>
      <c r="R37" s="17">
        <v>0</v>
      </c>
      <c r="S37" s="17">
        <v>0</v>
      </c>
      <c r="T37" s="17">
        <v>0</v>
      </c>
      <c r="U37" s="17">
        <v>0</v>
      </c>
      <c r="V37" s="927">
        <f t="shared" si="30"/>
        <v>7530</v>
      </c>
      <c r="W37" s="928">
        <f>VLOOKUP(B37,'Cham cong'!$B$9:$BY$275,35,0)</f>
        <v>26</v>
      </c>
      <c r="X37" s="17">
        <f>VLOOKUP(B37,'Cham cong'!$B$9:$BY$275,37,0)</f>
        <v>0</v>
      </c>
      <c r="Y37" s="17">
        <f>VLOOKUP(B37,'Cham cong'!$B$9:$BY$275,38,0)</f>
        <v>1</v>
      </c>
      <c r="Z37" s="17">
        <f>VLOOKUP(B37,'Cham cong'!$B$9:$BY$275,72,0)</f>
        <v>0</v>
      </c>
      <c r="AA37" s="17">
        <f>VLOOKUP(B37,'Cham cong'!$B$9:$BY$275,71,0)</f>
        <v>0</v>
      </c>
      <c r="AB37" s="17">
        <f>VLOOKUP(B37,'Cham cong'!$B$9:$BY$275,36,0)</f>
        <v>0</v>
      </c>
      <c r="AC37" s="17"/>
      <c r="AD37" s="17"/>
      <c r="AE37" s="17"/>
      <c r="AF37" s="17"/>
      <c r="AG37" s="17"/>
      <c r="AH37" s="17"/>
      <c r="AI37" s="17"/>
      <c r="AJ37" s="17"/>
      <c r="AK37" s="927">
        <f>V37/'Cham cong'!$AS$3*(W37+Z37/8*2+AA37/8*1.5+AB37*3)+J37/'Cham cong'!$AS$3*(X37+Y37)+AC37+P37+AE37+AG37+AH37+AI37+AJ37</f>
        <v>7819.6153846153857</v>
      </c>
      <c r="AL37" s="17">
        <f t="shared" si="32"/>
        <v>504</v>
      </c>
      <c r="AM37" s="17">
        <v>4800</v>
      </c>
      <c r="AN37" s="938">
        <f>VLOOKUP(B37,'Cham cong'!$B$9:$BY$275,75,0)</f>
        <v>0</v>
      </c>
      <c r="AO37" s="938"/>
      <c r="AP37" s="950">
        <f t="shared" si="31"/>
        <v>7320</v>
      </c>
      <c r="AR37" s="951">
        <f t="shared" si="25"/>
        <v>7819615.3846153859</v>
      </c>
      <c r="AS37" s="856">
        <f t="shared" si="4"/>
        <v>4800000</v>
      </c>
      <c r="AT37" s="856">
        <f t="shared" si="5"/>
        <v>0</v>
      </c>
      <c r="AU37" s="949"/>
      <c r="AV37" s="949"/>
      <c r="AW37" s="949"/>
      <c r="AY37" s="949"/>
      <c r="BG37" s="949"/>
      <c r="BK37" s="949"/>
      <c r="BL37" s="949"/>
    </row>
    <row r="38" spans="1:64" s="861" customFormat="1">
      <c r="A38" s="895">
        <v>9</v>
      </c>
      <c r="B38" s="1258" t="s">
        <v>315</v>
      </c>
      <c r="C38" s="55" t="s">
        <v>316</v>
      </c>
      <c r="D38" s="12" t="str">
        <f>'THANG B.LUONG'!B30</f>
        <v>Nhân viên vật giá</v>
      </c>
      <c r="E38" s="908">
        <v>43360</v>
      </c>
      <c r="F38" s="909">
        <v>2</v>
      </c>
      <c r="G38" s="12">
        <f t="shared" si="26"/>
        <v>0</v>
      </c>
      <c r="H38" s="12">
        <f t="shared" si="27"/>
        <v>11</v>
      </c>
      <c r="I38" s="921">
        <f t="shared" si="28"/>
        <v>8</v>
      </c>
      <c r="J38" s="921">
        <f>VLOOKUP(D38,'THANG B.LUONG'!$B$5:$I$511,F38+1,0)</f>
        <v>8480</v>
      </c>
      <c r="K38" s="921">
        <v>0</v>
      </c>
      <c r="L38" s="921">
        <v>0</v>
      </c>
      <c r="M38" s="921">
        <f t="shared" si="29"/>
        <v>0</v>
      </c>
      <c r="N38" s="921">
        <v>0</v>
      </c>
      <c r="O38" s="921">
        <v>0</v>
      </c>
      <c r="P38" s="921">
        <v>0</v>
      </c>
      <c r="Q38" s="921">
        <v>0</v>
      </c>
      <c r="R38" s="921">
        <v>0</v>
      </c>
      <c r="S38" s="921">
        <v>0</v>
      </c>
      <c r="T38" s="921">
        <v>0</v>
      </c>
      <c r="U38" s="921">
        <v>0</v>
      </c>
      <c r="V38" s="932">
        <f t="shared" si="30"/>
        <v>8480</v>
      </c>
      <c r="W38" s="928">
        <f>VLOOKUP(B38,'Cham cong'!$B$9:$BY$275,35,0)</f>
        <v>26</v>
      </c>
      <c r="X38" s="17">
        <f>VLOOKUP(B38,'Cham cong'!$B$9:$BY$275,37,0)</f>
        <v>0</v>
      </c>
      <c r="Y38" s="17">
        <f>VLOOKUP(B38,'Cham cong'!$B$9:$BY$275,38,0)</f>
        <v>1</v>
      </c>
      <c r="Z38" s="17">
        <f>VLOOKUP(B38,'Cham cong'!$B$9:$BY$275,72,0)</f>
        <v>0</v>
      </c>
      <c r="AA38" s="17">
        <f>VLOOKUP(B38,'Cham cong'!$B$9:$BY$275,71,0)</f>
        <v>0</v>
      </c>
      <c r="AB38" s="17">
        <f>VLOOKUP(B38,'Cham cong'!$B$9:$BY$275,36,0)</f>
        <v>0</v>
      </c>
      <c r="AC38" s="921"/>
      <c r="AD38" s="921"/>
      <c r="AE38" s="921"/>
      <c r="AF38" s="921"/>
      <c r="AG38" s="921"/>
      <c r="AH38" s="921"/>
      <c r="AI38" s="921"/>
      <c r="AJ38" s="921"/>
      <c r="AK38" s="932">
        <f>V38/'Cham cong'!$AS$3*(W38+Z38/8*2+AA38/8*1.5+AB38*3)+J38/'Cham cong'!$AS$3*(X38+Y38)+AC38+P38+AE38+AG38+AH38+AI38+AJ38</f>
        <v>8806.1538461538457</v>
      </c>
      <c r="AL38" s="921">
        <f t="shared" si="32"/>
        <v>504</v>
      </c>
      <c r="AM38" s="17">
        <v>4800</v>
      </c>
      <c r="AN38" s="938">
        <f>VLOOKUP(B38,'Cham cong'!$B$9:$BY$275,75,0)</f>
        <v>0</v>
      </c>
      <c r="AO38" s="938"/>
      <c r="AP38" s="969">
        <f t="shared" si="31"/>
        <v>8300</v>
      </c>
      <c r="AR38" s="975">
        <f t="shared" ref="AR38:AR42" si="43">AK38*1000</f>
        <v>8806153.846153846</v>
      </c>
      <c r="AS38" s="861">
        <f t="shared" ref="AS38:AT41" si="44">AM38*1000</f>
        <v>4800000</v>
      </c>
      <c r="AT38" s="861">
        <f t="shared" si="44"/>
        <v>0</v>
      </c>
      <c r="AU38" s="976"/>
      <c r="AV38" s="976"/>
      <c r="AW38" s="976"/>
      <c r="AY38" s="976"/>
      <c r="BG38" s="976"/>
      <c r="BK38" s="976"/>
      <c r="BL38" s="976"/>
    </row>
    <row r="39" spans="1:64" s="856" customFormat="1" ht="12.75">
      <c r="A39" s="895">
        <v>10</v>
      </c>
      <c r="B39" s="1258" t="s">
        <v>317</v>
      </c>
      <c r="C39" s="124" t="s">
        <v>318</v>
      </c>
      <c r="D39" s="106" t="str">
        <f>'THANG B.LUONG'!B22</f>
        <v>Chuyên viên tài chính</v>
      </c>
      <c r="E39" s="896">
        <v>43472</v>
      </c>
      <c r="F39" s="897">
        <v>1</v>
      </c>
      <c r="G39" s="106">
        <f t="shared" si="26"/>
        <v>0</v>
      </c>
      <c r="H39" s="106">
        <f t="shared" si="27"/>
        <v>7</v>
      </c>
      <c r="I39" s="17">
        <f t="shared" si="28"/>
        <v>18</v>
      </c>
      <c r="J39" s="17">
        <f>VLOOKUP(D39,'THANG B.LUONG'!$B$5:$I$511,F39+1,0)</f>
        <v>13840</v>
      </c>
      <c r="K39" s="17">
        <v>0</v>
      </c>
      <c r="L39" s="17">
        <v>0</v>
      </c>
      <c r="M39" s="17">
        <f t="shared" ref="M39" si="45">IF(G39&gt;=3,J39*(0.03+(G39-3)*0.01),0)</f>
        <v>0</v>
      </c>
      <c r="N39" s="17">
        <v>0</v>
      </c>
      <c r="O39" s="17">
        <v>200</v>
      </c>
      <c r="P39" s="17">
        <v>0</v>
      </c>
      <c r="Q39" s="17">
        <v>0</v>
      </c>
      <c r="R39" s="17">
        <v>0</v>
      </c>
      <c r="S39" s="17">
        <v>0</v>
      </c>
      <c r="T39" s="17">
        <v>0</v>
      </c>
      <c r="U39" s="17">
        <v>0</v>
      </c>
      <c r="V39" s="927">
        <f t="shared" si="30"/>
        <v>14040</v>
      </c>
      <c r="W39" s="928">
        <f>VLOOKUP(B39,'Cham cong'!$B$9:$BY$275,35,0)</f>
        <v>32</v>
      </c>
      <c r="X39" s="17">
        <f>VLOOKUP(B39,'Cham cong'!$B$9:$BY$275,37,0)</f>
        <v>0</v>
      </c>
      <c r="Y39" s="17">
        <f>VLOOKUP(B39,'Cham cong'!$B$9:$BY$275,38,0)</f>
        <v>1</v>
      </c>
      <c r="Z39" s="17">
        <f>VLOOKUP(B39,'Cham cong'!$B$9:$BY$275,72,0)</f>
        <v>0</v>
      </c>
      <c r="AA39" s="17">
        <f>VLOOKUP(B39,'Cham cong'!$B$9:$BY$275,71,0)</f>
        <v>0</v>
      </c>
      <c r="AB39" s="17">
        <f>VLOOKUP(B39,'Cham cong'!$B$9:$BY$275,36,0)</f>
        <v>0</v>
      </c>
      <c r="AC39" s="17"/>
      <c r="AD39" s="17"/>
      <c r="AE39" s="17"/>
      <c r="AF39" s="17"/>
      <c r="AG39" s="17"/>
      <c r="AH39" s="17"/>
      <c r="AI39" s="17"/>
      <c r="AJ39" s="17"/>
      <c r="AK39" s="927">
        <f>V39/'Cham cong'!$AS$3*(W39+Z39/8*2+AA39/8*1.5+AB39*3)+J39/'Cham cong'!$AS$3*(X39+Y39)+AC39+P39+AE39+AG39+AH39+AI39+AJ39</f>
        <v>17812.307692307691</v>
      </c>
      <c r="AL39" s="17">
        <f t="shared" ref="AL39" si="46">AM39*$AN$3</f>
        <v>525</v>
      </c>
      <c r="AM39" s="1389">
        <v>5000</v>
      </c>
      <c r="AN39" s="938">
        <f>VLOOKUP(B39,'Cham cong'!$B$9:$BY$275,75,0)</f>
        <v>0</v>
      </c>
      <c r="AO39" s="938"/>
      <c r="AP39" s="950">
        <f t="shared" si="31"/>
        <v>17290</v>
      </c>
      <c r="AR39" s="951">
        <f t="shared" si="43"/>
        <v>17812307.692307692</v>
      </c>
      <c r="AS39" s="856">
        <f t="shared" ref="AS39" si="47">AM39*1000</f>
        <v>5000000</v>
      </c>
      <c r="AT39" s="856">
        <f t="shared" ref="AT39" si="48">AN39*1000</f>
        <v>0</v>
      </c>
      <c r="AU39" s="949"/>
      <c r="AV39" s="949"/>
      <c r="AW39" s="949"/>
      <c r="AY39" s="949"/>
      <c r="BG39" s="949"/>
      <c r="BK39" s="949"/>
      <c r="BL39" s="949"/>
    </row>
    <row r="40" spans="1:64" s="856" customFormat="1" ht="12.75">
      <c r="A40" s="895">
        <v>10</v>
      </c>
      <c r="B40" s="91" t="s">
        <v>319</v>
      </c>
      <c r="C40" s="124" t="s">
        <v>320</v>
      </c>
      <c r="D40" s="106" t="str">
        <f>'THANG B.LUONG'!B28</f>
        <v xml:space="preserve"> Kế toán nội bộ</v>
      </c>
      <c r="E40" s="896">
        <v>41877</v>
      </c>
      <c r="F40" s="897">
        <v>2</v>
      </c>
      <c r="G40" s="106">
        <f t="shared" si="26"/>
        <v>4</v>
      </c>
      <c r="H40" s="106">
        <f t="shared" si="27"/>
        <v>11</v>
      </c>
      <c r="I40" s="17">
        <f t="shared" si="28"/>
        <v>30</v>
      </c>
      <c r="J40" s="17">
        <f>VLOOKUP(D40,'THANG B.LUONG'!$B$5:$I$511,F40+1,0)</f>
        <v>8280</v>
      </c>
      <c r="K40" s="17">
        <v>0</v>
      </c>
      <c r="L40" s="17">
        <v>0</v>
      </c>
      <c r="M40" s="17">
        <f t="shared" si="29"/>
        <v>331.2</v>
      </c>
      <c r="N40" s="17">
        <v>0</v>
      </c>
      <c r="O40" s="17">
        <v>0</v>
      </c>
      <c r="P40" s="17">
        <v>0</v>
      </c>
      <c r="Q40" s="17">
        <v>0</v>
      </c>
      <c r="R40" s="17">
        <v>0</v>
      </c>
      <c r="S40" s="17">
        <v>0</v>
      </c>
      <c r="T40" s="17">
        <v>0</v>
      </c>
      <c r="U40" s="17">
        <v>0</v>
      </c>
      <c r="V40" s="927">
        <f t="shared" si="30"/>
        <v>8611.2000000000007</v>
      </c>
      <c r="W40" s="928">
        <f>VLOOKUP(B40,'Cham cong'!$B$9:$BY$275,35,0)</f>
        <v>26</v>
      </c>
      <c r="X40" s="17">
        <f>VLOOKUP(B40,'Cham cong'!$B$9:$BY$275,37,0)</f>
        <v>0</v>
      </c>
      <c r="Y40" s="17">
        <f>VLOOKUP(B40,'Cham cong'!$B$9:$BY$275,38,0)</f>
        <v>1</v>
      </c>
      <c r="Z40" s="17">
        <f>VLOOKUP(B40,'Cham cong'!$B$9:$BY$275,72,0)</f>
        <v>11</v>
      </c>
      <c r="AA40" s="17">
        <f>VLOOKUP(B40,'Cham cong'!$B$9:$BY$275,71,0)</f>
        <v>0</v>
      </c>
      <c r="AB40" s="17">
        <f>VLOOKUP(B40,'Cham cong'!$B$9:$BY$275,36,0)</f>
        <v>0</v>
      </c>
      <c r="AC40" s="17"/>
      <c r="AD40" s="17"/>
      <c r="AE40" s="17"/>
      <c r="AF40" s="17"/>
      <c r="AG40" s="17"/>
      <c r="AH40" s="945"/>
      <c r="AI40" s="17"/>
      <c r="AJ40" s="17"/>
      <c r="AK40" s="927">
        <f>V40/'Cham cong'!$AS$3*(W40+Z40/8*2+AA40/8*1.5+AB40*3)+J40/'Cham cong'!$AS$3*(X40+Y40)+AC40+P40+AE40+AG40+AH40+AI40+AJ40</f>
        <v>9840.4615384615408</v>
      </c>
      <c r="AL40" s="17">
        <f t="shared" si="32"/>
        <v>535.5</v>
      </c>
      <c r="AM40" s="940">
        <v>5100</v>
      </c>
      <c r="AN40" s="938">
        <f>VLOOKUP(B40,'Cham cong'!$B$9:$BY$275,75,0)</f>
        <v>1000</v>
      </c>
      <c r="AO40" s="938"/>
      <c r="AP40" s="950">
        <f t="shared" si="31"/>
        <v>8300</v>
      </c>
      <c r="AR40" s="951">
        <f t="shared" si="43"/>
        <v>9840461.5384615418</v>
      </c>
      <c r="AS40" s="856">
        <f t="shared" si="44"/>
        <v>5100000</v>
      </c>
      <c r="AT40" s="856">
        <f t="shared" si="44"/>
        <v>1000000</v>
      </c>
      <c r="AU40" s="949"/>
      <c r="AV40" s="949"/>
      <c r="AW40" s="949"/>
      <c r="AY40" s="949">
        <v>2720</v>
      </c>
      <c r="AZ40" s="979">
        <f>AP40-AY40</f>
        <v>5580</v>
      </c>
      <c r="BG40" s="949"/>
      <c r="BK40" s="949"/>
      <c r="BL40" s="949"/>
    </row>
    <row r="41" spans="1:64" s="856" customFormat="1" ht="22.5">
      <c r="A41" s="895">
        <v>1</v>
      </c>
      <c r="B41" s="91" t="s">
        <v>321</v>
      </c>
      <c r="C41" s="108" t="s">
        <v>322</v>
      </c>
      <c r="D41" s="106" t="str">
        <f>'THANG B.LUONG'!B28</f>
        <v xml:space="preserve"> Kế toán nội bộ</v>
      </c>
      <c r="E41" s="896">
        <v>42095</v>
      </c>
      <c r="F41" s="897">
        <v>1</v>
      </c>
      <c r="G41" s="106">
        <f t="shared" si="26"/>
        <v>4</v>
      </c>
      <c r="H41" s="106">
        <f t="shared" si="27"/>
        <v>4</v>
      </c>
      <c r="I41" s="17">
        <f t="shared" si="28"/>
        <v>24</v>
      </c>
      <c r="J41" s="17">
        <f>VLOOKUP(D41,'THANG B.LUONG'!$B$5:$I$511,F41+1,0)</f>
        <v>7530</v>
      </c>
      <c r="K41" s="17">
        <v>0</v>
      </c>
      <c r="L41" s="17">
        <v>0</v>
      </c>
      <c r="M41" s="17">
        <f t="shared" si="29"/>
        <v>301.2</v>
      </c>
      <c r="N41" s="17">
        <v>0</v>
      </c>
      <c r="O41" s="17">
        <v>0</v>
      </c>
      <c r="P41" s="17">
        <v>0</v>
      </c>
      <c r="Q41" s="17">
        <v>0</v>
      </c>
      <c r="R41" s="17">
        <v>0</v>
      </c>
      <c r="S41" s="17">
        <v>0</v>
      </c>
      <c r="T41" s="17">
        <v>0</v>
      </c>
      <c r="U41" s="17">
        <v>0</v>
      </c>
      <c r="V41" s="927">
        <f t="shared" si="30"/>
        <v>7831.2</v>
      </c>
      <c r="W41" s="928">
        <f>VLOOKUP(B41,'Cham cong'!$B$9:$BY$275,35,0)</f>
        <v>26</v>
      </c>
      <c r="X41" s="17">
        <f>VLOOKUP(B41,'Cham cong'!$B$9:$BY$275,37,0)</f>
        <v>0</v>
      </c>
      <c r="Y41" s="17">
        <f>VLOOKUP(B41,'Cham cong'!$B$9:$BY$275,38,0)</f>
        <v>1</v>
      </c>
      <c r="Z41" s="17">
        <f>VLOOKUP(B41,'Cham cong'!$B$9:$BY$275,72,0)</f>
        <v>0</v>
      </c>
      <c r="AA41" s="17">
        <f>VLOOKUP(B41,'Cham cong'!$B$9:$BY$275,71,0)</f>
        <v>11</v>
      </c>
      <c r="AB41" s="17">
        <f>VLOOKUP(B41,'Cham cong'!$B$9:$BY$275,36,0)</f>
        <v>0</v>
      </c>
      <c r="AC41" s="17"/>
      <c r="AD41" s="17"/>
      <c r="AE41" s="17"/>
      <c r="AF41" s="17"/>
      <c r="AG41" s="17"/>
      <c r="AH41" s="17"/>
      <c r="AI41" s="17"/>
      <c r="AJ41" s="17"/>
      <c r="AK41" s="927">
        <f>V41/'Cham cong'!$AS$3*(W41+Z41/8*2+AA41/8*1.5+AB41*3)+J41/'Cham cong'!$AS$3*(X41+Y41)+AC41+P41+AE41+AG41+AH41+AI41+AJ41</f>
        <v>8742.040384615384</v>
      </c>
      <c r="AL41" s="17">
        <f t="shared" si="32"/>
        <v>504</v>
      </c>
      <c r="AM41" s="946">
        <v>4800</v>
      </c>
      <c r="AN41" s="938">
        <f>VLOOKUP(B41,'Cham cong'!$B$9:$BY$275,75,0)</f>
        <v>0</v>
      </c>
      <c r="AO41" s="938"/>
      <c r="AP41" s="950">
        <f t="shared" si="31"/>
        <v>8240</v>
      </c>
      <c r="AR41" s="951">
        <f t="shared" si="43"/>
        <v>8742040.384615384</v>
      </c>
      <c r="AS41" s="953">
        <f t="shared" si="44"/>
        <v>4800000</v>
      </c>
      <c r="AT41" s="856">
        <f t="shared" si="44"/>
        <v>0</v>
      </c>
      <c r="AU41" s="949"/>
      <c r="AV41" s="949"/>
      <c r="AW41" s="949"/>
      <c r="AY41" s="949"/>
      <c r="BG41" s="949"/>
      <c r="BK41" s="949"/>
      <c r="BL41" s="949"/>
    </row>
    <row r="42" spans="1:64" s="856" customFormat="1">
      <c r="A42" s="910"/>
      <c r="B42" s="109"/>
      <c r="C42" s="115" t="s">
        <v>323</v>
      </c>
      <c r="D42" s="116"/>
      <c r="E42" s="899"/>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937">
        <f>SUM(AK43:AK48)</f>
        <v>96207.223076923081</v>
      </c>
      <c r="AL42" s="937">
        <f t="shared" ref="AL42:AO42" si="49">SUM(AL43:AL48)</f>
        <v>2709</v>
      </c>
      <c r="AM42" s="937">
        <f t="shared" si="49"/>
        <v>25800</v>
      </c>
      <c r="AN42" s="937">
        <f t="shared" si="49"/>
        <v>29000</v>
      </c>
      <c r="AO42" s="937">
        <f t="shared" si="49"/>
        <v>0</v>
      </c>
      <c r="AP42" s="937">
        <f>SUM(AP43:AP48)</f>
        <v>64500</v>
      </c>
      <c r="AR42" s="974">
        <f t="shared" si="43"/>
        <v>96207223.076923087</v>
      </c>
      <c r="AS42" s="953">
        <f>AM42*1000</f>
        <v>25800000</v>
      </c>
      <c r="AT42" s="953">
        <f>AN42*1000</f>
        <v>29000000</v>
      </c>
      <c r="AU42" s="949"/>
      <c r="AV42" s="949"/>
      <c r="AW42" s="949"/>
      <c r="AY42" s="949"/>
      <c r="BG42" s="949"/>
      <c r="BK42" s="949"/>
      <c r="BL42" s="949"/>
    </row>
    <row r="43" spans="1:64" s="856" customFormat="1" ht="12.75">
      <c r="A43" s="895">
        <v>1</v>
      </c>
      <c r="B43" s="91" t="s">
        <v>324</v>
      </c>
      <c r="C43" s="105" t="s">
        <v>325</v>
      </c>
      <c r="D43" s="106" t="str">
        <f>'THANG B.LUONG'!B69</f>
        <v>Trưởng BP GS kỹ thuật</v>
      </c>
      <c r="E43" s="896">
        <v>42475</v>
      </c>
      <c r="F43" s="897">
        <v>2</v>
      </c>
      <c r="G43" s="106">
        <f t="shared" ref="G43:G47" si="50">DATEDIF(E43,$J$3,"y")</f>
        <v>3</v>
      </c>
      <c r="H43" s="106">
        <f t="shared" ref="H43:H47" si="51">DATEDIF(E43,$J$3,"ym")</f>
        <v>4</v>
      </c>
      <c r="I43" s="17">
        <f t="shared" ref="I43:I47" si="52">DATEDIF(E43,$J$3,"md")</f>
        <v>10</v>
      </c>
      <c r="J43" s="17">
        <f>VLOOKUP(D43,'THANG B.LUONG'!$B$5:$I$511,F43+1,0)</f>
        <v>14540</v>
      </c>
      <c r="K43" s="17">
        <v>0</v>
      </c>
      <c r="L43" s="17">
        <v>1000</v>
      </c>
      <c r="M43" s="17">
        <f t="shared" ref="M43:M47" si="53">IF(G43&gt;=3,J43*(0.03+(G43-3)*0.01),0)</f>
        <v>436.2</v>
      </c>
      <c r="N43" s="17">
        <v>0</v>
      </c>
      <c r="O43" s="17">
        <v>500</v>
      </c>
      <c r="P43" s="17">
        <v>500</v>
      </c>
      <c r="Q43" s="17">
        <v>0</v>
      </c>
      <c r="R43" s="17">
        <v>0</v>
      </c>
      <c r="S43" s="17">
        <v>0</v>
      </c>
      <c r="T43" s="17">
        <v>0</v>
      </c>
      <c r="U43" s="17">
        <v>0</v>
      </c>
      <c r="V43" s="927">
        <f>SUM(J43:U43)-P43</f>
        <v>16476.2</v>
      </c>
      <c r="W43" s="928">
        <f>VLOOKUP(B43,'Cham cong'!$B$9:$BY$275,35,0)</f>
        <v>26</v>
      </c>
      <c r="X43" s="17">
        <f>VLOOKUP(B43,'Cham cong'!$B$9:$BY$275,37,0)</f>
        <v>0</v>
      </c>
      <c r="Y43" s="17">
        <f>VLOOKUP(B43,'Cham cong'!$B$9:$BY$275,38,0)</f>
        <v>1</v>
      </c>
      <c r="Z43" s="17">
        <f>VLOOKUP(B43,'Cham cong'!$B$9:$BY$275,72,0)</f>
        <v>0</v>
      </c>
      <c r="AA43" s="17">
        <f>VLOOKUP(B43,'Cham cong'!$B$9:$BY$275,71,0)</f>
        <v>0</v>
      </c>
      <c r="AB43" s="17">
        <f>VLOOKUP(B43,'Cham cong'!$B$9:$BY$275,36,0)</f>
        <v>0</v>
      </c>
      <c r="AC43" s="17"/>
      <c r="AD43" s="17"/>
      <c r="AE43" s="17"/>
      <c r="AF43" s="17"/>
      <c r="AG43" s="17"/>
      <c r="AH43" s="945"/>
      <c r="AI43" s="17"/>
      <c r="AJ43" s="17"/>
      <c r="AK43" s="927">
        <f>V43/'Cham cong'!$AS$3*(W43+Z43/8*2+AA43/8*1.5+AB43*3)+J43/'Cham cong'!$AS$3*(X43+Y43)+AC43+P43+AE43+AG43+AH43+AI43+AJ43</f>
        <v>17535.43076923077</v>
      </c>
      <c r="AL43" s="17">
        <f t="shared" ref="AL43:AL47" si="54">AM43*$AN$3</f>
        <v>577.5</v>
      </c>
      <c r="AM43" s="940">
        <v>5500</v>
      </c>
      <c r="AN43" s="938">
        <f>VLOOKUP(B43,'Cham cong'!$B$9:$BY$275,75,0)</f>
        <v>5000</v>
      </c>
      <c r="AO43" s="938"/>
      <c r="AP43" s="950">
        <f t="shared" ref="AP43:AP47" si="55">ROUND(AK43-AL43-AN43+AO43,-1)</f>
        <v>11960</v>
      </c>
      <c r="AR43" s="951">
        <f>AK43*1000</f>
        <v>17535430.769230772</v>
      </c>
      <c r="AS43" s="856">
        <f t="shared" si="4"/>
        <v>5500000</v>
      </c>
      <c r="AT43" s="856">
        <f t="shared" si="5"/>
        <v>5000000</v>
      </c>
      <c r="AU43" s="949"/>
      <c r="AV43" s="949"/>
      <c r="AW43" s="949"/>
      <c r="AY43" s="949"/>
      <c r="BG43" s="949"/>
      <c r="BK43" s="949"/>
      <c r="BL43" s="949"/>
    </row>
    <row r="44" spans="1:64" s="856" customFormat="1" ht="12.75">
      <c r="A44" s="895">
        <v>2</v>
      </c>
      <c r="B44" s="91" t="s">
        <v>326</v>
      </c>
      <c r="C44" s="105" t="s">
        <v>327</v>
      </c>
      <c r="D44" s="12" t="s">
        <v>1282</v>
      </c>
      <c r="E44" s="896">
        <v>42485</v>
      </c>
      <c r="F44" s="897">
        <v>4</v>
      </c>
      <c r="G44" s="106">
        <f t="shared" si="50"/>
        <v>3</v>
      </c>
      <c r="H44" s="106">
        <f t="shared" si="51"/>
        <v>4</v>
      </c>
      <c r="I44" s="17">
        <f t="shared" si="52"/>
        <v>0</v>
      </c>
      <c r="J44" s="920">
        <v>21620</v>
      </c>
      <c r="K44" s="17">
        <v>0</v>
      </c>
      <c r="L44" s="17">
        <v>1000</v>
      </c>
      <c r="M44" s="17">
        <f t="shared" si="53"/>
        <v>648.6</v>
      </c>
      <c r="N44" s="17">
        <v>0</v>
      </c>
      <c r="O44" s="17">
        <v>500</v>
      </c>
      <c r="P44" s="17">
        <v>500</v>
      </c>
      <c r="Q44" s="17">
        <v>0</v>
      </c>
      <c r="R44" s="17">
        <v>0</v>
      </c>
      <c r="S44" s="17">
        <v>0</v>
      </c>
      <c r="T44" s="17">
        <v>0</v>
      </c>
      <c r="U44" s="17">
        <v>0</v>
      </c>
      <c r="V44" s="927">
        <f>SUM(J44:U44)-P44</f>
        <v>23768.6</v>
      </c>
      <c r="W44" s="928">
        <f>VLOOKUP(B44,'Cham cong'!$B$9:$BY$275,35,0)</f>
        <v>26</v>
      </c>
      <c r="X44" s="17">
        <f>VLOOKUP(B44,'Cham cong'!$B$9:$BY$275,37,0)</f>
        <v>0</v>
      </c>
      <c r="Y44" s="17">
        <f>VLOOKUP(B44,'Cham cong'!$B$9:$BY$275,38,0)</f>
        <v>1</v>
      </c>
      <c r="Z44" s="17">
        <f>VLOOKUP(B44,'Cham cong'!$B$9:$BY$275,72,0)</f>
        <v>0</v>
      </c>
      <c r="AA44" s="17">
        <f>VLOOKUP(B44,'Cham cong'!$B$9:$BY$275,71,0)</f>
        <v>0</v>
      </c>
      <c r="AB44" s="17">
        <f>VLOOKUP(B44,'Cham cong'!$B$9:$BY$275,36,0)</f>
        <v>0</v>
      </c>
      <c r="AC44" s="17"/>
      <c r="AD44" s="17"/>
      <c r="AE44" s="17"/>
      <c r="AF44" s="17"/>
      <c r="AG44" s="17"/>
      <c r="AH44" s="945"/>
      <c r="AI44" s="17"/>
      <c r="AJ44" s="17"/>
      <c r="AK44" s="927">
        <f>V44/'Cham cong'!$AS$3*(W44+Z44/8*2+AA44/8*1.5+AB44*3)+J44/'Cham cong'!$AS$3*(X44+Y44)+AC44+P44+AE44+AG44+AH44+AI44+AJ44</f>
        <v>25100.13846153846</v>
      </c>
      <c r="AL44" s="17">
        <f t="shared" si="54"/>
        <v>577.5</v>
      </c>
      <c r="AM44" s="940">
        <v>5500</v>
      </c>
      <c r="AN44" s="938">
        <f>VLOOKUP(B44,'Cham cong'!$B$9:$BY$275,75,0)</f>
        <v>10000</v>
      </c>
      <c r="AO44" s="938"/>
      <c r="AP44" s="950">
        <f t="shared" si="55"/>
        <v>14520</v>
      </c>
      <c r="AR44" s="951">
        <f>AK44*1000</f>
        <v>25100138.46153846</v>
      </c>
      <c r="AS44" s="856">
        <f t="shared" si="4"/>
        <v>5500000</v>
      </c>
      <c r="AT44" s="856">
        <f t="shared" si="5"/>
        <v>10000000</v>
      </c>
      <c r="AU44" s="949"/>
      <c r="AV44" s="949"/>
      <c r="AW44" s="949"/>
      <c r="AY44" s="949"/>
      <c r="BG44" s="949"/>
      <c r="BK44" s="949"/>
      <c r="BL44" s="949"/>
    </row>
    <row r="45" spans="1:64" s="856" customFormat="1" ht="12.75">
      <c r="A45" s="895">
        <v>3</v>
      </c>
      <c r="B45" s="91" t="s">
        <v>328</v>
      </c>
      <c r="C45" s="105" t="s">
        <v>329</v>
      </c>
      <c r="D45" s="106" t="str">
        <f>'THANG B.LUONG'!B66</f>
        <v>CV KCS xây dựng</v>
      </c>
      <c r="E45" s="896">
        <v>43222</v>
      </c>
      <c r="F45" s="897">
        <v>1</v>
      </c>
      <c r="G45" s="106">
        <f t="shared" si="50"/>
        <v>1</v>
      </c>
      <c r="H45" s="106">
        <f t="shared" si="51"/>
        <v>3</v>
      </c>
      <c r="I45" s="17">
        <f t="shared" si="52"/>
        <v>23</v>
      </c>
      <c r="J45" s="920">
        <f>VLOOKUP(D45,'THANG B.LUONG'!$B$5:$I$511,F45+1,0)</f>
        <v>10490</v>
      </c>
      <c r="K45" s="17">
        <v>0</v>
      </c>
      <c r="L45" s="17">
        <v>0</v>
      </c>
      <c r="M45" s="17">
        <f t="shared" si="53"/>
        <v>0</v>
      </c>
      <c r="N45" s="17">
        <v>0</v>
      </c>
      <c r="O45" s="17">
        <v>0</v>
      </c>
      <c r="P45" s="17">
        <v>200</v>
      </c>
      <c r="Q45" s="17">
        <v>0</v>
      </c>
      <c r="R45" s="17">
        <v>0</v>
      </c>
      <c r="S45" s="17">
        <v>0</v>
      </c>
      <c r="T45" s="17">
        <v>0</v>
      </c>
      <c r="U45" s="17">
        <v>0</v>
      </c>
      <c r="V45" s="927">
        <f>(SUM(J45:U45)-P45)</f>
        <v>10490</v>
      </c>
      <c r="W45" s="928">
        <f>VLOOKUP(B45,'Cham cong'!$B$9:$BY$275,35,0)</f>
        <v>26</v>
      </c>
      <c r="X45" s="17">
        <f>VLOOKUP(B45,'Cham cong'!$B$9:$BY$275,37,0)</f>
        <v>0</v>
      </c>
      <c r="Y45" s="17">
        <f>VLOOKUP(B45,'Cham cong'!$B$9:$BY$275,38,0)</f>
        <v>1</v>
      </c>
      <c r="Z45" s="17">
        <f>VLOOKUP(B45,'Cham cong'!$B$9:$BY$275,72,0)</f>
        <v>0</v>
      </c>
      <c r="AA45" s="17">
        <f>VLOOKUP(B45,'Cham cong'!$B$9:$BY$275,71,0)</f>
        <v>0</v>
      </c>
      <c r="AB45" s="17">
        <f>VLOOKUP(B45,'Cham cong'!$B$9:$BY$275,36,0)</f>
        <v>0</v>
      </c>
      <c r="AC45" s="17"/>
      <c r="AD45" s="17"/>
      <c r="AE45" s="17"/>
      <c r="AF45" s="17"/>
      <c r="AG45" s="17"/>
      <c r="AH45" s="17"/>
      <c r="AI45" s="17"/>
      <c r="AJ45" s="17"/>
      <c r="AK45" s="927">
        <f>V45/'Cham cong'!$AS$3*(W45+Z45/8*2+AA45/8*1.5+AB45*3)+J45/'Cham cong'!$AS$3*(X45+Y45)+AC45+P45+AE45+AG45+AH45+AI45+AJ45</f>
        <v>11093.461538461539</v>
      </c>
      <c r="AL45" s="17">
        <f t="shared" si="54"/>
        <v>525</v>
      </c>
      <c r="AM45" s="946">
        <v>5000</v>
      </c>
      <c r="AN45" s="938">
        <f>VLOOKUP(B45,'Cham cong'!$B$9:$BY$275,75,0)</f>
        <v>4000</v>
      </c>
      <c r="AO45" s="938"/>
      <c r="AP45" s="950">
        <f t="shared" si="55"/>
        <v>6570</v>
      </c>
      <c r="AR45" s="951">
        <f t="shared" ref="AR45:AR89" si="56">AK45*1000</f>
        <v>11093461.53846154</v>
      </c>
      <c r="AS45" s="856">
        <f t="shared" ref="AS45:AT46" si="57">AM45*1000</f>
        <v>5000000</v>
      </c>
      <c r="AT45" s="856">
        <f t="shared" si="57"/>
        <v>4000000</v>
      </c>
      <c r="AU45" s="949"/>
      <c r="AV45" s="949"/>
      <c r="AW45" s="949"/>
      <c r="AY45" s="949"/>
      <c r="BG45" s="949"/>
      <c r="BK45" s="949"/>
      <c r="BL45" s="949"/>
    </row>
    <row r="46" spans="1:64" s="856" customFormat="1" ht="12.75">
      <c r="A46" s="895">
        <v>4</v>
      </c>
      <c r="B46" s="91" t="s">
        <v>330</v>
      </c>
      <c r="C46" s="105" t="s">
        <v>331</v>
      </c>
      <c r="D46" s="106" t="str">
        <f>'THANG B.LUONG'!B68</f>
        <v>NV thiết kế xây dựng</v>
      </c>
      <c r="E46" s="896">
        <v>43227</v>
      </c>
      <c r="F46" s="897">
        <v>2</v>
      </c>
      <c r="G46" s="106">
        <f t="shared" si="50"/>
        <v>1</v>
      </c>
      <c r="H46" s="106">
        <f t="shared" si="51"/>
        <v>3</v>
      </c>
      <c r="I46" s="17">
        <f t="shared" si="52"/>
        <v>18</v>
      </c>
      <c r="J46" s="920">
        <f>VLOOKUP(D46,'THANG B.LUONG'!$B$5:$I$511,F46+1,0)</f>
        <v>10690</v>
      </c>
      <c r="K46" s="17">
        <v>0</v>
      </c>
      <c r="L46" s="17">
        <v>0</v>
      </c>
      <c r="M46" s="17">
        <f t="shared" si="53"/>
        <v>0</v>
      </c>
      <c r="N46" s="17">
        <v>0</v>
      </c>
      <c r="O46" s="17">
        <v>0</v>
      </c>
      <c r="P46" s="17">
        <v>200</v>
      </c>
      <c r="Q46" s="17">
        <v>0</v>
      </c>
      <c r="R46" s="17">
        <v>0</v>
      </c>
      <c r="S46" s="17">
        <v>0</v>
      </c>
      <c r="T46" s="17">
        <v>0</v>
      </c>
      <c r="U46" s="17">
        <v>0</v>
      </c>
      <c r="V46" s="927">
        <f>(SUM(J46:U46)-P46)</f>
        <v>10690</v>
      </c>
      <c r="W46" s="928">
        <f>VLOOKUP(B46,'Cham cong'!$B$9:$BY$275,35,0)</f>
        <v>26</v>
      </c>
      <c r="X46" s="17">
        <f>VLOOKUP(B46,'Cham cong'!$B$9:$BY$275,37,0)</f>
        <v>0</v>
      </c>
      <c r="Y46" s="17">
        <f>VLOOKUP(B46,'Cham cong'!$B$9:$BY$275,38,0)</f>
        <v>1</v>
      </c>
      <c r="Z46" s="17">
        <f>VLOOKUP(B46,'Cham cong'!$B$9:$BY$275,72,0)</f>
        <v>0</v>
      </c>
      <c r="AA46" s="17">
        <f>VLOOKUP(B46,'Cham cong'!$B$9:$BY$275,71,0)</f>
        <v>0</v>
      </c>
      <c r="AB46" s="17">
        <f>VLOOKUP(B46,'Cham cong'!$B$9:$BY$275,36,0)</f>
        <v>0</v>
      </c>
      <c r="AC46" s="17"/>
      <c r="AD46" s="17"/>
      <c r="AE46" s="17"/>
      <c r="AF46" s="17"/>
      <c r="AG46" s="17"/>
      <c r="AH46" s="17"/>
      <c r="AI46" s="17"/>
      <c r="AJ46" s="17"/>
      <c r="AK46" s="927">
        <f>V46/'Cham cong'!$AS$3*(W46+Z46/8*2+AA46/8*1.5+AB46*3)+J46/'Cham cong'!$AS$3*(X46+Y46)+AC46+P46+AE46+AG46+AH46+AI46+AJ46</f>
        <v>11301.153846153846</v>
      </c>
      <c r="AL46" s="17">
        <f t="shared" si="54"/>
        <v>504</v>
      </c>
      <c r="AM46" s="946">
        <v>4800</v>
      </c>
      <c r="AN46" s="938">
        <f>VLOOKUP(B46,'Cham cong'!$B$9:$BY$275,75,0)</f>
        <v>5000</v>
      </c>
      <c r="AO46" s="938"/>
      <c r="AP46" s="950">
        <f t="shared" si="55"/>
        <v>5800</v>
      </c>
      <c r="AR46" s="951">
        <f t="shared" si="56"/>
        <v>11301153.846153846</v>
      </c>
      <c r="AS46" s="856">
        <f t="shared" si="57"/>
        <v>4800000</v>
      </c>
      <c r="AT46" s="856">
        <f t="shared" si="57"/>
        <v>5000000</v>
      </c>
      <c r="AU46" s="949"/>
      <c r="AV46" s="949"/>
      <c r="AW46" s="949"/>
      <c r="AY46" s="949"/>
      <c r="BG46" s="949"/>
      <c r="BK46" s="949"/>
      <c r="BL46" s="949"/>
    </row>
    <row r="47" spans="1:64" s="856" customFormat="1" ht="12.75">
      <c r="A47" s="895">
        <v>6</v>
      </c>
      <c r="B47" s="91" t="s">
        <v>332</v>
      </c>
      <c r="C47" s="105" t="s">
        <v>333</v>
      </c>
      <c r="D47" s="106" t="str">
        <f>'THANG B.LUONG'!B71</f>
        <v>CV giám sát thi công</v>
      </c>
      <c r="E47" s="896">
        <v>43271</v>
      </c>
      <c r="F47" s="897">
        <v>2</v>
      </c>
      <c r="G47" s="106">
        <f t="shared" si="50"/>
        <v>1</v>
      </c>
      <c r="H47" s="106">
        <f t="shared" si="51"/>
        <v>2</v>
      </c>
      <c r="I47" s="17">
        <f t="shared" si="52"/>
        <v>5</v>
      </c>
      <c r="J47" s="920">
        <f>VLOOKUP(D47,'THANG B.LUONG'!$B$5:$I$511,F47+1,0)</f>
        <v>11640</v>
      </c>
      <c r="K47" s="17">
        <v>0</v>
      </c>
      <c r="L47" s="17">
        <v>0</v>
      </c>
      <c r="M47" s="17">
        <f t="shared" si="53"/>
        <v>0</v>
      </c>
      <c r="N47" s="17">
        <v>0</v>
      </c>
      <c r="O47" s="17">
        <v>0</v>
      </c>
      <c r="P47" s="17">
        <v>200</v>
      </c>
      <c r="Q47" s="17">
        <v>0</v>
      </c>
      <c r="R47" s="17">
        <v>0</v>
      </c>
      <c r="S47" s="17">
        <v>0</v>
      </c>
      <c r="T47" s="17">
        <v>0</v>
      </c>
      <c r="U47" s="17">
        <v>0</v>
      </c>
      <c r="V47" s="927">
        <f>SUM(J47:U47)-P47</f>
        <v>11640</v>
      </c>
      <c r="W47" s="928">
        <f>VLOOKUP(B47,'Cham cong'!$B$9:$BY$275,35,0)</f>
        <v>26</v>
      </c>
      <c r="X47" s="17">
        <f>VLOOKUP(B47,'Cham cong'!$B$9:$BY$275,37,0)</f>
        <v>0</v>
      </c>
      <c r="Y47" s="17">
        <f>VLOOKUP(B47,'Cham cong'!$B$9:$BY$275,38,0)</f>
        <v>1</v>
      </c>
      <c r="Z47" s="17">
        <f>VLOOKUP(B47,'Cham cong'!$B$9:$BY$275,72,0)</f>
        <v>24</v>
      </c>
      <c r="AA47" s="17">
        <f>VLOOKUP(B47,'Cham cong'!$B$9:$BY$275,71,0)</f>
        <v>0</v>
      </c>
      <c r="AB47" s="17">
        <f>VLOOKUP(B47,'Cham cong'!$B$9:$BY$275,36,0)</f>
        <v>0</v>
      </c>
      <c r="AC47" s="17"/>
      <c r="AD47" s="17"/>
      <c r="AE47" s="17"/>
      <c r="AF47" s="17"/>
      <c r="AG47" s="17"/>
      <c r="AH47" s="17"/>
      <c r="AI47" s="17"/>
      <c r="AJ47" s="17"/>
      <c r="AK47" s="927">
        <f>V47/'Cham cong'!$AS$3*(W47+Z47/8*2+AA47/8*1.5+AB47*3)+J47/'Cham cong'!$AS$3*(X47+Y47)+AC47+P47+AE47+AG47+AH47+AI47+AJ47</f>
        <v>14973.846153846154</v>
      </c>
      <c r="AL47" s="17">
        <f t="shared" si="54"/>
        <v>525</v>
      </c>
      <c r="AM47" s="946">
        <v>5000</v>
      </c>
      <c r="AN47" s="938">
        <f>VLOOKUP(B47,'Cham cong'!$B$9:$BY$275,75,0)</f>
        <v>0</v>
      </c>
      <c r="AO47" s="938"/>
      <c r="AP47" s="950">
        <f t="shared" si="55"/>
        <v>14450</v>
      </c>
      <c r="AR47" s="951">
        <f t="shared" si="56"/>
        <v>14973846.153846154</v>
      </c>
      <c r="AT47" s="856">
        <f>AN47*1000</f>
        <v>0</v>
      </c>
      <c r="AU47" s="949">
        <v>8180</v>
      </c>
      <c r="AV47" s="949"/>
      <c r="AW47" s="949"/>
      <c r="AX47" s="953"/>
      <c r="AY47" s="949"/>
      <c r="BG47" s="949"/>
      <c r="BK47" s="949"/>
      <c r="BL47" s="949"/>
    </row>
    <row r="48" spans="1:64" s="862" customFormat="1" ht="12.75" hidden="1">
      <c r="A48" s="1397">
        <v>6</v>
      </c>
      <c r="B48" s="580" t="s">
        <v>1279</v>
      </c>
      <c r="C48" s="657" t="s">
        <v>1280</v>
      </c>
      <c r="D48" s="1407" t="s">
        <v>1281</v>
      </c>
      <c r="E48" s="915">
        <v>43647</v>
      </c>
      <c r="F48" s="916">
        <v>2</v>
      </c>
      <c r="G48" s="582">
        <f t="shared" ref="G48" si="58">DATEDIF(E48,$J$3,"y")</f>
        <v>0</v>
      </c>
      <c r="H48" s="582">
        <f t="shared" ref="H48" si="59">DATEDIF(E48,$J$3,"ym")</f>
        <v>1</v>
      </c>
      <c r="I48" s="922">
        <f t="shared" ref="I48" si="60">DATEDIF(E48,$J$3,"md")</f>
        <v>24</v>
      </c>
      <c r="J48" s="1408">
        <f>VLOOKUP(D48,'THANG B.LUONG'!$B$5:$I$511,F48+1,0)</f>
        <v>17230</v>
      </c>
      <c r="K48" s="922">
        <v>0</v>
      </c>
      <c r="L48" s="922">
        <v>500</v>
      </c>
      <c r="M48" s="922">
        <v>0</v>
      </c>
      <c r="N48" s="922">
        <v>0</v>
      </c>
      <c r="O48" s="922">
        <v>200</v>
      </c>
      <c r="P48" s="922">
        <v>300</v>
      </c>
      <c r="Q48" s="922">
        <v>0</v>
      </c>
      <c r="R48" s="922">
        <v>0</v>
      </c>
      <c r="S48" s="922">
        <v>0</v>
      </c>
      <c r="T48" s="922">
        <v>0</v>
      </c>
      <c r="U48" s="922">
        <v>0</v>
      </c>
      <c r="V48" s="1398">
        <f>(SUM(J48:U48)-P48)*0.85</f>
        <v>15240.5</v>
      </c>
      <c r="W48" s="931">
        <f>VLOOKUP(B48,'Cham cong'!$B$9:$BY$275,35,0)</f>
        <v>26</v>
      </c>
      <c r="X48" s="922">
        <f>VLOOKUP(B48,'Cham cong'!$B$9:$BY$275,37,0)</f>
        <v>0</v>
      </c>
      <c r="Y48" s="922">
        <f>VLOOKUP(B48,'Cham cong'!$B$9:$BY$275,38,0)</f>
        <v>1</v>
      </c>
      <c r="Z48" s="922">
        <f>VLOOKUP(B48,'Cham cong'!$B$9:$BY$275,72,0)</f>
        <v>0</v>
      </c>
      <c r="AA48" s="922">
        <f>VLOOKUP(B48,'Cham cong'!$B$9:$BY$275,71,0)</f>
        <v>0</v>
      </c>
      <c r="AB48" s="922">
        <f>VLOOKUP(B48,'Cham cong'!$B$9:$BY$275,36,0)</f>
        <v>0</v>
      </c>
      <c r="AC48" s="922"/>
      <c r="AD48" s="922"/>
      <c r="AE48" s="922"/>
      <c r="AF48" s="922"/>
      <c r="AG48" s="922"/>
      <c r="AH48" s="922"/>
      <c r="AI48" s="922"/>
      <c r="AJ48" s="922"/>
      <c r="AK48" s="1398">
        <f>V48/'Cham cong'!$AS$3*(W48+Z48/8*2+AA48/8*1.5+AB48*3)+J48/'Cham cong'!$AS$3*(X48+Y48)+AC48+P48+AE48+AG48+AH48+AI48+AJ48</f>
        <v>16203.192307692309</v>
      </c>
      <c r="AL48" s="922">
        <f t="shared" ref="AL48" si="61">AM48*$AN$3</f>
        <v>0</v>
      </c>
      <c r="AM48" s="1073">
        <v>0</v>
      </c>
      <c r="AN48" s="942">
        <f>VLOOKUP(B48,'Cham cong'!$B$9:$BY$275,75,0)</f>
        <v>5000</v>
      </c>
      <c r="AO48" s="942"/>
      <c r="AP48" s="1399">
        <f t="shared" ref="AP48" si="62">ROUND(AK48-AL48-AN48+AO48,-1)</f>
        <v>11200</v>
      </c>
      <c r="AR48" s="966">
        <f t="shared" ref="AR48" si="63">AK48*1000</f>
        <v>16203192.307692308</v>
      </c>
      <c r="AT48" s="862">
        <f>AN48*1000</f>
        <v>5000000</v>
      </c>
      <c r="AU48" s="1400">
        <v>8180</v>
      </c>
      <c r="AV48" s="1400"/>
      <c r="AW48" s="1400"/>
      <c r="AX48" s="1045"/>
      <c r="AY48" s="1400"/>
      <c r="BG48" s="1400"/>
      <c r="BK48" s="1400"/>
      <c r="BL48" s="1400"/>
    </row>
    <row r="49" spans="1:64" s="856" customFormat="1">
      <c r="A49" s="898"/>
      <c r="B49" s="95"/>
      <c r="C49" s="95" t="s">
        <v>334</v>
      </c>
      <c r="D49" s="96"/>
      <c r="E49" s="899"/>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c r="AE49" s="140"/>
      <c r="AF49" s="140"/>
      <c r="AG49" s="140"/>
      <c r="AH49" s="140"/>
      <c r="AI49" s="140"/>
      <c r="AJ49" s="140"/>
      <c r="AK49" s="937">
        <f>SUM(AK50:AK54)</f>
        <v>110372.78461538462</v>
      </c>
      <c r="AL49" s="937">
        <f t="shared" ref="AL49:AO49" si="64">SUM(AL50:AL54)</f>
        <v>1921.5</v>
      </c>
      <c r="AM49" s="937">
        <f t="shared" si="64"/>
        <v>18300</v>
      </c>
      <c r="AN49" s="937">
        <f t="shared" si="64"/>
        <v>5000</v>
      </c>
      <c r="AO49" s="937">
        <f t="shared" si="64"/>
        <v>0</v>
      </c>
      <c r="AP49" s="937">
        <f>SUM(AP50:AP54)</f>
        <v>103450</v>
      </c>
      <c r="AR49" s="974">
        <f t="shared" si="56"/>
        <v>110372784.61538462</v>
      </c>
      <c r="AS49" s="856">
        <f>AM49*1000</f>
        <v>18300000</v>
      </c>
      <c r="AT49" s="856">
        <f>AN49*1000</f>
        <v>5000000</v>
      </c>
      <c r="AU49" s="949">
        <f>AU47-AP47</f>
        <v>-6270</v>
      </c>
      <c r="AV49" s="949"/>
      <c r="AW49" s="949"/>
      <c r="AY49" s="949"/>
      <c r="BG49" s="949"/>
      <c r="BK49" s="949"/>
      <c r="BL49" s="949"/>
    </row>
    <row r="50" spans="1:64" s="857" customFormat="1" ht="13.5" customHeight="1">
      <c r="A50" s="895">
        <v>1</v>
      </c>
      <c r="B50" s="98" t="s">
        <v>335</v>
      </c>
      <c r="C50" s="92" t="s">
        <v>336</v>
      </c>
      <c r="D50" s="100" t="s">
        <v>41</v>
      </c>
      <c r="E50" s="896">
        <v>42891</v>
      </c>
      <c r="F50" s="897">
        <v>3</v>
      </c>
      <c r="G50" s="106">
        <f>DATEDIF(E50,$J$3,"y")</f>
        <v>2</v>
      </c>
      <c r="H50" s="106">
        <f>DATEDIF(E50,$J$3,"ym")</f>
        <v>2</v>
      </c>
      <c r="I50" s="17">
        <f>DATEDIF(E50,$J$3,"md")</f>
        <v>20</v>
      </c>
      <c r="J50" s="17">
        <f>VLOOKUP(D50,'THANG B.LUONG'!$B$5:$I$511,F50+1,0)</f>
        <v>31330</v>
      </c>
      <c r="K50" s="17">
        <v>0</v>
      </c>
      <c r="L50" s="17">
        <v>3000</v>
      </c>
      <c r="M50" s="17">
        <f t="shared" ref="M50:M53" si="65">IF(G50&gt;=3,J50*(0.03+(G50-3)*0.01),0)</f>
        <v>0</v>
      </c>
      <c r="N50" s="17">
        <v>0</v>
      </c>
      <c r="O50" s="17">
        <v>1000</v>
      </c>
      <c r="P50" s="17">
        <v>1000</v>
      </c>
      <c r="Q50" s="17">
        <v>0</v>
      </c>
      <c r="R50" s="17">
        <v>0</v>
      </c>
      <c r="S50" s="17">
        <v>0</v>
      </c>
      <c r="T50" s="17">
        <v>0</v>
      </c>
      <c r="U50" s="17">
        <v>0</v>
      </c>
      <c r="V50" s="927">
        <f t="shared" ref="V50:V53" si="66">SUM(J50:U50)-P50</f>
        <v>35330</v>
      </c>
      <c r="W50" s="928">
        <f>VLOOKUP(B50,'Cham cong'!$B$9:$BY$275,35,0)</f>
        <v>26</v>
      </c>
      <c r="X50" s="17">
        <f>VLOOKUP(B50,'Cham cong'!$B$9:$BY$275,37,0)</f>
        <v>0</v>
      </c>
      <c r="Y50" s="17">
        <f>VLOOKUP(B50,'Cham cong'!$B$9:$BY$275,38,0)</f>
        <v>1</v>
      </c>
      <c r="Z50" s="17">
        <f>VLOOKUP(B50,'Cham cong'!$B$9:$BY$275,72,0)</f>
        <v>0</v>
      </c>
      <c r="AA50" s="17">
        <f>VLOOKUP(B50,'Cham cong'!$B$9:$BY$275,71,0)</f>
        <v>0</v>
      </c>
      <c r="AB50" s="17">
        <f>VLOOKUP(B50,'Cham cong'!$B$9:$BY$275,36,0)</f>
        <v>0</v>
      </c>
      <c r="AC50" s="17"/>
      <c r="AD50" s="17"/>
      <c r="AE50" s="17"/>
      <c r="AF50" s="17"/>
      <c r="AG50" s="17"/>
      <c r="AH50" s="17"/>
      <c r="AI50" s="17"/>
      <c r="AJ50" s="17">
        <v>15000</v>
      </c>
      <c r="AK50" s="927">
        <f>V50/'Cham cong'!$AS$3*(W50+Z50/8*2+AA50/8*1.5+AB50*3)+J50/'Cham cong'!$AS$3*(X50+Y50)+AC50+P50+AE50+AG50+AH50+AI50+AJ50</f>
        <v>52535</v>
      </c>
      <c r="AL50" s="17">
        <f>AM50*$AN$3</f>
        <v>871.5</v>
      </c>
      <c r="AM50" s="17">
        <v>8300</v>
      </c>
      <c r="AN50" s="938">
        <f>VLOOKUP(B50,'Cham cong'!$B$9:$BY$275,75,0)</f>
        <v>0</v>
      </c>
      <c r="AO50" s="938"/>
      <c r="AP50" s="950">
        <f t="shared" ref="AP50:AP53" si="67">ROUND(AK50-AL50-AN50+AO50,-1)</f>
        <v>51660</v>
      </c>
      <c r="AR50" s="951">
        <f t="shared" si="56"/>
        <v>52535000</v>
      </c>
      <c r="AS50" s="856">
        <f>AM50*1000</f>
        <v>8300000</v>
      </c>
      <c r="AT50" s="856">
        <f>AN50*1000</f>
        <v>0</v>
      </c>
      <c r="AU50" s="952"/>
      <c r="AV50" s="952"/>
      <c r="AW50" s="952"/>
      <c r="AY50" s="952"/>
      <c r="BG50" s="952"/>
      <c r="BK50" s="952"/>
      <c r="BL50" s="952"/>
    </row>
    <row r="51" spans="1:64" s="856" customFormat="1" ht="12.75">
      <c r="A51" s="895">
        <v>2</v>
      </c>
      <c r="B51" s="91" t="s">
        <v>337</v>
      </c>
      <c r="C51" s="105" t="s">
        <v>338</v>
      </c>
      <c r="D51" s="106" t="str">
        <f>'THANG B.LUONG'!B40</f>
        <v>CV thu mua vật tư</v>
      </c>
      <c r="E51" s="896">
        <v>39083</v>
      </c>
      <c r="F51" s="897">
        <v>3</v>
      </c>
      <c r="G51" s="106">
        <f>DATEDIF(E51,$J$3,"y")</f>
        <v>12</v>
      </c>
      <c r="H51" s="106">
        <f>DATEDIF(E51,$J$3,"ym")</f>
        <v>7</v>
      </c>
      <c r="I51" s="17">
        <f>DATEDIF(E51,$J$3,"md")</f>
        <v>24</v>
      </c>
      <c r="J51" s="17">
        <f>VLOOKUP(D51,'THANG B.LUONG'!$B$5:$I$511,F51+1,0)</f>
        <v>12020</v>
      </c>
      <c r="K51" s="17">
        <v>0</v>
      </c>
      <c r="L51" s="17">
        <v>0</v>
      </c>
      <c r="M51" s="17">
        <f t="shared" si="65"/>
        <v>1442.3999999999999</v>
      </c>
      <c r="N51" s="17">
        <v>0</v>
      </c>
      <c r="O51" s="17">
        <v>0</v>
      </c>
      <c r="P51" s="17">
        <v>300</v>
      </c>
      <c r="Q51" s="17">
        <v>0</v>
      </c>
      <c r="R51" s="17">
        <v>0</v>
      </c>
      <c r="S51" s="17">
        <v>0</v>
      </c>
      <c r="T51" s="17">
        <v>0</v>
      </c>
      <c r="U51" s="17">
        <v>0</v>
      </c>
      <c r="V51" s="927">
        <f t="shared" si="66"/>
        <v>13462.4</v>
      </c>
      <c r="W51" s="928">
        <f>VLOOKUP(B51,'Cham cong'!$B$9:$BY$275,35,0)</f>
        <v>26</v>
      </c>
      <c r="X51" s="17">
        <f>VLOOKUP(B51,'Cham cong'!$B$9:$BY$275,37,0)</f>
        <v>0</v>
      </c>
      <c r="Y51" s="17">
        <f>VLOOKUP(B51,'Cham cong'!$B$9:$BY$275,38,0)</f>
        <v>1</v>
      </c>
      <c r="Z51" s="17">
        <f>VLOOKUP(B51,'Cham cong'!$B$9:$BY$275,72,0)</f>
        <v>0</v>
      </c>
      <c r="AA51" s="17">
        <f>VLOOKUP(B51,'Cham cong'!$B$9:$BY$275,71,0)</f>
        <v>0</v>
      </c>
      <c r="AB51" s="17">
        <f>VLOOKUP(B51,'Cham cong'!$B$9:$BY$275,36,0)</f>
        <v>0</v>
      </c>
      <c r="AC51" s="17"/>
      <c r="AD51" s="17"/>
      <c r="AE51" s="17"/>
      <c r="AF51" s="17"/>
      <c r="AG51" s="17"/>
      <c r="AH51" s="17"/>
      <c r="AI51" s="17"/>
      <c r="AJ51" s="17"/>
      <c r="AK51" s="927">
        <f>V51/'Cham cong'!$AS$3*(W51+Z51/8*2+AA51/8*1.5+AB51*3)+J51/'Cham cong'!$AS$3*(X51+Y51)+AC51+P51+AE51+AG51+AH51+AI51+AJ51</f>
        <v>14224.707692307689</v>
      </c>
      <c r="AL51" s="17">
        <f>AM51*$AN$3</f>
        <v>525</v>
      </c>
      <c r="AM51" s="940">
        <v>5000</v>
      </c>
      <c r="AN51" s="938">
        <f>VLOOKUP(B51,'Cham cong'!$B$9:$BY$275,75,0)</f>
        <v>5000</v>
      </c>
      <c r="AO51" s="938"/>
      <c r="AP51" s="950">
        <f t="shared" si="67"/>
        <v>8700</v>
      </c>
      <c r="AR51" s="951">
        <f t="shared" si="56"/>
        <v>14224707.69230769</v>
      </c>
      <c r="AS51" s="856">
        <f>AM51*1000</f>
        <v>5000000</v>
      </c>
      <c r="AT51" s="856">
        <f>AN51*1000</f>
        <v>5000000</v>
      </c>
      <c r="AU51" s="949"/>
      <c r="AV51" s="949"/>
      <c r="AW51" s="949"/>
      <c r="AY51" s="949"/>
      <c r="BG51" s="949"/>
      <c r="BK51" s="949"/>
      <c r="BL51" s="949"/>
    </row>
    <row r="52" spans="1:64" s="862" customFormat="1" ht="12.75" hidden="1">
      <c r="A52" s="1397">
        <v>3</v>
      </c>
      <c r="B52" s="580" t="s">
        <v>1306</v>
      </c>
      <c r="C52" s="1496" t="s">
        <v>1312</v>
      </c>
      <c r="D52" s="582" t="s">
        <v>1313</v>
      </c>
      <c r="E52" s="915">
        <v>43700</v>
      </c>
      <c r="F52" s="916">
        <v>1</v>
      </c>
      <c r="G52" s="582">
        <f>DATEDIF(E52,$J$3,"y")</f>
        <v>0</v>
      </c>
      <c r="H52" s="582">
        <f>DATEDIF(E52,$J$3,"ym")</f>
        <v>0</v>
      </c>
      <c r="I52" s="922">
        <f>DATEDIF(E52,$J$3,"md")</f>
        <v>2</v>
      </c>
      <c r="J52" s="922">
        <v>12000</v>
      </c>
      <c r="K52" s="922">
        <v>0</v>
      </c>
      <c r="L52" s="922">
        <v>0</v>
      </c>
      <c r="M52" s="922">
        <f t="shared" si="65"/>
        <v>0</v>
      </c>
      <c r="N52" s="922">
        <v>0</v>
      </c>
      <c r="O52" s="922">
        <v>0</v>
      </c>
      <c r="P52" s="922">
        <v>0</v>
      </c>
      <c r="Q52" s="922">
        <v>0</v>
      </c>
      <c r="R52" s="922">
        <v>0</v>
      </c>
      <c r="S52" s="922">
        <v>0</v>
      </c>
      <c r="T52" s="922">
        <v>0</v>
      </c>
      <c r="U52" s="922">
        <v>0</v>
      </c>
      <c r="V52" s="1398">
        <f t="shared" si="66"/>
        <v>12000</v>
      </c>
      <c r="W52" s="931">
        <f>VLOOKUP(B52,'Cham cong'!$B$9:$BY$275,35,0)</f>
        <v>26</v>
      </c>
      <c r="X52" s="922">
        <f>VLOOKUP(B52,'Cham cong'!$B$9:$BY$275,37,0)</f>
        <v>0</v>
      </c>
      <c r="Y52" s="922">
        <f>VLOOKUP(B52,'Cham cong'!$B$9:$BY$275,38,0)</f>
        <v>1</v>
      </c>
      <c r="Z52" s="922">
        <f>VLOOKUP(B52,'Cham cong'!$B$9:$BY$275,72,0)</f>
        <v>0</v>
      </c>
      <c r="AA52" s="922">
        <f>VLOOKUP(B52,'Cham cong'!$B$9:$BY$275,71,0)</f>
        <v>0</v>
      </c>
      <c r="AB52" s="922">
        <f>VLOOKUP(B52,'Cham cong'!$B$9:$BY$275,36,0)</f>
        <v>0</v>
      </c>
      <c r="AC52" s="922"/>
      <c r="AD52" s="922"/>
      <c r="AE52" s="922"/>
      <c r="AF52" s="922"/>
      <c r="AG52" s="922"/>
      <c r="AH52" s="922"/>
      <c r="AI52" s="922"/>
      <c r="AJ52" s="922"/>
      <c r="AK52" s="1398">
        <f>V52/'Cham cong'!$AS$3*(W52+Z52/8*2+AA52/8*1.5+AB52*3)+J52/'Cham cong'!$AS$3*(X52+Y52)+AC52+P52+AE52+AG52+AH52+AI52+AJ52</f>
        <v>12461.538461538461</v>
      </c>
      <c r="AL52" s="922">
        <f>AM52*$AN$3</f>
        <v>0</v>
      </c>
      <c r="AM52" s="1073">
        <v>0</v>
      </c>
      <c r="AN52" s="942">
        <f>VLOOKUP(B52,'Cham cong'!$B$9:$BY$275,75,0)</f>
        <v>0</v>
      </c>
      <c r="AO52" s="942"/>
      <c r="AP52" s="1399">
        <f t="shared" si="67"/>
        <v>12460</v>
      </c>
      <c r="AR52" s="966">
        <f t="shared" si="56"/>
        <v>12461538.46153846</v>
      </c>
      <c r="AS52" s="862">
        <f t="shared" ref="AS52:AT53" si="68">AM52*1000</f>
        <v>0</v>
      </c>
      <c r="AT52" s="862">
        <f t="shared" si="68"/>
        <v>0</v>
      </c>
      <c r="AU52" s="1400"/>
      <c r="AV52" s="1400"/>
      <c r="AW52" s="1400"/>
      <c r="AY52" s="1400"/>
      <c r="BG52" s="1400"/>
      <c r="BK52" s="1400"/>
      <c r="BL52" s="1400"/>
    </row>
    <row r="53" spans="1:64" s="856" customFormat="1" ht="12.75">
      <c r="A53" s="895">
        <v>4</v>
      </c>
      <c r="B53" s="91" t="s">
        <v>339</v>
      </c>
      <c r="C53" s="110" t="s">
        <v>340</v>
      </c>
      <c r="D53" s="1485" t="s">
        <v>1303</v>
      </c>
      <c r="E53" s="896">
        <v>43241</v>
      </c>
      <c r="F53" s="897">
        <v>1</v>
      </c>
      <c r="G53" s="106">
        <f>DATEDIF(E53,$J$3,"y")</f>
        <v>1</v>
      </c>
      <c r="H53" s="106">
        <f>DATEDIF(E53,$J$3,"ym")</f>
        <v>3</v>
      </c>
      <c r="I53" s="17">
        <f>DATEDIF(E53,$J$3,"md")</f>
        <v>4</v>
      </c>
      <c r="J53" s="17">
        <v>14820</v>
      </c>
      <c r="K53" s="17">
        <v>0</v>
      </c>
      <c r="L53" s="17">
        <v>0</v>
      </c>
      <c r="M53" s="17">
        <f t="shared" si="65"/>
        <v>0</v>
      </c>
      <c r="N53" s="17">
        <v>0</v>
      </c>
      <c r="O53" s="17">
        <v>0</v>
      </c>
      <c r="P53" s="17">
        <v>300</v>
      </c>
      <c r="Q53" s="17">
        <v>0</v>
      </c>
      <c r="R53" s="17">
        <v>0</v>
      </c>
      <c r="S53" s="17">
        <v>0</v>
      </c>
      <c r="T53" s="17">
        <v>0</v>
      </c>
      <c r="U53" s="17">
        <v>0</v>
      </c>
      <c r="V53" s="927">
        <f t="shared" si="66"/>
        <v>14820</v>
      </c>
      <c r="W53" s="928">
        <f>VLOOKUP(B53,'Cham cong'!$B$9:$BY$275,35,0)</f>
        <v>26</v>
      </c>
      <c r="X53" s="17">
        <f>VLOOKUP(B53,'Cham cong'!$B$9:$BY$275,37,0)</f>
        <v>0</v>
      </c>
      <c r="Y53" s="17">
        <f>VLOOKUP(B53,'Cham cong'!$B$9:$BY$275,38,0)</f>
        <v>1</v>
      </c>
      <c r="Z53" s="17">
        <f>VLOOKUP(B53,'Cham cong'!$B$9:$BY$275,72,0)</f>
        <v>0</v>
      </c>
      <c r="AA53" s="17">
        <f>VLOOKUP(B53,'Cham cong'!$B$9:$BY$275,71,0)</f>
        <v>0</v>
      </c>
      <c r="AB53" s="17">
        <f>VLOOKUP(B53,'Cham cong'!$B$9:$BY$275,36,0)</f>
        <v>0</v>
      </c>
      <c r="AC53" s="17"/>
      <c r="AD53" s="17"/>
      <c r="AE53" s="17"/>
      <c r="AF53" s="17"/>
      <c r="AG53" s="17"/>
      <c r="AH53" s="17"/>
      <c r="AI53" s="17"/>
      <c r="AJ53" s="1069">
        <f>3000</f>
        <v>3000</v>
      </c>
      <c r="AK53" s="927">
        <f>V53/'Cham cong'!$AS$3*(W53+Z53/8*2+AA53/8*1.5+AB53*3)+J53/'Cham cong'!$AS$3*(X53+Y53)+AC53+P53+AE53+AG53+AH53+AI53+AJ53</f>
        <v>18690</v>
      </c>
      <c r="AL53" s="17">
        <f>AM53*$AN$3</f>
        <v>525</v>
      </c>
      <c r="AM53" s="946">
        <v>5000</v>
      </c>
      <c r="AN53" s="938">
        <f>VLOOKUP(B53,'Cham cong'!$B$9:$BY$275,75,0)</f>
        <v>0</v>
      </c>
      <c r="AO53" s="938"/>
      <c r="AP53" s="950">
        <f t="shared" si="67"/>
        <v>18170</v>
      </c>
      <c r="AR53" s="951">
        <f t="shared" si="56"/>
        <v>18690000</v>
      </c>
      <c r="AS53" s="856">
        <f t="shared" si="68"/>
        <v>5000000</v>
      </c>
      <c r="AT53" s="856">
        <f t="shared" si="68"/>
        <v>0</v>
      </c>
      <c r="AU53" s="949"/>
      <c r="AV53" s="949"/>
      <c r="AW53" s="949"/>
      <c r="AY53" s="949">
        <v>8670</v>
      </c>
      <c r="AZ53" s="979">
        <f>AP53-AY53</f>
        <v>9500</v>
      </c>
      <c r="BG53" s="949"/>
      <c r="BK53" s="949"/>
      <c r="BL53" s="949"/>
    </row>
    <row r="54" spans="1:64" s="856" customFormat="1" ht="12.75" hidden="1">
      <c r="A54" s="895">
        <v>4</v>
      </c>
      <c r="B54" s="1255" t="s">
        <v>1274</v>
      </c>
      <c r="C54" s="1495" t="s">
        <v>1275</v>
      </c>
      <c r="D54" s="1485" t="str">
        <f>'THANG B.LUONG'!B44</f>
        <v>CV kế hoạch tổng hợp</v>
      </c>
      <c r="E54" s="908">
        <v>43620</v>
      </c>
      <c r="F54" s="909">
        <v>1</v>
      </c>
      <c r="G54" s="12">
        <f>DATEDIF(E54,$J$3,"y")</f>
        <v>0</v>
      </c>
      <c r="H54" s="12">
        <f>DATEDIF(E54,$J$3,"ym")</f>
        <v>2</v>
      </c>
      <c r="I54" s="921">
        <f>DATEDIF(E54,$J$3,"md")</f>
        <v>21</v>
      </c>
      <c r="J54" s="921">
        <v>12000</v>
      </c>
      <c r="K54" s="921">
        <v>0</v>
      </c>
      <c r="L54" s="921">
        <v>0</v>
      </c>
      <c r="M54" s="921">
        <f t="shared" ref="M54" si="69">IF(G54&gt;=3,J54*(0.03+(G54-3)*0.01),0)</f>
        <v>0</v>
      </c>
      <c r="N54" s="921">
        <v>0</v>
      </c>
      <c r="O54" s="921">
        <v>0</v>
      </c>
      <c r="P54" s="921">
        <v>0</v>
      </c>
      <c r="Q54" s="921">
        <v>0</v>
      </c>
      <c r="R54" s="921">
        <v>0</v>
      </c>
      <c r="S54" s="921">
        <v>0</v>
      </c>
      <c r="T54" s="921">
        <v>0</v>
      </c>
      <c r="U54" s="921">
        <v>0</v>
      </c>
      <c r="V54" s="932">
        <f t="shared" ref="V54" si="70">SUM(J54:U54)-P54</f>
        <v>12000</v>
      </c>
      <c r="W54" s="1016">
        <f>VLOOKUP(B54,'Cham cong'!$B$9:$BY$275,35,0)</f>
        <v>26</v>
      </c>
      <c r="X54" s="921">
        <f>VLOOKUP(B54,'Cham cong'!$B$9:$BY$275,37,0)</f>
        <v>0</v>
      </c>
      <c r="Y54" s="921">
        <f>VLOOKUP(B54,'Cham cong'!$B$9:$BY$275,38,0)</f>
        <v>1</v>
      </c>
      <c r="Z54" s="921">
        <f>VLOOKUP(B54,'Cham cong'!$B$9:$BY$275,72,0)</f>
        <v>0</v>
      </c>
      <c r="AA54" s="921">
        <f>VLOOKUP(B54,'Cham cong'!$B$9:$BY$275,71,0)</f>
        <v>0</v>
      </c>
      <c r="AB54" s="921">
        <f>VLOOKUP(B54,'Cham cong'!$B$9:$BY$275,36,0)</f>
        <v>0</v>
      </c>
      <c r="AC54" s="921"/>
      <c r="AD54" s="921"/>
      <c r="AE54" s="921"/>
      <c r="AF54" s="921"/>
      <c r="AG54" s="921"/>
      <c r="AH54" s="921"/>
      <c r="AI54" s="921"/>
      <c r="AJ54" s="921"/>
      <c r="AK54" s="932">
        <f>V54/'Cham cong'!$AS$3*(W54+Z54/8*2+AA54/8*1.5+AB54*3)+J54/'Cham cong'!$AS$3*(X54+Y54)+AC54+P54+AE54+AG54+AH54+AI54+AJ54</f>
        <v>12461.538461538461</v>
      </c>
      <c r="AL54" s="921">
        <f>AM54*$AN$3</f>
        <v>0</v>
      </c>
      <c r="AM54" s="946">
        <v>0</v>
      </c>
      <c r="AN54" s="944">
        <f>VLOOKUP(B54,'Cham cong'!$B$9:$BY$275,75,0)</f>
        <v>0</v>
      </c>
      <c r="AO54" s="944"/>
      <c r="AP54" s="969">
        <f t="shared" ref="AP54" si="71">ROUND(AK54-AL54-AN54+AO54,-1)</f>
        <v>12460</v>
      </c>
      <c r="AR54" s="951">
        <f t="shared" ref="AR54" si="72">AK54*1000</f>
        <v>12461538.46153846</v>
      </c>
      <c r="AS54" s="856">
        <f t="shared" ref="AS54" si="73">AM54*1000</f>
        <v>0</v>
      </c>
      <c r="AT54" s="856">
        <f t="shared" ref="AT54" si="74">AN54*1000</f>
        <v>0</v>
      </c>
      <c r="AU54" s="949"/>
      <c r="AV54" s="949"/>
      <c r="AW54" s="949"/>
      <c r="AY54" s="949">
        <v>8670</v>
      </c>
      <c r="AZ54" s="979">
        <f>AP54-AY54</f>
        <v>3790</v>
      </c>
      <c r="BG54" s="949"/>
      <c r="BK54" s="949"/>
      <c r="BL54" s="949"/>
    </row>
    <row r="55" spans="1:64" s="856" customFormat="1">
      <c r="A55" s="898"/>
      <c r="B55" s="95"/>
      <c r="C55" s="115" t="s">
        <v>341</v>
      </c>
      <c r="D55" s="116"/>
      <c r="E55" s="899"/>
      <c r="F55" s="140"/>
      <c r="G55" s="140"/>
      <c r="H55" s="140"/>
      <c r="I55" s="140"/>
      <c r="J55" s="140"/>
      <c r="K55" s="140"/>
      <c r="L55" s="140"/>
      <c r="M55" s="140"/>
      <c r="N55" s="140"/>
      <c r="O55" s="140"/>
      <c r="P55" s="140"/>
      <c r="Q55" s="140"/>
      <c r="R55" s="140"/>
      <c r="S55" s="140"/>
      <c r="T55" s="140"/>
      <c r="U55" s="140"/>
      <c r="V55" s="140"/>
      <c r="W55" s="140"/>
      <c r="X55" s="140"/>
      <c r="Y55" s="140"/>
      <c r="Z55" s="140"/>
      <c r="AA55" s="140"/>
      <c r="AB55" s="140"/>
      <c r="AC55" s="140"/>
      <c r="AD55" s="140"/>
      <c r="AE55" s="140"/>
      <c r="AF55" s="140"/>
      <c r="AG55" s="140"/>
      <c r="AH55" s="140"/>
      <c r="AI55" s="140"/>
      <c r="AJ55" s="140"/>
      <c r="AK55" s="937">
        <f>SUM(AK56:AK59)</f>
        <v>56901.700000000004</v>
      </c>
      <c r="AL55" s="937">
        <f t="shared" ref="AL55:AO55" si="75">SUM(AL56:AL59)</f>
        <v>2383.5</v>
      </c>
      <c r="AM55" s="937">
        <f t="shared" si="75"/>
        <v>22700</v>
      </c>
      <c r="AN55" s="937">
        <f t="shared" si="75"/>
        <v>0</v>
      </c>
      <c r="AO55" s="937">
        <f t="shared" si="75"/>
        <v>0</v>
      </c>
      <c r="AP55" s="937">
        <f>SUM(AP56:AP59)</f>
        <v>54510</v>
      </c>
      <c r="AQ55" s="937">
        <f t="shared" ref="AQ55:AZ55" si="76">SUM(AQ56:AQ59)</f>
        <v>0</v>
      </c>
      <c r="AR55" s="937">
        <f t="shared" si="76"/>
        <v>56901700</v>
      </c>
      <c r="AS55" s="937">
        <f t="shared" si="76"/>
        <v>22700000</v>
      </c>
      <c r="AT55" s="937">
        <f t="shared" si="76"/>
        <v>0</v>
      </c>
      <c r="AU55" s="937">
        <f t="shared" si="76"/>
        <v>0</v>
      </c>
      <c r="AV55" s="937">
        <f t="shared" si="76"/>
        <v>0</v>
      </c>
      <c r="AW55" s="937">
        <f t="shared" si="76"/>
        <v>0</v>
      </c>
      <c r="AX55" s="937">
        <f t="shared" si="76"/>
        <v>0</v>
      </c>
      <c r="AY55" s="937">
        <f t="shared" si="76"/>
        <v>0</v>
      </c>
      <c r="AZ55" s="937">
        <f t="shared" si="76"/>
        <v>0</v>
      </c>
      <c r="BG55" s="949"/>
      <c r="BK55" s="949"/>
      <c r="BL55" s="949"/>
    </row>
    <row r="56" spans="1:64" s="856" customFormat="1" ht="12.75">
      <c r="A56" s="895">
        <v>1</v>
      </c>
      <c r="B56" s="98" t="s">
        <v>342</v>
      </c>
      <c r="C56" s="92" t="s">
        <v>343</v>
      </c>
      <c r="D56" s="100" t="s">
        <v>36</v>
      </c>
      <c r="E56" s="896">
        <v>40848</v>
      </c>
      <c r="F56" s="897">
        <v>2</v>
      </c>
      <c r="G56" s="106">
        <f>DATEDIF(E56,$J$3,"y")</f>
        <v>7</v>
      </c>
      <c r="H56" s="106">
        <f>DATEDIF(E56,$J$3,"ym")</f>
        <v>9</v>
      </c>
      <c r="I56" s="17">
        <f>DATEDIF(E56,$J$3,"md")</f>
        <v>24</v>
      </c>
      <c r="J56" s="17">
        <f>VLOOKUP(D56,'THANG B.LUONG'!$B$5:$I$511,F56+1,0)</f>
        <v>21170</v>
      </c>
      <c r="K56" s="17">
        <v>0</v>
      </c>
      <c r="L56" s="17">
        <v>3000</v>
      </c>
      <c r="M56" s="17">
        <f t="shared" ref="M56:M59" si="77">IF(G56&gt;=3,J56*(0.03+(G56-3)*0.01),0)</f>
        <v>1481.9</v>
      </c>
      <c r="N56" s="17">
        <v>0</v>
      </c>
      <c r="O56" s="17">
        <v>1000</v>
      </c>
      <c r="P56" s="17">
        <v>1000</v>
      </c>
      <c r="Q56" s="17">
        <v>0</v>
      </c>
      <c r="R56" s="17">
        <v>0</v>
      </c>
      <c r="S56" s="17">
        <v>0</v>
      </c>
      <c r="T56" s="17">
        <v>0</v>
      </c>
      <c r="U56" s="17">
        <v>0</v>
      </c>
      <c r="V56" s="927">
        <f t="shared" ref="V56:V59" si="78">SUM(J56:U56)-P56</f>
        <v>26651.9</v>
      </c>
      <c r="W56" s="928">
        <f>VLOOKUP(B56,'Cham cong'!$B$9:$BY$275,35,0)</f>
        <v>26</v>
      </c>
      <c r="X56" s="17">
        <f>VLOOKUP(B56,'Cham cong'!$B$9:$BY$275,37,0)</f>
        <v>0</v>
      </c>
      <c r="Y56" s="17">
        <f>VLOOKUP(B56,'Cham cong'!$B$9:$BY$275,38,0)</f>
        <v>1</v>
      </c>
      <c r="Z56" s="17">
        <f>VLOOKUP(B56,'Cham cong'!$B$9:$BY$275,72,0)</f>
        <v>0</v>
      </c>
      <c r="AA56" s="17">
        <f>VLOOKUP(B56,'Cham cong'!$B$9:$BY$275,71,0)</f>
        <v>0</v>
      </c>
      <c r="AB56" s="17">
        <f>VLOOKUP(B56,'Cham cong'!$B$9:$BY$275,36,0)</f>
        <v>0</v>
      </c>
      <c r="AC56" s="17"/>
      <c r="AD56" s="17"/>
      <c r="AE56" s="17"/>
      <c r="AF56" s="17"/>
      <c r="AG56" s="17"/>
      <c r="AH56" s="17"/>
      <c r="AI56" s="17"/>
      <c r="AJ56" s="17"/>
      <c r="AK56" s="927">
        <f>V56/'Cham cong'!$AS$3*(W56+Z56/8*2+AA56/8*1.5+AB56*3)+J56/'Cham cong'!$AS$3*(X56+Y56)+AC56+P56+AE56+AG56+AH56+AI56+AJ56</f>
        <v>28466.130769230771</v>
      </c>
      <c r="AL56" s="17">
        <f>AM56*$AN$3</f>
        <v>871.5</v>
      </c>
      <c r="AM56" s="940">
        <v>8300</v>
      </c>
      <c r="AN56" s="938">
        <f>VLOOKUP(B56,'Cham cong'!$B$9:$BY$275,75,0)</f>
        <v>0</v>
      </c>
      <c r="AO56" s="938"/>
      <c r="AP56" s="950">
        <f t="shared" ref="AP56:AP59" si="79">ROUND(AK56-AL56-AN56+AO56,-1)</f>
        <v>27590</v>
      </c>
      <c r="AR56" s="951">
        <f t="shared" si="56"/>
        <v>28466130.769230772</v>
      </c>
      <c r="AS56" s="856">
        <f t="shared" ref="AS56:AS61" si="80">AM56*1000</f>
        <v>8300000</v>
      </c>
      <c r="AT56" s="856">
        <f t="shared" ref="AT56:AT61" si="81">AN56*1000</f>
        <v>0</v>
      </c>
      <c r="AU56" s="949"/>
      <c r="AV56" s="949"/>
      <c r="AW56" s="949"/>
      <c r="AY56" s="949"/>
      <c r="BG56" s="949"/>
      <c r="BK56" s="949"/>
      <c r="BL56" s="949"/>
    </row>
    <row r="57" spans="1:64" s="856" customFormat="1" ht="12.75">
      <c r="A57" s="895">
        <v>2</v>
      </c>
      <c r="B57" s="91" t="s">
        <v>344</v>
      </c>
      <c r="C57" s="105" t="s">
        <v>345</v>
      </c>
      <c r="D57" s="106" t="s">
        <v>38</v>
      </c>
      <c r="E57" s="896">
        <v>41487</v>
      </c>
      <c r="F57" s="897">
        <v>4</v>
      </c>
      <c r="G57" s="106">
        <f>DATEDIF(E57,$J$3,"y")</f>
        <v>6</v>
      </c>
      <c r="H57" s="106">
        <f>DATEDIF(E57,$J$3,"ym")</f>
        <v>0</v>
      </c>
      <c r="I57" s="17">
        <f>DATEDIF(E57,$J$3,"md")</f>
        <v>24</v>
      </c>
      <c r="J57" s="17">
        <f>VLOOKUP(D57,'THANG B.LUONG'!$B$5:$I$511,F57+1,0)</f>
        <v>10520</v>
      </c>
      <c r="K57" s="17">
        <v>0</v>
      </c>
      <c r="L57" s="17">
        <v>0</v>
      </c>
      <c r="M57" s="17">
        <f t="shared" si="77"/>
        <v>631.19999999999993</v>
      </c>
      <c r="N57" s="17">
        <v>0</v>
      </c>
      <c r="O57" s="17">
        <v>0</v>
      </c>
      <c r="P57" s="17">
        <v>0</v>
      </c>
      <c r="Q57" s="17">
        <v>0</v>
      </c>
      <c r="R57" s="17">
        <v>0</v>
      </c>
      <c r="S57" s="17">
        <v>0</v>
      </c>
      <c r="T57" s="17">
        <v>0</v>
      </c>
      <c r="U57" s="17">
        <v>0</v>
      </c>
      <c r="V57" s="927">
        <f t="shared" si="78"/>
        <v>11151.2</v>
      </c>
      <c r="W57" s="928">
        <f>VLOOKUP(B57,'Cham cong'!$B$9:$BY$275,35,0)</f>
        <v>26</v>
      </c>
      <c r="X57" s="17">
        <f>VLOOKUP(B57,'Cham cong'!$B$9:$BY$275,37,0)</f>
        <v>0</v>
      </c>
      <c r="Y57" s="17">
        <f>VLOOKUP(B57,'Cham cong'!$B$9:$BY$275,38,0)</f>
        <v>1</v>
      </c>
      <c r="Z57" s="17">
        <f>VLOOKUP(B57,'Cham cong'!$B$9:$BY$275,72,0)</f>
        <v>0</v>
      </c>
      <c r="AA57" s="17">
        <f>VLOOKUP(B57,'Cham cong'!$B$9:$BY$275,71,0)</f>
        <v>0</v>
      </c>
      <c r="AB57" s="17">
        <f>VLOOKUP(B57,'Cham cong'!$B$9:$BY$275,36,0)</f>
        <v>0</v>
      </c>
      <c r="AC57" s="17"/>
      <c r="AD57" s="17"/>
      <c r="AE57" s="17"/>
      <c r="AF57" s="17"/>
      <c r="AG57" s="17"/>
      <c r="AH57" s="17"/>
      <c r="AI57" s="17"/>
      <c r="AJ57" s="17"/>
      <c r="AK57" s="927">
        <f>V57/'Cham cong'!$AS$3*(W57+Z57/8*2+AA57/8*1.5+AB57*3)+J57/'Cham cong'!$AS$3*(X57+Y57)+AC57+P57+AE57+AG57+AH57+AI57+AJ57</f>
        <v>11555.815384615385</v>
      </c>
      <c r="AL57" s="17">
        <f>AM57*$AN$3</f>
        <v>504</v>
      </c>
      <c r="AM57" s="940">
        <v>4800</v>
      </c>
      <c r="AN57" s="938">
        <f>VLOOKUP(B57,'Cham cong'!$B$9:$BY$275,75,0)</f>
        <v>0</v>
      </c>
      <c r="AO57" s="938"/>
      <c r="AP57" s="950">
        <f t="shared" si="79"/>
        <v>11050</v>
      </c>
      <c r="AR57" s="951">
        <f t="shared" si="56"/>
        <v>11555815.384615386</v>
      </c>
      <c r="AS57" s="856">
        <f t="shared" si="80"/>
        <v>4800000</v>
      </c>
      <c r="AT57" s="856">
        <f t="shared" si="81"/>
        <v>0</v>
      </c>
      <c r="AU57" s="949"/>
      <c r="AV57" s="949"/>
      <c r="AW57" s="949"/>
      <c r="AY57" s="949"/>
      <c r="BG57" s="949"/>
      <c r="BK57" s="949"/>
      <c r="BL57" s="949"/>
    </row>
    <row r="58" spans="1:64" s="856" customFormat="1" ht="12.75">
      <c r="A58" s="895">
        <v>4</v>
      </c>
      <c r="B58" s="91" t="s">
        <v>348</v>
      </c>
      <c r="C58" s="105" t="s">
        <v>349</v>
      </c>
      <c r="D58" s="106" t="s">
        <v>38</v>
      </c>
      <c r="E58" s="896">
        <v>42835</v>
      </c>
      <c r="F58" s="897">
        <v>1</v>
      </c>
      <c r="G58" s="106">
        <f>DATEDIF(E58,$J$3,"y")</f>
        <v>2</v>
      </c>
      <c r="H58" s="106">
        <f>DATEDIF(E58,$J$3,"ym")</f>
        <v>4</v>
      </c>
      <c r="I58" s="17">
        <f>DATEDIF(E58,$J$3,"md")</f>
        <v>15</v>
      </c>
      <c r="J58" s="17">
        <f>VLOOKUP(D58,'THANG B.LUONG'!$B$5:$I$511,F58+1,0)</f>
        <v>7900</v>
      </c>
      <c r="K58" s="17">
        <v>0</v>
      </c>
      <c r="L58" s="17">
        <v>0</v>
      </c>
      <c r="M58" s="17">
        <f t="shared" si="77"/>
        <v>0</v>
      </c>
      <c r="N58" s="17">
        <v>0</v>
      </c>
      <c r="O58" s="17">
        <v>0</v>
      </c>
      <c r="P58" s="17">
        <v>0</v>
      </c>
      <c r="Q58" s="17">
        <v>0</v>
      </c>
      <c r="R58" s="17">
        <v>0</v>
      </c>
      <c r="S58" s="17">
        <v>0</v>
      </c>
      <c r="T58" s="17">
        <v>0</v>
      </c>
      <c r="U58" s="17">
        <v>0</v>
      </c>
      <c r="V58" s="927">
        <f t="shared" si="78"/>
        <v>7900</v>
      </c>
      <c r="W58" s="928">
        <f>VLOOKUP(B58,'Cham cong'!$B$9:$BY$275,35,0)</f>
        <v>26</v>
      </c>
      <c r="X58" s="17">
        <f>VLOOKUP(B58,'Cham cong'!$B$9:$BY$275,37,0)</f>
        <v>0</v>
      </c>
      <c r="Y58" s="17">
        <f>VLOOKUP(B58,'Cham cong'!$B$9:$BY$275,38,0)</f>
        <v>1</v>
      </c>
      <c r="Z58" s="17">
        <f>VLOOKUP(B58,'Cham cong'!$B$9:$BY$275,72,0)</f>
        <v>0</v>
      </c>
      <c r="AA58" s="17">
        <f>VLOOKUP(B58,'Cham cong'!$B$9:$BY$275,71,0)</f>
        <v>0</v>
      </c>
      <c r="AB58" s="17">
        <f>VLOOKUP(B58,'Cham cong'!$B$9:$BY$275,36,0)</f>
        <v>0</v>
      </c>
      <c r="AC58" s="17"/>
      <c r="AD58" s="17"/>
      <c r="AE58" s="17"/>
      <c r="AF58" s="17"/>
      <c r="AG58" s="17"/>
      <c r="AH58" s="17"/>
      <c r="AI58" s="17"/>
      <c r="AJ58" s="17"/>
      <c r="AK58" s="927">
        <f>V58/'Cham cong'!$AS$3*(W58+Z58/8*2+AA58/8*1.5+AB58*3)+J58/'Cham cong'!$AS$3*(X58+Y58)+AC58+P58+AE58+AG58+AH58+AI58+AJ58</f>
        <v>8203.8461538461543</v>
      </c>
      <c r="AL58" s="17">
        <f>AM58*$AN$3</f>
        <v>504</v>
      </c>
      <c r="AM58" s="940">
        <v>4800</v>
      </c>
      <c r="AN58" s="938">
        <f>VLOOKUP(B58,'Cham cong'!$B$9:$BY$275,75,0)</f>
        <v>0</v>
      </c>
      <c r="AO58" s="938"/>
      <c r="AP58" s="950">
        <f t="shared" si="79"/>
        <v>7700</v>
      </c>
      <c r="AR58" s="951">
        <f t="shared" si="56"/>
        <v>8203846.153846154</v>
      </c>
      <c r="AS58" s="856">
        <f t="shared" si="80"/>
        <v>4800000</v>
      </c>
      <c r="AT58" s="856">
        <f t="shared" si="81"/>
        <v>0</v>
      </c>
      <c r="AU58" s="949"/>
      <c r="AV58" s="949"/>
      <c r="AW58" s="949"/>
      <c r="AY58" s="949"/>
      <c r="BG58" s="949"/>
      <c r="BK58" s="949"/>
      <c r="BL58" s="949"/>
    </row>
    <row r="59" spans="1:64" s="856" customFormat="1" ht="12.75">
      <c r="A59" s="895">
        <v>5</v>
      </c>
      <c r="B59" s="91" t="s">
        <v>350</v>
      </c>
      <c r="C59" s="105" t="s">
        <v>351</v>
      </c>
      <c r="D59" s="106" t="str">
        <f>'THANG B.LUONG'!B35</f>
        <v>NV nghiệm thu thanh toán</v>
      </c>
      <c r="E59" s="896">
        <v>42565</v>
      </c>
      <c r="F59" s="897">
        <v>3</v>
      </c>
      <c r="G59" s="106">
        <f>DATEDIF(E59,$J$3,"y")</f>
        <v>3</v>
      </c>
      <c r="H59" s="106">
        <f>DATEDIF(E59,$J$3,"ym")</f>
        <v>1</v>
      </c>
      <c r="I59" s="17">
        <f>DATEDIF(E59,$J$3,"md")</f>
        <v>11</v>
      </c>
      <c r="J59" s="17">
        <f>VLOOKUP(D59,'THANG B.LUONG'!$B$5:$I$511,F59+1,0)</f>
        <v>8120</v>
      </c>
      <c r="K59" s="17">
        <v>0</v>
      </c>
      <c r="L59" s="17">
        <v>0</v>
      </c>
      <c r="M59" s="17">
        <f t="shared" si="77"/>
        <v>243.6</v>
      </c>
      <c r="N59" s="17">
        <v>0</v>
      </c>
      <c r="O59" s="17">
        <v>0</v>
      </c>
      <c r="P59" s="17">
        <v>0</v>
      </c>
      <c r="Q59" s="17">
        <v>0</v>
      </c>
      <c r="R59" s="17">
        <v>0</v>
      </c>
      <c r="S59" s="17">
        <v>0</v>
      </c>
      <c r="T59" s="17">
        <v>0</v>
      </c>
      <c r="U59" s="17">
        <v>0</v>
      </c>
      <c r="V59" s="927">
        <f t="shared" si="78"/>
        <v>8363.6</v>
      </c>
      <c r="W59" s="928">
        <f>VLOOKUP(B59,'Cham cong'!$B$9:$BY$275,35,0)</f>
        <v>26</v>
      </c>
      <c r="X59" s="17">
        <f>VLOOKUP(B59,'Cham cong'!$B$9:$BY$275,37,0)</f>
        <v>0</v>
      </c>
      <c r="Y59" s="928">
        <f>VLOOKUP(B59,'Cham cong'!$B$9:$BY$275,38,0)</f>
        <v>1</v>
      </c>
      <c r="Z59" s="17">
        <f>VLOOKUP(B59,'Cham cong'!$B$9:$BY$275,72,0)</f>
        <v>0</v>
      </c>
      <c r="AA59" s="17">
        <f>VLOOKUP(B59,'Cham cong'!$B$9:$BY$275,71,0)</f>
        <v>0</v>
      </c>
      <c r="AB59" s="928">
        <f>VLOOKUP(B59,'Cham cong'!$B$9:$BY$275,36,0)</f>
        <v>0</v>
      </c>
      <c r="AC59" s="17"/>
      <c r="AD59" s="17"/>
      <c r="AE59" s="17"/>
      <c r="AF59" s="17"/>
      <c r="AG59" s="17"/>
      <c r="AH59" s="17"/>
      <c r="AI59" s="17"/>
      <c r="AJ59" s="17"/>
      <c r="AK59" s="927">
        <f>V59/'Cham cong'!$AS$3*(W59+Z59/8*2+AA59/8*1.5+AB59*3)+J59/'Cham cong'!$AS$3*(X59+Y59)+AC59+P59+AE59+AG59+AH59+AI59+AJ59</f>
        <v>8675.9076923076918</v>
      </c>
      <c r="AL59" s="17">
        <f>AM59*$AN$3</f>
        <v>504</v>
      </c>
      <c r="AM59" s="940">
        <v>4800</v>
      </c>
      <c r="AN59" s="938">
        <f>VLOOKUP(B59,'Cham cong'!$B$9:$BY$275,75,0)</f>
        <v>0</v>
      </c>
      <c r="AO59" s="938"/>
      <c r="AP59" s="950">
        <f t="shared" si="79"/>
        <v>8170</v>
      </c>
      <c r="AR59" s="951">
        <f t="shared" si="56"/>
        <v>8675907.692307692</v>
      </c>
      <c r="AS59" s="856">
        <f t="shared" si="80"/>
        <v>4800000</v>
      </c>
      <c r="AT59" s="856">
        <f t="shared" si="81"/>
        <v>0</v>
      </c>
      <c r="AU59" s="949"/>
      <c r="AV59" s="949"/>
      <c r="AW59" s="949"/>
      <c r="AY59" s="949"/>
      <c r="BG59" s="949"/>
      <c r="BK59" s="949"/>
      <c r="BL59" s="949"/>
    </row>
    <row r="60" spans="1:64" s="856" customFormat="1">
      <c r="A60" s="898"/>
      <c r="B60" s="95"/>
      <c r="C60" s="95" t="s">
        <v>352</v>
      </c>
      <c r="D60" s="96"/>
      <c r="E60" s="899"/>
      <c r="F60" s="140"/>
      <c r="G60" s="140"/>
      <c r="H60" s="140"/>
      <c r="I60" s="140"/>
      <c r="J60" s="140"/>
      <c r="K60" s="140"/>
      <c r="L60" s="140"/>
      <c r="M60" s="140"/>
      <c r="N60" s="918"/>
      <c r="O60" s="918"/>
      <c r="P60" s="918"/>
      <c r="Q60" s="918"/>
      <c r="R60" s="918"/>
      <c r="S60" s="918"/>
      <c r="T60" s="918"/>
      <c r="U60" s="918"/>
      <c r="V60" s="925"/>
      <c r="W60" s="926"/>
      <c r="X60" s="918"/>
      <c r="Y60" s="918"/>
      <c r="Z60" s="918"/>
      <c r="AA60" s="918"/>
      <c r="AB60" s="918"/>
      <c r="AC60" s="918"/>
      <c r="AD60" s="918"/>
      <c r="AE60" s="918"/>
      <c r="AF60" s="918"/>
      <c r="AG60" s="918"/>
      <c r="AH60" s="918"/>
      <c r="AI60" s="918"/>
      <c r="AJ60" s="918"/>
      <c r="AK60" s="937">
        <f>SUM(AK61:AK75)</f>
        <v>162617.72788461539</v>
      </c>
      <c r="AL60" s="937">
        <f t="shared" ref="AL60:AO60" si="82">SUM(AL61:AL75)</f>
        <v>3554.67</v>
      </c>
      <c r="AM60" s="937">
        <f t="shared" si="82"/>
        <v>33854</v>
      </c>
      <c r="AN60" s="937">
        <f t="shared" si="82"/>
        <v>18000</v>
      </c>
      <c r="AO60" s="937">
        <f t="shared" si="82"/>
        <v>0</v>
      </c>
      <c r="AP60" s="937">
        <f>SUM(AP61:AP75)</f>
        <v>141070</v>
      </c>
      <c r="AR60" s="974">
        <f t="shared" si="56"/>
        <v>162617727.88461539</v>
      </c>
      <c r="AS60" s="856">
        <f t="shared" si="80"/>
        <v>33854000</v>
      </c>
      <c r="AT60" s="856">
        <f t="shared" si="81"/>
        <v>18000000</v>
      </c>
      <c r="AU60" s="949"/>
      <c r="AV60" s="949"/>
      <c r="AW60" s="949"/>
      <c r="AY60" s="949"/>
      <c r="BG60" s="949"/>
      <c r="BK60" s="949"/>
      <c r="BL60" s="949"/>
    </row>
    <row r="61" spans="1:64" s="856" customFormat="1" ht="12.75">
      <c r="A61" s="895">
        <v>2</v>
      </c>
      <c r="B61" s="91" t="s">
        <v>355</v>
      </c>
      <c r="C61" s="105" t="s">
        <v>356</v>
      </c>
      <c r="D61" s="12" t="s">
        <v>1304</v>
      </c>
      <c r="E61" s="896">
        <v>42515</v>
      </c>
      <c r="F61" s="897">
        <v>2</v>
      </c>
      <c r="G61" s="106">
        <f t="shared" ref="G61:G74" si="83">DATEDIF(E61,$J$3,"y")</f>
        <v>3</v>
      </c>
      <c r="H61" s="106">
        <f t="shared" ref="H61:H74" si="84">DATEDIF(E61,$J$3,"ym")</f>
        <v>3</v>
      </c>
      <c r="I61" s="17">
        <f t="shared" ref="I61:I74" si="85">DATEDIF(E61,$J$3,"md")</f>
        <v>0</v>
      </c>
      <c r="J61" s="17">
        <v>10460</v>
      </c>
      <c r="K61" s="17">
        <v>0</v>
      </c>
      <c r="L61" s="17">
        <v>0</v>
      </c>
      <c r="M61" s="17">
        <f t="shared" ref="M61:M74" si="86">IF(G61&gt;=3,J61*(0.03+(G61-3)*0.01),0)</f>
        <v>313.8</v>
      </c>
      <c r="N61" s="17">
        <v>0</v>
      </c>
      <c r="O61" s="17">
        <v>0</v>
      </c>
      <c r="P61" s="17">
        <v>0</v>
      </c>
      <c r="Q61" s="17">
        <v>0</v>
      </c>
      <c r="R61" s="17">
        <v>0</v>
      </c>
      <c r="S61" s="17">
        <v>0</v>
      </c>
      <c r="T61" s="17">
        <v>0</v>
      </c>
      <c r="U61" s="17">
        <v>0</v>
      </c>
      <c r="V61" s="927">
        <f t="shared" ref="V61:V67" si="87">SUM(J61:U61)-P61</f>
        <v>10773.8</v>
      </c>
      <c r="W61" s="928">
        <f>VLOOKUP(B61,'Cham cong'!$B$9:$BY$275,35,0)</f>
        <v>26</v>
      </c>
      <c r="X61" s="17">
        <f>VLOOKUP(B61,'Cham cong'!$B$9:$BY$275,37,0)</f>
        <v>0</v>
      </c>
      <c r="Y61" s="17">
        <f>VLOOKUP(B61,'Cham cong'!$B$9:$BY$275,38,0)</f>
        <v>1</v>
      </c>
      <c r="Z61" s="17">
        <f>VLOOKUP(B61,'Cham cong'!$B$9:$BY$275,72,0)</f>
        <v>0</v>
      </c>
      <c r="AA61" s="17">
        <f>VLOOKUP(B61,'Cham cong'!$B$9:$BY$275,71,0)</f>
        <v>0</v>
      </c>
      <c r="AB61" s="17">
        <f>VLOOKUP(B61,'Cham cong'!$B$9:$BY$275,36,0)</f>
        <v>0</v>
      </c>
      <c r="AC61" s="17"/>
      <c r="AD61" s="17"/>
      <c r="AE61" s="17"/>
      <c r="AF61" s="17"/>
      <c r="AG61" s="17"/>
      <c r="AH61" s="17"/>
      <c r="AI61" s="17"/>
      <c r="AJ61" s="17">
        <v>5000</v>
      </c>
      <c r="AK61" s="927">
        <f>V61/'Cham cong'!$AS$3*(W61+Z61/8*2+AA61/8*1.5+AB61*3)+J61/'Cham cong'!$AS$3*(X61+Y61)+AC61+P61+AE61+AG61+AH61+AI61+AJ61</f>
        <v>16176.107692307691</v>
      </c>
      <c r="AL61" s="17">
        <f t="shared" ref="AL61:AL74" si="88">AM61*$AN$3</f>
        <v>525</v>
      </c>
      <c r="AM61" s="940">
        <v>5000</v>
      </c>
      <c r="AN61" s="938">
        <f>VLOOKUP(B61,'Cham cong'!$B$9:$BY$275,75,0)</f>
        <v>3000</v>
      </c>
      <c r="AO61" s="938"/>
      <c r="AP61" s="950">
        <f t="shared" ref="AP61:AP74" si="89">ROUND(AK61-AL61-AN61+AO61,-1)</f>
        <v>12650</v>
      </c>
      <c r="AR61" s="977">
        <f t="shared" si="56"/>
        <v>16176107.69230769</v>
      </c>
      <c r="AS61" s="856">
        <f t="shared" si="80"/>
        <v>5000000</v>
      </c>
      <c r="AT61" s="856">
        <f t="shared" si="81"/>
        <v>3000000</v>
      </c>
      <c r="AU61" s="949"/>
      <c r="AV61" s="949"/>
      <c r="AW61" s="949"/>
      <c r="AY61" s="949"/>
      <c r="BG61" s="949"/>
      <c r="BK61" s="949"/>
      <c r="BL61" s="949"/>
    </row>
    <row r="62" spans="1:64" s="856" customFormat="1">
      <c r="A62" s="895">
        <v>2</v>
      </c>
      <c r="B62" s="1255" t="s">
        <v>357</v>
      </c>
      <c r="C62" s="907" t="s">
        <v>358</v>
      </c>
      <c r="D62" s="12" t="s">
        <v>60</v>
      </c>
      <c r="E62" s="908">
        <v>43556</v>
      </c>
      <c r="F62" s="909">
        <v>2</v>
      </c>
      <c r="G62" s="12">
        <f t="shared" ref="G62" si="90">DATEDIF(E62,$J$3,"y")</f>
        <v>0</v>
      </c>
      <c r="H62" s="12">
        <f t="shared" ref="H62" si="91">DATEDIF(E62,$J$3,"ym")</f>
        <v>4</v>
      </c>
      <c r="I62" s="921">
        <f t="shared" ref="I62" si="92">DATEDIF(E62,$J$3,"md")</f>
        <v>24</v>
      </c>
      <c r="J62" s="921">
        <f>VLOOKUP(D62,'THANG B.LUONG'!$B$5:$I$511,F62+1,0)</f>
        <v>10460</v>
      </c>
      <c r="K62" s="921">
        <v>0</v>
      </c>
      <c r="L62" s="921">
        <v>0</v>
      </c>
      <c r="M62" s="921">
        <f t="shared" ref="M62" si="93">IF(G62&gt;=3,J62*(0.03+(G62-3)*0.01),0)</f>
        <v>0</v>
      </c>
      <c r="N62" s="921">
        <v>0</v>
      </c>
      <c r="O62" s="921">
        <v>0</v>
      </c>
      <c r="P62" s="921">
        <v>0</v>
      </c>
      <c r="Q62" s="921">
        <v>0</v>
      </c>
      <c r="R62" s="921">
        <v>0</v>
      </c>
      <c r="S62" s="921">
        <v>0</v>
      </c>
      <c r="T62" s="921">
        <v>0</v>
      </c>
      <c r="U62" s="921">
        <v>0</v>
      </c>
      <c r="V62" s="932">
        <f t="shared" si="87"/>
        <v>10460</v>
      </c>
      <c r="W62" s="928">
        <f>VLOOKUP(B62,'Cham cong'!$B$9:$BY$275,35,0)</f>
        <v>26</v>
      </c>
      <c r="X62" s="17">
        <f>VLOOKUP(B62,'Cham cong'!$B$9:$BY$275,37,0)</f>
        <v>0</v>
      </c>
      <c r="Y62" s="17">
        <f>VLOOKUP(B62,'Cham cong'!$B$9:$BY$275,38,0)</f>
        <v>1</v>
      </c>
      <c r="Z62" s="17">
        <f>VLOOKUP(B62,'Cham cong'!$B$9:$BY$275,72,0)</f>
        <v>0</v>
      </c>
      <c r="AA62" s="17">
        <f>VLOOKUP(B62,'Cham cong'!$B$9:$BY$275,71,0)</f>
        <v>30</v>
      </c>
      <c r="AB62" s="921">
        <f>VLOOKUP(B62,'Cham cong'!$B$9:$BY$275,36,0)</f>
        <v>0</v>
      </c>
      <c r="AC62" s="921"/>
      <c r="AD62" s="921"/>
      <c r="AE62" s="921"/>
      <c r="AF62" s="921"/>
      <c r="AG62" s="921"/>
      <c r="AH62" s="921"/>
      <c r="AI62" s="921"/>
      <c r="AJ62" s="921"/>
      <c r="AK62" s="932">
        <f>V62/'Cham cong'!$AS$3*(W62+Z62/8*2+AA62/8*1.5+AB62*3)+J62/'Cham cong'!$AS$3*(X62+Y62)+AC62+P62+AE62+AG62+AH62+AI62+AJ62</f>
        <v>13125.288461538461</v>
      </c>
      <c r="AL62" s="921">
        <f t="shared" ref="AL62" si="94">AM62*$AN$3</f>
        <v>0</v>
      </c>
      <c r="AM62" s="921">
        <v>0</v>
      </c>
      <c r="AN62" s="942">
        <f>VLOOKUP(B62,'Cham cong'!$B$9:$BY$275,75,0)</f>
        <v>3000</v>
      </c>
      <c r="AO62" s="944"/>
      <c r="AP62" s="969">
        <f t="shared" ref="AP62" si="95">ROUND(AK62-AL62-AN62+AO62,-1)</f>
        <v>10130</v>
      </c>
      <c r="AR62" s="977">
        <f t="shared" ref="AR62" si="96">AK62*1000</f>
        <v>13125288.46153846</v>
      </c>
      <c r="AS62" s="856">
        <f t="shared" ref="AS62" si="97">AM62*1000</f>
        <v>0</v>
      </c>
      <c r="AT62" s="856">
        <f t="shared" ref="AT62" si="98">AN62*1000</f>
        <v>3000000</v>
      </c>
      <c r="AU62" s="949"/>
      <c r="AV62" s="949"/>
      <c r="AW62" s="949"/>
      <c r="AY62" s="949"/>
      <c r="BE62" s="856" t="s">
        <v>1263</v>
      </c>
      <c r="BG62" s="949"/>
      <c r="BK62" s="949"/>
      <c r="BL62" s="949"/>
    </row>
    <row r="63" spans="1:64" s="1314" customFormat="1">
      <c r="A63" s="1291">
        <v>2</v>
      </c>
      <c r="B63" s="1292" t="s">
        <v>359</v>
      </c>
      <c r="C63" s="1319" t="s">
        <v>360</v>
      </c>
      <c r="D63" s="1311" t="s">
        <v>60</v>
      </c>
      <c r="E63" s="1312">
        <v>43571</v>
      </c>
      <c r="F63" s="1313">
        <v>1</v>
      </c>
      <c r="G63" s="1311">
        <f t="shared" ref="G63" si="99">DATEDIF(E63,$J$3,"y")</f>
        <v>0</v>
      </c>
      <c r="H63" s="1311">
        <f t="shared" ref="H63" si="100">DATEDIF(E63,$J$3,"ym")</f>
        <v>4</v>
      </c>
      <c r="I63" s="1300">
        <f t="shared" ref="I63" si="101">DATEDIF(E63,$J$3,"md")</f>
        <v>9</v>
      </c>
      <c r="J63" s="1300">
        <v>7310</v>
      </c>
      <c r="K63" s="1300">
        <v>0</v>
      </c>
      <c r="L63" s="1300">
        <v>0</v>
      </c>
      <c r="M63" s="1300">
        <f t="shared" ref="M63" si="102">IF(G63&gt;=3,J63*(0.03+(G63-3)*0.01),0)</f>
        <v>0</v>
      </c>
      <c r="N63" s="1300">
        <v>0</v>
      </c>
      <c r="O63" s="1300">
        <v>0</v>
      </c>
      <c r="P63" s="1300">
        <v>0</v>
      </c>
      <c r="Q63" s="1300">
        <v>0</v>
      </c>
      <c r="R63" s="1300">
        <v>0</v>
      </c>
      <c r="S63" s="1300">
        <v>0</v>
      </c>
      <c r="T63" s="1300">
        <v>0</v>
      </c>
      <c r="U63" s="1300">
        <v>0</v>
      </c>
      <c r="V63" s="1298">
        <f t="shared" si="87"/>
        <v>7310</v>
      </c>
      <c r="W63" s="928">
        <f>VLOOKUP(B63,'Cham cong'!$B$9:$BY$275,35,0)</f>
        <v>26</v>
      </c>
      <c r="X63" s="17">
        <f>VLOOKUP(B63,'Cham cong'!$B$9:$BY$275,37,0)</f>
        <v>0</v>
      </c>
      <c r="Y63" s="17">
        <f>VLOOKUP(B63,'Cham cong'!$B$9:$BY$275,38,0)</f>
        <v>1</v>
      </c>
      <c r="Z63" s="17">
        <f>VLOOKUP(B63,'Cham cong'!$B$9:$BY$275,72,0)</f>
        <v>0</v>
      </c>
      <c r="AA63" s="17">
        <f>VLOOKUP(B63,'Cham cong'!$B$9:$BY$275,71,0)</f>
        <v>0</v>
      </c>
      <c r="AB63" s="1300">
        <f>VLOOKUP(B63,'Cham cong'!$B$9:$BY$275,36,0)</f>
        <v>0</v>
      </c>
      <c r="AC63" s="1300"/>
      <c r="AD63" s="1300"/>
      <c r="AE63" s="1300"/>
      <c r="AF63" s="1300"/>
      <c r="AG63" s="1300"/>
      <c r="AH63" s="1300"/>
      <c r="AI63" s="1300"/>
      <c r="AJ63" s="1300"/>
      <c r="AK63" s="1298">
        <f>V63/'Cham cong'!$AS$3*(W63+Z63/8*2+AA63/8*1.5+AB63*3)+J63/'Cham cong'!$AS$3*(X63+Y63)+AC63+P63+AE63+AG63+AH63+AI63+AJ63</f>
        <v>7591.1538461538448</v>
      </c>
      <c r="AL63" s="1300">
        <f t="shared" ref="AL63" si="103">AM63*$AN$3</f>
        <v>0</v>
      </c>
      <c r="AM63" s="1300">
        <v>0</v>
      </c>
      <c r="AN63" s="1303">
        <f>VLOOKUP(B63,'Cham cong'!$B$9:$BY$275,75,0)</f>
        <v>0</v>
      </c>
      <c r="AO63" s="1303"/>
      <c r="AP63" s="1304">
        <f t="shared" ref="AP63" si="104">ROUND(AK63-AL63-AN63+AO63,-1)</f>
        <v>7590</v>
      </c>
      <c r="AR63" s="1386">
        <f t="shared" ref="AR63" si="105">AK63*1000</f>
        <v>7591153.8461538451</v>
      </c>
      <c r="AS63" s="1314">
        <f t="shared" ref="AS63" si="106">AM63*1000</f>
        <v>0</v>
      </c>
      <c r="AT63" s="1314">
        <f t="shared" ref="AT63" si="107">AN63*1000</f>
        <v>0</v>
      </c>
      <c r="AU63" s="1318"/>
      <c r="AV63" s="1318"/>
      <c r="AW63" s="1318"/>
      <c r="AY63" s="1318"/>
      <c r="BE63" s="1314" t="s">
        <v>1263</v>
      </c>
      <c r="BG63" s="1318"/>
      <c r="BK63" s="1318"/>
      <c r="BL63" s="1318"/>
    </row>
    <row r="64" spans="1:64" s="1314" customFormat="1">
      <c r="A64" s="1291">
        <v>2</v>
      </c>
      <c r="B64" s="1292" t="s">
        <v>361</v>
      </c>
      <c r="C64" s="1319" t="s">
        <v>362</v>
      </c>
      <c r="D64" s="1311" t="s">
        <v>60</v>
      </c>
      <c r="E64" s="1312">
        <v>43571</v>
      </c>
      <c r="F64" s="1313">
        <v>1</v>
      </c>
      <c r="G64" s="1311">
        <f t="shared" ref="G64" si="108">DATEDIF(E64,$J$3,"y")</f>
        <v>0</v>
      </c>
      <c r="H64" s="1311">
        <f t="shared" ref="H64" si="109">DATEDIF(E64,$J$3,"ym")</f>
        <v>4</v>
      </c>
      <c r="I64" s="1300">
        <f t="shared" ref="I64" si="110">DATEDIF(E64,$J$3,"md")</f>
        <v>9</v>
      </c>
      <c r="J64" s="1300">
        <f>VLOOKUP(D64,'THANG B.LUONG'!$B$5:$I$511,F64+1,0)</f>
        <v>9420</v>
      </c>
      <c r="K64" s="1300">
        <v>0</v>
      </c>
      <c r="L64" s="1300">
        <v>0</v>
      </c>
      <c r="M64" s="1300">
        <f t="shared" ref="M64" si="111">IF(G64&gt;=3,J64*(0.03+(G64-3)*0.01),0)</f>
        <v>0</v>
      </c>
      <c r="N64" s="1300">
        <v>0</v>
      </c>
      <c r="O64" s="1300">
        <v>0</v>
      </c>
      <c r="P64" s="1300">
        <v>0</v>
      </c>
      <c r="Q64" s="1300">
        <v>0</v>
      </c>
      <c r="R64" s="1300">
        <v>0</v>
      </c>
      <c r="S64" s="1300">
        <v>0</v>
      </c>
      <c r="T64" s="1300">
        <v>0</v>
      </c>
      <c r="U64" s="1300">
        <v>0</v>
      </c>
      <c r="V64" s="1298">
        <f t="shared" si="87"/>
        <v>9420</v>
      </c>
      <c r="W64" s="928">
        <f>VLOOKUP(B64,'Cham cong'!$B$9:$BY$275,35,0)</f>
        <v>26</v>
      </c>
      <c r="X64" s="17">
        <f>VLOOKUP(B64,'Cham cong'!$B$9:$BY$275,37,0)</f>
        <v>0</v>
      </c>
      <c r="Y64" s="17">
        <f>VLOOKUP(B64,'Cham cong'!$B$9:$BY$275,38,0)</f>
        <v>1</v>
      </c>
      <c r="Z64" s="17">
        <f>VLOOKUP(B64,'Cham cong'!$B$9:$BY$275,72,0)</f>
        <v>0</v>
      </c>
      <c r="AA64" s="17">
        <f>VLOOKUP(B64,'Cham cong'!$B$9:$BY$275,71,0)</f>
        <v>2.5</v>
      </c>
      <c r="AB64" s="1300">
        <f>VLOOKUP(B64,'Cham cong'!$B$9:$BY$275,36,0)</f>
        <v>0</v>
      </c>
      <c r="AC64" s="1300"/>
      <c r="AD64" s="1300"/>
      <c r="AE64" s="1300"/>
      <c r="AF64" s="1300"/>
      <c r="AG64" s="1300"/>
      <c r="AH64" s="1300"/>
      <c r="AI64" s="1300"/>
      <c r="AJ64" s="1300"/>
      <c r="AK64" s="1298">
        <f>V64/'Cham cong'!$AS$3*(W64+Z64/8*2+AA64/8*1.5+AB64*3)+J64/'Cham cong'!$AS$3*(X64+Y64)+AC64+P64+AE64+AG64+AH64+AI64+AJ64</f>
        <v>9952.139423076922</v>
      </c>
      <c r="AL64" s="1300">
        <f t="shared" ref="AL64" si="112">AM64*$AN$3</f>
        <v>0</v>
      </c>
      <c r="AM64" s="1300">
        <v>0</v>
      </c>
      <c r="AN64" s="1303">
        <f>VLOOKUP(B64,'Cham cong'!$B$9:$BY$275,75,0)</f>
        <v>0</v>
      </c>
      <c r="AO64" s="1303"/>
      <c r="AP64" s="1304">
        <f t="shared" ref="AP64" si="113">ROUND(AK64-AL64-AN64+AO64,-1)</f>
        <v>9950</v>
      </c>
      <c r="AR64" s="1386">
        <f t="shared" ref="AR64" si="114">AK64*1000</f>
        <v>9952139.4230769221</v>
      </c>
      <c r="AS64" s="1314">
        <f t="shared" ref="AS64" si="115">AM64*1000</f>
        <v>0</v>
      </c>
      <c r="AT64" s="1314">
        <f t="shared" ref="AT64" si="116">AN64*1000</f>
        <v>0</v>
      </c>
      <c r="AU64" s="1318"/>
      <c r="AV64" s="1318"/>
      <c r="AW64" s="1318"/>
      <c r="AY64" s="1318"/>
      <c r="BE64" s="1314" t="s">
        <v>1263</v>
      </c>
      <c r="BG64" s="1318"/>
      <c r="BK64" s="1318"/>
      <c r="BL64" s="1318"/>
    </row>
    <row r="65" spans="1:64" s="1507" customFormat="1">
      <c r="A65" s="1497">
        <v>2</v>
      </c>
      <c r="B65" s="1498" t="s">
        <v>1314</v>
      </c>
      <c r="C65" s="1499" t="s">
        <v>1317</v>
      </c>
      <c r="D65" s="661" t="s">
        <v>60</v>
      </c>
      <c r="E65" s="1500">
        <v>43682</v>
      </c>
      <c r="F65" s="1501">
        <v>2</v>
      </c>
      <c r="G65" s="661">
        <f t="shared" ref="G65" si="117">DATEDIF(E65,$J$3,"y")</f>
        <v>0</v>
      </c>
      <c r="H65" s="661">
        <f t="shared" ref="H65" si="118">DATEDIF(E65,$J$3,"ym")</f>
        <v>0</v>
      </c>
      <c r="I65" s="1502">
        <f t="shared" ref="I65" si="119">DATEDIF(E65,$J$3,"md")</f>
        <v>20</v>
      </c>
      <c r="J65" s="1502">
        <v>10770</v>
      </c>
      <c r="K65" s="1502">
        <v>0</v>
      </c>
      <c r="L65" s="1502">
        <v>0</v>
      </c>
      <c r="M65" s="1502">
        <f t="shared" ref="M65" si="120">IF(G65&gt;=3,J65*(0.03+(G65-3)*0.01),0)</f>
        <v>0</v>
      </c>
      <c r="N65" s="1502">
        <v>0</v>
      </c>
      <c r="O65" s="1502">
        <v>0</v>
      </c>
      <c r="P65" s="1502">
        <v>0</v>
      </c>
      <c r="Q65" s="1502">
        <v>0</v>
      </c>
      <c r="R65" s="1502">
        <v>0</v>
      </c>
      <c r="S65" s="1502">
        <v>0</v>
      </c>
      <c r="T65" s="1502">
        <v>0</v>
      </c>
      <c r="U65" s="1502">
        <v>0</v>
      </c>
      <c r="V65" s="1503">
        <f>(SUM(J65:U65)-P65)*0.85</f>
        <v>9154.5</v>
      </c>
      <c r="W65" s="1504">
        <f>VLOOKUP(B65,'Cham cong'!$B$9:$BY$275,35,0)</f>
        <v>26</v>
      </c>
      <c r="X65" s="1502">
        <f>VLOOKUP(B65,'Cham cong'!$B$9:$BY$275,37,0)</f>
        <v>0</v>
      </c>
      <c r="Y65" s="1502">
        <f>VLOOKUP(B65,'Cham cong'!$B$9:$BY$275,38,0)</f>
        <v>1</v>
      </c>
      <c r="Z65" s="1502">
        <f>VLOOKUP(B65,'Cham cong'!$B$9:$BY$275,72,0)</f>
        <v>0</v>
      </c>
      <c r="AA65" s="1502">
        <f>VLOOKUP(B65,'Cham cong'!$B$9:$BY$275,71,0)</f>
        <v>0</v>
      </c>
      <c r="AB65" s="1502">
        <f>VLOOKUP(B65,'Cham cong'!$B$9:$BY$275,36,0)</f>
        <v>0</v>
      </c>
      <c r="AC65" s="1502"/>
      <c r="AD65" s="1502"/>
      <c r="AE65" s="1502"/>
      <c r="AF65" s="1502"/>
      <c r="AG65" s="1502"/>
      <c r="AH65" s="1502"/>
      <c r="AI65" s="1502"/>
      <c r="AJ65" s="1502"/>
      <c r="AK65" s="1503">
        <f>V65/'Cham cong'!$AS$3*(W65+Z65/8*2+AA65/8*1.5+AB65*3)+J65/'Cham cong'!$AS$3*(X65+Y65)+AC65+P65+AE65+AG65+AH65+AI65+AJ65</f>
        <v>9568.7307692307695</v>
      </c>
      <c r="AL65" s="1502">
        <f t="shared" ref="AL65" si="121">AM65*$AN$3</f>
        <v>0</v>
      </c>
      <c r="AM65" s="1502">
        <v>0</v>
      </c>
      <c r="AN65" s="1505">
        <f>VLOOKUP(B65,'Cham cong'!$B$9:$BY$275,75,0)</f>
        <v>0</v>
      </c>
      <c r="AO65" s="1505"/>
      <c r="AP65" s="1506">
        <f t="shared" ref="AP65" si="122">ROUND(AK65-AL65-AN65+AO65,-1)</f>
        <v>9570</v>
      </c>
      <c r="AR65" s="1508">
        <f t="shared" ref="AR65" si="123">AK65*1000</f>
        <v>9568730.7692307699</v>
      </c>
      <c r="AS65" s="1507">
        <f t="shared" ref="AS65" si="124">AM65*1000</f>
        <v>0</v>
      </c>
      <c r="AT65" s="1507">
        <f t="shared" ref="AT65" si="125">AN65*1000</f>
        <v>0</v>
      </c>
      <c r="AU65" s="1509"/>
      <c r="AV65" s="1509"/>
      <c r="AW65" s="1509"/>
      <c r="AY65" s="1509"/>
      <c r="BE65" s="1507" t="s">
        <v>1263</v>
      </c>
      <c r="BG65" s="1509"/>
      <c r="BK65" s="1509"/>
      <c r="BL65" s="1509"/>
    </row>
    <row r="66" spans="1:64" s="1314" customFormat="1">
      <c r="A66" s="1291">
        <v>2</v>
      </c>
      <c r="B66" s="1292" t="s">
        <v>1251</v>
      </c>
      <c r="C66" s="1319" t="s">
        <v>1252</v>
      </c>
      <c r="D66" s="1311" t="s">
        <v>1253</v>
      </c>
      <c r="E66" s="1312">
        <v>43598</v>
      </c>
      <c r="F66" s="1313">
        <v>2</v>
      </c>
      <c r="G66" s="1311">
        <f t="shared" ref="G66" si="126">DATEDIF(E66,$J$3,"y")</f>
        <v>0</v>
      </c>
      <c r="H66" s="1311">
        <f t="shared" ref="H66" si="127">DATEDIF(E66,$J$3,"ym")</f>
        <v>3</v>
      </c>
      <c r="I66" s="1300">
        <f t="shared" ref="I66" si="128">DATEDIF(E66,$J$3,"md")</f>
        <v>12</v>
      </c>
      <c r="J66" s="1300">
        <v>6950</v>
      </c>
      <c r="K66" s="1300">
        <v>0</v>
      </c>
      <c r="L66" s="1300">
        <v>0</v>
      </c>
      <c r="M66" s="1300">
        <f t="shared" ref="M66" si="129">IF(G66&gt;=3,J66*(0.03+(G66-3)*0.01),0)</f>
        <v>0</v>
      </c>
      <c r="N66" s="1300">
        <v>0</v>
      </c>
      <c r="O66" s="1300">
        <v>0</v>
      </c>
      <c r="P66" s="1300">
        <v>0</v>
      </c>
      <c r="Q66" s="1300">
        <v>0</v>
      </c>
      <c r="R66" s="1300">
        <v>0</v>
      </c>
      <c r="S66" s="1300">
        <v>0</v>
      </c>
      <c r="T66" s="1300">
        <v>0</v>
      </c>
      <c r="U66" s="1300">
        <v>0</v>
      </c>
      <c r="V66" s="1298">
        <f t="shared" si="87"/>
        <v>6950</v>
      </c>
      <c r="W66" s="928">
        <f>VLOOKUP(B66,'Cham cong'!$B$9:$BY$275,35,0)</f>
        <v>26</v>
      </c>
      <c r="X66" s="17">
        <f>VLOOKUP(B66,'Cham cong'!$B$9:$BY$275,37,0)</f>
        <v>0</v>
      </c>
      <c r="Y66" s="17">
        <f>VLOOKUP(B66,'Cham cong'!$B$9:$BY$275,38,0)</f>
        <v>1</v>
      </c>
      <c r="Z66" s="17">
        <f>VLOOKUP(B66,'Cham cong'!$B$9:$BY$275,72,0)</f>
        <v>0</v>
      </c>
      <c r="AA66" s="17">
        <f>VLOOKUP(B66,'Cham cong'!$B$9:$BY$275,71,0)</f>
        <v>0</v>
      </c>
      <c r="AB66" s="1300">
        <f>VLOOKUP(B66,'Cham cong'!$B$9:$BY$275,36,0)</f>
        <v>0</v>
      </c>
      <c r="AC66" s="1300"/>
      <c r="AD66" s="1300"/>
      <c r="AE66" s="1300"/>
      <c r="AF66" s="1300"/>
      <c r="AG66" s="1300"/>
      <c r="AH66" s="1300"/>
      <c r="AI66" s="1300"/>
      <c r="AJ66" s="1300"/>
      <c r="AK66" s="1298">
        <f>V66/'Cham cong'!$AS$3*(W66+Z66/8*2+AA66/8*1.5+AB66*3)+J66/'Cham cong'!$AS$3*(X66+Y66)+AC66+P66+AE66+AG66+AH66+AI66+AJ66</f>
        <v>7217.3076923076924</v>
      </c>
      <c r="AL66" s="1300">
        <f t="shared" ref="AL66" si="130">AM66*$AN$3</f>
        <v>480.58499999999998</v>
      </c>
      <c r="AM66" s="1300">
        <v>4577</v>
      </c>
      <c r="AN66" s="1303">
        <f>VLOOKUP(B66,'Cham cong'!$B$9:$BY$275,75,0)</f>
        <v>2000</v>
      </c>
      <c r="AO66" s="1303"/>
      <c r="AP66" s="1304">
        <f t="shared" ref="AP66" si="131">ROUND(AK66-AL66-AN66+AO66,-1)</f>
        <v>4740</v>
      </c>
      <c r="AR66" s="1386">
        <f t="shared" ref="AR66" si="132">AK66*1000</f>
        <v>7217307.692307692</v>
      </c>
      <c r="AS66" s="1314">
        <f t="shared" ref="AS66" si="133">AM66*1000</f>
        <v>4577000</v>
      </c>
      <c r="AT66" s="1314">
        <f t="shared" ref="AT66" si="134">AN66*1000</f>
        <v>2000000</v>
      </c>
      <c r="AU66" s="1318"/>
      <c r="AV66" s="1318"/>
      <c r="AW66" s="1318"/>
      <c r="AY66" s="1318"/>
      <c r="BE66" s="1314" t="s">
        <v>1263</v>
      </c>
      <c r="BF66" s="1314">
        <v>2730</v>
      </c>
      <c r="BG66" s="1318">
        <f>AP66-BF66</f>
        <v>2010</v>
      </c>
      <c r="BK66" s="1318"/>
      <c r="BL66" s="1318"/>
    </row>
    <row r="67" spans="1:64" s="1314" customFormat="1">
      <c r="A67" s="1291">
        <v>2</v>
      </c>
      <c r="B67" s="1255" t="s">
        <v>1284</v>
      </c>
      <c r="C67" s="1319" t="s">
        <v>1283</v>
      </c>
      <c r="D67" s="1311" t="s">
        <v>1253</v>
      </c>
      <c r="E67" s="1312">
        <v>43598</v>
      </c>
      <c r="F67" s="1313">
        <v>2</v>
      </c>
      <c r="G67" s="1311">
        <f t="shared" ref="G67" si="135">DATEDIF(E67,$J$3,"y")</f>
        <v>0</v>
      </c>
      <c r="H67" s="1311">
        <f t="shared" ref="H67" si="136">DATEDIF(E67,$J$3,"ym")</f>
        <v>3</v>
      </c>
      <c r="I67" s="1300">
        <f t="shared" ref="I67" si="137">DATEDIF(E67,$J$3,"md")</f>
        <v>12</v>
      </c>
      <c r="J67" s="1300">
        <v>6950</v>
      </c>
      <c r="K67" s="1300">
        <v>0</v>
      </c>
      <c r="L67" s="1300">
        <v>0</v>
      </c>
      <c r="M67" s="1300">
        <f t="shared" ref="M67" si="138">IF(G67&gt;=3,J67*(0.03+(G67-3)*0.01),0)</f>
        <v>0</v>
      </c>
      <c r="N67" s="1300">
        <v>0</v>
      </c>
      <c r="O67" s="1300">
        <v>0</v>
      </c>
      <c r="P67" s="1300">
        <v>0</v>
      </c>
      <c r="Q67" s="1300">
        <v>0</v>
      </c>
      <c r="R67" s="1300">
        <v>0</v>
      </c>
      <c r="S67" s="1300">
        <v>0</v>
      </c>
      <c r="T67" s="1300">
        <v>0</v>
      </c>
      <c r="U67" s="1300">
        <v>0</v>
      </c>
      <c r="V67" s="1298">
        <f t="shared" si="87"/>
        <v>6950</v>
      </c>
      <c r="W67" s="928">
        <f>VLOOKUP(B67,'Cham cong'!$B$9:$BY$275,35,0)</f>
        <v>26</v>
      </c>
      <c r="X67" s="17">
        <f>VLOOKUP(B67,'Cham cong'!$B$9:$BY$275,37,0)</f>
        <v>0</v>
      </c>
      <c r="Y67" s="17">
        <f>VLOOKUP(B67,'Cham cong'!$B$9:$BY$275,38,0)</f>
        <v>1</v>
      </c>
      <c r="Z67" s="17">
        <f>VLOOKUP(B67,'Cham cong'!$B$9:$BY$275,72,0)</f>
        <v>0</v>
      </c>
      <c r="AA67" s="17">
        <f>VLOOKUP(B67,'Cham cong'!$B$9:$BY$275,71,0)</f>
        <v>0</v>
      </c>
      <c r="AB67" s="1300">
        <f>VLOOKUP(B67,'Cham cong'!$B$9:$BY$275,36,0)</f>
        <v>0</v>
      </c>
      <c r="AC67" s="1300"/>
      <c r="AD67" s="1300"/>
      <c r="AE67" s="1300"/>
      <c r="AF67" s="1300"/>
      <c r="AG67" s="1300"/>
      <c r="AH67" s="1300"/>
      <c r="AI67" s="1300"/>
      <c r="AJ67" s="1300"/>
      <c r="AK67" s="1298">
        <f>V67/'Cham cong'!$AS$3*(W67+Z67/8*2+AA67/8*1.5+AB67*3)+J67/'Cham cong'!$AS$3*(X67+Y67)+AC67+P67+AE67+AG67+AH67+AI67+AJ67</f>
        <v>7217.3076923076924</v>
      </c>
      <c r="AL67" s="1300">
        <f t="shared" ref="AL67" si="139">AM67*$AN$3</f>
        <v>480.58499999999998</v>
      </c>
      <c r="AM67" s="1300">
        <v>4577</v>
      </c>
      <c r="AN67" s="1303">
        <f>VLOOKUP(B67,'Cham cong'!$B$9:$BY$275,75,0)</f>
        <v>3000</v>
      </c>
      <c r="AO67" s="1303"/>
      <c r="AP67" s="1304">
        <f t="shared" ref="AP67" si="140">ROUND(AK67-AL67-AN67+AO67,-1)</f>
        <v>3740</v>
      </c>
      <c r="AR67" s="1386">
        <f t="shared" ref="AR67" si="141">AK67*1000</f>
        <v>7217307.692307692</v>
      </c>
      <c r="AS67" s="1314">
        <f t="shared" ref="AS67" si="142">AM67*1000</f>
        <v>4577000</v>
      </c>
      <c r="AT67" s="1314">
        <f t="shared" ref="AT67" si="143">AN67*1000</f>
        <v>3000000</v>
      </c>
      <c r="AU67" s="1318"/>
      <c r="AV67" s="1318"/>
      <c r="AW67" s="1318"/>
      <c r="AY67" s="1318"/>
      <c r="BE67" s="1314" t="s">
        <v>1263</v>
      </c>
      <c r="BF67" s="1314">
        <v>2730</v>
      </c>
      <c r="BG67" s="1318">
        <f>AP67-BF67</f>
        <v>1010</v>
      </c>
      <c r="BK67" s="1318"/>
      <c r="BL67" s="1318"/>
    </row>
    <row r="68" spans="1:64" s="863" customFormat="1">
      <c r="A68" s="980">
        <v>1</v>
      </c>
      <c r="B68" s="98" t="s">
        <v>363</v>
      </c>
      <c r="C68" s="92" t="s">
        <v>364</v>
      </c>
      <c r="D68" s="100" t="s">
        <v>365</v>
      </c>
      <c r="E68" s="981">
        <v>43235</v>
      </c>
      <c r="F68" s="982">
        <v>1</v>
      </c>
      <c r="G68" s="100">
        <f t="shared" si="83"/>
        <v>1</v>
      </c>
      <c r="H68" s="100">
        <f t="shared" si="84"/>
        <v>3</v>
      </c>
      <c r="I68" s="1011">
        <f t="shared" si="85"/>
        <v>10</v>
      </c>
      <c r="J68" s="1011">
        <v>27330</v>
      </c>
      <c r="K68" s="1011">
        <v>0</v>
      </c>
      <c r="L68" s="1011">
        <v>3000</v>
      </c>
      <c r="M68" s="1011">
        <f t="shared" si="86"/>
        <v>0</v>
      </c>
      <c r="N68" s="1011">
        <v>0</v>
      </c>
      <c r="O68" s="1011">
        <v>1000</v>
      </c>
      <c r="P68" s="1011">
        <v>1000</v>
      </c>
      <c r="Q68" s="1011">
        <v>0</v>
      </c>
      <c r="R68" s="1011">
        <v>0</v>
      </c>
      <c r="S68" s="1011">
        <v>0</v>
      </c>
      <c r="T68" s="1011">
        <v>0</v>
      </c>
      <c r="U68" s="1011">
        <v>0</v>
      </c>
      <c r="V68" s="1015">
        <f>(SUM(J68:U68)-P68)</f>
        <v>31330</v>
      </c>
      <c r="W68" s="928">
        <f>VLOOKUP(B68,'Cham cong'!$B$9:$BY$275,35,0)</f>
        <v>26</v>
      </c>
      <c r="X68" s="17">
        <f>VLOOKUP(B68,'Cham cong'!$B$9:$BY$275,37,0)</f>
        <v>0</v>
      </c>
      <c r="Y68" s="17">
        <f>VLOOKUP(B68,'Cham cong'!$B$9:$BY$275,38,0)</f>
        <v>1</v>
      </c>
      <c r="Z68" s="17">
        <f>VLOOKUP(B68,'Cham cong'!$B$9:$BY$275,72,0)</f>
        <v>0</v>
      </c>
      <c r="AA68" s="17">
        <f>VLOOKUP(B68,'Cham cong'!$B$9:$BY$275,71,0)</f>
        <v>0</v>
      </c>
      <c r="AB68" s="17">
        <f>VLOOKUP(B68,'Cham cong'!$B$9:$BY$275,36,0)</f>
        <v>0</v>
      </c>
      <c r="AC68" s="1011"/>
      <c r="AD68" s="1011"/>
      <c r="AE68" s="1011"/>
      <c r="AF68" s="1011"/>
      <c r="AG68" s="1011"/>
      <c r="AH68" s="1011"/>
      <c r="AI68" s="1011"/>
      <c r="AJ68" s="1011"/>
      <c r="AK68" s="1015">
        <f>V68/'Cham cong'!$AS$3*(W68+Z68/8*2+AA68/8*1.5+AB68*3)+J68/'Cham cong'!$AS$3*(X68+Y68)+AC68+P68+AE68+AG68+AH68+AI68+AJ68</f>
        <v>33381.153846153844</v>
      </c>
      <c r="AL68" s="1011">
        <f t="shared" si="88"/>
        <v>0</v>
      </c>
      <c r="AM68" s="17">
        <v>0</v>
      </c>
      <c r="AN68" s="938">
        <f>VLOOKUP(B68,'Cham cong'!$B$9:$BY$275,75,0)</f>
        <v>0</v>
      </c>
      <c r="AO68" s="1029"/>
      <c r="AP68" s="1030">
        <f t="shared" si="89"/>
        <v>33380</v>
      </c>
      <c r="AQ68" s="1031">
        <f>AR68+AR69+AR71+AR72+AR73+AR74</f>
        <v>79616461.538461536</v>
      </c>
      <c r="AR68" s="1032">
        <f t="shared" ref="AR68:AR74" si="144">AK68*1000</f>
        <v>33381153.846153844</v>
      </c>
      <c r="AS68" s="863">
        <f t="shared" ref="AS68:AS74" si="145">AM68*1000</f>
        <v>0</v>
      </c>
      <c r="AT68" s="863">
        <f t="shared" ref="AT68:AT72" si="146">AN68*1000</f>
        <v>0</v>
      </c>
      <c r="AU68" s="1033"/>
      <c r="AV68" s="1033"/>
      <c r="AW68" s="1033"/>
      <c r="AY68" s="1033"/>
      <c r="BG68" s="1033"/>
      <c r="BK68" s="1033"/>
      <c r="BL68" s="1033"/>
    </row>
    <row r="69" spans="1:64" s="856" customFormat="1">
      <c r="A69" s="895">
        <v>2</v>
      </c>
      <c r="B69" s="91" t="s">
        <v>366</v>
      </c>
      <c r="C69" s="105" t="s">
        <v>367</v>
      </c>
      <c r="D69" s="12" t="s">
        <v>1305</v>
      </c>
      <c r="E69" s="896">
        <v>42887</v>
      </c>
      <c r="F69" s="897">
        <v>1</v>
      </c>
      <c r="G69" s="106">
        <f t="shared" si="83"/>
        <v>2</v>
      </c>
      <c r="H69" s="106">
        <f t="shared" si="84"/>
        <v>2</v>
      </c>
      <c r="I69" s="17">
        <f t="shared" si="85"/>
        <v>24</v>
      </c>
      <c r="J69" s="17">
        <v>12030</v>
      </c>
      <c r="K69" s="17">
        <v>0</v>
      </c>
      <c r="L69" s="17">
        <v>0</v>
      </c>
      <c r="M69" s="17">
        <f t="shared" si="86"/>
        <v>0</v>
      </c>
      <c r="N69" s="17">
        <v>0</v>
      </c>
      <c r="O69" s="17">
        <v>0</v>
      </c>
      <c r="P69" s="17">
        <v>0</v>
      </c>
      <c r="Q69" s="17">
        <v>0</v>
      </c>
      <c r="R69" s="17">
        <v>0</v>
      </c>
      <c r="S69" s="17">
        <v>0</v>
      </c>
      <c r="T69" s="17">
        <v>0</v>
      </c>
      <c r="U69" s="17">
        <v>0</v>
      </c>
      <c r="V69" s="927">
        <f t="shared" ref="V69:V73" si="147">SUM(J69:U69)-P69</f>
        <v>12030</v>
      </c>
      <c r="W69" s="928">
        <f>VLOOKUP(B69,'Cham cong'!$B$9:$BY$275,35,0)</f>
        <v>26</v>
      </c>
      <c r="X69" s="17">
        <f>VLOOKUP(B69,'Cham cong'!$B$9:$BY$275,37,0)</f>
        <v>0</v>
      </c>
      <c r="Y69" s="17">
        <f>VLOOKUP(B69,'Cham cong'!$B$9:$BY$275,38,0)</f>
        <v>1</v>
      </c>
      <c r="Z69" s="17">
        <f>VLOOKUP(B69,'Cham cong'!$B$9:$BY$275,72,0)</f>
        <v>0</v>
      </c>
      <c r="AA69" s="17">
        <f>VLOOKUP(B69,'Cham cong'!$B$9:$BY$275,71,0)</f>
        <v>0</v>
      </c>
      <c r="AB69" s="17">
        <f>VLOOKUP(B69,'Cham cong'!$B$9:$BY$275,36,0)</f>
        <v>0</v>
      </c>
      <c r="AC69" s="17"/>
      <c r="AD69" s="17"/>
      <c r="AE69" s="17"/>
      <c r="AF69" s="17"/>
      <c r="AG69" s="17"/>
      <c r="AH69" s="17"/>
      <c r="AI69" s="17"/>
      <c r="AJ69" s="1069">
        <f>3000</f>
        <v>3000</v>
      </c>
      <c r="AK69" s="927">
        <f>V69/'Cham cong'!$AS$3*(W69+Z69/8*2+AA69/8*1.5+AB69*3)+J69/'Cham cong'!$AS$3*(X69+Y69)+AC69+P69+AE69+AG69+AH69+AI69+AJ69</f>
        <v>15492.692307692309</v>
      </c>
      <c r="AL69" s="17">
        <f t="shared" si="88"/>
        <v>525</v>
      </c>
      <c r="AM69" s="920">
        <v>5000</v>
      </c>
      <c r="AN69" s="938">
        <f>VLOOKUP(B69,'Cham cong'!$B$9:$BY$275,75,0)</f>
        <v>5000</v>
      </c>
      <c r="AO69" s="938"/>
      <c r="AP69" s="950">
        <f t="shared" si="89"/>
        <v>9970</v>
      </c>
      <c r="AR69" s="1034">
        <f t="shared" si="144"/>
        <v>15492692.307692308</v>
      </c>
      <c r="AS69" s="856">
        <f t="shared" si="145"/>
        <v>5000000</v>
      </c>
      <c r="AT69" s="856">
        <f t="shared" si="146"/>
        <v>5000000</v>
      </c>
      <c r="AU69" s="949"/>
      <c r="AV69" s="949"/>
      <c r="AW69" s="949"/>
      <c r="AY69" s="949"/>
      <c r="BG69" s="949"/>
      <c r="BK69" s="949"/>
      <c r="BL69" s="949"/>
    </row>
    <row r="70" spans="1:64" s="1507" customFormat="1">
      <c r="A70" s="1497">
        <v>2</v>
      </c>
      <c r="B70" s="1498" t="s">
        <v>1316</v>
      </c>
      <c r="C70" s="1499" t="s">
        <v>1315</v>
      </c>
      <c r="D70" s="661" t="s">
        <v>1318</v>
      </c>
      <c r="E70" s="1500">
        <v>43682</v>
      </c>
      <c r="F70" s="1501">
        <v>3</v>
      </c>
      <c r="G70" s="661">
        <f t="shared" ref="G70" si="148">DATEDIF(E70,$J$3,"y")</f>
        <v>0</v>
      </c>
      <c r="H70" s="661">
        <f t="shared" ref="H70" si="149">DATEDIF(E70,$J$3,"ym")</f>
        <v>0</v>
      </c>
      <c r="I70" s="1502">
        <f t="shared" ref="I70" si="150">DATEDIF(E70,$J$3,"md")</f>
        <v>20</v>
      </c>
      <c r="J70" s="1502">
        <v>8840</v>
      </c>
      <c r="K70" s="1502">
        <v>0</v>
      </c>
      <c r="L70" s="1502">
        <v>0</v>
      </c>
      <c r="M70" s="1502">
        <f t="shared" ref="M70" si="151">IF(G70&gt;=3,J70*(0.03+(G70-3)*0.01),0)</f>
        <v>0</v>
      </c>
      <c r="N70" s="1502">
        <v>0</v>
      </c>
      <c r="O70" s="1502">
        <v>0</v>
      </c>
      <c r="P70" s="1502">
        <v>0</v>
      </c>
      <c r="Q70" s="1502">
        <v>0</v>
      </c>
      <c r="R70" s="1502">
        <v>0</v>
      </c>
      <c r="S70" s="1502">
        <v>0</v>
      </c>
      <c r="T70" s="1502">
        <v>0</v>
      </c>
      <c r="U70" s="1502">
        <v>0</v>
      </c>
      <c r="V70" s="1503">
        <f>(SUM(J70:U70)-P70)*0.85</f>
        <v>7514</v>
      </c>
      <c r="W70" s="1504">
        <f>VLOOKUP(B70,'Cham cong'!$B$9:$BY$275,35,0)</f>
        <v>26</v>
      </c>
      <c r="X70" s="1502">
        <f>VLOOKUP(B70,'Cham cong'!$B$9:$BY$275,37,0)</f>
        <v>0</v>
      </c>
      <c r="Y70" s="1502">
        <f>VLOOKUP(B70,'Cham cong'!$B$9:$BY$275,38,0)</f>
        <v>1</v>
      </c>
      <c r="Z70" s="1502">
        <f>VLOOKUP(B70,'Cham cong'!$B$9:$BY$275,72,0)</f>
        <v>0</v>
      </c>
      <c r="AA70" s="1502">
        <f>VLOOKUP(B70,'Cham cong'!$B$9:$BY$275,71,0)</f>
        <v>0</v>
      </c>
      <c r="AB70" s="1502">
        <f>VLOOKUP(B70,'Cham cong'!$B$9:$BY$275,36,0)</f>
        <v>0</v>
      </c>
      <c r="AC70" s="1502"/>
      <c r="AD70" s="1502"/>
      <c r="AE70" s="1502"/>
      <c r="AF70" s="1502"/>
      <c r="AG70" s="1502"/>
      <c r="AH70" s="1502"/>
      <c r="AI70" s="1502"/>
      <c r="AJ70" s="1502"/>
      <c r="AK70" s="1503">
        <f>V70/'Cham cong'!$AS$3*(W70+Z70/8*2+AA70/8*1.5+AB70*3)+J70/'Cham cong'!$AS$3*(X70+Y70)+AC70+P70+AE70+AG70+AH70+AI70+AJ70</f>
        <v>7854</v>
      </c>
      <c r="AL70" s="1502">
        <f t="shared" ref="AL70" si="152">AM70*$AN$3</f>
        <v>0</v>
      </c>
      <c r="AM70" s="1510">
        <v>0</v>
      </c>
      <c r="AN70" s="1505">
        <f>VLOOKUP(B70,'Cham cong'!$B$9:$BY$275,75,0)</f>
        <v>0</v>
      </c>
      <c r="AO70" s="1505"/>
      <c r="AP70" s="1506">
        <f t="shared" ref="AP70" si="153">ROUND(AK70-AL70-AN70+AO70,-1)</f>
        <v>7850</v>
      </c>
      <c r="AR70" s="1511">
        <f t="shared" ref="AR70" si="154">AK70*1000</f>
        <v>7854000</v>
      </c>
      <c r="AS70" s="1507">
        <f t="shared" ref="AS70" si="155">AM70*1000</f>
        <v>0</v>
      </c>
      <c r="AT70" s="1507">
        <f t="shared" ref="AT70" si="156">AN70*1000</f>
        <v>0</v>
      </c>
      <c r="AU70" s="1509"/>
      <c r="AV70" s="1509"/>
      <c r="AW70" s="1509"/>
      <c r="AY70" s="1509"/>
      <c r="BG70" s="1509"/>
      <c r="BK70" s="1509"/>
      <c r="BL70" s="1509"/>
    </row>
    <row r="71" spans="1:64" s="856" customFormat="1">
      <c r="A71" s="895">
        <v>3</v>
      </c>
      <c r="B71" s="91" t="s">
        <v>368</v>
      </c>
      <c r="C71" s="110" t="s">
        <v>369</v>
      </c>
      <c r="D71" s="111" t="s">
        <v>62</v>
      </c>
      <c r="E71" s="896">
        <v>43040</v>
      </c>
      <c r="F71" s="897">
        <v>1</v>
      </c>
      <c r="G71" s="106">
        <f t="shared" si="83"/>
        <v>1</v>
      </c>
      <c r="H71" s="106">
        <f t="shared" si="84"/>
        <v>9</v>
      </c>
      <c r="I71" s="17">
        <f t="shared" si="85"/>
        <v>24</v>
      </c>
      <c r="J71" s="17">
        <f>VLOOKUP(D71,'THANG B.LUONG'!$B$5:$I$511,F71+1,0)</f>
        <v>7310</v>
      </c>
      <c r="K71" s="17">
        <v>0</v>
      </c>
      <c r="L71" s="17">
        <v>0</v>
      </c>
      <c r="M71" s="17">
        <f t="shared" si="86"/>
        <v>0</v>
      </c>
      <c r="N71" s="17">
        <v>0</v>
      </c>
      <c r="O71" s="17">
        <v>0</v>
      </c>
      <c r="P71" s="17">
        <v>0</v>
      </c>
      <c r="Q71" s="17">
        <v>0</v>
      </c>
      <c r="R71" s="17">
        <v>0</v>
      </c>
      <c r="S71" s="17">
        <v>0</v>
      </c>
      <c r="T71" s="17">
        <v>0</v>
      </c>
      <c r="U71" s="17">
        <v>0</v>
      </c>
      <c r="V71" s="927">
        <f t="shared" si="147"/>
        <v>7310</v>
      </c>
      <c r="W71" s="928">
        <f>VLOOKUP(B71,'Cham cong'!$B$9:$BY$275,35,0)</f>
        <v>26</v>
      </c>
      <c r="X71" s="17">
        <f>VLOOKUP(B71,'Cham cong'!$B$9:$BY$275,37,0)</f>
        <v>0</v>
      </c>
      <c r="Y71" s="17">
        <f>VLOOKUP(B71,'Cham cong'!$B$9:$BY$275,38,0)</f>
        <v>1</v>
      </c>
      <c r="Z71" s="17">
        <f>VLOOKUP(B71,'Cham cong'!$B$9:$BY$275,72,0)</f>
        <v>0</v>
      </c>
      <c r="AA71" s="17">
        <f>VLOOKUP(B71,'Cham cong'!$B$9:$BY$275,71,0)</f>
        <v>0</v>
      </c>
      <c r="AB71" s="17">
        <f>VLOOKUP(B71,'Cham cong'!$B$9:$BY$275,36,0)</f>
        <v>0</v>
      </c>
      <c r="AC71" s="17"/>
      <c r="AD71" s="17"/>
      <c r="AE71" s="17"/>
      <c r="AF71" s="17"/>
      <c r="AG71" s="17"/>
      <c r="AH71" s="17"/>
      <c r="AI71" s="17"/>
      <c r="AJ71" s="17"/>
      <c r="AK71" s="927">
        <f>V71/'Cham cong'!$AS$3*(W71+Z71/8*2+AA71/8*1.5+AB71*3)+J71/'Cham cong'!$AS$3*(X71+Y71)+AC71+P71+AE71+AG71+AH71+AI71+AJ71</f>
        <v>7591.1538461538448</v>
      </c>
      <c r="AL71" s="17">
        <f t="shared" si="88"/>
        <v>504</v>
      </c>
      <c r="AM71" s="920">
        <v>4800</v>
      </c>
      <c r="AN71" s="938">
        <f>VLOOKUP(B71,'Cham cong'!$B$9:$BY$275,75,0)</f>
        <v>0</v>
      </c>
      <c r="AO71" s="938"/>
      <c r="AP71" s="950">
        <f t="shared" si="89"/>
        <v>7090</v>
      </c>
      <c r="AR71" s="1034">
        <f t="shared" si="144"/>
        <v>7591153.8461538451</v>
      </c>
      <c r="AS71" s="856">
        <f t="shared" si="145"/>
        <v>4800000</v>
      </c>
      <c r="AT71" s="856">
        <f t="shared" si="146"/>
        <v>0</v>
      </c>
      <c r="AU71" s="949"/>
      <c r="AV71" s="949"/>
      <c r="AW71" s="949"/>
      <c r="AY71" s="949"/>
      <c r="BG71" s="949"/>
      <c r="BK71" s="949"/>
      <c r="BL71" s="949"/>
    </row>
    <row r="72" spans="1:64" s="856" customFormat="1" ht="14.25" customHeight="1">
      <c r="A72" s="895">
        <v>4</v>
      </c>
      <c r="B72" s="1257" t="s">
        <v>370</v>
      </c>
      <c r="C72" s="577" t="s">
        <v>371</v>
      </c>
      <c r="D72" s="111" t="str">
        <f>'THANG B.LUONG'!B59</f>
        <v>CV Phòng thí nghiệm (Quản lý PTN)</v>
      </c>
      <c r="E72" s="896">
        <v>43192</v>
      </c>
      <c r="F72" s="897">
        <v>1</v>
      </c>
      <c r="G72" s="106">
        <f t="shared" si="83"/>
        <v>1</v>
      </c>
      <c r="H72" s="106">
        <f t="shared" si="84"/>
        <v>4</v>
      </c>
      <c r="I72" s="17">
        <f t="shared" si="85"/>
        <v>23</v>
      </c>
      <c r="J72" s="17">
        <f>VLOOKUP(D72,'THANG B.LUONG'!$B$5:$I$511,F72+1,0)</f>
        <v>10340</v>
      </c>
      <c r="K72" s="17">
        <v>0</v>
      </c>
      <c r="L72" s="17">
        <v>0</v>
      </c>
      <c r="M72" s="17">
        <f t="shared" si="86"/>
        <v>0</v>
      </c>
      <c r="N72" s="17">
        <v>0</v>
      </c>
      <c r="O72" s="17">
        <v>0</v>
      </c>
      <c r="P72" s="17">
        <v>0</v>
      </c>
      <c r="Q72" s="17">
        <v>0</v>
      </c>
      <c r="R72" s="17">
        <v>0</v>
      </c>
      <c r="S72" s="17">
        <v>0</v>
      </c>
      <c r="T72" s="17">
        <v>0</v>
      </c>
      <c r="U72" s="17">
        <v>0</v>
      </c>
      <c r="V72" s="927">
        <f t="shared" si="147"/>
        <v>10340</v>
      </c>
      <c r="W72" s="928">
        <f>VLOOKUP(B72,'Cham cong'!$B$9:$BY$275,35,0)</f>
        <v>26</v>
      </c>
      <c r="X72" s="17">
        <f>VLOOKUP(B72,'Cham cong'!$B$9:$BY$275,37,0)</f>
        <v>0</v>
      </c>
      <c r="Y72" s="17">
        <f>VLOOKUP(B72,'Cham cong'!$B$9:$BY$275,38,0)</f>
        <v>1</v>
      </c>
      <c r="Z72" s="17">
        <f>VLOOKUP(B72,'Cham cong'!$B$9:$BY$275,72,0)</f>
        <v>0</v>
      </c>
      <c r="AA72" s="17">
        <f>VLOOKUP(B72,'Cham cong'!$B$9:$BY$275,71,0)</f>
        <v>0</v>
      </c>
      <c r="AB72" s="17">
        <f>VLOOKUP(B72,'Cham cong'!$B$9:$BY$275,36,0)</f>
        <v>0</v>
      </c>
      <c r="AC72" s="17"/>
      <c r="AD72" s="17"/>
      <c r="AE72" s="17"/>
      <c r="AF72" s="17"/>
      <c r="AG72" s="17"/>
      <c r="AH72" s="17"/>
      <c r="AI72" s="17"/>
      <c r="AJ72" s="17"/>
      <c r="AK72" s="927">
        <f>V72/'Cham cong'!$AS$3*(W72+Z72/8*2+AA72/8*1.5+AB72*3)+J72/'Cham cong'!$AS$3*(X72+Y72)+AC72+P72+AE72+AG72+AH72+AI72+AJ72</f>
        <v>10737.692307692309</v>
      </c>
      <c r="AL72" s="17">
        <f t="shared" si="88"/>
        <v>535.5</v>
      </c>
      <c r="AM72" s="920">
        <v>5100</v>
      </c>
      <c r="AN72" s="938">
        <f>VLOOKUP(B72,'Cham cong'!$B$9:$BY$275,75,0)</f>
        <v>0</v>
      </c>
      <c r="AO72" s="938"/>
      <c r="AP72" s="950">
        <f t="shared" si="89"/>
        <v>10200</v>
      </c>
      <c r="AR72" s="1034">
        <f t="shared" si="144"/>
        <v>10737692.307692308</v>
      </c>
      <c r="AS72" s="856">
        <f t="shared" si="145"/>
        <v>5100000</v>
      </c>
      <c r="AT72" s="856">
        <f t="shared" si="146"/>
        <v>0</v>
      </c>
      <c r="AU72" s="949"/>
      <c r="AV72" s="949"/>
      <c r="AW72" s="949"/>
      <c r="AY72" s="949"/>
      <c r="BG72" s="949"/>
      <c r="BK72" s="949"/>
      <c r="BL72" s="949"/>
    </row>
    <row r="73" spans="1:64" s="856" customFormat="1">
      <c r="A73" s="895">
        <v>5</v>
      </c>
      <c r="B73" s="1257" t="s">
        <v>372</v>
      </c>
      <c r="C73" s="914" t="s">
        <v>373</v>
      </c>
      <c r="D73" s="111" t="str">
        <f>'THANG B.LUONG'!B60</f>
        <v>NV Phòng thí nghiệm</v>
      </c>
      <c r="E73" s="896">
        <v>43228</v>
      </c>
      <c r="F73" s="897">
        <v>1</v>
      </c>
      <c r="G73" s="106">
        <f t="shared" si="83"/>
        <v>1</v>
      </c>
      <c r="H73" s="106">
        <f t="shared" si="84"/>
        <v>3</v>
      </c>
      <c r="I73" s="17">
        <f t="shared" si="85"/>
        <v>17</v>
      </c>
      <c r="J73" s="17">
        <f>VLOOKUP(D73,'THANG B.LUONG'!$B$5:$I$511,F73+1,0)</f>
        <v>7310</v>
      </c>
      <c r="K73" s="17">
        <v>0</v>
      </c>
      <c r="L73" s="17">
        <v>0</v>
      </c>
      <c r="M73" s="17">
        <f t="shared" si="86"/>
        <v>0</v>
      </c>
      <c r="N73" s="17">
        <v>0</v>
      </c>
      <c r="O73" s="17">
        <v>0</v>
      </c>
      <c r="P73" s="17">
        <v>0</v>
      </c>
      <c r="Q73" s="17">
        <v>0</v>
      </c>
      <c r="R73" s="17">
        <v>0</v>
      </c>
      <c r="S73" s="17">
        <v>0</v>
      </c>
      <c r="T73" s="17">
        <v>0</v>
      </c>
      <c r="U73" s="17">
        <v>0</v>
      </c>
      <c r="V73" s="927">
        <f t="shared" si="147"/>
        <v>7310</v>
      </c>
      <c r="W73" s="928">
        <f>VLOOKUP(B73,'Cham cong'!$B$9:$BY$275,35,0)</f>
        <v>26</v>
      </c>
      <c r="X73" s="17">
        <f>VLOOKUP(B73,'Cham cong'!$B$9:$BY$275,37,0)</f>
        <v>0</v>
      </c>
      <c r="Y73" s="17">
        <f>VLOOKUP(B73,'Cham cong'!$B$9:$BY$275,38,0)</f>
        <v>1</v>
      </c>
      <c r="Z73" s="17">
        <f>VLOOKUP(B73,'Cham cong'!$B$9:$BY$275,72,0)</f>
        <v>0</v>
      </c>
      <c r="AA73" s="17">
        <f>VLOOKUP(B73,'Cham cong'!$B$9:$BY$275,71,0)</f>
        <v>0</v>
      </c>
      <c r="AB73" s="17">
        <f>VLOOKUP(B73,'Cham cong'!$B$9:$BY$275,36,0)</f>
        <v>0</v>
      </c>
      <c r="AC73" s="17"/>
      <c r="AD73" s="17"/>
      <c r="AE73" s="17"/>
      <c r="AF73" s="17"/>
      <c r="AG73" s="17"/>
      <c r="AH73" s="17"/>
      <c r="AI73" s="17"/>
      <c r="AJ73" s="17"/>
      <c r="AK73" s="927">
        <f>V73/'Cham cong'!$AS$3*(W73+Z73/8*2+AA73/8*1.5+AB73*3)+J73/'Cham cong'!$AS$3*(X73+Y73)+AC73+P73+AE73+AG73+AH73+AI73+AJ73</f>
        <v>7591.1538461538448</v>
      </c>
      <c r="AL73" s="17">
        <f t="shared" si="88"/>
        <v>504</v>
      </c>
      <c r="AM73" s="17">
        <v>4800</v>
      </c>
      <c r="AN73" s="938">
        <f>VLOOKUP(B73,'Cham cong'!$B$9:$BY$275,75,0)</f>
        <v>0</v>
      </c>
      <c r="AO73" s="938"/>
      <c r="AP73" s="950">
        <f t="shared" si="89"/>
        <v>7090</v>
      </c>
      <c r="AR73" s="1034">
        <f t="shared" si="144"/>
        <v>7591153.8461538451</v>
      </c>
      <c r="AS73" s="856">
        <f t="shared" si="145"/>
        <v>4800000</v>
      </c>
      <c r="AT73" s="856">
        <f t="shared" ref="AT73:AT83" si="157">AN73*1000</f>
        <v>0</v>
      </c>
      <c r="AU73" s="949"/>
      <c r="AV73" s="949"/>
      <c r="AW73" s="949"/>
      <c r="AY73" s="949"/>
      <c r="BG73" s="949"/>
      <c r="BK73" s="949"/>
      <c r="BL73" s="949"/>
    </row>
    <row r="74" spans="1:64" s="1507" customFormat="1">
      <c r="A74" s="1497">
        <v>6</v>
      </c>
      <c r="B74" s="1498" t="s">
        <v>1272</v>
      </c>
      <c r="C74" s="660" t="s">
        <v>1273</v>
      </c>
      <c r="D74" s="1528" t="s">
        <v>62</v>
      </c>
      <c r="E74" s="1500">
        <v>43629</v>
      </c>
      <c r="F74" s="1501">
        <v>4</v>
      </c>
      <c r="G74" s="661">
        <f t="shared" si="83"/>
        <v>0</v>
      </c>
      <c r="H74" s="661">
        <f t="shared" si="84"/>
        <v>2</v>
      </c>
      <c r="I74" s="1502">
        <f t="shared" si="85"/>
        <v>12</v>
      </c>
      <c r="J74" s="1502">
        <f>VLOOKUP(D74,'THANG B.LUONG'!$B$5:$I$511,F74+1,0)</f>
        <v>9720</v>
      </c>
      <c r="K74" s="1502">
        <v>0</v>
      </c>
      <c r="L74" s="1502">
        <v>0</v>
      </c>
      <c r="M74" s="1502">
        <f t="shared" si="86"/>
        <v>0</v>
      </c>
      <c r="N74" s="1502">
        <v>0</v>
      </c>
      <c r="O74" s="1502">
        <v>0</v>
      </c>
      <c r="P74" s="1502">
        <v>0</v>
      </c>
      <c r="Q74" s="1502">
        <v>0</v>
      </c>
      <c r="R74" s="1502">
        <v>0</v>
      </c>
      <c r="S74" s="1502">
        <v>0</v>
      </c>
      <c r="T74" s="1502">
        <v>0</v>
      </c>
      <c r="U74" s="1502">
        <v>0</v>
      </c>
      <c r="V74" s="1503">
        <f>(SUM(J74:U74)-P74)*0.85</f>
        <v>8262</v>
      </c>
      <c r="W74" s="1504">
        <v>14</v>
      </c>
      <c r="X74" s="1502">
        <f>VLOOKUP(B74,'Cham cong'!$B$9:$BY$275,37,0)</f>
        <v>0</v>
      </c>
      <c r="Y74" s="1502">
        <f>VLOOKUP(B74,'Cham cong'!$B$9:$BY$275,38,0)</f>
        <v>1</v>
      </c>
      <c r="Z74" s="1502">
        <f>VLOOKUP(B74,'Cham cong'!$B$9:$BY$275,72,0)</f>
        <v>0</v>
      </c>
      <c r="AA74" s="1502">
        <f>VLOOKUP(B74,'Cham cong'!$B$9:$BY$275,71,0)</f>
        <v>0</v>
      </c>
      <c r="AB74" s="1502">
        <f>VLOOKUP(B74,'Cham cong'!$B$9:$BY$275,36,0)</f>
        <v>0</v>
      </c>
      <c r="AC74" s="1502"/>
      <c r="AD74" s="1502"/>
      <c r="AE74" s="1502"/>
      <c r="AF74" s="1502"/>
      <c r="AG74" s="1502"/>
      <c r="AH74" s="1502"/>
      <c r="AI74" s="1502"/>
      <c r="AJ74" s="1502"/>
      <c r="AK74" s="1503">
        <f>V74/'Cham cong'!$AS$3*(W74+Z74/8*2+AA74/8*1.5+AB74*3)+J74/'Cham cong'!$AS$3*(X74+Y74)+AC74+P74+AE74+AG74+AH74+AI74+AJ74</f>
        <v>4822.6153846153848</v>
      </c>
      <c r="AL74" s="1502">
        <f t="shared" si="88"/>
        <v>0</v>
      </c>
      <c r="AM74" s="1510">
        <v>0</v>
      </c>
      <c r="AN74" s="1505">
        <v>0</v>
      </c>
      <c r="AO74" s="1505"/>
      <c r="AP74" s="1529">
        <f t="shared" si="89"/>
        <v>4820</v>
      </c>
      <c r="AR74" s="1511">
        <f t="shared" si="144"/>
        <v>4822615.384615385</v>
      </c>
      <c r="AS74" s="1507">
        <f t="shared" si="145"/>
        <v>0</v>
      </c>
      <c r="AT74" s="1507">
        <f t="shared" si="157"/>
        <v>0</v>
      </c>
      <c r="AU74" s="1509"/>
      <c r="AV74" s="1509"/>
      <c r="AW74" s="1509"/>
      <c r="AY74" s="1509"/>
      <c r="BG74" s="1509"/>
      <c r="BK74" s="1509"/>
      <c r="BL74" s="1509"/>
    </row>
    <row r="75" spans="1:64" s="856" customFormat="1">
      <c r="A75" s="895">
        <v>6</v>
      </c>
      <c r="B75" s="1255" t="s">
        <v>1272</v>
      </c>
      <c r="C75" s="1409" t="s">
        <v>1273</v>
      </c>
      <c r="D75" s="1485" t="s">
        <v>62</v>
      </c>
      <c r="E75" s="908">
        <v>43629</v>
      </c>
      <c r="F75" s="909">
        <v>4</v>
      </c>
      <c r="G75" s="12">
        <f t="shared" ref="G75" si="158">DATEDIF(E75,$J$3,"y")</f>
        <v>0</v>
      </c>
      <c r="H75" s="12">
        <f t="shared" ref="H75" si="159">DATEDIF(E75,$J$3,"ym")</f>
        <v>2</v>
      </c>
      <c r="I75" s="921">
        <f t="shared" ref="I75" si="160">DATEDIF(E75,$J$3,"md")</f>
        <v>12</v>
      </c>
      <c r="J75" s="921">
        <f>VLOOKUP(D75,'THANG B.LUONG'!$B$5:$I$511,F75+1,0)</f>
        <v>9720</v>
      </c>
      <c r="K75" s="921">
        <v>0</v>
      </c>
      <c r="L75" s="921">
        <v>0</v>
      </c>
      <c r="M75" s="921">
        <f t="shared" ref="M75" si="161">IF(G75&gt;=3,J75*(0.03+(G75-3)*0.01),0)</f>
        <v>0</v>
      </c>
      <c r="N75" s="921">
        <v>0</v>
      </c>
      <c r="O75" s="921">
        <v>0</v>
      </c>
      <c r="P75" s="921">
        <v>0</v>
      </c>
      <c r="Q75" s="921">
        <v>0</v>
      </c>
      <c r="R75" s="921">
        <v>0</v>
      </c>
      <c r="S75" s="921">
        <v>0</v>
      </c>
      <c r="T75" s="921">
        <v>0</v>
      </c>
      <c r="U75" s="921">
        <v>0</v>
      </c>
      <c r="V75" s="932">
        <f>SUM(J75:U75)-P75</f>
        <v>9720</v>
      </c>
      <c r="W75" s="1016">
        <v>10.5</v>
      </c>
      <c r="X75" s="921">
        <f>VLOOKUP(B75,'Cham cong'!$B$9:$BY$275,37,0)</f>
        <v>0</v>
      </c>
      <c r="Y75" s="921">
        <f>VLOOKUP(B75,'Cham cong'!$B$9:$BY$275,38,0)</f>
        <v>1</v>
      </c>
      <c r="Z75" s="921">
        <f>VLOOKUP(B75,'Cham cong'!$B$9:$BY$275,72,0)</f>
        <v>0</v>
      </c>
      <c r="AA75" s="921">
        <f>VLOOKUP(B75,'Cham cong'!$B$9:$BY$275,71,0)</f>
        <v>0</v>
      </c>
      <c r="AB75" s="921">
        <f>VLOOKUP(B75,'Cham cong'!$B$9:$BY$275,36,0)</f>
        <v>0</v>
      </c>
      <c r="AC75" s="921"/>
      <c r="AD75" s="921"/>
      <c r="AE75" s="921"/>
      <c r="AF75" s="921"/>
      <c r="AG75" s="921"/>
      <c r="AH75" s="921"/>
      <c r="AI75" s="921"/>
      <c r="AJ75" s="921"/>
      <c r="AK75" s="932">
        <f>V75/'Cham cong'!$AS$3*(W75+Z75/8*2+AA75/8*1.5+AB75*3)+J75/'Cham cong'!$AS$3*(X75+Y75)+AC75+P75+AE75+AG75+AH75+AI75+AJ75</f>
        <v>4299.2307692307695</v>
      </c>
      <c r="AL75" s="921">
        <f t="shared" ref="AL75" si="162">AM75*$AN$3</f>
        <v>0</v>
      </c>
      <c r="AM75" s="943">
        <v>0</v>
      </c>
      <c r="AN75" s="944">
        <f>VLOOKUP(B75,'Cham cong'!$B$9:$BY$275,75,0)</f>
        <v>2000</v>
      </c>
      <c r="AO75" s="944"/>
      <c r="AP75" s="1530">
        <f t="shared" ref="AP75" si="163">ROUND(AK75-AL75-AN75+AO75,-1)</f>
        <v>2300</v>
      </c>
      <c r="AR75" s="1034">
        <f t="shared" ref="AR75" si="164">AK75*1000</f>
        <v>4299230.7692307699</v>
      </c>
      <c r="AS75" s="856">
        <f t="shared" ref="AS75" si="165">AM75*1000</f>
        <v>0</v>
      </c>
      <c r="AT75" s="856">
        <f t="shared" ref="AT75" si="166">AN75*1000</f>
        <v>2000000</v>
      </c>
      <c r="AU75" s="949"/>
      <c r="AV75" s="949"/>
      <c r="AW75" s="949"/>
      <c r="AY75" s="949"/>
      <c r="BG75" s="949"/>
      <c r="BK75" s="949"/>
      <c r="BL75" s="949"/>
    </row>
    <row r="76" spans="1:64" s="856" customFormat="1">
      <c r="A76" s="983"/>
      <c r="B76" s="121" t="s">
        <v>376</v>
      </c>
      <c r="C76" s="122"/>
      <c r="D76" s="122"/>
      <c r="E76" s="984"/>
      <c r="F76" s="122"/>
      <c r="G76" s="122"/>
      <c r="H76" s="122"/>
      <c r="I76" s="122"/>
      <c r="J76" s="1012"/>
      <c r="K76" s="1012"/>
      <c r="L76" s="1012"/>
      <c r="M76" s="1012"/>
      <c r="N76" s="1012"/>
      <c r="O76" s="1012"/>
      <c r="P76" s="1012"/>
      <c r="Q76" s="1012"/>
      <c r="R76" s="1012"/>
      <c r="S76" s="1012"/>
      <c r="T76" s="1012"/>
      <c r="U76" s="1012"/>
      <c r="V76" s="136"/>
      <c r="W76" s="136"/>
      <c r="X76" s="136"/>
      <c r="Y76" s="136"/>
      <c r="Z76" s="136"/>
      <c r="AA76" s="136"/>
      <c r="AB76" s="136"/>
      <c r="AC76" s="136"/>
      <c r="AD76" s="136"/>
      <c r="AE76" s="136"/>
      <c r="AF76" s="136"/>
      <c r="AG76" s="136"/>
      <c r="AH76" s="136"/>
      <c r="AI76" s="136"/>
      <c r="AJ76" s="136"/>
      <c r="AK76" s="136"/>
      <c r="AL76" s="136"/>
      <c r="AM76" s="136"/>
      <c r="AN76" s="136"/>
      <c r="AO76" s="136"/>
      <c r="AP76" s="136"/>
      <c r="AR76" s="951">
        <f t="shared" si="56"/>
        <v>0</v>
      </c>
      <c r="AS76" s="856">
        <f>AM76*1000</f>
        <v>0</v>
      </c>
      <c r="AT76" s="856">
        <f t="shared" si="157"/>
        <v>0</v>
      </c>
      <c r="AU76" s="949"/>
      <c r="AV76" s="949"/>
      <c r="AW76" s="949"/>
      <c r="AY76" s="949"/>
      <c r="BG76" s="949"/>
      <c r="BK76" s="949"/>
      <c r="BL76" s="949"/>
    </row>
    <row r="77" spans="1:64" s="856" customFormat="1">
      <c r="A77" s="898"/>
      <c r="B77" s="95"/>
      <c r="C77" s="96" t="s">
        <v>377</v>
      </c>
      <c r="D77" s="96"/>
      <c r="E77" s="899"/>
      <c r="F77" s="140"/>
      <c r="G77" s="140"/>
      <c r="H77" s="140"/>
      <c r="I77" s="140"/>
      <c r="J77" s="140"/>
      <c r="K77" s="140"/>
      <c r="L77" s="140"/>
      <c r="M77" s="140"/>
      <c r="N77" s="140"/>
      <c r="O77" s="140"/>
      <c r="P77" s="140"/>
      <c r="Q77" s="140"/>
      <c r="R77" s="140"/>
      <c r="S77" s="140"/>
      <c r="T77" s="140"/>
      <c r="U77" s="140"/>
      <c r="V77" s="140"/>
      <c r="W77" s="140"/>
      <c r="X77" s="140"/>
      <c r="Y77" s="140"/>
      <c r="Z77" s="140"/>
      <c r="AA77" s="140"/>
      <c r="AB77" s="140"/>
      <c r="AC77" s="140"/>
      <c r="AD77" s="140"/>
      <c r="AE77" s="140"/>
      <c r="AF77" s="140"/>
      <c r="AG77" s="140"/>
      <c r="AH77" s="140"/>
      <c r="AI77" s="140"/>
      <c r="AJ77" s="140"/>
      <c r="AK77" s="937">
        <f>SUM(AK78)</f>
        <v>56624.438461538462</v>
      </c>
      <c r="AL77" s="937">
        <f t="shared" ref="AL77:AP77" si="167">SUM(AL78)</f>
        <v>871.5</v>
      </c>
      <c r="AM77" s="937">
        <f t="shared" si="167"/>
        <v>8300</v>
      </c>
      <c r="AN77" s="937">
        <f t="shared" si="167"/>
        <v>20000</v>
      </c>
      <c r="AO77" s="937">
        <f t="shared" si="167"/>
        <v>0</v>
      </c>
      <c r="AP77" s="937">
        <f t="shared" si="167"/>
        <v>35750</v>
      </c>
      <c r="AQ77" s="1035"/>
      <c r="AR77" s="951">
        <f t="shared" si="56"/>
        <v>56624438.461538464</v>
      </c>
      <c r="AS77" s="953">
        <f t="shared" ref="AS77:AS87" si="168">AM77*1000</f>
        <v>8300000</v>
      </c>
      <c r="AT77" s="1036">
        <f t="shared" si="157"/>
        <v>20000000</v>
      </c>
      <c r="AU77" s="949"/>
      <c r="AV77" s="949"/>
      <c r="AW77" s="949"/>
      <c r="AY77" s="949"/>
      <c r="BG77" s="949"/>
      <c r="BK77" s="949"/>
      <c r="BL77" s="949"/>
    </row>
    <row r="78" spans="1:64" s="856" customFormat="1">
      <c r="A78" s="895">
        <v>1</v>
      </c>
      <c r="B78" s="98" t="s">
        <v>378</v>
      </c>
      <c r="C78" s="92" t="s">
        <v>379</v>
      </c>
      <c r="D78" s="100" t="s">
        <v>82</v>
      </c>
      <c r="E78" s="896">
        <v>39471</v>
      </c>
      <c r="F78" s="897">
        <v>2</v>
      </c>
      <c r="G78" s="106">
        <f>DATEDIF(E78,$J$3,"y")</f>
        <v>11</v>
      </c>
      <c r="H78" s="106">
        <f>DATEDIF(E78,$J$3,"ym")</f>
        <v>7</v>
      </c>
      <c r="I78" s="17">
        <f>DATEDIF(E78,$J$3,"md")</f>
        <v>1</v>
      </c>
      <c r="J78" s="17">
        <f>VLOOKUP(D78,'THANG B.LUONG'!$B$5:$I$511,F78+1,0)</f>
        <v>31890</v>
      </c>
      <c r="K78" s="17">
        <v>0</v>
      </c>
      <c r="L78" s="17">
        <v>3000</v>
      </c>
      <c r="M78" s="17">
        <f>IF(G78&gt;=3,J78*(0.03+(G78-3)*0.01),0)</f>
        <v>3507.9</v>
      </c>
      <c r="N78" s="17">
        <v>0</v>
      </c>
      <c r="O78" s="17">
        <v>1000</v>
      </c>
      <c r="P78" s="17">
        <v>1000</v>
      </c>
      <c r="Q78" s="17">
        <v>0</v>
      </c>
      <c r="R78" s="17">
        <v>0</v>
      </c>
      <c r="S78" s="17">
        <v>0</v>
      </c>
      <c r="T78" s="17">
        <v>0</v>
      </c>
      <c r="U78" s="17">
        <v>0</v>
      </c>
      <c r="V78" s="927">
        <f>SUM(J78:U78)-P78</f>
        <v>39397.9</v>
      </c>
      <c r="W78" s="928">
        <f>VLOOKUP(B78,'Cham cong'!$B$9:$BY$275,35,0)</f>
        <v>26</v>
      </c>
      <c r="X78" s="17">
        <f>VLOOKUP(B78,'Cham cong'!$B$9:$BY$275,37,0)</f>
        <v>0</v>
      </c>
      <c r="Y78" s="17">
        <f>VLOOKUP(B78,'Cham cong'!$B$9:$BY$275,38,0)</f>
        <v>1</v>
      </c>
      <c r="Z78" s="17">
        <f>VLOOKUP(B78,'Cham cong'!$B$9:$BY$275,72,0)</f>
        <v>0</v>
      </c>
      <c r="AA78" s="17">
        <f>VLOOKUP(B78,'Cham cong'!$B$9:$BY$275,71,0)</f>
        <v>0</v>
      </c>
      <c r="AB78" s="17">
        <f>VLOOKUP(B78,'Cham cong'!$B$9:$BY$275,36,0)</f>
        <v>0</v>
      </c>
      <c r="AC78" s="17"/>
      <c r="AD78" s="17"/>
      <c r="AE78" s="17"/>
      <c r="AF78" s="17"/>
      <c r="AG78" s="17"/>
      <c r="AH78" s="17"/>
      <c r="AI78" s="17"/>
      <c r="AJ78" s="17">
        <v>15000</v>
      </c>
      <c r="AK78" s="927">
        <f>V78/'Cham cong'!$AS$3*(W78+Z78/8*2+AA78/8*1.5+AB78*3)+J78/'Cham cong'!$AS$3*(X78+Y78)+AC78+P78+AE78+AG78+AH78+AI78+AJ78</f>
        <v>56624.438461538462</v>
      </c>
      <c r="AL78" s="17">
        <f>AM78*$AN$3</f>
        <v>871.5</v>
      </c>
      <c r="AM78" s="1022">
        <v>8300</v>
      </c>
      <c r="AN78" s="938">
        <f>VLOOKUP(B78,'Cham cong'!$B$9:$BY$275,75,0)</f>
        <v>20000</v>
      </c>
      <c r="AO78" s="938"/>
      <c r="AP78" s="950">
        <f>ROUND(AK78-AL78-AN78+AO78,-1)</f>
        <v>35750</v>
      </c>
      <c r="AR78" s="1037">
        <f t="shared" si="56"/>
        <v>56624438.461538464</v>
      </c>
      <c r="AS78" s="953">
        <f t="shared" si="168"/>
        <v>8300000</v>
      </c>
      <c r="AT78" s="1038">
        <f t="shared" si="157"/>
        <v>20000000</v>
      </c>
      <c r="AU78" s="949"/>
      <c r="AV78" s="949"/>
      <c r="AW78" s="949"/>
      <c r="AY78" s="949"/>
      <c r="BG78" s="949"/>
      <c r="BK78" s="949"/>
      <c r="BL78" s="949"/>
    </row>
    <row r="79" spans="1:64" s="855" customFormat="1" ht="12.75" customHeight="1">
      <c r="A79" s="898"/>
      <c r="B79" s="95"/>
      <c r="C79" s="96" t="s">
        <v>380</v>
      </c>
      <c r="D79" s="96"/>
      <c r="E79" s="899"/>
      <c r="F79" s="140"/>
      <c r="G79" s="140"/>
      <c r="H79" s="140"/>
      <c r="I79" s="140"/>
      <c r="J79" s="140"/>
      <c r="K79" s="140"/>
      <c r="L79" s="140"/>
      <c r="M79" s="140"/>
      <c r="N79" s="140"/>
      <c r="O79" s="140"/>
      <c r="P79" s="140"/>
      <c r="Q79" s="140"/>
      <c r="R79" s="140"/>
      <c r="S79" s="140"/>
      <c r="T79" s="140"/>
      <c r="U79" s="140"/>
      <c r="V79" s="140"/>
      <c r="W79" s="140"/>
      <c r="X79" s="140"/>
      <c r="Y79" s="140"/>
      <c r="Z79" s="140"/>
      <c r="AA79" s="140"/>
      <c r="AB79" s="140"/>
      <c r="AC79" s="140"/>
      <c r="AD79" s="140"/>
      <c r="AE79" s="140"/>
      <c r="AF79" s="140"/>
      <c r="AG79" s="140"/>
      <c r="AH79" s="140"/>
      <c r="AI79" s="140"/>
      <c r="AJ79" s="140"/>
      <c r="AK79" s="937">
        <f>SUM(AK80:AK91)</f>
        <v>113905.84158653844</v>
      </c>
      <c r="AL79" s="937">
        <f t="shared" ref="AL79:AO79" si="169">SUM(AL80:AL91)</f>
        <v>4084.5</v>
      </c>
      <c r="AM79" s="937">
        <f t="shared" si="169"/>
        <v>38900</v>
      </c>
      <c r="AN79" s="937">
        <f t="shared" si="169"/>
        <v>22000</v>
      </c>
      <c r="AO79" s="937">
        <f t="shared" si="169"/>
        <v>0</v>
      </c>
      <c r="AP79" s="937">
        <f>SUM(AP80:AP91)</f>
        <v>87830</v>
      </c>
      <c r="AR79" s="1037">
        <f t="shared" si="56"/>
        <v>113905841.58653845</v>
      </c>
      <c r="AS79" s="953">
        <f t="shared" si="168"/>
        <v>38900000</v>
      </c>
      <c r="AT79" s="1038">
        <f t="shared" si="157"/>
        <v>22000000</v>
      </c>
      <c r="AU79" s="948"/>
      <c r="AV79" s="948"/>
      <c r="AW79" s="948"/>
      <c r="AY79" s="948"/>
      <c r="BG79" s="948"/>
      <c r="BK79" s="948"/>
      <c r="BL79" s="948"/>
    </row>
    <row r="80" spans="1:64" s="1507" customFormat="1" ht="12.75" hidden="1">
      <c r="A80" s="1497">
        <v>1</v>
      </c>
      <c r="B80" s="1498" t="s">
        <v>1276</v>
      </c>
      <c r="C80" s="1525" t="s">
        <v>1277</v>
      </c>
      <c r="D80" s="661" t="str">
        <f>'THANG B.LUONG'!B223</f>
        <v>Trưởng BP Kho</v>
      </c>
      <c r="E80" s="1500">
        <v>43619</v>
      </c>
      <c r="F80" s="1501">
        <v>4</v>
      </c>
      <c r="G80" s="661">
        <f t="shared" ref="G80" si="170">DATEDIF(E80,$J$3,"y")</f>
        <v>0</v>
      </c>
      <c r="H80" s="661">
        <f t="shared" ref="H80" si="171">DATEDIF(E80,$J$3,"ym")</f>
        <v>2</v>
      </c>
      <c r="I80" s="1502">
        <f t="shared" ref="I80" si="172">DATEDIF(E80,$J$3,"md")</f>
        <v>22</v>
      </c>
      <c r="J80" s="1502">
        <f>VLOOKUP(D80,'THANG B.LUONG'!$B$5:$I$511,F80+1,0)</f>
        <v>14500</v>
      </c>
      <c r="K80" s="1502">
        <v>0</v>
      </c>
      <c r="L80" s="1502">
        <v>500</v>
      </c>
      <c r="M80" s="1502">
        <f t="shared" ref="M80" si="173">IF(G80&gt;=3,J80*(0.03+(G80-3)*0.01),0)</f>
        <v>0</v>
      </c>
      <c r="N80" s="1502">
        <v>0</v>
      </c>
      <c r="O80" s="1502">
        <v>200</v>
      </c>
      <c r="P80" s="1502">
        <v>300</v>
      </c>
      <c r="Q80" s="1502">
        <v>0</v>
      </c>
      <c r="R80" s="1502">
        <v>0</v>
      </c>
      <c r="S80" s="1502">
        <v>0</v>
      </c>
      <c r="T80" s="1502">
        <v>0</v>
      </c>
      <c r="U80" s="1502">
        <v>0</v>
      </c>
      <c r="V80" s="1502">
        <f>(SUM(J80:U80)-P80)*0.85</f>
        <v>12920</v>
      </c>
      <c r="W80" s="1504">
        <v>6</v>
      </c>
      <c r="X80" s="1502">
        <f>VLOOKUP(B80,'Cham cong'!$B$9:$BY$275,37,0)</f>
        <v>0</v>
      </c>
      <c r="Y80" s="1502">
        <f>VLOOKUP(B80,'Cham cong'!$B$9:$BY$275,38,0)</f>
        <v>1</v>
      </c>
      <c r="Z80" s="1502">
        <f>VLOOKUP(B80,'Cham cong'!$B$9:$BY$275,72,0)</f>
        <v>0</v>
      </c>
      <c r="AA80" s="1502">
        <f>VLOOKUP(B80,'Cham cong'!$B$9:$BY$275,71,0)</f>
        <v>0</v>
      </c>
      <c r="AB80" s="1502">
        <f>VLOOKUP(B80,'Cham cong'!$B$9:$BY$275,36,0)</f>
        <v>0</v>
      </c>
      <c r="AC80" s="1502"/>
      <c r="AD80" s="1502"/>
      <c r="AE80" s="1502"/>
      <c r="AF80" s="1502"/>
      <c r="AG80" s="1502"/>
      <c r="AH80" s="1502"/>
      <c r="AI80" s="1502"/>
      <c r="AJ80" s="1502"/>
      <c r="AK80" s="1502">
        <f>V80/'Cham cong'!$AS$3*(W80+Z80/8*2+AA80/8*1.5+AB80*3)+J80/'Cham cong'!$AS$3*(X80+Y80)+AC80+P80+AE80+AG80+AH80+AI80+AJ80</f>
        <v>3839.2307692307691</v>
      </c>
      <c r="AL80" s="1502">
        <f t="shared" ref="AL80" si="174">AM80*$AN$3</f>
        <v>0</v>
      </c>
      <c r="AM80" s="1526">
        <v>0</v>
      </c>
      <c r="AN80" s="1505">
        <f>VLOOKUP(B80,'Cham cong'!$B$9:$BY$275,75,0)</f>
        <v>0</v>
      </c>
      <c r="AO80" s="1505"/>
      <c r="AP80" s="1529">
        <f t="shared" ref="AP80" si="175">ROUND(AK80-AL80-AN80+AO80,-1)</f>
        <v>3840</v>
      </c>
      <c r="AQ80" s="1527">
        <f>AR40+AR80+AR82</f>
        <v>22761278.846153848</v>
      </c>
      <c r="AR80" s="1512">
        <f t="shared" ref="AR80" si="176">AK80*1000</f>
        <v>3839230.769230769</v>
      </c>
      <c r="AS80" s="1527">
        <f t="shared" ref="AS80" si="177">AM80*1000</f>
        <v>0</v>
      </c>
      <c r="AT80" s="1507">
        <f t="shared" ref="AT80" si="178">AN80*1000</f>
        <v>0</v>
      </c>
      <c r="AU80" s="1509"/>
      <c r="AV80" s="1509"/>
      <c r="AW80" s="1509"/>
      <c r="AY80" s="1509"/>
      <c r="BG80" s="1509"/>
      <c r="BK80" s="1509"/>
      <c r="BL80" s="1509"/>
    </row>
    <row r="81" spans="1:64" s="856" customFormat="1" ht="12.75" hidden="1">
      <c r="A81" s="895">
        <v>1</v>
      </c>
      <c r="B81" s="1255" t="s">
        <v>1276</v>
      </c>
      <c r="C81" s="1055" t="s">
        <v>1277</v>
      </c>
      <c r="D81" s="12" t="str">
        <f>'THANG B.LUONG'!B223</f>
        <v>Trưởng BP Kho</v>
      </c>
      <c r="E81" s="908">
        <v>43619</v>
      </c>
      <c r="F81" s="909">
        <v>4</v>
      </c>
      <c r="G81" s="12">
        <f t="shared" ref="G81" si="179">DATEDIF(E81,$J$3,"y")</f>
        <v>0</v>
      </c>
      <c r="H81" s="12">
        <f t="shared" ref="H81" si="180">DATEDIF(E81,$J$3,"ym")</f>
        <v>2</v>
      </c>
      <c r="I81" s="921">
        <f t="shared" ref="I81" si="181">DATEDIF(E81,$J$3,"md")</f>
        <v>22</v>
      </c>
      <c r="J81" s="921">
        <f>VLOOKUP(D81,'THANG B.LUONG'!$B$5:$I$511,F81+1,0)</f>
        <v>14500</v>
      </c>
      <c r="K81" s="921">
        <v>0</v>
      </c>
      <c r="L81" s="921">
        <v>0</v>
      </c>
      <c r="M81" s="921">
        <v>0</v>
      </c>
      <c r="N81" s="921">
        <v>0</v>
      </c>
      <c r="O81" s="921">
        <v>0</v>
      </c>
      <c r="P81" s="921">
        <v>0</v>
      </c>
      <c r="Q81" s="921">
        <v>0</v>
      </c>
      <c r="R81" s="921">
        <v>0</v>
      </c>
      <c r="S81" s="921">
        <v>0</v>
      </c>
      <c r="T81" s="921">
        <v>0</v>
      </c>
      <c r="U81" s="921">
        <v>0</v>
      </c>
      <c r="V81" s="921">
        <f>SUM(J81:U81)-P81</f>
        <v>14500</v>
      </c>
      <c r="W81" s="1016">
        <v>20</v>
      </c>
      <c r="X81" s="921">
        <f>VLOOKUP(B81,'Cham cong'!$B$9:$BY$275,37,0)</f>
        <v>0</v>
      </c>
      <c r="Y81" s="921">
        <f>VLOOKUP(B81,'Cham cong'!$B$9:$BY$275,38,0)</f>
        <v>1</v>
      </c>
      <c r="Z81" s="921">
        <f>VLOOKUP(B81,'Cham cong'!$B$9:$BY$275,72,0)</f>
        <v>0</v>
      </c>
      <c r="AA81" s="921">
        <f>VLOOKUP(B81,'Cham cong'!$B$9:$BY$275,71,0)</f>
        <v>0</v>
      </c>
      <c r="AB81" s="921">
        <f>VLOOKUP(B81,'Cham cong'!$B$9:$BY$275,36,0)</f>
        <v>0</v>
      </c>
      <c r="AC81" s="921"/>
      <c r="AD81" s="921"/>
      <c r="AE81" s="921"/>
      <c r="AF81" s="921"/>
      <c r="AG81" s="921"/>
      <c r="AH81" s="921"/>
      <c r="AI81" s="921"/>
      <c r="AJ81" s="921"/>
      <c r="AK81" s="921">
        <f>V81/'Cham cong'!$AS$3*(W81+Z81/8*2+AA81/8*1.5+AB81*3)+J81/'Cham cong'!$AS$3*(X81+Y81)+AC81+P81+AE81+AG81+AH81+AI81+AJ81</f>
        <v>11711.538461538463</v>
      </c>
      <c r="AL81" s="921">
        <f t="shared" ref="AL81" si="182">AM81*$AN$3</f>
        <v>0</v>
      </c>
      <c r="AM81" s="946">
        <v>0</v>
      </c>
      <c r="AN81" s="944">
        <f>VLOOKUP(B81,'Cham cong'!$B$9:$BY$275,75,0)</f>
        <v>0</v>
      </c>
      <c r="AO81" s="944"/>
      <c r="AP81" s="1530">
        <f t="shared" ref="AP81" si="183">ROUND(AK81-AL81-AN81+AO81,-1)</f>
        <v>11710</v>
      </c>
      <c r="AQ81" s="953">
        <f>AR41+AR81+AR83</f>
        <v>31324251.923076924</v>
      </c>
      <c r="AR81" s="951">
        <f t="shared" ref="AR81" si="184">AK81*1000</f>
        <v>11711538.461538462</v>
      </c>
      <c r="AS81" s="953">
        <f t="shared" ref="AS81" si="185">AM81*1000</f>
        <v>0</v>
      </c>
      <c r="AT81" s="856">
        <f t="shared" ref="AT81" si="186">AN81*1000</f>
        <v>0</v>
      </c>
      <c r="AU81" s="949"/>
      <c r="AV81" s="949"/>
      <c r="AW81" s="949"/>
      <c r="AY81" s="949"/>
      <c r="BG81" s="949"/>
      <c r="BK81" s="949"/>
      <c r="BL81" s="949"/>
    </row>
    <row r="82" spans="1:64" s="856" customFormat="1" ht="12.75">
      <c r="A82" s="895">
        <v>2</v>
      </c>
      <c r="B82" s="91" t="s">
        <v>381</v>
      </c>
      <c r="C82" s="108" t="s">
        <v>382</v>
      </c>
      <c r="D82" s="106" t="s">
        <v>51</v>
      </c>
      <c r="E82" s="896">
        <v>42810</v>
      </c>
      <c r="F82" s="897">
        <v>3</v>
      </c>
      <c r="G82" s="106">
        <f t="shared" ref="G82:G87" si="187">DATEDIF(E82,$J$3,"y")</f>
        <v>2</v>
      </c>
      <c r="H82" s="106">
        <f t="shared" ref="H82:H87" si="188">DATEDIF(E82,$J$3,"ym")</f>
        <v>5</v>
      </c>
      <c r="I82" s="17">
        <f t="shared" ref="I82:I87" si="189">DATEDIF(E82,$J$3,"md")</f>
        <v>9</v>
      </c>
      <c r="J82" s="17">
        <f>VLOOKUP(D82,'THANG B.LUONG'!$B$5:$I$511,F82+1,0)</f>
        <v>7280</v>
      </c>
      <c r="K82" s="17">
        <v>200</v>
      </c>
      <c r="L82" s="17">
        <v>0</v>
      </c>
      <c r="M82" s="17">
        <f t="shared" ref="M82:M87" si="190">IF(G82&gt;=3,J82*(0.03+(G82-3)*0.01),0)</f>
        <v>0</v>
      </c>
      <c r="N82" s="17">
        <v>0</v>
      </c>
      <c r="O82" s="17">
        <v>0</v>
      </c>
      <c r="P82" s="17">
        <v>0</v>
      </c>
      <c r="Q82" s="17">
        <v>0</v>
      </c>
      <c r="R82" s="17">
        <v>0</v>
      </c>
      <c r="S82" s="17">
        <v>0</v>
      </c>
      <c r="T82" s="17">
        <v>0</v>
      </c>
      <c r="U82" s="17">
        <v>0</v>
      </c>
      <c r="V82" s="927">
        <f>SUM(J82:U82)-P82</f>
        <v>7480</v>
      </c>
      <c r="W82" s="928">
        <f>VLOOKUP(B82,'Cham cong'!$B$9:$BY$275,35,0)</f>
        <v>26</v>
      </c>
      <c r="X82" s="17">
        <f>VLOOKUP(B82,'Cham cong'!$B$9:$BY$275,37,0)</f>
        <v>0</v>
      </c>
      <c r="Y82" s="17">
        <f>VLOOKUP(B82,'Cham cong'!$B$9:$BY$275,38,0)</f>
        <v>1</v>
      </c>
      <c r="Z82" s="17">
        <f>VLOOKUP(B82,'Cham cong'!$B$9:$BY$275,72,0)</f>
        <v>0</v>
      </c>
      <c r="AA82" s="17">
        <f>VLOOKUP(B82,'Cham cong'!$B$9:$BY$275,71,0)</f>
        <v>24.5</v>
      </c>
      <c r="AB82" s="17">
        <f>VLOOKUP(B82,'Cham cong'!$B$9:$BY$275,36,0)</f>
        <v>0</v>
      </c>
      <c r="AC82" s="17"/>
      <c r="AD82" s="17"/>
      <c r="AE82" s="17"/>
      <c r="AF82" s="17"/>
      <c r="AG82" s="17"/>
      <c r="AH82" s="945"/>
      <c r="AI82" s="17"/>
      <c r="AJ82" s="17"/>
      <c r="AK82" s="927">
        <f>V82/'Cham cong'!$AS$3*(W82+Z82/8*2+AA82/8*1.5+AB82*3)+J82/'Cham cong'!$AS$3*(X82+Y82)+AC82+P82+AE82+AG82+AH82+AI82+AJ82</f>
        <v>9081.5865384615372</v>
      </c>
      <c r="AL82" s="17">
        <f t="shared" ref="AL82:AL87" si="191">AM82*$AN$3</f>
        <v>504</v>
      </c>
      <c r="AM82" s="946">
        <v>4800</v>
      </c>
      <c r="AN82" s="1303">
        <f>VLOOKUP(B82,'Cham cong'!$B$9:$BY$275,75,0)</f>
        <v>3000</v>
      </c>
      <c r="AO82" s="938"/>
      <c r="AP82" s="950">
        <f t="shared" ref="AP82:AP87" si="192">ROUND(AK82-AL82-AN82+AO82,-1)</f>
        <v>5580</v>
      </c>
      <c r="AQ82" s="953">
        <f>AR41+AR82+AR83</f>
        <v>28694299.999999996</v>
      </c>
      <c r="AR82" s="951">
        <f t="shared" si="56"/>
        <v>9081586.538461538</v>
      </c>
      <c r="AS82" s="953">
        <f t="shared" si="168"/>
        <v>4800000</v>
      </c>
      <c r="AT82" s="856">
        <f t="shared" si="157"/>
        <v>3000000</v>
      </c>
      <c r="AU82" s="949"/>
      <c r="AV82" s="949"/>
      <c r="AW82" s="949"/>
      <c r="AY82" s="949"/>
      <c r="BG82" s="949"/>
      <c r="BK82" s="949"/>
      <c r="BL82" s="949"/>
    </row>
    <row r="83" spans="1:64" s="857" customFormat="1">
      <c r="A83" s="895">
        <v>3</v>
      </c>
      <c r="B83" s="91" t="s">
        <v>383</v>
      </c>
      <c r="C83" s="125" t="s">
        <v>384</v>
      </c>
      <c r="D83" s="106" t="s">
        <v>51</v>
      </c>
      <c r="E83" s="896">
        <v>43115</v>
      </c>
      <c r="F83" s="897">
        <v>3</v>
      </c>
      <c r="G83" s="106">
        <f t="shared" si="187"/>
        <v>1</v>
      </c>
      <c r="H83" s="106">
        <f t="shared" si="188"/>
        <v>7</v>
      </c>
      <c r="I83" s="17">
        <f t="shared" si="189"/>
        <v>10</v>
      </c>
      <c r="J83" s="17">
        <f>VLOOKUP(D83,'THANG B.LUONG'!$B$5:$I$511,F83+1,0)</f>
        <v>7280</v>
      </c>
      <c r="K83" s="17">
        <v>200</v>
      </c>
      <c r="L83" s="17">
        <v>0</v>
      </c>
      <c r="M83" s="17">
        <f t="shared" si="190"/>
        <v>0</v>
      </c>
      <c r="N83" s="17">
        <v>0</v>
      </c>
      <c r="O83" s="17">
        <v>0</v>
      </c>
      <c r="P83" s="17">
        <v>0</v>
      </c>
      <c r="Q83" s="17">
        <v>0</v>
      </c>
      <c r="R83" s="17">
        <v>0</v>
      </c>
      <c r="S83" s="17">
        <v>0</v>
      </c>
      <c r="T83" s="17">
        <v>0</v>
      </c>
      <c r="U83" s="17">
        <v>0</v>
      </c>
      <c r="V83" s="927">
        <f t="shared" ref="V83:V87" si="193">SUM(J83:U83)-P83</f>
        <v>7480</v>
      </c>
      <c r="W83" s="928">
        <f>VLOOKUP(B83,'Cham cong'!$B$9:$BY$275,35,0)</f>
        <v>27</v>
      </c>
      <c r="X83" s="17">
        <f>VLOOKUP(B83,'Cham cong'!$B$9:$BY$275,37,0)</f>
        <v>0</v>
      </c>
      <c r="Y83" s="17">
        <f>VLOOKUP(B83,'Cham cong'!$B$9:$BY$275,38,0)</f>
        <v>1</v>
      </c>
      <c r="Z83" s="17">
        <f>VLOOKUP(B83,'Cham cong'!$B$9:$BY$275,72,0)</f>
        <v>8.5</v>
      </c>
      <c r="AA83" s="17">
        <f>VLOOKUP(B83,'Cham cong'!$B$9:$BY$275,71,0)</f>
        <v>41</v>
      </c>
      <c r="AB83" s="17">
        <f>VLOOKUP(B83,'Cham cong'!$B$9:$BY$275,36,0)</f>
        <v>0</v>
      </c>
      <c r="AC83" s="17"/>
      <c r="AD83" s="17"/>
      <c r="AE83" s="17"/>
      <c r="AF83" s="17"/>
      <c r="AG83" s="17"/>
      <c r="AH83" s="17"/>
      <c r="AI83" s="17"/>
      <c r="AJ83" s="17"/>
      <c r="AK83" s="927">
        <f>V83/'Cham cong'!$AS$3*(W83+Z83/8*2+AA83/8*1.5+AB83*3)+J83/'Cham cong'!$AS$3*(X83+Y83)+AC83+P83+AE83+AG83+AH83+AI83+AJ83</f>
        <v>10870.673076923076</v>
      </c>
      <c r="AL83" s="17">
        <f t="shared" si="191"/>
        <v>504</v>
      </c>
      <c r="AM83" s="17">
        <v>4800</v>
      </c>
      <c r="AN83" s="1303">
        <f>VLOOKUP(B83,'Cham cong'!$B$9:$BY$275,75,0)</f>
        <v>3000</v>
      </c>
      <c r="AO83" s="938"/>
      <c r="AP83" s="950">
        <f t="shared" si="192"/>
        <v>7370</v>
      </c>
      <c r="AR83" s="951">
        <f t="shared" si="56"/>
        <v>10870673.076923076</v>
      </c>
      <c r="AS83" s="953">
        <f t="shared" si="168"/>
        <v>4800000</v>
      </c>
      <c r="AT83" s="856">
        <f t="shared" si="157"/>
        <v>3000000</v>
      </c>
      <c r="AU83" s="952"/>
      <c r="AV83" s="952"/>
      <c r="AW83" s="952"/>
      <c r="AY83" s="952"/>
      <c r="BG83" s="952"/>
      <c r="BK83" s="952"/>
      <c r="BL83" s="952"/>
    </row>
    <row r="84" spans="1:64" s="1314" customFormat="1">
      <c r="A84" s="1291">
        <v>4</v>
      </c>
      <c r="B84" s="1292" t="s">
        <v>385</v>
      </c>
      <c r="C84" s="1356" t="s">
        <v>386</v>
      </c>
      <c r="D84" s="1311" t="str">
        <f>'THANG B.LUONG'!B224</f>
        <v>Thủ kho</v>
      </c>
      <c r="E84" s="1312">
        <v>43383</v>
      </c>
      <c r="F84" s="1313">
        <v>3</v>
      </c>
      <c r="G84" s="1311">
        <f t="shared" si="187"/>
        <v>0</v>
      </c>
      <c r="H84" s="1311">
        <f t="shared" si="188"/>
        <v>10</v>
      </c>
      <c r="I84" s="1300">
        <f t="shared" si="189"/>
        <v>15</v>
      </c>
      <c r="J84" s="1300">
        <f>VLOOKUP(D84,'THANG B.LUONG'!$B$5:$I$511,F84+1,0)</f>
        <v>8480</v>
      </c>
      <c r="K84" s="1300">
        <v>200</v>
      </c>
      <c r="L84" s="1300">
        <v>0</v>
      </c>
      <c r="M84" s="1300">
        <f t="shared" si="190"/>
        <v>0</v>
      </c>
      <c r="N84" s="1300">
        <v>0</v>
      </c>
      <c r="O84" s="1300">
        <v>0</v>
      </c>
      <c r="P84" s="1300">
        <v>0</v>
      </c>
      <c r="Q84" s="1300">
        <v>0</v>
      </c>
      <c r="R84" s="1300">
        <v>0</v>
      </c>
      <c r="S84" s="1300">
        <v>0</v>
      </c>
      <c r="T84" s="1300">
        <v>0</v>
      </c>
      <c r="U84" s="1300">
        <v>0</v>
      </c>
      <c r="V84" s="1300">
        <f t="shared" si="193"/>
        <v>8680</v>
      </c>
      <c r="W84" s="1299">
        <f>VLOOKUP(B84,'Cham cong'!$B$9:$BY$275,35,0)</f>
        <v>26</v>
      </c>
      <c r="X84" s="1300">
        <f>VLOOKUP(B84,'Cham cong'!$B$9:$BY$275,37,0)</f>
        <v>0</v>
      </c>
      <c r="Y84" s="1300">
        <f>VLOOKUP(B84,'Cham cong'!$B$9:$BY$275,38,0)</f>
        <v>1</v>
      </c>
      <c r="Z84" s="1300">
        <f>VLOOKUP(B84,'Cham cong'!$B$9:$BY$275,72,0)</f>
        <v>0</v>
      </c>
      <c r="AA84" s="1300">
        <f>VLOOKUP(B84,'Cham cong'!$B$9:$BY$275,71,0)</f>
        <v>72.650000000000006</v>
      </c>
      <c r="AB84" s="1300">
        <f>VLOOKUP(B84,'Cham cong'!$B$9:$BY$275,36,0)</f>
        <v>0</v>
      </c>
      <c r="AC84" s="1300"/>
      <c r="AD84" s="1300"/>
      <c r="AE84" s="1300"/>
      <c r="AF84" s="1300"/>
      <c r="AG84" s="1300"/>
      <c r="AH84" s="1300"/>
      <c r="AI84" s="1300"/>
      <c r="AJ84" s="1300"/>
      <c r="AK84" s="1300">
        <f>V84/'Cham cong'!$AS$3*(W84+Z84/8*2+AA84/8*1.5+AB84*3)+J84/'Cham cong'!$AS$3*(X84+Y84)+AC84+P84+AE84+AG84+AH84+AI84+AJ84</f>
        <v>13553.764423076924</v>
      </c>
      <c r="AL84" s="1300">
        <f t="shared" si="191"/>
        <v>525</v>
      </c>
      <c r="AM84" s="1300">
        <v>5000</v>
      </c>
      <c r="AN84" s="1303">
        <f>VLOOKUP(B84,'Cham cong'!$B$9:$BY$275,75,0)</f>
        <v>4000</v>
      </c>
      <c r="AO84" s="1303"/>
      <c r="AP84" s="1303">
        <f t="shared" si="192"/>
        <v>9030</v>
      </c>
      <c r="AR84" s="1306">
        <f t="shared" si="56"/>
        <v>13553764.423076924</v>
      </c>
      <c r="AS84" s="1316">
        <f t="shared" si="168"/>
        <v>5000000</v>
      </c>
      <c r="AU84" s="1318"/>
      <c r="AV84" s="1318"/>
      <c r="AW84" s="1318"/>
      <c r="AY84" s="1318"/>
      <c r="BG84" s="1318"/>
      <c r="BK84" s="1318"/>
      <c r="BL84" s="1318"/>
    </row>
    <row r="85" spans="1:64" s="856" customFormat="1" ht="12.75">
      <c r="A85" s="895">
        <v>5</v>
      </c>
      <c r="B85" s="91" t="s">
        <v>387</v>
      </c>
      <c r="C85" s="108" t="s">
        <v>388</v>
      </c>
      <c r="D85" s="106" t="str">
        <f>'THANG B.LUONG'!B224</f>
        <v>Thủ kho</v>
      </c>
      <c r="E85" s="896">
        <v>42844</v>
      </c>
      <c r="F85" s="897">
        <v>2</v>
      </c>
      <c r="G85" s="106">
        <f t="shared" si="187"/>
        <v>2</v>
      </c>
      <c r="H85" s="106">
        <f t="shared" si="188"/>
        <v>4</v>
      </c>
      <c r="I85" s="17">
        <f t="shared" si="189"/>
        <v>6</v>
      </c>
      <c r="J85" s="17">
        <f>VLOOKUP(D85,'THANG B.LUONG'!$B$5:$I$511,F85+1,0)</f>
        <v>7710</v>
      </c>
      <c r="K85" s="17">
        <v>200</v>
      </c>
      <c r="L85" s="17">
        <v>0</v>
      </c>
      <c r="M85" s="17">
        <f t="shared" si="190"/>
        <v>0</v>
      </c>
      <c r="N85" s="17">
        <v>0</v>
      </c>
      <c r="O85" s="17">
        <v>0</v>
      </c>
      <c r="P85" s="17">
        <v>0</v>
      </c>
      <c r="Q85" s="17">
        <v>0</v>
      </c>
      <c r="R85" s="17">
        <v>0</v>
      </c>
      <c r="S85" s="17">
        <v>0</v>
      </c>
      <c r="T85" s="17">
        <v>0</v>
      </c>
      <c r="U85" s="17">
        <v>0</v>
      </c>
      <c r="V85" s="927">
        <f t="shared" si="193"/>
        <v>7910</v>
      </c>
      <c r="W85" s="928">
        <f>VLOOKUP(B85,'Cham cong'!$B$9:$BY$275,35,0)</f>
        <v>26</v>
      </c>
      <c r="X85" s="17">
        <f>VLOOKUP(B85,'Cham cong'!$B$9:$BY$275,37,0)</f>
        <v>0</v>
      </c>
      <c r="Y85" s="17">
        <f>VLOOKUP(B85,'Cham cong'!$B$9:$BY$275,38,0)</f>
        <v>1</v>
      </c>
      <c r="Z85" s="17">
        <f>VLOOKUP(B85,'Cham cong'!$B$9:$BY$275,72,0)</f>
        <v>0</v>
      </c>
      <c r="AA85" s="17">
        <f>VLOOKUP(B85,'Cham cong'!$B$9:$BY$275,71,0)</f>
        <v>0</v>
      </c>
      <c r="AB85" s="17">
        <f>VLOOKUP(B85,'Cham cong'!$B$9:$BY$275,36,0)</f>
        <v>0</v>
      </c>
      <c r="AC85" s="17"/>
      <c r="AD85" s="17"/>
      <c r="AE85" s="17"/>
      <c r="AF85" s="17"/>
      <c r="AG85" s="17"/>
      <c r="AH85" s="17"/>
      <c r="AI85" s="17"/>
      <c r="AJ85" s="17"/>
      <c r="AK85" s="927">
        <f>V85/'Cham cong'!$AS$3*(W85+Z85/8*2+AA85/8*1.5+AB85*3)+J85/'Cham cong'!$AS$3*(X85+Y85)+AC85+P85+AE85+AG85+AH85+AI85+AJ85</f>
        <v>8206.538461538461</v>
      </c>
      <c r="AL85" s="17">
        <f t="shared" si="191"/>
        <v>504</v>
      </c>
      <c r="AM85" s="946">
        <v>4800</v>
      </c>
      <c r="AN85" s="1303">
        <f>VLOOKUP(B85,'Cham cong'!$B$9:$BY$275,75,0)</f>
        <v>0</v>
      </c>
      <c r="AO85" s="938"/>
      <c r="AP85" s="950">
        <f t="shared" si="192"/>
        <v>7700</v>
      </c>
      <c r="AR85" s="951">
        <f t="shared" si="56"/>
        <v>8206538.461538461</v>
      </c>
      <c r="AS85" s="953">
        <f t="shared" si="168"/>
        <v>4800000</v>
      </c>
      <c r="AT85" s="856">
        <f t="shared" ref="AT85:AT87" si="194">AN85*1000</f>
        <v>0</v>
      </c>
      <c r="AU85" s="949"/>
      <c r="AV85" s="949"/>
      <c r="AW85" s="949"/>
      <c r="AY85" s="949"/>
      <c r="BG85" s="949"/>
      <c r="BK85" s="949"/>
      <c r="BL85" s="949"/>
    </row>
    <row r="86" spans="1:64" s="860" customFormat="1">
      <c r="A86" s="895">
        <v>6</v>
      </c>
      <c r="B86" s="1255" t="s">
        <v>389</v>
      </c>
      <c r="C86" s="906" t="s">
        <v>390</v>
      </c>
      <c r="D86" s="12" t="str">
        <f>'THANG B.LUONG'!B224</f>
        <v>Thủ kho</v>
      </c>
      <c r="E86" s="908">
        <v>43083</v>
      </c>
      <c r="F86" s="909">
        <v>2</v>
      </c>
      <c r="G86" s="12">
        <f t="shared" si="187"/>
        <v>1</v>
      </c>
      <c r="H86" s="12">
        <f t="shared" si="188"/>
        <v>8</v>
      </c>
      <c r="I86" s="921">
        <f t="shared" si="189"/>
        <v>11</v>
      </c>
      <c r="J86" s="921">
        <f>VLOOKUP(D86,'THANG B.LUONG'!$B$5:$I$511,F86+1,0)</f>
        <v>7710</v>
      </c>
      <c r="K86" s="921">
        <v>200</v>
      </c>
      <c r="L86" s="921">
        <v>0</v>
      </c>
      <c r="M86" s="921">
        <f t="shared" si="190"/>
        <v>0</v>
      </c>
      <c r="N86" s="921">
        <v>0</v>
      </c>
      <c r="O86" s="921">
        <v>0</v>
      </c>
      <c r="P86" s="921">
        <v>0</v>
      </c>
      <c r="Q86" s="921">
        <v>0</v>
      </c>
      <c r="R86" s="921">
        <v>0</v>
      </c>
      <c r="S86" s="921">
        <v>0</v>
      </c>
      <c r="T86" s="921">
        <v>0</v>
      </c>
      <c r="U86" s="921">
        <v>0</v>
      </c>
      <c r="V86" s="932">
        <f t="shared" si="193"/>
        <v>7910</v>
      </c>
      <c r="W86" s="1016">
        <f>VLOOKUP(B86,'Cham cong'!$B$9:$BY$275,35,0)</f>
        <v>26</v>
      </c>
      <c r="X86" s="17">
        <f>VLOOKUP(B86,'Cham cong'!$B$9:$BY$275,37,0)</f>
        <v>0</v>
      </c>
      <c r="Y86" s="17">
        <f>VLOOKUP(B86,'Cham cong'!$B$9:$BY$275,38,0)</f>
        <v>1</v>
      </c>
      <c r="Z86" s="17">
        <f>VLOOKUP(B86,'Cham cong'!$B$9:$BY$275,72,0)</f>
        <v>8</v>
      </c>
      <c r="AA86" s="17">
        <f>VLOOKUP(B86,'Cham cong'!$B$9:$BY$275,71,0)</f>
        <v>47</v>
      </c>
      <c r="AB86" s="17">
        <f>VLOOKUP(B86,'Cham cong'!$B$9:$BY$275,36,0)</f>
        <v>0</v>
      </c>
      <c r="AC86" s="921"/>
      <c r="AD86" s="921"/>
      <c r="AE86" s="921"/>
      <c r="AF86" s="921"/>
      <c r="AG86" s="921"/>
      <c r="AH86" s="921"/>
      <c r="AI86" s="921"/>
      <c r="AJ86" s="921"/>
      <c r="AK86" s="932">
        <f>V86/'Cham cong'!$AS$3*(W86+Z86/8*2+AA86/8*1.5+AB86*3)+J86/'Cham cong'!$AS$3*(X86+Y86)+AC86+P86+AE86+AG86+AH86+AI86+AJ86</f>
        <v>11496.033653846152</v>
      </c>
      <c r="AL86" s="921">
        <f t="shared" si="191"/>
        <v>504</v>
      </c>
      <c r="AM86" s="921">
        <v>4800</v>
      </c>
      <c r="AN86" s="1303">
        <f>VLOOKUP(B86,'Cham cong'!$B$9:$BY$275,75,0)</f>
        <v>2000</v>
      </c>
      <c r="AO86" s="938"/>
      <c r="AP86" s="969">
        <f t="shared" si="192"/>
        <v>8990</v>
      </c>
      <c r="AR86" s="975">
        <f t="shared" si="56"/>
        <v>11496033.653846152</v>
      </c>
      <c r="AS86" s="1039">
        <f t="shared" si="168"/>
        <v>4800000</v>
      </c>
      <c r="AT86" s="861">
        <f t="shared" si="194"/>
        <v>2000000</v>
      </c>
      <c r="AU86" s="971"/>
      <c r="AV86" s="971"/>
      <c r="AW86" s="971"/>
      <c r="AY86" s="971"/>
      <c r="BG86" s="971"/>
      <c r="BK86" s="971"/>
      <c r="BL86" s="971"/>
    </row>
    <row r="87" spans="1:64" s="860" customFormat="1">
      <c r="A87" s="895">
        <v>7</v>
      </c>
      <c r="B87" s="1255" t="s">
        <v>391</v>
      </c>
      <c r="C87" s="906" t="s">
        <v>392</v>
      </c>
      <c r="D87" s="12" t="s">
        <v>51</v>
      </c>
      <c r="E87" s="908">
        <v>43298</v>
      </c>
      <c r="F87" s="909">
        <v>2</v>
      </c>
      <c r="G87" s="12">
        <f t="shared" si="187"/>
        <v>1</v>
      </c>
      <c r="H87" s="12">
        <f t="shared" si="188"/>
        <v>1</v>
      </c>
      <c r="I87" s="921">
        <f t="shared" si="189"/>
        <v>8</v>
      </c>
      <c r="J87" s="921">
        <f>VLOOKUP(D87,'THANG B.LUONG'!$B$5:$I$511,F87+1,0)</f>
        <v>6620</v>
      </c>
      <c r="K87" s="921">
        <v>200</v>
      </c>
      <c r="L87" s="921">
        <v>0</v>
      </c>
      <c r="M87" s="921">
        <f t="shared" si="190"/>
        <v>0</v>
      </c>
      <c r="N87" s="921">
        <v>0</v>
      </c>
      <c r="O87" s="921">
        <v>0</v>
      </c>
      <c r="P87" s="921">
        <v>0</v>
      </c>
      <c r="Q87" s="921">
        <v>0</v>
      </c>
      <c r="R87" s="921">
        <v>0</v>
      </c>
      <c r="S87" s="921">
        <v>0</v>
      </c>
      <c r="T87" s="921">
        <v>0</v>
      </c>
      <c r="U87" s="921">
        <v>0</v>
      </c>
      <c r="V87" s="932">
        <f t="shared" si="193"/>
        <v>6820</v>
      </c>
      <c r="W87" s="1016">
        <f>VLOOKUP(B87,'Cham cong'!$B$9:$BY$275,35,0)</f>
        <v>26</v>
      </c>
      <c r="X87" s="17">
        <f>VLOOKUP(B87,'Cham cong'!$B$9:$BY$275,37,0)</f>
        <v>0</v>
      </c>
      <c r="Y87" s="17">
        <f>VLOOKUP(B87,'Cham cong'!$B$9:$BY$275,38,0)</f>
        <v>1</v>
      </c>
      <c r="Z87" s="17">
        <f>VLOOKUP(B87,'Cham cong'!$B$9:$BY$275,72,0)</f>
        <v>8</v>
      </c>
      <c r="AA87" s="17">
        <f>VLOOKUP(B87,'Cham cong'!$B$9:$BY$275,71,0)</f>
        <v>36</v>
      </c>
      <c r="AB87" s="17">
        <f>VLOOKUP(B87,'Cham cong'!$B$9:$BY$275,36,0)</f>
        <v>0</v>
      </c>
      <c r="AC87" s="921"/>
      <c r="AD87" s="921"/>
      <c r="AE87" s="921"/>
      <c r="AF87" s="921"/>
      <c r="AG87" s="921"/>
      <c r="AH87" s="921"/>
      <c r="AI87" s="921"/>
      <c r="AJ87" s="921"/>
      <c r="AK87" s="932">
        <f>V87/'Cham cong'!$AS$3*(W87+Z87/8*2+AA87/8*1.5+AB87*3)+J87/'Cham cong'!$AS$3*(X87+Y87)+AC87+P87+AE87+AG87+AH87+AI87+AJ87</f>
        <v>9369.8076923076933</v>
      </c>
      <c r="AL87" s="921">
        <f t="shared" si="191"/>
        <v>504</v>
      </c>
      <c r="AM87" s="921">
        <v>4800</v>
      </c>
      <c r="AN87" s="1303">
        <f>VLOOKUP(B87,'Cham cong'!$B$9:$BY$275,75,0)</f>
        <v>3000</v>
      </c>
      <c r="AO87" s="938"/>
      <c r="AP87" s="969">
        <f t="shared" si="192"/>
        <v>5870</v>
      </c>
      <c r="AR87" s="975">
        <f t="shared" si="56"/>
        <v>9369807.6923076939</v>
      </c>
      <c r="AS87" s="1039">
        <f t="shared" si="168"/>
        <v>4800000</v>
      </c>
      <c r="AT87" s="861">
        <f t="shared" si="194"/>
        <v>3000000</v>
      </c>
      <c r="AU87" s="971"/>
      <c r="AV87" s="971"/>
      <c r="AW87" s="971"/>
      <c r="AY87" s="971"/>
      <c r="BG87" s="971"/>
      <c r="BK87" s="971"/>
      <c r="BL87" s="971"/>
    </row>
    <row r="88" spans="1:64" s="1489" customFormat="1" hidden="1">
      <c r="A88" s="1397">
        <v>7</v>
      </c>
      <c r="B88" s="580" t="s">
        <v>1307</v>
      </c>
      <c r="C88" s="1488" t="s">
        <v>1308</v>
      </c>
      <c r="D88" s="582" t="s">
        <v>51</v>
      </c>
      <c r="E88" s="915">
        <v>43699</v>
      </c>
      <c r="F88" s="916">
        <v>3</v>
      </c>
      <c r="G88" s="582">
        <f t="shared" ref="G88" si="195">DATEDIF(E88,$J$3,"y")</f>
        <v>0</v>
      </c>
      <c r="H88" s="582">
        <f t="shared" ref="H88" si="196">DATEDIF(E88,$J$3,"ym")</f>
        <v>0</v>
      </c>
      <c r="I88" s="922">
        <f t="shared" ref="I88" si="197">DATEDIF(E88,$J$3,"md")</f>
        <v>3</v>
      </c>
      <c r="J88" s="922">
        <f>VLOOKUP(D88,'THANG B.LUONG'!$B$5:$I$511,F88+1,0)</f>
        <v>7280</v>
      </c>
      <c r="K88" s="922">
        <v>200</v>
      </c>
      <c r="L88" s="922">
        <v>0</v>
      </c>
      <c r="M88" s="922">
        <f t="shared" ref="M88" si="198">IF(G88&gt;=3,J88*(0.03+(G88-3)*0.01),0)</f>
        <v>0</v>
      </c>
      <c r="N88" s="922">
        <v>0</v>
      </c>
      <c r="O88" s="922">
        <v>0</v>
      </c>
      <c r="P88" s="922">
        <v>0</v>
      </c>
      <c r="Q88" s="922">
        <v>0</v>
      </c>
      <c r="R88" s="922">
        <v>0</v>
      </c>
      <c r="S88" s="922">
        <v>0</v>
      </c>
      <c r="T88" s="922">
        <v>0</v>
      </c>
      <c r="U88" s="922">
        <v>0</v>
      </c>
      <c r="V88" s="1398">
        <f>(SUM(J88:U88)-P88)*0.85</f>
        <v>6358</v>
      </c>
      <c r="W88" s="931">
        <f>VLOOKUP(B88,'Cham cong'!$B$9:$BY$275,35,0)</f>
        <v>26</v>
      </c>
      <c r="X88" s="922">
        <f>VLOOKUP(B88,'Cham cong'!$B$9:$BY$275,37,0)</f>
        <v>0</v>
      </c>
      <c r="Y88" s="922">
        <f>VLOOKUP(B88,'Cham cong'!$B$9:$BY$275,38,0)</f>
        <v>1</v>
      </c>
      <c r="Z88" s="922">
        <f>VLOOKUP(B88,'Cham cong'!$B$9:$BY$275,72,0)</f>
        <v>0</v>
      </c>
      <c r="AA88" s="922">
        <f>VLOOKUP(B88,'Cham cong'!$B$9:$BY$275,71,0)</f>
        <v>11.7</v>
      </c>
      <c r="AB88" s="922">
        <f>VLOOKUP(B88,'Cham cong'!$B$9:$BY$275,36,0)</f>
        <v>0</v>
      </c>
      <c r="AC88" s="922"/>
      <c r="AD88" s="922"/>
      <c r="AE88" s="922"/>
      <c r="AF88" s="922"/>
      <c r="AG88" s="922"/>
      <c r="AH88" s="922"/>
      <c r="AI88" s="922"/>
      <c r="AJ88" s="922"/>
      <c r="AK88" s="1398">
        <f>V88/'Cham cong'!$AS$3*(W88+Z88/8*2+AA88/8*1.5+AB88*3)+J88/'Cham cong'!$AS$3*(X88+Y88)+AC88+P88+AE88+AG88+AH88+AI88+AJ88</f>
        <v>7174.4562500000002</v>
      </c>
      <c r="AL88" s="922">
        <f t="shared" ref="AL88" si="199">AM88*$AN$3</f>
        <v>0</v>
      </c>
      <c r="AM88" s="922">
        <v>0</v>
      </c>
      <c r="AN88" s="942">
        <f>VLOOKUP(B88,'Cham cong'!$B$9:$BY$275,75,0)</f>
        <v>0</v>
      </c>
      <c r="AO88" s="942"/>
      <c r="AP88" s="1399">
        <f t="shared" ref="AP88" si="200">ROUND(AK88-AL88-AN88+AO88,-1)</f>
        <v>7170</v>
      </c>
      <c r="AR88" s="966">
        <f t="shared" ref="AR88" si="201">AK88*1000</f>
        <v>7174456.25</v>
      </c>
      <c r="AS88" s="1045">
        <f t="shared" ref="AS88" si="202">AM88*1000</f>
        <v>0</v>
      </c>
      <c r="AT88" s="862">
        <f t="shared" ref="AT88" si="203">AN88*1000</f>
        <v>0</v>
      </c>
      <c r="AU88" s="1490"/>
      <c r="AV88" s="1490"/>
      <c r="AW88" s="1490"/>
      <c r="AY88" s="1490"/>
      <c r="BG88" s="1490"/>
      <c r="BK88" s="1490"/>
      <c r="BL88" s="1490"/>
    </row>
    <row r="89" spans="1:64" s="860" customFormat="1">
      <c r="A89" s="895">
        <v>8</v>
      </c>
      <c r="B89" s="1255" t="s">
        <v>393</v>
      </c>
      <c r="C89" s="906" t="s">
        <v>394</v>
      </c>
      <c r="D89" s="12" t="str">
        <f>'THANG B.LUONG'!B225</f>
        <v>NV Thống kê kho</v>
      </c>
      <c r="E89" s="908">
        <v>43467</v>
      </c>
      <c r="F89" s="909">
        <v>2</v>
      </c>
      <c r="G89" s="12">
        <f t="shared" ref="G89" si="204">DATEDIF(E89,$J$3,"y")</f>
        <v>0</v>
      </c>
      <c r="H89" s="12">
        <f t="shared" ref="H89" si="205">DATEDIF(E89,$J$3,"ym")</f>
        <v>7</v>
      </c>
      <c r="I89" s="921">
        <f t="shared" ref="I89" si="206">DATEDIF(E89,$J$3,"md")</f>
        <v>23</v>
      </c>
      <c r="J89" s="921">
        <f>VLOOKUP(D89,'THANG B.LUONG'!$B$5:$I$511,F89+1,0)</f>
        <v>8620</v>
      </c>
      <c r="K89" s="921">
        <v>0</v>
      </c>
      <c r="L89" s="921">
        <v>0</v>
      </c>
      <c r="M89" s="921">
        <f t="shared" ref="M89" si="207">IF(G89&gt;=3,J89*(0.03+(G89-3)*0.01),0)</f>
        <v>0</v>
      </c>
      <c r="N89" s="921">
        <v>0</v>
      </c>
      <c r="O89" s="921">
        <v>0</v>
      </c>
      <c r="P89" s="921">
        <v>0</v>
      </c>
      <c r="Q89" s="921">
        <v>0</v>
      </c>
      <c r="R89" s="921">
        <v>0</v>
      </c>
      <c r="S89" s="921">
        <v>0</v>
      </c>
      <c r="T89" s="921">
        <v>0</v>
      </c>
      <c r="U89" s="921">
        <v>0</v>
      </c>
      <c r="V89" s="932">
        <f t="shared" ref="V89" si="208">SUM(J89:U89)-P89</f>
        <v>8620</v>
      </c>
      <c r="W89" s="1016">
        <f>VLOOKUP(B89,'Cham cong'!$B$9:$BY$275,35,0)</f>
        <v>26</v>
      </c>
      <c r="X89" s="17">
        <f>VLOOKUP(B89,'Cham cong'!$B$9:$BY$275,37,0)</f>
        <v>0</v>
      </c>
      <c r="Y89" s="17">
        <f>VLOOKUP(B89,'Cham cong'!$B$9:$BY$275,38,0)</f>
        <v>1</v>
      </c>
      <c r="Z89" s="17">
        <f>VLOOKUP(B89,'Cham cong'!$B$9:$BY$275,72,0)</f>
        <v>0</v>
      </c>
      <c r="AA89" s="17">
        <f>VLOOKUP(B89,'Cham cong'!$B$9:$BY$275,71,0)</f>
        <v>0</v>
      </c>
      <c r="AB89" s="17">
        <f>VLOOKUP(B89,'Cham cong'!$B$9:$BY$275,36,0)</f>
        <v>0</v>
      </c>
      <c r="AC89" s="921"/>
      <c r="AD89" s="921"/>
      <c r="AE89" s="921"/>
      <c r="AF89" s="921"/>
      <c r="AG89" s="921"/>
      <c r="AH89" s="921"/>
      <c r="AI89" s="921"/>
      <c r="AJ89" s="921"/>
      <c r="AK89" s="932">
        <f>V89/'Cham cong'!$AS$3*(W89+Z89/8*2+AA89/8*1.5+AB89*3)+J89/'Cham cong'!$AS$3*(X89+Y89)+AC89+P89+AE89+AG89+AH89+AI89+AJ89</f>
        <v>8951.538461538461</v>
      </c>
      <c r="AL89" s="921">
        <f t="shared" ref="AL89" si="209">AM89*$AN$3</f>
        <v>504</v>
      </c>
      <c r="AM89" s="1066">
        <v>4800</v>
      </c>
      <c r="AN89" s="1303">
        <f>VLOOKUP(B89,'Cham cong'!$B$9:$BY$275,75,0)</f>
        <v>4000</v>
      </c>
      <c r="AO89" s="938"/>
      <c r="AP89" s="969">
        <f t="shared" ref="AP89" si="210">ROUND(AK89-AL89-AN89+AO89,-1)</f>
        <v>4450</v>
      </c>
      <c r="AR89" s="975">
        <f t="shared" si="56"/>
        <v>8951538.4615384601</v>
      </c>
      <c r="AS89" s="1039">
        <f t="shared" ref="AS89" si="211">AM89*1000</f>
        <v>4800000</v>
      </c>
      <c r="AT89" s="861">
        <f t="shared" ref="AT89" si="212">AN89*1000</f>
        <v>4000000</v>
      </c>
      <c r="AU89" s="971"/>
      <c r="AV89" s="971"/>
      <c r="AW89" s="971"/>
      <c r="AY89" s="971"/>
      <c r="BB89" s="972"/>
      <c r="BG89" s="971"/>
      <c r="BK89" s="971"/>
      <c r="BL89" s="971"/>
    </row>
    <row r="90" spans="1:64" s="862" customFormat="1" hidden="1">
      <c r="A90" s="1397">
        <v>9</v>
      </c>
      <c r="B90" s="580" t="s">
        <v>1287</v>
      </c>
      <c r="C90" s="1421" t="s">
        <v>1288</v>
      </c>
      <c r="D90" s="1421" t="s">
        <v>1262</v>
      </c>
      <c r="E90" s="915">
        <v>43670</v>
      </c>
      <c r="F90" s="916">
        <v>1</v>
      </c>
      <c r="G90" s="582">
        <f t="shared" ref="G90" si="213">DATEDIF(E90,$J$3,"y")</f>
        <v>0</v>
      </c>
      <c r="H90" s="582">
        <f t="shared" ref="H90" si="214">DATEDIF(E90,$J$3,"ym")</f>
        <v>1</v>
      </c>
      <c r="I90" s="922">
        <f t="shared" ref="I90" si="215">DATEDIF(E90,$J$3,"md")</f>
        <v>1</v>
      </c>
      <c r="J90" s="922">
        <v>7760</v>
      </c>
      <c r="K90" s="922">
        <v>0</v>
      </c>
      <c r="L90" s="922">
        <v>0</v>
      </c>
      <c r="M90" s="922">
        <f t="shared" ref="M90" si="216">IF(G90&gt;=3,J90*(0.03+(G90-3)*0.01),0)</f>
        <v>0</v>
      </c>
      <c r="N90" s="922">
        <v>0</v>
      </c>
      <c r="O90" s="922">
        <v>0</v>
      </c>
      <c r="P90" s="922">
        <v>0</v>
      </c>
      <c r="Q90" s="922">
        <v>0</v>
      </c>
      <c r="R90" s="922">
        <v>0</v>
      </c>
      <c r="S90" s="922">
        <v>0</v>
      </c>
      <c r="T90" s="922">
        <v>0</v>
      </c>
      <c r="U90" s="922">
        <v>0</v>
      </c>
      <c r="V90" s="1398">
        <f>(SUM(J90:U90)-P90)*0.85</f>
        <v>6596</v>
      </c>
      <c r="W90" s="931">
        <f>VLOOKUP(B90,'Cham cong'!$B$9:$BY$275,35,0)</f>
        <v>26</v>
      </c>
      <c r="X90" s="922">
        <f>VLOOKUP(B90,'Cham cong'!$B$9:$BY$275,37,0)</f>
        <v>0</v>
      </c>
      <c r="Y90" s="922">
        <f>VLOOKUP(B90,'Cham cong'!$B$9:$BY$275,38,0)</f>
        <v>1</v>
      </c>
      <c r="Z90" s="922">
        <f>VLOOKUP(B90,'Cham cong'!$B$9:$BY$275,72,0)</f>
        <v>0</v>
      </c>
      <c r="AA90" s="922">
        <f>VLOOKUP(B90,'Cham cong'!$B$9:$BY$275,71,0)</f>
        <v>2</v>
      </c>
      <c r="AB90" s="922">
        <f>VLOOKUP(B90,'Cham cong'!$B$9:$BY$275,36,0)</f>
        <v>0</v>
      </c>
      <c r="AC90" s="922"/>
      <c r="AD90" s="922"/>
      <c r="AE90" s="922"/>
      <c r="AF90" s="922"/>
      <c r="AG90" s="922"/>
      <c r="AH90" s="922"/>
      <c r="AI90" s="922"/>
      <c r="AJ90" s="922"/>
      <c r="AK90" s="1398">
        <f>V90/'Cham cong'!$AS$3*(W90+Z90/8*2+AA90/8*1.5+AB90*3)+J90/'Cham cong'!$AS$3*(X90+Y90)+AC90+P90+AE90+AG90+AH90+AI90+AJ90</f>
        <v>6989.5961538461534</v>
      </c>
      <c r="AL90" s="922">
        <f t="shared" ref="AL90" si="217">AM90*$AN$3</f>
        <v>0</v>
      </c>
      <c r="AM90" s="922">
        <v>0</v>
      </c>
      <c r="AN90" s="942">
        <f>VLOOKUP(B90,'Cham cong'!$B$9:$BY$275,75,0)</f>
        <v>3000</v>
      </c>
      <c r="AO90" s="942"/>
      <c r="AP90" s="1399">
        <f t="shared" ref="AP90" si="218">ROUND(AK90-AL90-AN90+AO90,-1)</f>
        <v>3990</v>
      </c>
      <c r="AR90" s="966">
        <f t="shared" ref="AR90" si="219">AK90*1000</f>
        <v>6989596.1538461531</v>
      </c>
      <c r="AS90" s="1045">
        <f t="shared" ref="AS90" si="220">AM90*1000</f>
        <v>0</v>
      </c>
      <c r="AT90" s="862">
        <f t="shared" ref="AT90" si="221">AN90*1000</f>
        <v>3000000</v>
      </c>
      <c r="AU90" s="1400"/>
      <c r="AV90" s="1400"/>
      <c r="AW90" s="1400"/>
      <c r="AY90" s="1400"/>
      <c r="BE90" s="862">
        <f>BA90-AP90</f>
        <v>-3990</v>
      </c>
      <c r="BG90" s="1400"/>
      <c r="BK90" s="1400"/>
      <c r="BL90" s="1400"/>
    </row>
    <row r="91" spans="1:64" s="856" customFormat="1" ht="13.9" customHeight="1">
      <c r="A91" s="895">
        <v>1</v>
      </c>
      <c r="B91" s="91" t="s">
        <v>398</v>
      </c>
      <c r="C91" s="108" t="s">
        <v>399</v>
      </c>
      <c r="D91" s="106" t="str">
        <f>'THANG B.LUONG'!B224</f>
        <v>Thủ kho</v>
      </c>
      <c r="E91" s="896">
        <v>40868</v>
      </c>
      <c r="F91" s="897">
        <v>5</v>
      </c>
      <c r="G91" s="106">
        <f>DATEDIF(E91,$J$3,"y")</f>
        <v>7</v>
      </c>
      <c r="H91" s="106">
        <f>DATEDIF(E91,$J$3,"ym")</f>
        <v>9</v>
      </c>
      <c r="I91" s="17">
        <f>DATEDIF(E91,$J$3,"md")</f>
        <v>4</v>
      </c>
      <c r="J91" s="17">
        <f>VLOOKUP(D91,'THANG B.LUONG'!$B$5:$I$511,F91+1,0)</f>
        <v>10260</v>
      </c>
      <c r="K91" s="17">
        <v>200</v>
      </c>
      <c r="L91" s="17">
        <v>0</v>
      </c>
      <c r="M91" s="17">
        <f>IF(G91&gt;=3,J91*(0.03+(G91-3)*0.01),0)</f>
        <v>718.2</v>
      </c>
      <c r="N91" s="17">
        <v>0</v>
      </c>
      <c r="O91" s="17">
        <v>0</v>
      </c>
      <c r="P91" s="17">
        <v>0</v>
      </c>
      <c r="Q91" s="17">
        <v>0</v>
      </c>
      <c r="R91" s="17">
        <v>0</v>
      </c>
      <c r="S91" s="17">
        <v>0</v>
      </c>
      <c r="T91" s="17">
        <v>0</v>
      </c>
      <c r="U91" s="921">
        <v>0</v>
      </c>
      <c r="V91" s="927">
        <f>SUM(J91:U91)-P91</f>
        <v>11178.2</v>
      </c>
      <c r="W91" s="928">
        <f>VLOOKUP(B91,'Cham cong'!$B$9:$BY$275,35,0)</f>
        <v>26</v>
      </c>
      <c r="X91" s="17">
        <f>VLOOKUP(B91,'Cham cong'!$B$9:$BY$275,37,0)</f>
        <v>0</v>
      </c>
      <c r="Y91" s="17">
        <f>VLOOKUP(B91,'Cham cong'!$B$9:$BY$275,38,0)</f>
        <v>1</v>
      </c>
      <c r="Z91" s="17">
        <f>VLOOKUP(B91,'Cham cong'!$B$9:$BY$275,72,0)</f>
        <v>0</v>
      </c>
      <c r="AA91" s="17">
        <f>VLOOKUP(B91,'Cham cong'!$B$9:$BY$275,71,0)</f>
        <v>13.5</v>
      </c>
      <c r="AB91" s="17">
        <f>VLOOKUP(B91,'Cham cong'!$B$9:$BY$275,36,0)</f>
        <v>0</v>
      </c>
      <c r="AC91" s="17"/>
      <c r="AD91" s="17"/>
      <c r="AE91" s="17"/>
      <c r="AF91" s="17"/>
      <c r="AG91" s="17"/>
      <c r="AH91" s="17"/>
      <c r="AI91" s="17"/>
      <c r="AJ91" s="17"/>
      <c r="AK91" s="927">
        <f>V91/'Cham cong'!$AS$3*(W91+Z91/8*2+AA91/8*1.5+AB91*3)+J91/'Cham cong'!$AS$3*(X91+Y91)+AC91+P91+AE91+AG91+AH91+AI91+AJ91</f>
        <v>12661.077644230771</v>
      </c>
      <c r="AL91" s="17">
        <f>AM91*$AN$3</f>
        <v>535.5</v>
      </c>
      <c r="AM91" s="940">
        <v>5100</v>
      </c>
      <c r="AN91" s="938">
        <f>VLOOKUP(B91,'Cham cong'!$B$9:$BY$275,75,0)</f>
        <v>0</v>
      </c>
      <c r="AO91" s="938"/>
      <c r="AP91" s="950">
        <f>ROUND(AK91-AL91-AN91+AO91,-1)</f>
        <v>12130</v>
      </c>
      <c r="AR91" s="951">
        <f>AK91*1000</f>
        <v>12661077.64423077</v>
      </c>
      <c r="AS91" s="953">
        <f>AM91*1000</f>
        <v>5100000</v>
      </c>
      <c r="AT91" s="856">
        <f>AN91*1000</f>
        <v>0</v>
      </c>
      <c r="AU91" s="949">
        <v>30440</v>
      </c>
      <c r="AV91" s="949"/>
      <c r="AW91" s="949"/>
      <c r="AX91" s="953">
        <f>AU91-AP91</f>
        <v>18310</v>
      </c>
      <c r="AY91" s="949"/>
      <c r="BG91" s="949"/>
      <c r="BK91" s="949"/>
      <c r="BL91" s="949"/>
    </row>
    <row r="92" spans="1:64" s="856" customFormat="1">
      <c r="A92" s="898"/>
      <c r="B92" s="95"/>
      <c r="C92" s="1387" t="s">
        <v>1278</v>
      </c>
      <c r="D92" s="96"/>
      <c r="E92" s="899"/>
      <c r="F92" s="140"/>
      <c r="G92" s="140"/>
      <c r="H92" s="140"/>
      <c r="I92" s="140"/>
      <c r="J92" s="140"/>
      <c r="K92" s="140"/>
      <c r="L92" s="140"/>
      <c r="M92" s="140"/>
      <c r="N92" s="140"/>
      <c r="O92" s="140"/>
      <c r="P92" s="140"/>
      <c r="Q92" s="140"/>
      <c r="R92" s="140"/>
      <c r="S92" s="140"/>
      <c r="T92" s="140"/>
      <c r="U92" s="140"/>
      <c r="V92" s="140"/>
      <c r="W92" s="140"/>
      <c r="X92" s="140"/>
      <c r="Y92" s="140"/>
      <c r="Z92" s="140"/>
      <c r="AA92" s="140"/>
      <c r="AB92" s="140"/>
      <c r="AC92" s="140"/>
      <c r="AD92" s="140"/>
      <c r="AE92" s="140"/>
      <c r="AF92" s="140"/>
      <c r="AG92" s="140"/>
      <c r="AH92" s="140"/>
      <c r="AI92" s="140"/>
      <c r="AJ92" s="140"/>
      <c r="AK92" s="937">
        <f>SUM(AK93:AK95)</f>
        <v>26783.614374999997</v>
      </c>
      <c r="AL92" s="937">
        <f t="shared" ref="AL92:AO92" si="222">SUM(AL93:AL95)</f>
        <v>1008</v>
      </c>
      <c r="AM92" s="937">
        <f t="shared" si="222"/>
        <v>9600</v>
      </c>
      <c r="AN92" s="937">
        <f t="shared" si="222"/>
        <v>10000</v>
      </c>
      <c r="AO92" s="937">
        <f t="shared" si="222"/>
        <v>0</v>
      </c>
      <c r="AP92" s="937">
        <f>SUM(AP93:AP95)</f>
        <v>15780</v>
      </c>
      <c r="AQ92" s="937">
        <f t="shared" ref="AQ92:BI92" si="223">SUM(AQ93:AQ95)</f>
        <v>0</v>
      </c>
      <c r="AR92" s="937">
        <f t="shared" si="223"/>
        <v>26783614.375</v>
      </c>
      <c r="AS92" s="937">
        <f t="shared" si="223"/>
        <v>9600000</v>
      </c>
      <c r="AT92" s="937">
        <f t="shared" si="223"/>
        <v>10000000</v>
      </c>
      <c r="AU92" s="937">
        <f t="shared" si="223"/>
        <v>2000</v>
      </c>
      <c r="AV92" s="937">
        <f t="shared" si="223"/>
        <v>0</v>
      </c>
      <c r="AW92" s="937">
        <f t="shared" si="223"/>
        <v>0</v>
      </c>
      <c r="AX92" s="937">
        <f t="shared" si="223"/>
        <v>0</v>
      </c>
      <c r="AY92" s="937">
        <f t="shared" si="223"/>
        <v>0</v>
      </c>
      <c r="AZ92" s="937">
        <f t="shared" si="223"/>
        <v>0</v>
      </c>
      <c r="BA92" s="937">
        <f t="shared" si="223"/>
        <v>0</v>
      </c>
      <c r="BB92" s="937">
        <f t="shared" si="223"/>
        <v>0</v>
      </c>
      <c r="BC92" s="937">
        <f t="shared" si="223"/>
        <v>0</v>
      </c>
      <c r="BD92" s="937">
        <f t="shared" si="223"/>
        <v>0</v>
      </c>
      <c r="BE92" s="937">
        <f t="shared" si="223"/>
        <v>0</v>
      </c>
      <c r="BF92" s="937">
        <f t="shared" si="223"/>
        <v>0</v>
      </c>
      <c r="BG92" s="937">
        <f t="shared" si="223"/>
        <v>0</v>
      </c>
      <c r="BH92" s="937">
        <f t="shared" si="223"/>
        <v>0</v>
      </c>
      <c r="BI92" s="937">
        <f t="shared" si="223"/>
        <v>0</v>
      </c>
      <c r="BK92" s="949"/>
      <c r="BL92" s="949"/>
    </row>
    <row r="93" spans="1:64" s="856" customFormat="1" ht="13.5" customHeight="1">
      <c r="A93" s="901">
        <v>2</v>
      </c>
      <c r="B93" s="101" t="s">
        <v>400</v>
      </c>
      <c r="C93" s="102" t="s">
        <v>401</v>
      </c>
      <c r="D93" s="103" t="s">
        <v>35</v>
      </c>
      <c r="E93" s="902">
        <v>42064</v>
      </c>
      <c r="F93" s="903">
        <v>4</v>
      </c>
      <c r="G93" s="103">
        <f>DATEDIF(E93,$J$3,"y")</f>
        <v>4</v>
      </c>
      <c r="H93" s="103">
        <f>DATEDIF(E93,$J$3,"ym")</f>
        <v>5</v>
      </c>
      <c r="I93" s="919">
        <f>DATEDIF(E93,$J$3,"md")</f>
        <v>24</v>
      </c>
      <c r="J93" s="919">
        <f>VLOOKUP(D93,'THANG B.LUONG'!$B$5:$I$511,F93+1,0)</f>
        <v>6960</v>
      </c>
      <c r="K93" s="919">
        <v>0</v>
      </c>
      <c r="L93" s="919">
        <v>0</v>
      </c>
      <c r="M93" s="919">
        <f t="shared" ref="M93:M94" si="224">IF(G93&gt;=3,J93*(0.03+(G93-3)*0.01),0)</f>
        <v>278.40000000000003</v>
      </c>
      <c r="N93" s="919">
        <v>0</v>
      </c>
      <c r="O93" s="919">
        <v>0</v>
      </c>
      <c r="P93" s="919">
        <v>0</v>
      </c>
      <c r="Q93" s="919">
        <v>0</v>
      </c>
      <c r="R93" s="919">
        <v>0</v>
      </c>
      <c r="S93" s="919">
        <v>0</v>
      </c>
      <c r="T93" s="919">
        <v>0</v>
      </c>
      <c r="U93" s="919">
        <v>3000</v>
      </c>
      <c r="V93" s="929">
        <f t="shared" ref="V93:V94" si="225">SUM(J93:U93)-P93</f>
        <v>10238.4</v>
      </c>
      <c r="W93" s="1017">
        <f>VLOOKUP(B93,'Cham cong'!$B$9:$BY$275,35,0)</f>
        <v>26</v>
      </c>
      <c r="X93" s="919">
        <f>VLOOKUP(B93,'Cham cong'!$B$9:$BY$275,37,0)</f>
        <v>0</v>
      </c>
      <c r="Y93" s="919">
        <f>VLOOKUP(B93,'Cham cong'!$B$9:$BY$275,38,0)</f>
        <v>1</v>
      </c>
      <c r="Z93" s="919">
        <f>VLOOKUP(B93,'Cham cong'!$B$9:$BY$275,72,0)</f>
        <v>0</v>
      </c>
      <c r="AA93" s="919">
        <f>VLOOKUP(B93,'Cham cong'!$B$9:$BY$275,71,0)</f>
        <v>0</v>
      </c>
      <c r="AB93" s="919">
        <f>VLOOKUP(B93,'Cham cong'!$B$9:$BY$275,36,0)</f>
        <v>0</v>
      </c>
      <c r="AC93" s="919"/>
      <c r="AD93" s="919"/>
      <c r="AE93" s="919"/>
      <c r="AF93" s="919"/>
      <c r="AG93" s="919"/>
      <c r="AH93" s="919"/>
      <c r="AI93" s="919"/>
      <c r="AJ93" s="919"/>
      <c r="AK93" s="929">
        <f>V93/'Cham cong'!$AT$3*(W93+Z93/8*2+AA93/8*1.5+AB93*3)+J93/'Cham cong'!$AT$3*(X93+Y93)+AC93+P93+AE93+AG93+AH93+AI93+AJ93</f>
        <v>9105.2799999999988</v>
      </c>
      <c r="AL93" s="919">
        <f>AM93*$AN$3</f>
        <v>504</v>
      </c>
      <c r="AM93" s="919">
        <v>4800</v>
      </c>
      <c r="AN93" s="939">
        <f>VLOOKUP(B93,'Cham cong'!$B$9:$BY$275,75,0)</f>
        <v>5000</v>
      </c>
      <c r="AO93" s="939"/>
      <c r="AP93" s="956">
        <f t="shared" ref="AP93:AP94" si="226">ROUND(AK93-AL93-AN93+AO93,-1)</f>
        <v>3600</v>
      </c>
      <c r="AR93" s="951">
        <f t="shared" ref="AR93:AR109" si="227">AK93*1000</f>
        <v>9105279.9999999981</v>
      </c>
      <c r="AS93" s="953">
        <f t="shared" ref="AS93:AS110" si="228">AM93*1000</f>
        <v>4800000</v>
      </c>
      <c r="AT93" s="856">
        <f t="shared" ref="AT93:AT110" si="229">AN93*1000</f>
        <v>5000000</v>
      </c>
      <c r="AU93" s="949">
        <v>2000</v>
      </c>
      <c r="AV93" s="949"/>
      <c r="AW93" s="949"/>
      <c r="AY93" s="949"/>
      <c r="BG93" s="949"/>
      <c r="BK93" s="949"/>
      <c r="BL93" s="949"/>
    </row>
    <row r="94" spans="1:64" s="856" customFormat="1" ht="13.5" customHeight="1">
      <c r="A94" s="901">
        <v>3</v>
      </c>
      <c r="B94" s="101" t="s">
        <v>402</v>
      </c>
      <c r="C94" s="102" t="s">
        <v>403</v>
      </c>
      <c r="D94" s="103" t="s">
        <v>35</v>
      </c>
      <c r="E94" s="902">
        <v>42618</v>
      </c>
      <c r="F94" s="903">
        <v>4</v>
      </c>
      <c r="G94" s="103">
        <f>DATEDIF(E94,$J$3,"y")</f>
        <v>2</v>
      </c>
      <c r="H94" s="103">
        <f>DATEDIF(E94,$J$3,"ym")</f>
        <v>11</v>
      </c>
      <c r="I94" s="919">
        <f>DATEDIF(E94,$J$3,"md")</f>
        <v>20</v>
      </c>
      <c r="J94" s="919">
        <f>VLOOKUP(D94,'THANG B.LUONG'!$B$5:$I$511,F94+1,0)</f>
        <v>6960</v>
      </c>
      <c r="K94" s="919">
        <v>0</v>
      </c>
      <c r="L94" s="919">
        <v>0</v>
      </c>
      <c r="M94" s="919">
        <f t="shared" si="224"/>
        <v>0</v>
      </c>
      <c r="N94" s="919">
        <v>0</v>
      </c>
      <c r="O94" s="919">
        <v>0</v>
      </c>
      <c r="P94" s="919">
        <v>0</v>
      </c>
      <c r="Q94" s="919">
        <v>0</v>
      </c>
      <c r="R94" s="919">
        <v>0</v>
      </c>
      <c r="S94" s="919">
        <v>0</v>
      </c>
      <c r="T94" s="919">
        <v>0</v>
      </c>
      <c r="U94" s="919">
        <v>2000</v>
      </c>
      <c r="V94" s="929">
        <f t="shared" si="225"/>
        <v>8960</v>
      </c>
      <c r="W94" s="1017">
        <f>VLOOKUP(B94,'Cham cong'!$B$9:$BY$275,35,0)</f>
        <v>30</v>
      </c>
      <c r="X94" s="919">
        <f>VLOOKUP(B94,'Cham cong'!$B$9:$BY$275,37,0)</f>
        <v>0</v>
      </c>
      <c r="Y94" s="919">
        <f>VLOOKUP(B94,'Cham cong'!$B$9:$BY$275,38,0)</f>
        <v>1</v>
      </c>
      <c r="Z94" s="919">
        <f>VLOOKUP(B94,'Cham cong'!$B$9:$BY$275,72,0)</f>
        <v>0</v>
      </c>
      <c r="AA94" s="919">
        <f>VLOOKUP(B94,'Cham cong'!$B$9:$BY$275,71,0)</f>
        <v>0</v>
      </c>
      <c r="AB94" s="919">
        <f>VLOOKUP(B94,'Cham cong'!$B$9:$BY$275,36,0)</f>
        <v>0</v>
      </c>
      <c r="AC94" s="919"/>
      <c r="AD94" s="919"/>
      <c r="AE94" s="919"/>
      <c r="AF94" s="919"/>
      <c r="AG94" s="919"/>
      <c r="AH94" s="1023"/>
      <c r="AI94" s="919"/>
      <c r="AJ94" s="919"/>
      <c r="AK94" s="929">
        <f>V94/'Cham cong'!$AT$3*(W94+Z94/8*2+AA94/8*1.5+AB94*3)+J94/'Cham cong'!$AT$3*(X94+Y94)+AC94+P94+AE94+AG94+AH94+AI94+AJ94</f>
        <v>9192</v>
      </c>
      <c r="AL94" s="919">
        <f>AM94*$AN$3</f>
        <v>504</v>
      </c>
      <c r="AM94" s="919">
        <v>4800</v>
      </c>
      <c r="AN94" s="939">
        <f>VLOOKUP(B94,'Cham cong'!$B$9:$BY$275,75,0)</f>
        <v>3000</v>
      </c>
      <c r="AO94" s="939"/>
      <c r="AP94" s="956">
        <f t="shared" si="226"/>
        <v>5690</v>
      </c>
      <c r="AR94" s="951">
        <f t="shared" si="227"/>
        <v>9192000</v>
      </c>
      <c r="AS94" s="953">
        <f t="shared" si="228"/>
        <v>4800000</v>
      </c>
      <c r="AT94" s="856">
        <f t="shared" si="229"/>
        <v>3000000</v>
      </c>
      <c r="AU94" s="949"/>
      <c r="AV94" s="949"/>
      <c r="AW94" s="949"/>
      <c r="AY94" s="949"/>
      <c r="BG94" s="949"/>
      <c r="BK94" s="949"/>
      <c r="BL94" s="949"/>
    </row>
    <row r="95" spans="1:64" s="862" customFormat="1" ht="13.5" hidden="1" customHeight="1">
      <c r="A95" s="1410">
        <v>3</v>
      </c>
      <c r="B95" s="1411" t="s">
        <v>1285</v>
      </c>
      <c r="C95" s="1412" t="s">
        <v>1286</v>
      </c>
      <c r="D95" s="1413" t="s">
        <v>35</v>
      </c>
      <c r="E95" s="1414">
        <v>43647</v>
      </c>
      <c r="F95" s="1415">
        <v>3</v>
      </c>
      <c r="G95" s="1413">
        <f>DATEDIF(E95,$J$3,"y")</f>
        <v>0</v>
      </c>
      <c r="H95" s="1413">
        <f>DATEDIF(E95,$J$3,"ym")</f>
        <v>1</v>
      </c>
      <c r="I95" s="1416">
        <f>DATEDIF(E95,$J$3,"md")</f>
        <v>24</v>
      </c>
      <c r="J95" s="1416">
        <f>VLOOKUP(D95,'THANG B.LUONG'!$B$5:$I$511,F95+1,0)</f>
        <v>6330</v>
      </c>
      <c r="K95" s="1416">
        <v>0</v>
      </c>
      <c r="L95" s="1416">
        <v>0</v>
      </c>
      <c r="M95" s="1416">
        <f t="shared" ref="M95" si="230">IF(G95&gt;=3,J95*(0.03+(G95-3)*0.01),0)</f>
        <v>0</v>
      </c>
      <c r="N95" s="1416">
        <v>0</v>
      </c>
      <c r="O95" s="1416">
        <v>0</v>
      </c>
      <c r="P95" s="1416">
        <v>0</v>
      </c>
      <c r="Q95" s="1416">
        <v>0</v>
      </c>
      <c r="R95" s="1416">
        <v>0</v>
      </c>
      <c r="S95" s="1416">
        <v>0</v>
      </c>
      <c r="T95" s="1416">
        <v>0</v>
      </c>
      <c r="U95" s="1416">
        <v>2000</v>
      </c>
      <c r="V95" s="1417">
        <f>(SUM(J95:U95)-P95)*0.85</f>
        <v>7080.5</v>
      </c>
      <c r="W95" s="1418">
        <f>VLOOKUP(B95,'Cham cong'!$B$9:$BY$275,35,0)</f>
        <v>30</v>
      </c>
      <c r="X95" s="1416">
        <f>VLOOKUP(B95,'Cham cong'!$B$9:$BY$275,37,0)</f>
        <v>0</v>
      </c>
      <c r="Y95" s="1416">
        <f>VLOOKUP(B95,'Cham cong'!$B$9:$BY$275,38,0)</f>
        <v>1</v>
      </c>
      <c r="Z95" s="1416">
        <f>VLOOKUP(B95,'Cham cong'!$B$9:$BY$275,72,0)</f>
        <v>0</v>
      </c>
      <c r="AA95" s="1416">
        <f>VLOOKUP(B95,'Cham cong'!$B$9:$BY$275,71,0)</f>
        <v>27</v>
      </c>
      <c r="AB95" s="1416">
        <f>VLOOKUP(B95,'Cham cong'!$B$9:$BY$275,36,0)</f>
        <v>0</v>
      </c>
      <c r="AC95" s="1416"/>
      <c r="AD95" s="1416"/>
      <c r="AE95" s="1416"/>
      <c r="AF95" s="1416"/>
      <c r="AG95" s="1416"/>
      <c r="AH95" s="1416"/>
      <c r="AI95" s="1416"/>
      <c r="AJ95" s="1416"/>
      <c r="AK95" s="1417">
        <f>V95/'Cham cong'!$AT$3*(W95+Z95/8*2+AA95/8*1.5+AB95*3)+J95/'Cham cong'!$AT$3*(X95+Y95)+AC95+P95+AE95+AG95+AH95+AI95+AJ95</f>
        <v>8486.3343750000004</v>
      </c>
      <c r="AL95" s="1416">
        <f>AM95*$AN$3</f>
        <v>0</v>
      </c>
      <c r="AM95" s="1416">
        <v>0</v>
      </c>
      <c r="AN95" s="1419">
        <f>VLOOKUP(B95,'Cham cong'!$B$9:$BY$275,75,0)</f>
        <v>2000</v>
      </c>
      <c r="AO95" s="1419"/>
      <c r="AP95" s="1420">
        <f t="shared" ref="AP95" si="231">ROUND(AK95-AL95-AN95+AO95,-1)</f>
        <v>6490</v>
      </c>
      <c r="AR95" s="966">
        <f t="shared" ref="AR95" si="232">AK95*1000</f>
        <v>8486334.375</v>
      </c>
      <c r="AS95" s="1045">
        <f t="shared" ref="AS95" si="233">AM95*1000</f>
        <v>0</v>
      </c>
      <c r="AT95" s="862">
        <f t="shared" ref="AT95" si="234">AN95*1000</f>
        <v>2000000</v>
      </c>
      <c r="AU95" s="1400"/>
      <c r="AV95" s="1400"/>
      <c r="AW95" s="1400"/>
      <c r="AY95" s="1400"/>
      <c r="BG95" s="1400"/>
      <c r="BK95" s="1400"/>
      <c r="BL95" s="1400"/>
    </row>
    <row r="96" spans="1:64" s="856" customFormat="1">
      <c r="A96" s="898"/>
      <c r="B96" s="95"/>
      <c r="C96" s="96" t="s">
        <v>404</v>
      </c>
      <c r="D96" s="96"/>
      <c r="E96" s="899"/>
      <c r="F96" s="140"/>
      <c r="G96" s="140"/>
      <c r="H96" s="140"/>
      <c r="I96" s="140"/>
      <c r="J96" s="140"/>
      <c r="K96" s="140"/>
      <c r="L96" s="140"/>
      <c r="M96" s="140"/>
      <c r="N96" s="140"/>
      <c r="O96" s="140"/>
      <c r="P96" s="140"/>
      <c r="Q96" s="140"/>
      <c r="R96" s="140"/>
      <c r="S96" s="140"/>
      <c r="T96" s="140"/>
      <c r="U96" s="140"/>
      <c r="V96" s="140"/>
      <c r="W96" s="140"/>
      <c r="X96" s="140"/>
      <c r="Y96" s="140"/>
      <c r="Z96" s="140"/>
      <c r="AA96" s="140"/>
      <c r="AB96" s="140"/>
      <c r="AC96" s="140"/>
      <c r="AD96" s="140"/>
      <c r="AE96" s="140"/>
      <c r="AF96" s="140"/>
      <c r="AG96" s="140"/>
      <c r="AH96" s="140"/>
      <c r="AI96" s="140"/>
      <c r="AJ96" s="140"/>
      <c r="AK96" s="937">
        <f>SUM(AK97:AK106)</f>
        <v>113953.43076923076</v>
      </c>
      <c r="AL96" s="937">
        <f t="shared" ref="AL96:AO96" si="235">SUM(AL97:AL106)</f>
        <v>4124.085</v>
      </c>
      <c r="AM96" s="937">
        <f t="shared" si="235"/>
        <v>39277</v>
      </c>
      <c r="AN96" s="937">
        <f t="shared" si="235"/>
        <v>30000</v>
      </c>
      <c r="AO96" s="937">
        <f t="shared" si="235"/>
        <v>0</v>
      </c>
      <c r="AP96" s="937">
        <f>SUM(AP97:AP106)</f>
        <v>79830</v>
      </c>
      <c r="AR96" s="1037">
        <f t="shared" si="227"/>
        <v>113953430.76923077</v>
      </c>
      <c r="AS96" s="953">
        <f t="shared" si="228"/>
        <v>39277000</v>
      </c>
      <c r="AT96" s="1038">
        <f t="shared" si="229"/>
        <v>30000000</v>
      </c>
      <c r="AU96" s="949"/>
      <c r="AV96" s="949"/>
      <c r="AW96" s="949"/>
      <c r="AY96" s="949"/>
      <c r="BG96" s="949"/>
      <c r="BK96" s="949"/>
      <c r="BL96" s="949"/>
    </row>
    <row r="97" spans="1:64" s="857" customFormat="1">
      <c r="A97" s="985">
        <v>2</v>
      </c>
      <c r="B97" s="1259" t="s">
        <v>405</v>
      </c>
      <c r="C97" s="986" t="s">
        <v>406</v>
      </c>
      <c r="D97" s="987" t="str">
        <f>'THANG B.LUONG'!B179</f>
        <v>Trưởng BP bảo trì</v>
      </c>
      <c r="E97" s="886">
        <v>41611</v>
      </c>
      <c r="F97" s="988">
        <v>3</v>
      </c>
      <c r="G97" s="987">
        <f t="shared" ref="G97:G105" si="236">DATEDIF(E97,$J$3,"y")</f>
        <v>5</v>
      </c>
      <c r="H97" s="987">
        <f t="shared" ref="H97:H105" si="237">DATEDIF(E97,$J$3,"ym")</f>
        <v>8</v>
      </c>
      <c r="I97" s="927">
        <f t="shared" ref="I97:I105" si="238">DATEDIF(E97,$J$3,"md")</f>
        <v>22</v>
      </c>
      <c r="J97" s="927">
        <f>VLOOKUP(D97,'THANG B.LUONG'!$B$5:$I$511,F97+1,0)</f>
        <v>15380</v>
      </c>
      <c r="K97" s="927">
        <v>0</v>
      </c>
      <c r="L97" s="927">
        <v>500</v>
      </c>
      <c r="M97" s="927">
        <f t="shared" ref="M97:M105" si="239">IF(G97&gt;=3,J97*(0.03+(G97-3)*0.01),0)</f>
        <v>769</v>
      </c>
      <c r="N97" s="927">
        <v>0</v>
      </c>
      <c r="O97" s="927">
        <v>200</v>
      </c>
      <c r="P97" s="927">
        <v>300</v>
      </c>
      <c r="Q97" s="927">
        <v>0</v>
      </c>
      <c r="R97" s="927">
        <v>0</v>
      </c>
      <c r="S97" s="927">
        <v>0</v>
      </c>
      <c r="T97" s="927">
        <v>0</v>
      </c>
      <c r="U97" s="927">
        <v>0</v>
      </c>
      <c r="V97" s="927">
        <f t="shared" ref="V97:V104" si="240">SUM(J97:U97)-P97</f>
        <v>16849</v>
      </c>
      <c r="W97" s="1018">
        <f>VLOOKUP(B97,'Cham cong'!$B$9:$BY$275,35,0)</f>
        <v>26</v>
      </c>
      <c r="X97" s="927">
        <f>VLOOKUP(B97,'Cham cong'!$B$9:$BY$275,37,0)</f>
        <v>0</v>
      </c>
      <c r="Y97" s="927">
        <f>VLOOKUP(B97,'Cham cong'!$B$9:$BY$275,38,0)</f>
        <v>1</v>
      </c>
      <c r="Z97" s="927">
        <f>VLOOKUP(B97,'Cham cong'!$B$9:$BY$275,72,0)</f>
        <v>8</v>
      </c>
      <c r="AA97" s="927">
        <f>VLOOKUP(B97,'Cham cong'!$B$9:$BY$275,71,0)</f>
        <v>0</v>
      </c>
      <c r="AB97" s="927">
        <f>VLOOKUP(B97,'Cham cong'!$B$9:$BY$275,36,0)</f>
        <v>0</v>
      </c>
      <c r="AC97" s="927"/>
      <c r="AD97" s="927"/>
      <c r="AE97" s="927"/>
      <c r="AF97" s="927"/>
      <c r="AG97" s="927"/>
      <c r="AH97" s="927"/>
      <c r="AI97" s="927"/>
      <c r="AJ97" s="927"/>
      <c r="AK97" s="927">
        <f>V97/'Cham cong'!$AS$3*(W97+Z97/8*2+AA97/8*1.5+AB97*3)+J97/'Cham cong'!$AS$3*(X97+Y97)+AC97+P97+AE97+AG97+AH97+AI97+AJ97</f>
        <v>19036.615384615383</v>
      </c>
      <c r="AL97" s="927">
        <f t="shared" ref="AL97:AL105" si="241">AM97*$AN$3</f>
        <v>535.5</v>
      </c>
      <c r="AM97" s="1022">
        <v>5100</v>
      </c>
      <c r="AN97" s="950">
        <f>VLOOKUP(B97,'Cham cong'!$B$9:$BY$275,75,0)</f>
        <v>3000</v>
      </c>
      <c r="AO97" s="950"/>
      <c r="AP97" s="950">
        <f t="shared" ref="AP97:AP105" si="242">ROUND(AK97-AL97-AN97+AO97,-1)</f>
        <v>15500</v>
      </c>
      <c r="AR97" s="1040">
        <f t="shared" si="227"/>
        <v>19036615.384615384</v>
      </c>
      <c r="AS97" s="953">
        <f t="shared" si="228"/>
        <v>5100000</v>
      </c>
      <c r="AT97" s="1041">
        <f t="shared" si="229"/>
        <v>3000000</v>
      </c>
      <c r="AU97" s="952"/>
      <c r="AV97" s="952"/>
      <c r="AW97" s="952"/>
      <c r="AY97" s="952"/>
      <c r="BG97" s="952"/>
      <c r="BK97" s="952"/>
      <c r="BL97" s="952"/>
    </row>
    <row r="98" spans="1:64" s="856" customFormat="1" ht="12.75">
      <c r="A98" s="895">
        <v>2</v>
      </c>
      <c r="B98" s="91" t="s">
        <v>407</v>
      </c>
      <c r="C98" s="108" t="s">
        <v>408</v>
      </c>
      <c r="D98" s="106" t="s">
        <v>409</v>
      </c>
      <c r="E98" s="896">
        <v>43441</v>
      </c>
      <c r="F98" s="897">
        <v>3</v>
      </c>
      <c r="G98" s="106">
        <f t="shared" si="236"/>
        <v>0</v>
      </c>
      <c r="H98" s="106">
        <f t="shared" si="237"/>
        <v>8</v>
      </c>
      <c r="I98" s="17">
        <f t="shared" si="238"/>
        <v>18</v>
      </c>
      <c r="J98" s="17">
        <v>13830</v>
      </c>
      <c r="K98" s="17">
        <v>0</v>
      </c>
      <c r="L98" s="17">
        <v>200</v>
      </c>
      <c r="M98" s="17">
        <f t="shared" si="239"/>
        <v>0</v>
      </c>
      <c r="N98" s="17">
        <v>0</v>
      </c>
      <c r="O98" s="17">
        <v>100</v>
      </c>
      <c r="P98" s="17">
        <v>200</v>
      </c>
      <c r="Q98" s="17">
        <v>0</v>
      </c>
      <c r="R98" s="17">
        <v>0</v>
      </c>
      <c r="S98" s="17">
        <v>0</v>
      </c>
      <c r="T98" s="17">
        <v>0</v>
      </c>
      <c r="U98" s="17">
        <v>0</v>
      </c>
      <c r="V98" s="17">
        <f t="shared" si="240"/>
        <v>14130</v>
      </c>
      <c r="W98" s="928">
        <f>VLOOKUP(B98,'Cham cong'!$B$9:$BY$275,35,0)</f>
        <v>26</v>
      </c>
      <c r="X98" s="17">
        <f>VLOOKUP(B98,'Cham cong'!$B$9:$BY$275,37,0)</f>
        <v>0</v>
      </c>
      <c r="Y98" s="17">
        <f>VLOOKUP(B98,'Cham cong'!$B$9:$BY$275,38,0)</f>
        <v>1</v>
      </c>
      <c r="Z98" s="17">
        <f>VLOOKUP(B98,'Cham cong'!$B$9:$BY$275,72,0)</f>
        <v>0</v>
      </c>
      <c r="AA98" s="17">
        <f>VLOOKUP(B98,'Cham cong'!$B$9:$BY$275,71,0)</f>
        <v>0</v>
      </c>
      <c r="AB98" s="17">
        <f>VLOOKUP(B98,'Cham cong'!$B$9:$BY$275,36,0)</f>
        <v>0</v>
      </c>
      <c r="AC98" s="17"/>
      <c r="AD98" s="17"/>
      <c r="AE98" s="17"/>
      <c r="AF98" s="17"/>
      <c r="AG98" s="17"/>
      <c r="AH98" s="17"/>
      <c r="AI98" s="17"/>
      <c r="AJ98" s="17"/>
      <c r="AK98" s="927">
        <f>V98/'Cham cong'!$AS$3*(W98+Z98/8*2+AA98/8*1.5+AB98*3)+J98/'Cham cong'!$AS$3*(X98+Y98)+AC98+P98+AE98+AG98+AH98+AI98+AJ98</f>
        <v>14861.923076923076</v>
      </c>
      <c r="AL98" s="17">
        <f t="shared" si="241"/>
        <v>525</v>
      </c>
      <c r="AM98" s="946">
        <v>5000</v>
      </c>
      <c r="AN98" s="938">
        <f>VLOOKUP(B98,'Cham cong'!$B$9:$BY$275,75,0)</f>
        <v>4000</v>
      </c>
      <c r="AO98" s="938"/>
      <c r="AP98" s="950">
        <f t="shared" si="242"/>
        <v>10340</v>
      </c>
      <c r="AR98" s="974">
        <f t="shared" si="227"/>
        <v>14861923.076923076</v>
      </c>
      <c r="AS98" s="953">
        <f t="shared" si="228"/>
        <v>5000000</v>
      </c>
      <c r="AT98" s="1036">
        <f t="shared" si="229"/>
        <v>4000000</v>
      </c>
      <c r="AU98" s="949"/>
      <c r="AV98" s="949"/>
      <c r="AW98" s="949"/>
      <c r="AY98" s="949"/>
      <c r="BG98" s="949"/>
      <c r="BK98" s="949"/>
      <c r="BL98" s="949"/>
    </row>
    <row r="99" spans="1:64" s="856" customFormat="1" ht="13.5" customHeight="1">
      <c r="A99" s="895">
        <v>3</v>
      </c>
      <c r="B99" s="91" t="s">
        <v>410</v>
      </c>
      <c r="C99" s="108" t="s">
        <v>411</v>
      </c>
      <c r="D99" s="106" t="str">
        <f>'THANG B.LUONG'!B182</f>
        <v>Tổ trưởng cơ khí - xe cơ giới</v>
      </c>
      <c r="E99" s="896">
        <v>42201</v>
      </c>
      <c r="F99" s="897">
        <v>1</v>
      </c>
      <c r="G99" s="106">
        <f t="shared" si="236"/>
        <v>4</v>
      </c>
      <c r="H99" s="106">
        <f t="shared" si="237"/>
        <v>1</v>
      </c>
      <c r="I99" s="17">
        <f t="shared" si="238"/>
        <v>9</v>
      </c>
      <c r="J99" s="17">
        <f>VLOOKUP(D99,'THANG B.LUONG'!$B$5:$I$511,F99+1,0)</f>
        <v>9850</v>
      </c>
      <c r="K99" s="17">
        <v>0</v>
      </c>
      <c r="L99" s="17">
        <v>200</v>
      </c>
      <c r="M99" s="17">
        <f t="shared" si="239"/>
        <v>394</v>
      </c>
      <c r="N99" s="17">
        <v>0</v>
      </c>
      <c r="O99" s="17">
        <v>100</v>
      </c>
      <c r="P99" s="17">
        <v>200</v>
      </c>
      <c r="Q99" s="17">
        <v>0</v>
      </c>
      <c r="R99" s="17">
        <v>0</v>
      </c>
      <c r="S99" s="17">
        <v>0</v>
      </c>
      <c r="T99" s="17">
        <v>0</v>
      </c>
      <c r="U99" s="17">
        <v>0</v>
      </c>
      <c r="V99" s="17">
        <f t="shared" si="240"/>
        <v>10544</v>
      </c>
      <c r="W99" s="928">
        <f>VLOOKUP(B99,'Cham cong'!$B$9:$BY$275,35,0)</f>
        <v>26</v>
      </c>
      <c r="X99" s="17">
        <f>VLOOKUP(B99,'Cham cong'!$B$9:$BY$275,37,0)</f>
        <v>0</v>
      </c>
      <c r="Y99" s="17">
        <f>VLOOKUP(B99,'Cham cong'!$B$9:$BY$275,38,0)</f>
        <v>1</v>
      </c>
      <c r="Z99" s="17">
        <f>VLOOKUP(B99,'Cham cong'!$B$9:$BY$275,72,0)</f>
        <v>8</v>
      </c>
      <c r="AA99" s="17">
        <f>VLOOKUP(B99,'Cham cong'!$B$9:$BY$275,71,0)</f>
        <v>0</v>
      </c>
      <c r="AB99" s="17">
        <f>VLOOKUP(B99,'Cham cong'!$B$9:$BY$275,36,0)</f>
        <v>0</v>
      </c>
      <c r="AC99" s="17"/>
      <c r="AD99" s="17"/>
      <c r="AE99" s="17"/>
      <c r="AF99" s="17"/>
      <c r="AG99" s="17"/>
      <c r="AH99" s="17"/>
      <c r="AI99" s="17"/>
      <c r="AJ99" s="17"/>
      <c r="AK99" s="927">
        <f>V99/'Cham cong'!$AS$3*(W99+Z99/8*2+AA99/8*1.5+AB99*3)+J99/'Cham cong'!$AS$3*(X99+Y99)+AC99+P99+AE99+AG99+AH99+AI99+AJ99</f>
        <v>11933.923076923078</v>
      </c>
      <c r="AL99" s="17">
        <f t="shared" si="241"/>
        <v>535.5</v>
      </c>
      <c r="AM99" s="940">
        <v>5100</v>
      </c>
      <c r="AN99" s="938">
        <f>VLOOKUP(B99,'Cham cong'!$B$9:$BY$275,75,0)</f>
        <v>3000</v>
      </c>
      <c r="AO99" s="938"/>
      <c r="AP99" s="950">
        <f t="shared" si="242"/>
        <v>8400</v>
      </c>
      <c r="AR99" s="974">
        <f t="shared" si="227"/>
        <v>11933923.076923078</v>
      </c>
      <c r="AS99" s="953">
        <f t="shared" si="228"/>
        <v>5100000</v>
      </c>
      <c r="AT99" s="1036">
        <f t="shared" si="229"/>
        <v>3000000</v>
      </c>
      <c r="AU99" s="949"/>
      <c r="AV99" s="949"/>
      <c r="AW99" s="949"/>
      <c r="AY99" s="949"/>
      <c r="BG99" s="949"/>
      <c r="BK99" s="949"/>
      <c r="BL99" s="949"/>
    </row>
    <row r="100" spans="1:64" s="856" customFormat="1" ht="12.75">
      <c r="A100" s="895">
        <v>4</v>
      </c>
      <c r="B100" s="91" t="s">
        <v>412</v>
      </c>
      <c r="C100" s="108" t="s">
        <v>413</v>
      </c>
      <c r="D100" s="106" t="s">
        <v>123</v>
      </c>
      <c r="E100" s="896">
        <v>42065</v>
      </c>
      <c r="F100" s="897">
        <v>2</v>
      </c>
      <c r="G100" s="106">
        <f t="shared" si="236"/>
        <v>4</v>
      </c>
      <c r="H100" s="106">
        <f t="shared" si="237"/>
        <v>5</v>
      </c>
      <c r="I100" s="17">
        <f t="shared" si="238"/>
        <v>23</v>
      </c>
      <c r="J100" s="17">
        <f>VLOOKUP(D100,'THANG B.LUONG'!$B$5:$I$511,F100+1,0)</f>
        <v>7590</v>
      </c>
      <c r="K100" s="17">
        <v>0</v>
      </c>
      <c r="L100" s="17">
        <v>0</v>
      </c>
      <c r="M100" s="17">
        <f t="shared" si="239"/>
        <v>303.60000000000002</v>
      </c>
      <c r="N100" s="17">
        <v>0</v>
      </c>
      <c r="O100" s="17">
        <v>0</v>
      </c>
      <c r="P100" s="17">
        <v>0</v>
      </c>
      <c r="Q100" s="17">
        <v>0</v>
      </c>
      <c r="R100" s="17">
        <v>0</v>
      </c>
      <c r="S100" s="17">
        <v>0</v>
      </c>
      <c r="T100" s="17">
        <v>0</v>
      </c>
      <c r="U100" s="17">
        <v>0</v>
      </c>
      <c r="V100" s="17">
        <f t="shared" si="240"/>
        <v>7893.6</v>
      </c>
      <c r="W100" s="928">
        <f>VLOOKUP(B100,'Cham cong'!$B$9:$BY$275,35,0)</f>
        <v>26</v>
      </c>
      <c r="X100" s="17">
        <f>VLOOKUP(B100,'Cham cong'!$B$9:$BY$275,37,0)</f>
        <v>0</v>
      </c>
      <c r="Y100" s="17">
        <f>VLOOKUP(B100,'Cham cong'!$B$9:$BY$275,38,0)</f>
        <v>1</v>
      </c>
      <c r="Z100" s="17">
        <f>VLOOKUP(B100,'Cham cong'!$B$9:$BY$275,72,0)</f>
        <v>8</v>
      </c>
      <c r="AA100" s="17">
        <f>VLOOKUP(B100,'Cham cong'!$B$9:$BY$275,71,0)</f>
        <v>0</v>
      </c>
      <c r="AB100" s="17">
        <f>VLOOKUP(B100,'Cham cong'!$B$9:$BY$275,36,0)</f>
        <v>0</v>
      </c>
      <c r="AC100" s="17"/>
      <c r="AD100" s="17"/>
      <c r="AE100" s="17"/>
      <c r="AF100" s="17"/>
      <c r="AG100" s="17"/>
      <c r="AH100" s="17"/>
      <c r="AI100" s="17"/>
      <c r="AJ100" s="17"/>
      <c r="AK100" s="927">
        <f>V100/'Cham cong'!$AS$3*(W100+Z100/8*2+AA100/8*1.5+AB100*3)+J100/'Cham cong'!$AS$3*(X100+Y100)+AC100+P100+AE100+AG100+AH100+AI100+AJ100</f>
        <v>8792.7230769230773</v>
      </c>
      <c r="AL100" s="17">
        <f t="shared" si="241"/>
        <v>504</v>
      </c>
      <c r="AM100" s="940">
        <v>4800</v>
      </c>
      <c r="AN100" s="938">
        <f>VLOOKUP(B100,'Cham cong'!$B$9:$BY$275,75,0)</f>
        <v>4000</v>
      </c>
      <c r="AO100" s="938"/>
      <c r="AP100" s="950">
        <f t="shared" si="242"/>
        <v>4290</v>
      </c>
      <c r="AR100" s="974">
        <f t="shared" si="227"/>
        <v>8792723.0769230779</v>
      </c>
      <c r="AS100" s="953">
        <f t="shared" si="228"/>
        <v>4800000</v>
      </c>
      <c r="AT100" s="1036">
        <f t="shared" si="229"/>
        <v>4000000</v>
      </c>
      <c r="AU100" s="949"/>
      <c r="AV100" s="949"/>
      <c r="AW100" s="949"/>
      <c r="AY100" s="949"/>
      <c r="BG100" s="949"/>
      <c r="BK100" s="949"/>
      <c r="BL100" s="949"/>
    </row>
    <row r="101" spans="1:64" s="856" customFormat="1" ht="12.75">
      <c r="A101" s="895">
        <v>5</v>
      </c>
      <c r="B101" s="91" t="s">
        <v>414</v>
      </c>
      <c r="C101" s="124" t="s">
        <v>415</v>
      </c>
      <c r="D101" s="106" t="s">
        <v>123</v>
      </c>
      <c r="E101" s="896">
        <v>41108</v>
      </c>
      <c r="F101" s="897">
        <v>2</v>
      </c>
      <c r="G101" s="106">
        <f t="shared" si="236"/>
        <v>7</v>
      </c>
      <c r="H101" s="106">
        <f t="shared" si="237"/>
        <v>1</v>
      </c>
      <c r="I101" s="17">
        <f t="shared" si="238"/>
        <v>7</v>
      </c>
      <c r="J101" s="17">
        <f>VLOOKUP(D101,'THANG B.LUONG'!$B$5:$I$511,F101+1,0)</f>
        <v>7590</v>
      </c>
      <c r="K101" s="17">
        <v>0</v>
      </c>
      <c r="L101" s="17">
        <v>0</v>
      </c>
      <c r="M101" s="17">
        <f t="shared" si="239"/>
        <v>531.30000000000007</v>
      </c>
      <c r="N101" s="17">
        <v>0</v>
      </c>
      <c r="O101" s="17">
        <v>0</v>
      </c>
      <c r="P101" s="17">
        <v>0</v>
      </c>
      <c r="Q101" s="17">
        <v>0</v>
      </c>
      <c r="R101" s="17">
        <v>0</v>
      </c>
      <c r="S101" s="17">
        <v>0</v>
      </c>
      <c r="T101" s="17">
        <v>0</v>
      </c>
      <c r="U101" s="17">
        <v>0</v>
      </c>
      <c r="V101" s="17">
        <f t="shared" si="240"/>
        <v>8121.3</v>
      </c>
      <c r="W101" s="928">
        <f>VLOOKUP(B101,'Cham cong'!$B$9:$BY$275,35,0)</f>
        <v>26</v>
      </c>
      <c r="X101" s="17">
        <f>VLOOKUP(B101,'Cham cong'!$B$9:$BY$275,37,0)</f>
        <v>0</v>
      </c>
      <c r="Y101" s="17">
        <f>VLOOKUP(B101,'Cham cong'!$B$9:$BY$275,38,0)</f>
        <v>1</v>
      </c>
      <c r="Z101" s="17">
        <f>VLOOKUP(B101,'Cham cong'!$B$9:$BY$275,72,0)</f>
        <v>8</v>
      </c>
      <c r="AA101" s="17">
        <f>VLOOKUP(B101,'Cham cong'!$B$9:$BY$275,71,0)</f>
        <v>0</v>
      </c>
      <c r="AB101" s="17">
        <f>VLOOKUP(B101,'Cham cong'!$B$9:$BY$275,36,0)</f>
        <v>0</v>
      </c>
      <c r="AC101" s="17"/>
      <c r="AD101" s="17"/>
      <c r="AE101" s="17"/>
      <c r="AF101" s="17"/>
      <c r="AG101" s="17"/>
      <c r="AH101" s="17"/>
      <c r="AI101" s="17"/>
      <c r="AJ101" s="17"/>
      <c r="AK101" s="927">
        <f>V101/'Cham cong'!$AS$3*(W101+Z101/8*2+AA101/8*1.5+AB101*3)+J101/'Cham cong'!$AS$3*(X101+Y101)+AC101+P101+AE101+AG101+AH101+AI101+AJ101</f>
        <v>9037.9384615384606</v>
      </c>
      <c r="AL101" s="17">
        <f t="shared" si="241"/>
        <v>504</v>
      </c>
      <c r="AM101" s="940">
        <v>4800</v>
      </c>
      <c r="AN101" s="938">
        <f>VLOOKUP(B101,'Cham cong'!$B$9:$BY$275,75,0)</f>
        <v>4000</v>
      </c>
      <c r="AO101" s="938"/>
      <c r="AP101" s="950">
        <f t="shared" si="242"/>
        <v>4530</v>
      </c>
      <c r="AR101" s="974">
        <f t="shared" si="227"/>
        <v>9037938.4615384601</v>
      </c>
      <c r="AS101" s="953">
        <f t="shared" si="228"/>
        <v>4800000</v>
      </c>
      <c r="AT101" s="1036">
        <f t="shared" si="229"/>
        <v>4000000</v>
      </c>
      <c r="AU101" s="949"/>
      <c r="AV101" s="949"/>
      <c r="AW101" s="949"/>
      <c r="AY101" s="949"/>
      <c r="BG101" s="949"/>
      <c r="BK101" s="949"/>
      <c r="BL101" s="949"/>
    </row>
    <row r="102" spans="1:64" s="856" customFormat="1" ht="12.75">
      <c r="A102" s="895">
        <v>5</v>
      </c>
      <c r="B102" s="91" t="s">
        <v>416</v>
      </c>
      <c r="C102" s="124" t="s">
        <v>417</v>
      </c>
      <c r="D102" s="106" t="str">
        <f>'THANG B.LUONG'!B181</f>
        <v>Nhân viên bảo trì điện - cơ điện</v>
      </c>
      <c r="E102" s="896">
        <v>43451</v>
      </c>
      <c r="F102" s="897">
        <v>3</v>
      </c>
      <c r="G102" s="106">
        <f t="shared" si="236"/>
        <v>0</v>
      </c>
      <c r="H102" s="106">
        <f t="shared" si="237"/>
        <v>8</v>
      </c>
      <c r="I102" s="17">
        <f t="shared" si="238"/>
        <v>8</v>
      </c>
      <c r="J102" s="17">
        <f>VLOOKUP(D102,'THANG B.LUONG'!$B$5:$I$511,F102+1,0)</f>
        <v>8660</v>
      </c>
      <c r="K102" s="17">
        <v>0</v>
      </c>
      <c r="L102" s="17">
        <v>0</v>
      </c>
      <c r="M102" s="17">
        <f t="shared" si="239"/>
        <v>0</v>
      </c>
      <c r="N102" s="17">
        <v>0</v>
      </c>
      <c r="O102" s="17">
        <v>0</v>
      </c>
      <c r="P102" s="17">
        <v>0</v>
      </c>
      <c r="Q102" s="17">
        <v>0</v>
      </c>
      <c r="R102" s="17">
        <v>0</v>
      </c>
      <c r="S102" s="17">
        <v>0</v>
      </c>
      <c r="T102" s="17">
        <v>0</v>
      </c>
      <c r="U102" s="17">
        <v>0</v>
      </c>
      <c r="V102" s="17">
        <f t="shared" si="240"/>
        <v>8660</v>
      </c>
      <c r="W102" s="928">
        <f>VLOOKUP(B102,'Cham cong'!$B$9:$BY$275,35,0)</f>
        <v>26</v>
      </c>
      <c r="X102" s="17">
        <f>VLOOKUP(B102,'Cham cong'!$B$9:$BY$275,37,0)</f>
        <v>0</v>
      </c>
      <c r="Y102" s="17">
        <f>VLOOKUP(B102,'Cham cong'!$B$9:$BY$275,38,0)</f>
        <v>1</v>
      </c>
      <c r="Z102" s="17">
        <f>VLOOKUP(B102,'Cham cong'!$B$9:$BY$275,72,0)</f>
        <v>8</v>
      </c>
      <c r="AA102" s="17">
        <f>VLOOKUP(B102,'Cham cong'!$B$9:$BY$275,71,0)</f>
        <v>0</v>
      </c>
      <c r="AB102" s="17">
        <f>VLOOKUP(B102,'Cham cong'!$B$9:$BY$275,36,0)</f>
        <v>0</v>
      </c>
      <c r="AC102" s="17"/>
      <c r="AD102" s="17"/>
      <c r="AE102" s="17"/>
      <c r="AF102" s="17"/>
      <c r="AG102" s="17"/>
      <c r="AH102" s="17"/>
      <c r="AI102" s="17"/>
      <c r="AJ102" s="17"/>
      <c r="AK102" s="927">
        <f>V102/'Cham cong'!$AS$3*(W102+Z102/8*2+AA102/8*1.5+AB102*3)+J102/'Cham cong'!$AS$3*(X102+Y102)+AC102+P102+AE102+AG102+AH102+AI102+AJ102</f>
        <v>9659.2307692307713</v>
      </c>
      <c r="AL102" s="17">
        <f t="shared" si="241"/>
        <v>504</v>
      </c>
      <c r="AM102" s="946">
        <v>4800</v>
      </c>
      <c r="AN102" s="938">
        <f>VLOOKUP(B102,'Cham cong'!$B$9:$BY$275,75,0)</f>
        <v>3000</v>
      </c>
      <c r="AO102" s="938"/>
      <c r="AP102" s="950">
        <f t="shared" si="242"/>
        <v>6160</v>
      </c>
      <c r="AR102" s="974">
        <f t="shared" si="227"/>
        <v>9659230.7692307718</v>
      </c>
      <c r="AS102" s="953">
        <f t="shared" si="228"/>
        <v>4800000</v>
      </c>
      <c r="AT102" s="1036">
        <f t="shared" si="229"/>
        <v>3000000</v>
      </c>
      <c r="AU102" s="949"/>
      <c r="AV102" s="949"/>
      <c r="AW102" s="949"/>
      <c r="AY102" s="949">
        <v>7940</v>
      </c>
      <c r="AZ102" s="979">
        <f>AP102-AY102</f>
        <v>-1780</v>
      </c>
      <c r="BG102" s="949"/>
      <c r="BK102" s="949"/>
      <c r="BL102" s="949"/>
    </row>
    <row r="103" spans="1:64" s="864" customFormat="1" ht="12.75">
      <c r="A103" s="989">
        <v>2</v>
      </c>
      <c r="B103" s="1260" t="s">
        <v>418</v>
      </c>
      <c r="C103" s="990" t="s">
        <v>419</v>
      </c>
      <c r="D103" s="991" t="str">
        <f>'THANG B.LUONG'!$B$103</f>
        <v>Nhân viên vận hành máy</v>
      </c>
      <c r="E103" s="992">
        <v>42419</v>
      </c>
      <c r="F103" s="993">
        <v>2</v>
      </c>
      <c r="G103" s="994">
        <f t="shared" si="236"/>
        <v>3</v>
      </c>
      <c r="H103" s="994">
        <f t="shared" si="237"/>
        <v>6</v>
      </c>
      <c r="I103" s="1013">
        <f t="shared" si="238"/>
        <v>6</v>
      </c>
      <c r="J103" s="1013">
        <f>VLOOKUP(D103,'THANG B.LUONG'!$B$5:$I$511,F103+1,0)</f>
        <v>6950</v>
      </c>
      <c r="K103" s="1013">
        <v>200</v>
      </c>
      <c r="L103" s="1013">
        <v>0</v>
      </c>
      <c r="M103" s="1013">
        <f t="shared" si="239"/>
        <v>208.5</v>
      </c>
      <c r="N103" s="1013">
        <v>0</v>
      </c>
      <c r="O103" s="1013">
        <v>0</v>
      </c>
      <c r="P103" s="1013">
        <v>0</v>
      </c>
      <c r="Q103" s="1013">
        <v>0</v>
      </c>
      <c r="R103" s="1013">
        <v>0</v>
      </c>
      <c r="S103" s="1013">
        <v>0</v>
      </c>
      <c r="T103" s="1013">
        <v>0</v>
      </c>
      <c r="U103" s="1013">
        <v>0</v>
      </c>
      <c r="V103" s="1013">
        <f t="shared" si="240"/>
        <v>7358.5</v>
      </c>
      <c r="W103" s="928">
        <f>VLOOKUP(B103,'Cham cong'!$B$9:$BY$275,35,0)</f>
        <v>26</v>
      </c>
      <c r="X103" s="17">
        <f>VLOOKUP(B103,'Cham cong'!$B$9:$BY$275,37,0)</f>
        <v>0</v>
      </c>
      <c r="Y103" s="17">
        <f>VLOOKUP(B103,'Cham cong'!$B$9:$BY$275,38,0)</f>
        <v>1</v>
      </c>
      <c r="Z103" s="17">
        <f>VLOOKUP(B103,'Cham cong'!$B$9:$BY$275,72,0)</f>
        <v>8</v>
      </c>
      <c r="AA103" s="17">
        <f>VLOOKUP(B103,'Cham cong'!$B$9:$BY$275,71,0)</f>
        <v>0</v>
      </c>
      <c r="AB103" s="17">
        <f>VLOOKUP(B103,'Cham cong'!$B$9:$BY$275,36,0)</f>
        <v>0</v>
      </c>
      <c r="AC103" s="1013"/>
      <c r="AD103" s="1013"/>
      <c r="AE103" s="1013"/>
      <c r="AF103" s="1013"/>
      <c r="AG103" s="1013"/>
      <c r="AH103" s="1013"/>
      <c r="AI103" s="1013"/>
      <c r="AJ103" s="1013"/>
      <c r="AK103" s="1024">
        <f>V103/'Cham cong'!$AS$3*(W103+Z103/8*2+AA103/8*1.5+AB103*3)+J103/'Cham cong'!$AS$3*(X103+Y103)+AC103+P103+AE103+AG103+AH103+AI103+AJ103</f>
        <v>8191.8461538461543</v>
      </c>
      <c r="AL103" s="1013">
        <f t="shared" si="241"/>
        <v>480.58499999999998</v>
      </c>
      <c r="AM103" s="940">
        <v>4577</v>
      </c>
      <c r="AN103" s="938">
        <f>VLOOKUP(B103,'Cham cong'!$B$9:$BY$275,75,0)</f>
        <v>3000</v>
      </c>
      <c r="AO103" s="938"/>
      <c r="AP103" s="1042">
        <f t="shared" si="242"/>
        <v>4710</v>
      </c>
      <c r="AR103" s="1043">
        <f t="shared" si="227"/>
        <v>8191846.153846154</v>
      </c>
      <c r="AS103" s="953">
        <f t="shared" si="228"/>
        <v>4577000</v>
      </c>
      <c r="AT103" s="864">
        <f t="shared" si="229"/>
        <v>3000000</v>
      </c>
      <c r="AU103" s="1044"/>
      <c r="AV103" s="1044"/>
      <c r="AW103" s="1044"/>
      <c r="AY103" s="1044"/>
      <c r="BG103" s="1044"/>
      <c r="BK103" s="1044"/>
      <c r="BL103" s="1044"/>
    </row>
    <row r="104" spans="1:64" s="857" customFormat="1" ht="14.45" customHeight="1">
      <c r="A104" s="995">
        <v>1</v>
      </c>
      <c r="B104" s="1259" t="s">
        <v>420</v>
      </c>
      <c r="C104" s="996" t="s">
        <v>421</v>
      </c>
      <c r="D104" s="987" t="str">
        <f>'THANG B.LUONG'!B184</f>
        <v>Trưởng BP cải tiến máy móc</v>
      </c>
      <c r="E104" s="886">
        <v>42933</v>
      </c>
      <c r="F104" s="988">
        <v>1</v>
      </c>
      <c r="G104" s="987">
        <f t="shared" si="236"/>
        <v>2</v>
      </c>
      <c r="H104" s="987">
        <f t="shared" si="237"/>
        <v>1</v>
      </c>
      <c r="I104" s="927">
        <f t="shared" si="238"/>
        <v>8</v>
      </c>
      <c r="J104" s="927">
        <f>VLOOKUP(D104,'THANG B.LUONG'!$B$5:$I$511,F104+1,0)</f>
        <v>11630</v>
      </c>
      <c r="K104" s="927">
        <v>0</v>
      </c>
      <c r="L104" s="927">
        <v>500</v>
      </c>
      <c r="M104" s="927">
        <f t="shared" si="239"/>
        <v>0</v>
      </c>
      <c r="N104" s="927">
        <v>0</v>
      </c>
      <c r="O104" s="927">
        <v>200</v>
      </c>
      <c r="P104" s="927">
        <v>300</v>
      </c>
      <c r="Q104" s="927">
        <v>0</v>
      </c>
      <c r="R104" s="927">
        <v>0</v>
      </c>
      <c r="S104" s="927">
        <v>0</v>
      </c>
      <c r="T104" s="927">
        <v>0</v>
      </c>
      <c r="U104" s="927">
        <v>0</v>
      </c>
      <c r="V104" s="927">
        <f t="shared" si="240"/>
        <v>12330</v>
      </c>
      <c r="W104" s="1019">
        <f>VLOOKUP(B104,'Cham cong'!$B$9:$BY$275,35,0)</f>
        <v>26</v>
      </c>
      <c r="X104" s="927">
        <f>VLOOKUP(B104,'Cham cong'!$B$9:$BY$275,37,0)</f>
        <v>0</v>
      </c>
      <c r="Y104" s="927">
        <f>VLOOKUP(B104,'Cham cong'!$B$9:$BY$275,38,0)</f>
        <v>1</v>
      </c>
      <c r="Z104" s="927">
        <f>VLOOKUP(B104,'Cham cong'!$B$9:$BY$275,72,0)</f>
        <v>0</v>
      </c>
      <c r="AA104" s="927">
        <f>VLOOKUP(B104,'Cham cong'!$B$9:$BY$275,71,0)</f>
        <v>0</v>
      </c>
      <c r="AB104" s="927">
        <f>VLOOKUP(B104,'Cham cong'!$B$9:$BY$275,36,0)</f>
        <v>0</v>
      </c>
      <c r="AC104" s="927"/>
      <c r="AD104" s="927"/>
      <c r="AE104" s="927"/>
      <c r="AF104" s="927"/>
      <c r="AG104" s="927"/>
      <c r="AH104" s="927"/>
      <c r="AI104" s="927"/>
      <c r="AJ104" s="927"/>
      <c r="AK104" s="927">
        <f>V104/'Cham cong'!$AS$3*(W104+Z104/8*2+AA104/8*1.5+AB104*3)+J104/'Cham cong'!$AS$3*(X104+Y104)+AC104+P104+AE104+AG104+AH104+AI104+AJ104</f>
        <v>13077.307692307691</v>
      </c>
      <c r="AL104" s="927">
        <f t="shared" si="241"/>
        <v>535.5</v>
      </c>
      <c r="AM104" s="941">
        <v>5100</v>
      </c>
      <c r="AN104" s="950">
        <f>VLOOKUP(B104,'Cham cong'!$B$9:$BY$275,75,0)</f>
        <v>3000</v>
      </c>
      <c r="AO104" s="950"/>
      <c r="AP104" s="950">
        <f t="shared" si="242"/>
        <v>9540</v>
      </c>
      <c r="AR104" s="1040">
        <f t="shared" si="227"/>
        <v>13077307.692307692</v>
      </c>
      <c r="AS104" s="958">
        <f t="shared" si="228"/>
        <v>5100000</v>
      </c>
      <c r="AT104" s="1041">
        <f t="shared" si="229"/>
        <v>3000000</v>
      </c>
      <c r="AU104" s="952"/>
      <c r="AV104" s="952"/>
      <c r="AW104" s="952"/>
      <c r="AY104" s="952"/>
      <c r="BG104" s="952"/>
      <c r="BK104" s="952"/>
      <c r="BL104" s="952"/>
    </row>
    <row r="105" spans="1:64" s="1314" customFormat="1" ht="14.45" hidden="1" customHeight="1">
      <c r="A105" s="1291">
        <v>1</v>
      </c>
      <c r="B105" s="1292" t="s">
        <v>422</v>
      </c>
      <c r="C105" s="1310" t="s">
        <v>423</v>
      </c>
      <c r="D105" s="1311" t="str">
        <f>'THANG B.LUONG'!B185</f>
        <v>Nhân viên giám sát - thiết kế</v>
      </c>
      <c r="E105" s="1312">
        <v>43528</v>
      </c>
      <c r="F105" s="1313">
        <v>3</v>
      </c>
      <c r="G105" s="1311">
        <f t="shared" si="236"/>
        <v>0</v>
      </c>
      <c r="H105" s="1311">
        <f t="shared" si="237"/>
        <v>5</v>
      </c>
      <c r="I105" s="1300">
        <f t="shared" si="238"/>
        <v>21</v>
      </c>
      <c r="J105" s="1300">
        <f>VLOOKUP(D105,'THANG B.LUONG'!$B$5:$I$511,F105+1,0)</f>
        <v>11480</v>
      </c>
      <c r="K105" s="1300">
        <v>0</v>
      </c>
      <c r="L105" s="1300">
        <v>0</v>
      </c>
      <c r="M105" s="1300">
        <f t="shared" si="239"/>
        <v>0</v>
      </c>
      <c r="N105" s="1300">
        <v>0</v>
      </c>
      <c r="O105" s="1300">
        <v>0</v>
      </c>
      <c r="P105" s="1300">
        <v>0</v>
      </c>
      <c r="Q105" s="1300">
        <v>0</v>
      </c>
      <c r="R105" s="1300">
        <v>0</v>
      </c>
      <c r="S105" s="1300">
        <v>0</v>
      </c>
      <c r="T105" s="1300">
        <v>0</v>
      </c>
      <c r="U105" s="1300">
        <v>0</v>
      </c>
      <c r="V105" s="1300">
        <f>SUM(J105:U105)-P105</f>
        <v>11480</v>
      </c>
      <c r="W105" s="1299">
        <f>VLOOKUP(B105,'Cham cong'!$B$9:$BY$275,35,0)</f>
        <v>26</v>
      </c>
      <c r="X105" s="927">
        <f>VLOOKUP(B105,'Cham cong'!$B$9:$BY$275,37,0)</f>
        <v>0</v>
      </c>
      <c r="Y105" s="927">
        <v>0</v>
      </c>
      <c r="Z105" s="927">
        <f>VLOOKUP(B105,'Cham cong'!$B$9:$BY$275,72,0)</f>
        <v>0</v>
      </c>
      <c r="AA105" s="927">
        <f>VLOOKUP(B105,'Cham cong'!$B$9:$BY$275,71,0)</f>
        <v>0</v>
      </c>
      <c r="AB105" s="927">
        <f>VLOOKUP(B105,'Cham cong'!$B$9:$BY$275,36,0)</f>
        <v>0</v>
      </c>
      <c r="AC105" s="1300"/>
      <c r="AD105" s="1300"/>
      <c r="AE105" s="1300"/>
      <c r="AF105" s="1300"/>
      <c r="AG105" s="1300"/>
      <c r="AH105" s="1300"/>
      <c r="AI105" s="1300"/>
      <c r="AJ105" s="1300"/>
      <c r="AK105" s="1388">
        <f>V105/'Cham cong'!$AS$3*(W105+Z105/8*2+AA105/8*1.5+AB105*3)+J105/'Cham cong'!$AS$3*(X105+Y105)+AC105+P105+AE105+AG105+AH105+AI105+AJ105</f>
        <v>11480</v>
      </c>
      <c r="AL105" s="1300">
        <f t="shared" si="241"/>
        <v>0</v>
      </c>
      <c r="AM105" s="1297">
        <v>0</v>
      </c>
      <c r="AN105" s="1303">
        <f>VLOOKUP(B105,'Cham cong'!$B$9:$BY$275,75,0)</f>
        <v>3000</v>
      </c>
      <c r="AO105" s="1303"/>
      <c r="AP105" s="1304">
        <f t="shared" si="242"/>
        <v>8480</v>
      </c>
      <c r="AR105" s="1315">
        <f t="shared" si="227"/>
        <v>11480000</v>
      </c>
      <c r="AS105" s="1316">
        <f t="shared" si="228"/>
        <v>0</v>
      </c>
      <c r="AT105" s="1317">
        <f t="shared" si="229"/>
        <v>3000000</v>
      </c>
      <c r="AU105" s="1318"/>
      <c r="AV105" s="1318"/>
      <c r="AW105" s="1318"/>
      <c r="AY105" s="1318"/>
      <c r="BE105" s="1316" t="s">
        <v>1263</v>
      </c>
      <c r="BG105" s="1318"/>
      <c r="BK105" s="1318"/>
      <c r="BL105" s="1318"/>
    </row>
    <row r="106" spans="1:64" s="1314" customFormat="1" ht="14.45" hidden="1" customHeight="1">
      <c r="A106" s="1291">
        <v>1</v>
      </c>
      <c r="B106" s="1292" t="s">
        <v>424</v>
      </c>
      <c r="C106" s="1310" t="s">
        <v>425</v>
      </c>
      <c r="D106" s="1311" t="s">
        <v>426</v>
      </c>
      <c r="E106" s="1312">
        <v>43566</v>
      </c>
      <c r="F106" s="1313">
        <v>1</v>
      </c>
      <c r="G106" s="1311">
        <f t="shared" ref="G106" si="243">DATEDIF(E106,$J$3,"y")</f>
        <v>0</v>
      </c>
      <c r="H106" s="1311">
        <f t="shared" ref="H106" si="244">DATEDIF(E106,$J$3,"ym")</f>
        <v>4</v>
      </c>
      <c r="I106" s="1300">
        <f t="shared" ref="I106" si="245">DATEDIF(E106,$J$3,"md")</f>
        <v>14</v>
      </c>
      <c r="J106" s="1300">
        <v>7590</v>
      </c>
      <c r="K106" s="1300">
        <v>0</v>
      </c>
      <c r="L106" s="1300">
        <v>0</v>
      </c>
      <c r="M106" s="1300">
        <f t="shared" ref="M106" si="246">IF(G106&gt;=3,J106*(0.03+(G106-3)*0.01),0)</f>
        <v>0</v>
      </c>
      <c r="N106" s="1300">
        <v>0</v>
      </c>
      <c r="O106" s="1300">
        <v>0</v>
      </c>
      <c r="P106" s="1300">
        <v>0</v>
      </c>
      <c r="Q106" s="1300">
        <v>0</v>
      </c>
      <c r="R106" s="1300">
        <v>0</v>
      </c>
      <c r="S106" s="1300">
        <v>0</v>
      </c>
      <c r="T106" s="1300">
        <v>0</v>
      </c>
      <c r="U106" s="1300">
        <v>0</v>
      </c>
      <c r="V106" s="1300">
        <f>SUM(J106:U106)-P106</f>
        <v>7590</v>
      </c>
      <c r="W106" s="1299">
        <f>VLOOKUP(B106,'Cham cong'!$B$9:$BY$275,35,0)</f>
        <v>26</v>
      </c>
      <c r="X106" s="927">
        <f>VLOOKUP(B106,'Cham cong'!$B$9:$BY$275,37,0)</f>
        <v>0</v>
      </c>
      <c r="Y106" s="927">
        <v>1</v>
      </c>
      <c r="Z106" s="927">
        <f>VLOOKUP(B106,'Cham cong'!$B$9:$BY$275,72,0)</f>
        <v>0</v>
      </c>
      <c r="AA106" s="927">
        <f>VLOOKUP(B106,'Cham cong'!$B$9:$BY$275,71,0)</f>
        <v>0</v>
      </c>
      <c r="AB106" s="1300">
        <f>VLOOKUP(B106,'Cham cong'!$B$9:$BY$275,36,0)</f>
        <v>0</v>
      </c>
      <c r="AC106" s="1300"/>
      <c r="AD106" s="1300"/>
      <c r="AE106" s="1300"/>
      <c r="AF106" s="1300"/>
      <c r="AG106" s="1300"/>
      <c r="AH106" s="1300"/>
      <c r="AI106" s="1300"/>
      <c r="AJ106" s="1300"/>
      <c r="AK106" s="1298">
        <f>V106/'Cham cong'!$AS$3*(W106+Z106/8*2+AA106/8*1.5+AB106*3)+J106/'Cham cong'!$AS$3*(X106+Y106)+AC106+P106+AE106+AG106+AH106+AI106+AJ106</f>
        <v>7881.9230769230771</v>
      </c>
      <c r="AL106" s="1300">
        <f>AM106*$AN$3</f>
        <v>0</v>
      </c>
      <c r="AM106" s="1297">
        <v>0</v>
      </c>
      <c r="AN106" s="1303">
        <f>VLOOKUP(B106,'Cham cong'!$B$9:$BY$275,75,0)</f>
        <v>0</v>
      </c>
      <c r="AO106" s="1303"/>
      <c r="AP106" s="1304">
        <f t="shared" ref="AP106" si="247">ROUND(AK106-AL106-AN106+AO106,-1)</f>
        <v>7880</v>
      </c>
      <c r="AR106" s="1315">
        <f t="shared" ref="AR106" si="248">AK106*1000</f>
        <v>7881923.076923077</v>
      </c>
      <c r="AS106" s="1316">
        <f t="shared" ref="AS106" si="249">AM106*1000</f>
        <v>0</v>
      </c>
      <c r="AT106" s="1317">
        <f t="shared" ref="AT106" si="250">AN106*1000</f>
        <v>0</v>
      </c>
      <c r="AU106" s="1318"/>
      <c r="AV106" s="1318"/>
      <c r="AW106" s="1318"/>
      <c r="AY106" s="1318"/>
      <c r="BE106" s="1314" t="s">
        <v>1263</v>
      </c>
      <c r="BG106" s="1318"/>
      <c r="BK106" s="1318"/>
      <c r="BL106" s="1318"/>
    </row>
    <row r="107" spans="1:64" s="865" customFormat="1" ht="10.5" customHeight="1">
      <c r="A107" s="898"/>
      <c r="B107" s="95"/>
      <c r="C107" s="96" t="s">
        <v>427</v>
      </c>
      <c r="D107" s="96"/>
      <c r="E107" s="899"/>
      <c r="F107" s="140"/>
      <c r="G107" s="140"/>
      <c r="H107" s="140"/>
      <c r="I107" s="140"/>
      <c r="J107" s="140"/>
      <c r="K107" s="140"/>
      <c r="L107" s="140"/>
      <c r="M107" s="140"/>
      <c r="N107" s="140"/>
      <c r="O107" s="140"/>
      <c r="P107" s="140"/>
      <c r="Q107" s="140"/>
      <c r="R107" s="140"/>
      <c r="S107" s="140"/>
      <c r="T107" s="140"/>
      <c r="U107" s="140"/>
      <c r="V107" s="140"/>
      <c r="W107" s="140"/>
      <c r="X107" s="140"/>
      <c r="Y107" s="140"/>
      <c r="Z107" s="140"/>
      <c r="AA107" s="140"/>
      <c r="AB107" s="140"/>
      <c r="AC107" s="140"/>
      <c r="AD107" s="140"/>
      <c r="AE107" s="140"/>
      <c r="AF107" s="140"/>
      <c r="AG107" s="140"/>
      <c r="AH107" s="140"/>
      <c r="AI107" s="140"/>
      <c r="AJ107" s="140"/>
      <c r="AK107" s="937">
        <f>SUM(AK108:AK108)</f>
        <v>14723.662692307693</v>
      </c>
      <c r="AL107" s="937">
        <f t="shared" ref="AL107:AP107" si="251">SUM(AL108:AL108)</f>
        <v>535.5</v>
      </c>
      <c r="AM107" s="937">
        <f t="shared" si="251"/>
        <v>5100</v>
      </c>
      <c r="AN107" s="937">
        <f t="shared" si="251"/>
        <v>2000</v>
      </c>
      <c r="AO107" s="937">
        <f t="shared" si="251"/>
        <v>0</v>
      </c>
      <c r="AP107" s="937">
        <f t="shared" si="251"/>
        <v>12190</v>
      </c>
      <c r="AQ107" s="864"/>
      <c r="AR107" s="1046">
        <f t="shared" si="227"/>
        <v>14723662.692307692</v>
      </c>
      <c r="AS107" s="953">
        <f t="shared" si="228"/>
        <v>5100000</v>
      </c>
      <c r="AT107" s="864">
        <f t="shared" si="229"/>
        <v>2000000</v>
      </c>
      <c r="AU107" s="877"/>
      <c r="AV107" s="877"/>
      <c r="AW107" s="877"/>
      <c r="AY107" s="877"/>
      <c r="BG107" s="877"/>
      <c r="BK107" s="877"/>
      <c r="BL107" s="877"/>
    </row>
    <row r="108" spans="1:64" s="865" customFormat="1">
      <c r="A108" s="985">
        <v>1</v>
      </c>
      <c r="B108" s="1259" t="s">
        <v>428</v>
      </c>
      <c r="C108" s="997" t="s">
        <v>429</v>
      </c>
      <c r="D108" s="987" t="str">
        <f>'THANG B.LUONG'!B215</f>
        <v>Trưởng BP kế hoạch sản xuất</v>
      </c>
      <c r="E108" s="886">
        <v>42339</v>
      </c>
      <c r="F108" s="988">
        <v>1</v>
      </c>
      <c r="G108" s="987">
        <f>DATEDIF(E108,$J$3,"y")</f>
        <v>3</v>
      </c>
      <c r="H108" s="987">
        <f>DATEDIF(E108,$J$3,"ym")</f>
        <v>8</v>
      </c>
      <c r="I108" s="927">
        <f>DATEDIF(E108,$J$3,"md")</f>
        <v>24</v>
      </c>
      <c r="J108" s="927">
        <f>VLOOKUP(D108,'THANG B.LUONG'!$B$5:$I$511,F108+1,0)</f>
        <v>11370</v>
      </c>
      <c r="K108" s="927">
        <v>0</v>
      </c>
      <c r="L108" s="927">
        <v>500</v>
      </c>
      <c r="M108" s="927">
        <f>IF(G108&gt;=3,J108*(0.03+(G108-3)*0.01),0)</f>
        <v>341.09999999999997</v>
      </c>
      <c r="N108" s="927">
        <v>0</v>
      </c>
      <c r="O108" s="927">
        <v>200</v>
      </c>
      <c r="P108" s="927">
        <v>300</v>
      </c>
      <c r="Q108" s="927">
        <v>0</v>
      </c>
      <c r="R108" s="927">
        <v>0</v>
      </c>
      <c r="S108" s="927">
        <v>0</v>
      </c>
      <c r="T108" s="927">
        <v>0</v>
      </c>
      <c r="U108" s="927">
        <v>0</v>
      </c>
      <c r="V108" s="927">
        <f>SUM(J108:U108)-P108</f>
        <v>12411.1</v>
      </c>
      <c r="W108" s="1018">
        <f>VLOOKUP(B108,'Cham cong'!$B$9:$BY$275,35,0)</f>
        <v>26</v>
      </c>
      <c r="X108" s="927">
        <f>VLOOKUP(B108,'Cham cong'!$B$9:$BY$275,37,0)</f>
        <v>0</v>
      </c>
      <c r="Y108" s="927">
        <f>VLOOKUP(B108,'Cham cong'!$B$9:$BY$275,38,0)</f>
        <v>1</v>
      </c>
      <c r="Z108" s="927">
        <f>VLOOKUP(B108,'Cham cong'!$B$9:$BY$275,72,0)</f>
        <v>13.2</v>
      </c>
      <c r="AA108" s="927">
        <f>VLOOKUP(B108,'Cham cong'!$B$9:$BY$275,71,0)</f>
        <v>0</v>
      </c>
      <c r="AB108" s="927">
        <f>VLOOKUP(B108,'Cham cong'!$B$9:$BY$275,36,0)</f>
        <v>0</v>
      </c>
      <c r="AC108" s="927"/>
      <c r="AD108" s="927"/>
      <c r="AE108" s="927"/>
      <c r="AF108" s="927"/>
      <c r="AG108" s="927"/>
      <c r="AH108" s="927"/>
      <c r="AI108" s="927"/>
      <c r="AJ108" s="927"/>
      <c r="AK108" s="927">
        <f>V108/'Cham cong'!$AS$3*(W108+Z108/8*2+AA108/8*1.5+AB108*3)+J108/'Cham cong'!$AS$3*(X108+Y108)+AC108+P108+AE108+AG108+AH108+AI108+AJ108</f>
        <v>14723.662692307693</v>
      </c>
      <c r="AL108" s="927">
        <f>AM108*$AN$3</f>
        <v>535.5</v>
      </c>
      <c r="AM108" s="1022">
        <v>5100</v>
      </c>
      <c r="AN108" s="950">
        <f>VLOOKUP(B108,'Cham cong'!$B$9:$BY$275,75,0)</f>
        <v>2000</v>
      </c>
      <c r="AO108" s="950"/>
      <c r="AP108" s="950">
        <f>ROUND(AK108-AL108-AN108+AO108,-1)</f>
        <v>12190</v>
      </c>
      <c r="AQ108" s="864"/>
      <c r="AR108" s="1047">
        <f t="shared" si="227"/>
        <v>14723662.692307692</v>
      </c>
      <c r="AS108" s="953">
        <f t="shared" si="228"/>
        <v>5100000</v>
      </c>
      <c r="AT108" s="1048">
        <f t="shared" si="229"/>
        <v>2000000</v>
      </c>
      <c r="AU108" s="877"/>
      <c r="AV108" s="877"/>
      <c r="AW108" s="877"/>
      <c r="AY108" s="877"/>
      <c r="BG108" s="877"/>
      <c r="BK108" s="877"/>
      <c r="BL108" s="877"/>
    </row>
    <row r="109" spans="1:64" s="865" customFormat="1" ht="10.5" customHeight="1">
      <c r="A109" s="898"/>
      <c r="B109" s="95"/>
      <c r="C109" s="96" t="s">
        <v>430</v>
      </c>
      <c r="D109" s="96"/>
      <c r="E109" s="899"/>
      <c r="F109" s="140"/>
      <c r="G109" s="140"/>
      <c r="H109" s="140"/>
      <c r="I109" s="140"/>
      <c r="J109" s="140"/>
      <c r="K109" s="140"/>
      <c r="L109" s="140"/>
      <c r="M109" s="140"/>
      <c r="N109" s="140"/>
      <c r="O109" s="140"/>
      <c r="P109" s="140"/>
      <c r="Q109" s="140"/>
      <c r="R109" s="140"/>
      <c r="S109" s="140"/>
      <c r="T109" s="140"/>
      <c r="U109" s="140"/>
      <c r="V109" s="140"/>
      <c r="W109" s="140"/>
      <c r="X109" s="140"/>
      <c r="Y109" s="140"/>
      <c r="Z109" s="140"/>
      <c r="AA109" s="140"/>
      <c r="AB109" s="140"/>
      <c r="AC109" s="140"/>
      <c r="AD109" s="140"/>
      <c r="AE109" s="140"/>
      <c r="AF109" s="140"/>
      <c r="AG109" s="140"/>
      <c r="AH109" s="140"/>
      <c r="AI109" s="140"/>
      <c r="AJ109" s="140"/>
      <c r="AK109" s="937">
        <f>SUM(AK110:AK122)</f>
        <v>105869.96959134613</v>
      </c>
      <c r="AL109" s="937">
        <f t="shared" ref="AL109:AO109" si="252">SUM(AL110:AL122)</f>
        <v>6302.52</v>
      </c>
      <c r="AM109" s="937">
        <f t="shared" si="252"/>
        <v>60024</v>
      </c>
      <c r="AN109" s="937">
        <f t="shared" si="252"/>
        <v>40000</v>
      </c>
      <c r="AO109" s="937">
        <f t="shared" si="252"/>
        <v>0</v>
      </c>
      <c r="AP109" s="937">
        <f>SUM(AP110:AP122)</f>
        <v>59590</v>
      </c>
      <c r="AQ109" s="864"/>
      <c r="AR109" s="1046">
        <f t="shared" si="227"/>
        <v>105869969.59134613</v>
      </c>
      <c r="AS109" s="953">
        <f t="shared" si="228"/>
        <v>60024000</v>
      </c>
      <c r="AT109" s="864">
        <f t="shared" si="229"/>
        <v>40000000</v>
      </c>
      <c r="AU109" s="877"/>
      <c r="AV109" s="877"/>
      <c r="AW109" s="877"/>
      <c r="AY109" s="877"/>
      <c r="BG109" s="877"/>
      <c r="BK109" s="877"/>
      <c r="BL109" s="877"/>
    </row>
    <row r="110" spans="1:64" s="857" customFormat="1" ht="13.5" customHeight="1">
      <c r="A110" s="998">
        <v>5</v>
      </c>
      <c r="B110" s="1391" t="s">
        <v>435</v>
      </c>
      <c r="C110" s="1392" t="s">
        <v>436</v>
      </c>
      <c r="D110" s="1393" t="str">
        <f>'THANG B.LUONG'!B202</f>
        <v>Trưởng BP Vận hành máy</v>
      </c>
      <c r="E110" s="1394">
        <v>43444</v>
      </c>
      <c r="F110" s="1395">
        <v>1</v>
      </c>
      <c r="G110" s="511">
        <f t="shared" ref="G110:G114" si="253">DATEDIF(E110,$J$3,"y")</f>
        <v>0</v>
      </c>
      <c r="H110" s="511">
        <f t="shared" ref="H110:H114" si="254">DATEDIF(E110,$J$3,"ym")</f>
        <v>8</v>
      </c>
      <c r="I110" s="932">
        <f t="shared" ref="I110:I114" si="255">DATEDIF(E110,$J$3,"md")</f>
        <v>15</v>
      </c>
      <c r="J110" s="932">
        <f>VLOOKUP(D110,'THANG B.LUONG'!$B$5:$I$511,F110+1,0)</f>
        <v>11370</v>
      </c>
      <c r="K110" s="932">
        <v>0</v>
      </c>
      <c r="L110" s="932">
        <v>500</v>
      </c>
      <c r="M110" s="932">
        <f t="shared" ref="M110:M122" si="256">IF(G110&gt;=3,J110*(0.03+(G110-3)*0.01),0)</f>
        <v>0</v>
      </c>
      <c r="N110" s="932">
        <v>0</v>
      </c>
      <c r="O110" s="932">
        <v>200</v>
      </c>
      <c r="P110" s="932">
        <v>300</v>
      </c>
      <c r="Q110" s="932">
        <v>0</v>
      </c>
      <c r="R110" s="932">
        <v>0</v>
      </c>
      <c r="S110" s="932">
        <v>0</v>
      </c>
      <c r="T110" s="932">
        <v>0</v>
      </c>
      <c r="U110" s="932">
        <v>0</v>
      </c>
      <c r="V110" s="932">
        <f t="shared" ref="V110:V114" si="257">SUM(J110:U110)-P110</f>
        <v>12070</v>
      </c>
      <c r="W110" s="1016">
        <f>VLOOKUP(B110,'Cham cong'!$B$9:$BY$275,35,0)</f>
        <v>26</v>
      </c>
      <c r="X110" s="921">
        <f>VLOOKUP(B110,'Cham cong'!$B$9:$BY$275,37,0)</f>
        <v>0</v>
      </c>
      <c r="Y110" s="921">
        <f>VLOOKUP(B110,'Cham cong'!$B$9:$BY$275,38,0)</f>
        <v>1</v>
      </c>
      <c r="Z110" s="921">
        <f>VLOOKUP(B110,'Cham cong'!$B$9:$BY$275,72,0)</f>
        <v>0</v>
      </c>
      <c r="AA110" s="921">
        <f>VLOOKUP(B110,'Cham cong'!$B$9:$BY$275,71,0)</f>
        <v>0</v>
      </c>
      <c r="AB110" s="921">
        <f>VLOOKUP(B110,'Cham cong'!$B$9:$BY$275,36,0)</f>
        <v>0</v>
      </c>
      <c r="AC110" s="932"/>
      <c r="AD110" s="932"/>
      <c r="AE110" s="932"/>
      <c r="AF110" s="932"/>
      <c r="AG110" s="932"/>
      <c r="AH110" s="932"/>
      <c r="AI110" s="932"/>
      <c r="AJ110" s="932"/>
      <c r="AK110" s="932">
        <f>V110/'Cham cong'!$AS$3*(W110+Z110/8*2+AA110/8*1.5+AB110*3)+J110/'Cham cong'!$AS$3*(X110+Y110)+AC110+P110+AE110+AG110+AH110+AI110+AJ110</f>
        <v>12807.307692307691</v>
      </c>
      <c r="AL110" s="1396">
        <f t="shared" ref="AL110:AL114" si="258">AM110*$AN$3</f>
        <v>535.5</v>
      </c>
      <c r="AM110" s="1072">
        <v>5100</v>
      </c>
      <c r="AN110" s="944">
        <f>VLOOKUP(B110,'Cham cong'!$B$9:$BY$275,75,0)</f>
        <v>0</v>
      </c>
      <c r="AO110" s="969"/>
      <c r="AP110" s="969">
        <f t="shared" ref="AP110:AP114" si="259">ROUND(AK110-AL110-AN110+AO110,-1)</f>
        <v>12270</v>
      </c>
      <c r="AR110" s="1053">
        <f t="shared" ref="AR110:AR122" si="260">AK110*1000</f>
        <v>12807307.692307692</v>
      </c>
      <c r="AS110" s="959">
        <f t="shared" si="228"/>
        <v>5100000</v>
      </c>
      <c r="AT110" s="959">
        <f t="shared" si="229"/>
        <v>0</v>
      </c>
      <c r="AU110" s="952">
        <v>9400</v>
      </c>
      <c r="AV110" s="952"/>
      <c r="AW110" s="952"/>
      <c r="AY110" s="952"/>
      <c r="BG110" s="952"/>
      <c r="BK110" s="952"/>
      <c r="BL110" s="952"/>
    </row>
    <row r="111" spans="1:64" s="866" customFormat="1" ht="12.75">
      <c r="A111" s="999">
        <v>5</v>
      </c>
      <c r="B111" s="1261" t="s">
        <v>433</v>
      </c>
      <c r="C111" s="1000" t="s">
        <v>434</v>
      </c>
      <c r="D111" s="1001" t="s">
        <v>114</v>
      </c>
      <c r="E111" s="1002">
        <v>42424</v>
      </c>
      <c r="F111" s="1003">
        <v>2</v>
      </c>
      <c r="G111" s="1004">
        <f>DATEDIF(E111,$J$3,"y")</f>
        <v>3</v>
      </c>
      <c r="H111" s="1004">
        <f>DATEDIF(E111,$J$3,"ym")</f>
        <v>6</v>
      </c>
      <c r="I111" s="1014">
        <f>DATEDIF(E111,$J$3,"md")</f>
        <v>1</v>
      </c>
      <c r="J111" s="1014">
        <f>VLOOKUP(D111,'THANG B.LUONG'!$B$5:$I$511,F111+1,0)</f>
        <v>6950</v>
      </c>
      <c r="K111" s="1014">
        <v>200</v>
      </c>
      <c r="L111" s="1014">
        <v>0</v>
      </c>
      <c r="M111" s="1014">
        <f>IF(G111&gt;=3,J111*(0.03+(G111-3)*0.01),0)</f>
        <v>208.5</v>
      </c>
      <c r="N111" s="1014">
        <v>0</v>
      </c>
      <c r="O111" s="1014">
        <v>0</v>
      </c>
      <c r="P111" s="1014">
        <v>0</v>
      </c>
      <c r="Q111" s="1014">
        <v>0</v>
      </c>
      <c r="R111" s="1014">
        <v>0</v>
      </c>
      <c r="S111" s="1014">
        <v>0</v>
      </c>
      <c r="T111" s="1014">
        <v>0</v>
      </c>
      <c r="U111" s="1014">
        <v>0</v>
      </c>
      <c r="V111" s="1014">
        <f>SUM(J111:U111)-P111</f>
        <v>7358.5</v>
      </c>
      <c r="W111" s="1020">
        <f>VLOOKUP(B111,'Cham cong'!$B$9:$BY$275,35,0)</f>
        <v>26</v>
      </c>
      <c r="X111" s="17">
        <f>VLOOKUP(B111,'Cham cong'!$B$9:$BY$275,37,0)</f>
        <v>0</v>
      </c>
      <c r="Y111" s="17">
        <f>VLOOKUP(B111,'Cham cong'!$B$9:$BY$275,38,0)</f>
        <v>1</v>
      </c>
      <c r="Z111" s="17">
        <f>VLOOKUP(B111,'Cham cong'!$B$9:$BY$275,72,0)</f>
        <v>16</v>
      </c>
      <c r="AA111" s="17">
        <f>VLOOKUP(B111,'Cham cong'!$B$9:$BY$275,71,0)</f>
        <v>8.5</v>
      </c>
      <c r="AB111" s="17">
        <f>VLOOKUP(B111,'Cham cong'!$B$9:$BY$275,36,0)</f>
        <v>0</v>
      </c>
      <c r="AC111" s="1014"/>
      <c r="AD111" s="1014"/>
      <c r="AE111" s="1014"/>
      <c r="AF111" s="1014"/>
      <c r="AG111" s="1014"/>
      <c r="AH111" s="1014"/>
      <c r="AI111" s="1014"/>
      <c r="AJ111" s="1014"/>
      <c r="AK111" s="1025">
        <f>V111/'Cham cong'!$AS$3*(W111+Z111/8*2+AA111/8*1.5+AB111*3)+J111/'Cham cong'!$AS$3*(X111+Y111)+AC111+P111+AE111+AG111+AH111+AI111+AJ111</f>
        <v>9208.9465144230762</v>
      </c>
      <c r="AL111" s="1026">
        <f>AM111*$AN$3</f>
        <v>480.58499999999998</v>
      </c>
      <c r="AM111" s="940">
        <v>4577</v>
      </c>
      <c r="AN111" s="1027">
        <f>VLOOKUP(B111,'Cham cong'!$B$9:$BY$275,75,0)</f>
        <v>4000</v>
      </c>
      <c r="AO111" s="1027"/>
      <c r="AP111" s="1049">
        <f>ROUND(AK111-AL111-AN111+AO111,-1)</f>
        <v>4730</v>
      </c>
      <c r="AR111" s="1050">
        <f>AK111*1000</f>
        <v>9208946.5144230761</v>
      </c>
      <c r="AS111" s="953">
        <f>AM111*1000</f>
        <v>4577000</v>
      </c>
      <c r="AT111" s="1051">
        <f>AN111*1000</f>
        <v>4000000</v>
      </c>
      <c r="AU111" s="1052"/>
      <c r="AV111" s="1052"/>
      <c r="AW111" s="1052"/>
      <c r="AY111" s="1052"/>
      <c r="BG111" s="1052"/>
      <c r="BK111" s="1052"/>
      <c r="BL111" s="1052"/>
    </row>
    <row r="112" spans="1:64" s="856" customFormat="1" ht="12.6" customHeight="1">
      <c r="A112" s="895">
        <v>8</v>
      </c>
      <c r="B112" s="91" t="s">
        <v>437</v>
      </c>
      <c r="C112" s="108" t="s">
        <v>438</v>
      </c>
      <c r="D112" s="132" t="str">
        <f>'THANG B.LUONG'!B154</f>
        <v>Nhóm trưởng VHM XLB</v>
      </c>
      <c r="E112" s="896">
        <v>42417</v>
      </c>
      <c r="F112" s="897">
        <v>1</v>
      </c>
      <c r="G112" s="106">
        <f t="shared" si="253"/>
        <v>3</v>
      </c>
      <c r="H112" s="106">
        <f t="shared" si="254"/>
        <v>6</v>
      </c>
      <c r="I112" s="17">
        <f t="shared" si="255"/>
        <v>8</v>
      </c>
      <c r="J112" s="1011">
        <f>VLOOKUP(D112,'THANG B.LUONG'!$B$5:$I$511,F112+1,0)</f>
        <v>7320</v>
      </c>
      <c r="K112" s="17">
        <v>200</v>
      </c>
      <c r="L112" s="17">
        <v>0</v>
      </c>
      <c r="M112" s="17">
        <f t="shared" si="256"/>
        <v>219.6</v>
      </c>
      <c r="N112" s="17">
        <v>0</v>
      </c>
      <c r="O112" s="17">
        <v>0</v>
      </c>
      <c r="P112" s="1011">
        <v>200</v>
      </c>
      <c r="Q112" s="17">
        <v>0</v>
      </c>
      <c r="R112" s="17">
        <v>0</v>
      </c>
      <c r="S112" s="17">
        <v>0</v>
      </c>
      <c r="T112" s="17">
        <v>0</v>
      </c>
      <c r="U112" s="17">
        <v>0</v>
      </c>
      <c r="V112" s="17">
        <f t="shared" si="257"/>
        <v>7739.6</v>
      </c>
      <c r="W112" s="1016">
        <f>VLOOKUP(B112,'Cham cong'!$B$9:$BY$275,35,0)</f>
        <v>26</v>
      </c>
      <c r="X112" s="17">
        <f>VLOOKUP(B112,'Cham cong'!$B$9:$BY$275,37,0)</f>
        <v>0</v>
      </c>
      <c r="Y112" s="17">
        <f>VLOOKUP(B112,'Cham cong'!$B$9:$BY$275,38,0)</f>
        <v>1</v>
      </c>
      <c r="Z112" s="17">
        <f>VLOOKUP(B112,'Cham cong'!$B$9:$BY$275,72,0)</f>
        <v>0</v>
      </c>
      <c r="AA112" s="17">
        <f>VLOOKUP(B112,'Cham cong'!$B$9:$BY$275,71,0)</f>
        <v>0</v>
      </c>
      <c r="AB112" s="17">
        <f>VLOOKUP(B112,'Cham cong'!$B$9:$BY$275,36,0)</f>
        <v>0</v>
      </c>
      <c r="AC112" s="17"/>
      <c r="AD112" s="17"/>
      <c r="AE112" s="17"/>
      <c r="AF112" s="17"/>
      <c r="AG112" s="17"/>
      <c r="AH112" s="17"/>
      <c r="AI112" s="17"/>
      <c r="AJ112" s="17"/>
      <c r="AK112" s="927">
        <f>V112/'Cham cong'!$AS$3*(W112+Z112/8*2+AA112/8*1.5+AB112*3)+J112/'Cham cong'!$AS$3*(X112+Y112)+AC112+P112+AE112+AG112+AH112+AI112+AJ112</f>
        <v>8221.1384615384632</v>
      </c>
      <c r="AL112" s="17">
        <f t="shared" si="258"/>
        <v>480.58499999999998</v>
      </c>
      <c r="AM112" s="946">
        <v>4577</v>
      </c>
      <c r="AN112" s="1303">
        <f>VLOOKUP(B112,'Cham cong'!$B$9:$BY$275,75,0)</f>
        <v>4000</v>
      </c>
      <c r="AO112" s="938"/>
      <c r="AP112" s="950">
        <f t="shared" si="259"/>
        <v>3740</v>
      </c>
      <c r="AR112" s="1053">
        <f t="shared" si="260"/>
        <v>8221138.4615384629</v>
      </c>
      <c r="AS112" s="959">
        <f t="shared" ref="AS112:AS140" si="261">AM112*1000</f>
        <v>4577000</v>
      </c>
      <c r="AT112" s="959">
        <f t="shared" ref="AT112:AT122" si="262">AN112*1000</f>
        <v>4000000</v>
      </c>
      <c r="AU112" s="949" t="e">
        <f>#REF!-AU110</f>
        <v>#REF!</v>
      </c>
      <c r="AV112" s="949"/>
      <c r="AW112" s="949"/>
      <c r="AY112" s="949"/>
      <c r="BG112" s="949"/>
      <c r="BK112" s="949"/>
      <c r="BL112" s="949"/>
    </row>
    <row r="113" spans="1:66" s="856" customFormat="1" ht="12.75">
      <c r="A113" s="895">
        <v>6</v>
      </c>
      <c r="B113" s="133" t="s">
        <v>439</v>
      </c>
      <c r="C113" s="124" t="s">
        <v>440</v>
      </c>
      <c r="D113" s="1005" t="s">
        <v>114</v>
      </c>
      <c r="E113" s="904">
        <v>43236</v>
      </c>
      <c r="F113" s="897">
        <v>2</v>
      </c>
      <c r="G113" s="106">
        <f t="shared" si="253"/>
        <v>1</v>
      </c>
      <c r="H113" s="106">
        <f t="shared" si="254"/>
        <v>3</v>
      </c>
      <c r="I113" s="17">
        <f t="shared" si="255"/>
        <v>9</v>
      </c>
      <c r="J113" s="17">
        <f>VLOOKUP(D113,'THANG B.LUONG'!$B$5:$I$511,F113+1,0)</f>
        <v>6950</v>
      </c>
      <c r="K113" s="17">
        <v>200</v>
      </c>
      <c r="L113" s="17">
        <v>0</v>
      </c>
      <c r="M113" s="17">
        <f t="shared" si="256"/>
        <v>0</v>
      </c>
      <c r="N113" s="17">
        <v>0</v>
      </c>
      <c r="O113" s="17">
        <v>0</v>
      </c>
      <c r="P113" s="17">
        <v>0</v>
      </c>
      <c r="Q113" s="17">
        <v>0</v>
      </c>
      <c r="R113" s="17">
        <v>0</v>
      </c>
      <c r="S113" s="17">
        <v>0</v>
      </c>
      <c r="T113" s="17">
        <v>0</v>
      </c>
      <c r="U113" s="17">
        <v>0</v>
      </c>
      <c r="V113" s="17">
        <f t="shared" si="257"/>
        <v>7150</v>
      </c>
      <c r="W113" s="1016">
        <f>VLOOKUP(B113,'Cham cong'!$B$9:$BY$275,35,0)</f>
        <v>26</v>
      </c>
      <c r="X113" s="17">
        <f>VLOOKUP(B113,'Cham cong'!$B$9:$BY$275,37,0)</f>
        <v>0</v>
      </c>
      <c r="Y113" s="17">
        <f>VLOOKUP(B113,'Cham cong'!$B$9:$BY$275,38,0)</f>
        <v>1</v>
      </c>
      <c r="Z113" s="17">
        <f>VLOOKUP(B113,'Cham cong'!$B$9:$BY$275,72,0)</f>
        <v>0</v>
      </c>
      <c r="AA113" s="17">
        <f>VLOOKUP(B113,'Cham cong'!$B$9:$BY$275,71,0)</f>
        <v>0</v>
      </c>
      <c r="AB113" s="17">
        <f>VLOOKUP(B113,'Cham cong'!$B$9:$BY$275,36,0)</f>
        <v>0</v>
      </c>
      <c r="AC113" s="17"/>
      <c r="AD113" s="17"/>
      <c r="AE113" s="17"/>
      <c r="AF113" s="17"/>
      <c r="AG113" s="17"/>
      <c r="AH113" s="17"/>
      <c r="AI113" s="17"/>
      <c r="AJ113" s="17"/>
      <c r="AK113" s="927">
        <f>V113/'Cham cong'!$AS$3*(W113+Z113/8*2+AA113/8*1.5+AB113*3)+J113/'Cham cong'!$AS$3*(X113+Y113)+AC113+P113+AE113+AG113+AH113+AI113+AJ113</f>
        <v>7417.3076923076924</v>
      </c>
      <c r="AL113" s="17">
        <f t="shared" si="258"/>
        <v>480.58499999999998</v>
      </c>
      <c r="AM113" s="946">
        <v>4577</v>
      </c>
      <c r="AN113" s="1303">
        <f>VLOOKUP(B113,'Cham cong'!$B$9:$BY$275,75,0)</f>
        <v>2000</v>
      </c>
      <c r="AO113" s="938"/>
      <c r="AP113" s="962">
        <f t="shared" si="259"/>
        <v>4940</v>
      </c>
      <c r="AR113" s="1053">
        <f t="shared" si="260"/>
        <v>7417307.692307692</v>
      </c>
      <c r="AS113" s="959">
        <f t="shared" si="261"/>
        <v>4577000</v>
      </c>
      <c r="AT113" s="959">
        <f t="shared" si="262"/>
        <v>2000000</v>
      </c>
      <c r="AU113" s="949"/>
      <c r="AV113" s="949"/>
      <c r="AW113" s="949"/>
      <c r="AY113" s="949"/>
      <c r="BG113" s="949"/>
      <c r="BK113" s="949"/>
      <c r="BL113" s="949"/>
    </row>
    <row r="114" spans="1:66" s="856" customFormat="1" ht="12.75">
      <c r="A114" s="1006">
        <v>7</v>
      </c>
      <c r="B114" s="133" t="s">
        <v>441</v>
      </c>
      <c r="C114" s="124" t="s">
        <v>442</v>
      </c>
      <c r="D114" s="1005" t="s">
        <v>114</v>
      </c>
      <c r="E114" s="904">
        <v>43236</v>
      </c>
      <c r="F114" s="897">
        <v>2</v>
      </c>
      <c r="G114" s="106">
        <f t="shared" si="253"/>
        <v>1</v>
      </c>
      <c r="H114" s="106">
        <f t="shared" si="254"/>
        <v>3</v>
      </c>
      <c r="I114" s="17">
        <f t="shared" si="255"/>
        <v>9</v>
      </c>
      <c r="J114" s="17">
        <f>VLOOKUP(D114,'THANG B.LUONG'!$B$5:$I$511,F114+1,0)</f>
        <v>6950</v>
      </c>
      <c r="K114" s="17">
        <v>200</v>
      </c>
      <c r="L114" s="17">
        <v>0</v>
      </c>
      <c r="M114" s="17">
        <f t="shared" si="256"/>
        <v>0</v>
      </c>
      <c r="N114" s="17">
        <v>0</v>
      </c>
      <c r="O114" s="17">
        <v>0</v>
      </c>
      <c r="P114" s="17">
        <v>0</v>
      </c>
      <c r="Q114" s="17">
        <v>0</v>
      </c>
      <c r="R114" s="17">
        <v>0</v>
      </c>
      <c r="S114" s="17">
        <v>0</v>
      </c>
      <c r="T114" s="17">
        <v>0</v>
      </c>
      <c r="U114" s="17">
        <v>0</v>
      </c>
      <c r="V114" s="17">
        <f t="shared" si="257"/>
        <v>7150</v>
      </c>
      <c r="W114" s="1016">
        <f>VLOOKUP(B114,'Cham cong'!$B$9:$BY$275,35,0)</f>
        <v>26</v>
      </c>
      <c r="X114" s="17">
        <f>VLOOKUP(B114,'Cham cong'!$B$9:$BY$275,37,0)</f>
        <v>0</v>
      </c>
      <c r="Y114" s="17">
        <f>VLOOKUP(B114,'Cham cong'!$B$9:$BY$275,38,0)</f>
        <v>1</v>
      </c>
      <c r="Z114" s="17">
        <f>VLOOKUP(B114,'Cham cong'!$B$9:$BY$275,72,0)</f>
        <v>0</v>
      </c>
      <c r="AA114" s="17">
        <f>VLOOKUP(B114,'Cham cong'!$B$9:$BY$275,71,0)</f>
        <v>0</v>
      </c>
      <c r="AB114" s="17">
        <f>VLOOKUP(B114,'Cham cong'!$B$9:$BY$275,36,0)</f>
        <v>0</v>
      </c>
      <c r="AC114" s="17"/>
      <c r="AD114" s="17"/>
      <c r="AE114" s="17"/>
      <c r="AF114" s="17"/>
      <c r="AG114" s="17"/>
      <c r="AH114" s="17"/>
      <c r="AI114" s="17"/>
      <c r="AJ114" s="17"/>
      <c r="AK114" s="927">
        <f>V114/'Cham cong'!$AS$3*(W114+Z114/8*2+AA114/8*1.5+AB114*3)+J114/'Cham cong'!$AS$3*(X114+Y114)+AC114+P114+AE114+AG114+AH114+AI114+AJ114</f>
        <v>7417.3076923076924</v>
      </c>
      <c r="AL114" s="17">
        <f t="shared" si="258"/>
        <v>480.58499999999998</v>
      </c>
      <c r="AM114" s="946">
        <v>4577</v>
      </c>
      <c r="AN114" s="1303">
        <f>VLOOKUP(B114,'Cham cong'!$B$9:$BY$275,75,0)</f>
        <v>2000</v>
      </c>
      <c r="AO114" s="938"/>
      <c r="AP114" s="962">
        <f t="shared" si="259"/>
        <v>4940</v>
      </c>
      <c r="AR114" s="1053">
        <f t="shared" si="260"/>
        <v>7417307.692307692</v>
      </c>
      <c r="AS114" s="959">
        <f t="shared" si="261"/>
        <v>4577000</v>
      </c>
      <c r="AT114" s="959">
        <f t="shared" si="262"/>
        <v>2000000</v>
      </c>
      <c r="AU114" s="949"/>
      <c r="AV114" s="949"/>
      <c r="AW114" s="949"/>
      <c r="AY114" s="949"/>
      <c r="BG114" s="949"/>
      <c r="BK114" s="949"/>
      <c r="BL114" s="949"/>
    </row>
    <row r="115" spans="1:66" s="856" customFormat="1" ht="12.75">
      <c r="A115" s="895">
        <v>9</v>
      </c>
      <c r="B115" s="133" t="s">
        <v>443</v>
      </c>
      <c r="C115" s="124" t="s">
        <v>444</v>
      </c>
      <c r="D115" s="1005" t="s">
        <v>114</v>
      </c>
      <c r="E115" s="904">
        <v>43248</v>
      </c>
      <c r="F115" s="897">
        <v>2</v>
      </c>
      <c r="G115" s="106">
        <f t="shared" ref="G115:G122" si="263">DATEDIF(E115,$J$3,"y")</f>
        <v>1</v>
      </c>
      <c r="H115" s="106">
        <f t="shared" ref="H115:H122" si="264">DATEDIF(E115,$J$3,"ym")</f>
        <v>2</v>
      </c>
      <c r="I115" s="17">
        <f t="shared" ref="I115:I122" si="265">DATEDIF(E115,$J$3,"md")</f>
        <v>28</v>
      </c>
      <c r="J115" s="17">
        <f>VLOOKUP(D115,'THANG B.LUONG'!$B$5:$I$511,F115+1,0)</f>
        <v>6950</v>
      </c>
      <c r="K115" s="17">
        <v>200</v>
      </c>
      <c r="L115" s="17">
        <v>0</v>
      </c>
      <c r="M115" s="17">
        <f t="shared" si="256"/>
        <v>0</v>
      </c>
      <c r="N115" s="17">
        <v>0</v>
      </c>
      <c r="O115" s="17">
        <v>0</v>
      </c>
      <c r="P115" s="17">
        <v>0</v>
      </c>
      <c r="Q115" s="17">
        <v>0</v>
      </c>
      <c r="R115" s="17">
        <v>0</v>
      </c>
      <c r="S115" s="17">
        <v>0</v>
      </c>
      <c r="T115" s="17">
        <v>0</v>
      </c>
      <c r="U115" s="17">
        <v>0</v>
      </c>
      <c r="V115" s="17">
        <f t="shared" ref="V115:V122" si="266">SUM(J115:U115)-P115</f>
        <v>7150</v>
      </c>
      <c r="W115" s="1016">
        <f>VLOOKUP(B115,'Cham cong'!$B$9:$BY$275,35,0)</f>
        <v>26</v>
      </c>
      <c r="X115" s="17">
        <f>VLOOKUP(B115,'Cham cong'!$B$9:$BY$275,37,0)</f>
        <v>0</v>
      </c>
      <c r="Y115" s="17">
        <f>VLOOKUP(B115,'Cham cong'!$B$9:$BY$275,38,0)</f>
        <v>1</v>
      </c>
      <c r="Z115" s="17">
        <f>VLOOKUP(B115,'Cham cong'!$B$9:$BY$275,72,0)</f>
        <v>0</v>
      </c>
      <c r="AA115" s="17">
        <f>VLOOKUP(B115,'Cham cong'!$B$9:$BY$275,71,0)</f>
        <v>0</v>
      </c>
      <c r="AB115" s="17">
        <f>VLOOKUP(B115,'Cham cong'!$B$9:$BY$275,36,0)</f>
        <v>0</v>
      </c>
      <c r="AC115" s="17"/>
      <c r="AD115" s="17"/>
      <c r="AE115" s="17"/>
      <c r="AF115" s="17"/>
      <c r="AG115" s="17"/>
      <c r="AH115" s="17"/>
      <c r="AI115" s="17"/>
      <c r="AJ115" s="17"/>
      <c r="AK115" s="927">
        <f>V115/'Cham cong'!$AS$3*(W115+Z115/8*2+AA115/8*1.5+AB115*3)+J115/'Cham cong'!$AS$3*(X115+Y115)+AC115+P115+AE115+AG115+AH115+AI115+AJ115</f>
        <v>7417.3076923076924</v>
      </c>
      <c r="AL115" s="17">
        <f t="shared" ref="AL115:AL122" si="267">AM115*$AN$3</f>
        <v>480.58499999999998</v>
      </c>
      <c r="AM115" s="946">
        <v>4577</v>
      </c>
      <c r="AN115" s="1303">
        <f>VLOOKUP(B115,'Cham cong'!$B$9:$BY$275,75,0)</f>
        <v>3000</v>
      </c>
      <c r="AO115" s="938"/>
      <c r="AP115" s="962">
        <f t="shared" ref="AP115:AP122" si="268">ROUND(AK115-AL115-AN115+AO115,-1)</f>
        <v>3940</v>
      </c>
      <c r="AR115" s="1053">
        <f t="shared" si="260"/>
        <v>7417307.692307692</v>
      </c>
      <c r="AS115" s="959">
        <f t="shared" si="261"/>
        <v>4577000</v>
      </c>
      <c r="AT115" s="959">
        <f t="shared" si="262"/>
        <v>3000000</v>
      </c>
      <c r="AU115" s="949"/>
      <c r="AV115" s="949"/>
      <c r="AW115" s="949"/>
      <c r="AY115" s="949">
        <v>874915.65578327503</v>
      </c>
      <c r="BG115" s="949"/>
      <c r="BK115" s="949"/>
      <c r="BL115" s="949"/>
    </row>
    <row r="116" spans="1:66" s="856" customFormat="1" ht="12.75">
      <c r="A116" s="1006">
        <v>10</v>
      </c>
      <c r="B116" s="133" t="s">
        <v>445</v>
      </c>
      <c r="C116" s="124" t="s">
        <v>446</v>
      </c>
      <c r="D116" s="1005" t="s">
        <v>114</v>
      </c>
      <c r="E116" s="904">
        <v>42422</v>
      </c>
      <c r="F116" s="897">
        <v>2</v>
      </c>
      <c r="G116" s="106">
        <f t="shared" si="263"/>
        <v>3</v>
      </c>
      <c r="H116" s="106">
        <f t="shared" si="264"/>
        <v>6</v>
      </c>
      <c r="I116" s="17">
        <f t="shared" si="265"/>
        <v>3</v>
      </c>
      <c r="J116" s="17">
        <f>VLOOKUP(D116,'THANG B.LUONG'!$B$5:$I$511,F116+1,0)</f>
        <v>6950</v>
      </c>
      <c r="K116" s="17">
        <v>200</v>
      </c>
      <c r="L116" s="17">
        <v>0</v>
      </c>
      <c r="M116" s="17">
        <f t="shared" si="256"/>
        <v>208.5</v>
      </c>
      <c r="N116" s="17">
        <v>0</v>
      </c>
      <c r="O116" s="17">
        <v>0</v>
      </c>
      <c r="P116" s="17">
        <v>0</v>
      </c>
      <c r="Q116" s="17">
        <v>0</v>
      </c>
      <c r="R116" s="17">
        <v>0</v>
      </c>
      <c r="S116" s="17">
        <v>0</v>
      </c>
      <c r="T116" s="17">
        <v>0</v>
      </c>
      <c r="U116" s="17">
        <v>0</v>
      </c>
      <c r="V116" s="17">
        <f t="shared" si="266"/>
        <v>7358.5</v>
      </c>
      <c r="W116" s="1016">
        <f>VLOOKUP(B116,'Cham cong'!$B$9:$BY$275,35,0)</f>
        <v>26</v>
      </c>
      <c r="X116" s="17">
        <f>VLOOKUP(B116,'Cham cong'!$B$9:$BY$275,37,0)</f>
        <v>0</v>
      </c>
      <c r="Y116" s="17">
        <f>VLOOKUP(B116,'Cham cong'!$B$9:$BY$275,38,0)</f>
        <v>1</v>
      </c>
      <c r="Z116" s="17">
        <f>VLOOKUP(B116,'Cham cong'!$B$9:$BY$275,72,0)</f>
        <v>0</v>
      </c>
      <c r="AA116" s="17">
        <f>VLOOKUP(B116,'Cham cong'!$B$9:$BY$275,71,0)</f>
        <v>0</v>
      </c>
      <c r="AB116" s="17">
        <f>VLOOKUP(B116,'Cham cong'!$B$9:$BY$275,36,0)</f>
        <v>0</v>
      </c>
      <c r="AC116" s="17"/>
      <c r="AD116" s="17"/>
      <c r="AE116" s="17"/>
      <c r="AF116" s="17"/>
      <c r="AG116" s="17"/>
      <c r="AH116" s="17"/>
      <c r="AI116" s="17"/>
      <c r="AJ116" s="17"/>
      <c r="AK116" s="927">
        <f>V116/'Cham cong'!$AS$3*(W116+Z116/8*2+AA116/8*1.5+AB116*3)+J116/'Cham cong'!$AS$3*(X116+Y116)+AC116+P116+AE116+AG116+AH116+AI116+AJ116</f>
        <v>7625.8076923076924</v>
      </c>
      <c r="AL116" s="17">
        <f t="shared" si="267"/>
        <v>480.58499999999998</v>
      </c>
      <c r="AM116" s="940">
        <v>4577</v>
      </c>
      <c r="AN116" s="1303">
        <f>VLOOKUP(B116,'Cham cong'!$B$9:$BY$275,75,0)</f>
        <v>2000</v>
      </c>
      <c r="AO116" s="938"/>
      <c r="AP116" s="962">
        <f t="shared" si="268"/>
        <v>5150</v>
      </c>
      <c r="AQ116" s="856">
        <v>3310</v>
      </c>
      <c r="AR116" s="1053">
        <f t="shared" si="260"/>
        <v>7625807.692307692</v>
      </c>
      <c r="AS116" s="959">
        <f t="shared" si="261"/>
        <v>4577000</v>
      </c>
      <c r="AT116" s="959">
        <f t="shared" si="262"/>
        <v>2000000</v>
      </c>
      <c r="AU116" s="949"/>
      <c r="AV116" s="949"/>
      <c r="AW116" s="949"/>
      <c r="AY116" s="949">
        <v>1158882.2260617099</v>
      </c>
      <c r="BG116" s="949"/>
      <c r="BK116" s="949"/>
      <c r="BL116" s="949"/>
    </row>
    <row r="117" spans="1:66" s="856" customFormat="1" ht="12.75">
      <c r="A117" s="1006">
        <v>11</v>
      </c>
      <c r="B117" s="133" t="s">
        <v>447</v>
      </c>
      <c r="C117" s="1007" t="s">
        <v>448</v>
      </c>
      <c r="D117" s="1005" t="s">
        <v>114</v>
      </c>
      <c r="E117" s="904">
        <v>42201</v>
      </c>
      <c r="F117" s="897">
        <v>2</v>
      </c>
      <c r="G117" s="106">
        <f t="shared" si="263"/>
        <v>4</v>
      </c>
      <c r="H117" s="106">
        <f t="shared" si="264"/>
        <v>1</v>
      </c>
      <c r="I117" s="17">
        <f t="shared" si="265"/>
        <v>9</v>
      </c>
      <c r="J117" s="17">
        <f>VLOOKUP(D117,'THANG B.LUONG'!$B$5:$I$511,F117+1,0)</f>
        <v>6950</v>
      </c>
      <c r="K117" s="17">
        <v>200</v>
      </c>
      <c r="L117" s="17">
        <v>0</v>
      </c>
      <c r="M117" s="17">
        <f t="shared" si="256"/>
        <v>278</v>
      </c>
      <c r="N117" s="17">
        <v>0</v>
      </c>
      <c r="O117" s="17">
        <v>0</v>
      </c>
      <c r="P117" s="17">
        <v>0</v>
      </c>
      <c r="Q117" s="17">
        <v>0</v>
      </c>
      <c r="R117" s="17">
        <v>0</v>
      </c>
      <c r="S117" s="17">
        <v>0</v>
      </c>
      <c r="T117" s="17">
        <v>0</v>
      </c>
      <c r="U117" s="17">
        <v>0</v>
      </c>
      <c r="V117" s="17">
        <f t="shared" si="266"/>
        <v>7428</v>
      </c>
      <c r="W117" s="1016">
        <f>VLOOKUP(B117,'Cham cong'!$B$9:$BY$275,35,0)</f>
        <v>26</v>
      </c>
      <c r="X117" s="17">
        <f>VLOOKUP(B117,'Cham cong'!$B$9:$BY$275,37,0)</f>
        <v>0</v>
      </c>
      <c r="Y117" s="17">
        <f>VLOOKUP(B117,'Cham cong'!$B$9:$BY$275,38,0)</f>
        <v>1</v>
      </c>
      <c r="Z117" s="17">
        <f>VLOOKUP(B117,'Cham cong'!$B$9:$BY$275,72,0)</f>
        <v>0</v>
      </c>
      <c r="AA117" s="17">
        <f>VLOOKUP(B117,'Cham cong'!$B$9:$BY$275,71,0)</f>
        <v>0</v>
      </c>
      <c r="AB117" s="17">
        <f>VLOOKUP(B117,'Cham cong'!$B$9:$BY$275,36,0)</f>
        <v>0</v>
      </c>
      <c r="AC117" s="17"/>
      <c r="AD117" s="17"/>
      <c r="AE117" s="17"/>
      <c r="AF117" s="17"/>
      <c r="AG117" s="17"/>
      <c r="AH117" s="17"/>
      <c r="AI117" s="17"/>
      <c r="AJ117" s="17"/>
      <c r="AK117" s="927">
        <f>V117/'Cham cong'!$AS$3*(W117+Z117/8*2+AA117/8*1.5+AB117*3)+J117/'Cham cong'!$AS$3*(X117+Y117)+AC117+P117+AE117+AG117+AH117+AI117+AJ117</f>
        <v>7695.3076923076924</v>
      </c>
      <c r="AL117" s="17">
        <f t="shared" si="267"/>
        <v>480.58499999999998</v>
      </c>
      <c r="AM117" s="940">
        <v>4577</v>
      </c>
      <c r="AN117" s="1303">
        <f>VLOOKUP(B117,'Cham cong'!$B$9:$BY$275,75,0)</f>
        <v>4000</v>
      </c>
      <c r="AO117" s="938"/>
      <c r="AP117" s="962">
        <f t="shared" si="268"/>
        <v>3210</v>
      </c>
      <c r="AR117" s="1053">
        <f t="shared" si="260"/>
        <v>7695307.692307692</v>
      </c>
      <c r="AS117" s="959">
        <f t="shared" si="261"/>
        <v>4577000</v>
      </c>
      <c r="AT117" s="959">
        <f t="shared" si="262"/>
        <v>4000000</v>
      </c>
      <c r="AU117" s="949"/>
      <c r="AV117" s="949"/>
      <c r="AW117" s="949"/>
      <c r="AY117" s="949">
        <v>492260.64155659598</v>
      </c>
      <c r="BG117" s="949"/>
      <c r="BK117" s="949"/>
      <c r="BL117" s="949"/>
    </row>
    <row r="118" spans="1:66" s="864" customFormat="1" ht="12.75">
      <c r="A118" s="895">
        <v>3</v>
      </c>
      <c r="B118" s="1262" t="s">
        <v>449</v>
      </c>
      <c r="C118" s="1008" t="s">
        <v>450</v>
      </c>
      <c r="D118" s="1009" t="s">
        <v>114</v>
      </c>
      <c r="E118" s="1010">
        <v>42789</v>
      </c>
      <c r="F118" s="993">
        <v>2</v>
      </c>
      <c r="G118" s="994">
        <f t="shared" si="263"/>
        <v>2</v>
      </c>
      <c r="H118" s="994">
        <f t="shared" si="264"/>
        <v>6</v>
      </c>
      <c r="I118" s="1013">
        <f t="shared" si="265"/>
        <v>2</v>
      </c>
      <c r="J118" s="1013">
        <f>VLOOKUP(D118,'THANG B.LUONG'!$B$5:$I$511,F118+1,0)</f>
        <v>6950</v>
      </c>
      <c r="K118" s="1013">
        <v>200</v>
      </c>
      <c r="L118" s="1013">
        <v>0</v>
      </c>
      <c r="M118" s="1013">
        <f t="shared" si="256"/>
        <v>0</v>
      </c>
      <c r="N118" s="1013">
        <v>0</v>
      </c>
      <c r="O118" s="1013">
        <v>0</v>
      </c>
      <c r="P118" s="1013">
        <v>0</v>
      </c>
      <c r="Q118" s="1013">
        <v>0</v>
      </c>
      <c r="R118" s="1013">
        <v>0</v>
      </c>
      <c r="S118" s="1013">
        <v>0</v>
      </c>
      <c r="T118" s="1013">
        <v>0</v>
      </c>
      <c r="U118" s="1013">
        <v>0</v>
      </c>
      <c r="V118" s="1013">
        <f t="shared" si="266"/>
        <v>7150</v>
      </c>
      <c r="W118" s="1016">
        <f>VLOOKUP(B118,'Cham cong'!$B$9:$BY$275,35,0)</f>
        <v>26</v>
      </c>
      <c r="X118" s="17">
        <f>VLOOKUP(B118,'Cham cong'!$B$9:$BY$275,37,0)</f>
        <v>0</v>
      </c>
      <c r="Y118" s="17">
        <f>VLOOKUP(B118,'Cham cong'!$B$9:$BY$275,38,0)</f>
        <v>1</v>
      </c>
      <c r="Z118" s="17">
        <f>VLOOKUP(B118,'Cham cong'!$B$9:$BY$275,72,0)</f>
        <v>0</v>
      </c>
      <c r="AA118" s="17">
        <f>VLOOKUP(B118,'Cham cong'!$B$9:$BY$275,71,0)</f>
        <v>0</v>
      </c>
      <c r="AB118" s="17">
        <f>VLOOKUP(B118,'Cham cong'!$B$9:$BY$275,36,0)</f>
        <v>0</v>
      </c>
      <c r="AC118" s="1013"/>
      <c r="AD118" s="1013"/>
      <c r="AE118" s="1013"/>
      <c r="AF118" s="1013"/>
      <c r="AG118" s="1013"/>
      <c r="AH118" s="1013"/>
      <c r="AI118" s="1013"/>
      <c r="AJ118" s="1013"/>
      <c r="AK118" s="1024">
        <f>V118/'Cham cong'!$AS$3*(W118+Z118/8*2+AA118/8*1.5+AB118*3)+J118/'Cham cong'!$AS$3*(X118+Y118)+AC118+P118+AE118+AG118+AH118+AI118+AJ118</f>
        <v>7417.3076923076924</v>
      </c>
      <c r="AL118" s="1028">
        <f t="shared" si="267"/>
        <v>480.58499999999998</v>
      </c>
      <c r="AM118" s="940">
        <v>4577</v>
      </c>
      <c r="AN118" s="1303">
        <f>VLOOKUP(B118,'Cham cong'!$B$9:$BY$275,75,0)</f>
        <v>4000</v>
      </c>
      <c r="AO118" s="938"/>
      <c r="AP118" s="1042">
        <f t="shared" si="268"/>
        <v>2940</v>
      </c>
      <c r="AR118" s="1053">
        <f t="shared" si="260"/>
        <v>7417307.692307692</v>
      </c>
      <c r="AS118" s="959">
        <f t="shared" si="261"/>
        <v>4577000</v>
      </c>
      <c r="AT118" s="959">
        <f t="shared" si="262"/>
        <v>4000000</v>
      </c>
      <c r="AU118" s="1044"/>
      <c r="AV118" s="1044"/>
      <c r="AW118" s="1044"/>
      <c r="AY118" s="1044"/>
      <c r="BG118" s="1044"/>
      <c r="BK118" s="1044"/>
      <c r="BL118" s="1044"/>
    </row>
    <row r="119" spans="1:66" s="864" customFormat="1" ht="12.75">
      <c r="A119" s="1006">
        <v>4</v>
      </c>
      <c r="B119" s="1262" t="s">
        <v>451</v>
      </c>
      <c r="C119" s="1008" t="s">
        <v>452</v>
      </c>
      <c r="D119" s="1009" t="s">
        <v>114</v>
      </c>
      <c r="E119" s="1010">
        <v>42425</v>
      </c>
      <c r="F119" s="993">
        <v>2</v>
      </c>
      <c r="G119" s="994">
        <f t="shared" si="263"/>
        <v>3</v>
      </c>
      <c r="H119" s="994">
        <f t="shared" si="264"/>
        <v>6</v>
      </c>
      <c r="I119" s="1013">
        <f t="shared" si="265"/>
        <v>0</v>
      </c>
      <c r="J119" s="1013">
        <f>VLOOKUP(D119,'THANG B.LUONG'!$B$5:$I$511,F119+1,0)</f>
        <v>6950</v>
      </c>
      <c r="K119" s="1013">
        <v>200</v>
      </c>
      <c r="L119" s="1013">
        <v>0</v>
      </c>
      <c r="M119" s="1013">
        <f t="shared" si="256"/>
        <v>208.5</v>
      </c>
      <c r="N119" s="1013">
        <v>0</v>
      </c>
      <c r="O119" s="1013">
        <v>0</v>
      </c>
      <c r="P119" s="1013">
        <v>0</v>
      </c>
      <c r="Q119" s="1013">
        <v>0</v>
      </c>
      <c r="R119" s="1013">
        <v>0</v>
      </c>
      <c r="S119" s="1013">
        <v>0</v>
      </c>
      <c r="T119" s="1013">
        <v>0</v>
      </c>
      <c r="U119" s="1013">
        <v>0</v>
      </c>
      <c r="V119" s="1013">
        <f t="shared" si="266"/>
        <v>7358.5</v>
      </c>
      <c r="W119" s="1016">
        <f>VLOOKUP(B119,'Cham cong'!$B$9:$BY$275,35,0)</f>
        <v>26</v>
      </c>
      <c r="X119" s="17">
        <f>VLOOKUP(B119,'Cham cong'!$B$9:$BY$275,37,0)</f>
        <v>0</v>
      </c>
      <c r="Y119" s="17">
        <f>VLOOKUP(B119,'Cham cong'!$B$9:$BY$275,38,0)</f>
        <v>1</v>
      </c>
      <c r="Z119" s="17">
        <f>VLOOKUP(B119,'Cham cong'!$B$9:$BY$275,72,0)</f>
        <v>0</v>
      </c>
      <c r="AA119" s="17">
        <f>VLOOKUP(B119,'Cham cong'!$B$9:$BY$275,71,0)</f>
        <v>0</v>
      </c>
      <c r="AB119" s="17">
        <f>VLOOKUP(B119,'Cham cong'!$B$9:$BY$275,36,0)</f>
        <v>0</v>
      </c>
      <c r="AC119" s="1013"/>
      <c r="AD119" s="1013"/>
      <c r="AE119" s="1013"/>
      <c r="AF119" s="1013"/>
      <c r="AG119" s="1013"/>
      <c r="AH119" s="1013"/>
      <c r="AI119" s="1013"/>
      <c r="AJ119" s="1013"/>
      <c r="AK119" s="1024">
        <f>V119/'Cham cong'!$AS$3*(W119+Z119/8*2+AA119/8*1.5+AB119*3)+J119/'Cham cong'!$AS$3*(X119+Y119)+AC119+P119+AE119+AG119+AH119+AI119+AJ119</f>
        <v>7625.8076923076924</v>
      </c>
      <c r="AL119" s="1028">
        <f t="shared" si="267"/>
        <v>480.58499999999998</v>
      </c>
      <c r="AM119" s="940">
        <v>4577</v>
      </c>
      <c r="AN119" s="1303">
        <f>VLOOKUP(B119,'Cham cong'!$B$9:$BY$275,75,0)</f>
        <v>4000</v>
      </c>
      <c r="AO119" s="938"/>
      <c r="AP119" s="1042">
        <f t="shared" si="268"/>
        <v>3150</v>
      </c>
      <c r="AR119" s="1053">
        <f t="shared" si="260"/>
        <v>7625807.692307692</v>
      </c>
      <c r="AS119" s="959">
        <f t="shared" si="261"/>
        <v>4577000</v>
      </c>
      <c r="AT119" s="959">
        <f t="shared" si="262"/>
        <v>4000000</v>
      </c>
      <c r="AU119" s="1044"/>
      <c r="AV119" s="1044"/>
      <c r="AW119" s="1044"/>
      <c r="AY119" s="949">
        <v>392980.25945125299</v>
      </c>
      <c r="BG119" s="1044"/>
      <c r="BK119" s="1044"/>
      <c r="BL119" s="1044"/>
    </row>
    <row r="120" spans="1:66" s="856" customFormat="1" ht="12.75">
      <c r="A120" s="895">
        <v>12</v>
      </c>
      <c r="B120" s="133" t="s">
        <v>453</v>
      </c>
      <c r="C120" s="1007" t="s">
        <v>454</v>
      </c>
      <c r="D120" s="1005" t="s">
        <v>114</v>
      </c>
      <c r="E120" s="904">
        <v>42422</v>
      </c>
      <c r="F120" s="897">
        <v>2</v>
      </c>
      <c r="G120" s="106">
        <f t="shared" si="263"/>
        <v>3</v>
      </c>
      <c r="H120" s="106">
        <f t="shared" si="264"/>
        <v>6</v>
      </c>
      <c r="I120" s="17">
        <f t="shared" si="265"/>
        <v>3</v>
      </c>
      <c r="J120" s="17">
        <f>VLOOKUP(D120,'THANG B.LUONG'!$B$5:$I$511,F120+1,0)</f>
        <v>6950</v>
      </c>
      <c r="K120" s="17">
        <v>200</v>
      </c>
      <c r="L120" s="17">
        <v>0</v>
      </c>
      <c r="M120" s="17">
        <f t="shared" si="256"/>
        <v>208.5</v>
      </c>
      <c r="N120" s="17">
        <v>0</v>
      </c>
      <c r="O120" s="17">
        <v>0</v>
      </c>
      <c r="P120" s="17">
        <v>0</v>
      </c>
      <c r="Q120" s="17">
        <v>0</v>
      </c>
      <c r="R120" s="17">
        <v>0</v>
      </c>
      <c r="S120" s="17">
        <v>0</v>
      </c>
      <c r="T120" s="17">
        <v>0</v>
      </c>
      <c r="U120" s="17">
        <v>0</v>
      </c>
      <c r="V120" s="17">
        <f t="shared" si="266"/>
        <v>7358.5</v>
      </c>
      <c r="W120" s="1016">
        <f>VLOOKUP(B120,'Cham cong'!$B$9:$BY$275,35,0)</f>
        <v>26</v>
      </c>
      <c r="X120" s="17">
        <f>VLOOKUP(B120,'Cham cong'!$B$9:$BY$275,37,0)</f>
        <v>0</v>
      </c>
      <c r="Y120" s="17">
        <f>VLOOKUP(B120,'Cham cong'!$B$9:$BY$275,38,0)</f>
        <v>1</v>
      </c>
      <c r="Z120" s="17">
        <f>VLOOKUP(B120,'Cham cong'!$B$9:$BY$275,72,0)</f>
        <v>0</v>
      </c>
      <c r="AA120" s="17">
        <f>VLOOKUP(B120,'Cham cong'!$B$9:$BY$275,71,0)</f>
        <v>0</v>
      </c>
      <c r="AB120" s="17">
        <f>VLOOKUP(B120,'Cham cong'!$B$9:$BY$275,36,0)</f>
        <v>0</v>
      </c>
      <c r="AC120" s="17"/>
      <c r="AD120" s="17"/>
      <c r="AE120" s="17"/>
      <c r="AF120" s="17"/>
      <c r="AG120" s="17"/>
      <c r="AH120" s="17"/>
      <c r="AI120" s="17"/>
      <c r="AJ120" s="17"/>
      <c r="AK120" s="927">
        <f>V120/'Cham cong'!$AS$3*(W120+Z120/8*2+AA120/8*1.5+AB120*3)+J120/'Cham cong'!$AS$3*(X120+Y120)+AC120+P120+AE120+AG120+AH120+AI120+AJ120</f>
        <v>7625.8076923076924</v>
      </c>
      <c r="AL120" s="17">
        <f t="shared" si="267"/>
        <v>480.58499999999998</v>
      </c>
      <c r="AM120" s="940">
        <v>4577</v>
      </c>
      <c r="AN120" s="1303">
        <f>VLOOKUP(B120,'Cham cong'!$B$9:$BY$275,75,0)</f>
        <v>4000</v>
      </c>
      <c r="AO120" s="938"/>
      <c r="AP120" s="962">
        <f t="shared" si="268"/>
        <v>3150</v>
      </c>
      <c r="AR120" s="1053">
        <f t="shared" si="260"/>
        <v>7625807.692307692</v>
      </c>
      <c r="AS120" s="959">
        <f t="shared" si="261"/>
        <v>4577000</v>
      </c>
      <c r="AT120" s="959">
        <f t="shared" si="262"/>
        <v>4000000</v>
      </c>
      <c r="AU120" s="949"/>
      <c r="AV120" s="949"/>
      <c r="AW120" s="949"/>
      <c r="AY120" s="1044">
        <v>702441.37604831799</v>
      </c>
      <c r="BG120" s="949"/>
      <c r="BJ120" s="953">
        <f>AP120+155</f>
        <v>3305</v>
      </c>
      <c r="BK120" s="949"/>
      <c r="BL120" s="949"/>
      <c r="BN120" s="953">
        <f>AK120-AL120</f>
        <v>7145.2226923076923</v>
      </c>
    </row>
    <row r="121" spans="1:66" s="856" customFormat="1" ht="12.75">
      <c r="A121" s="1006">
        <v>13</v>
      </c>
      <c r="B121" s="133" t="s">
        <v>455</v>
      </c>
      <c r="C121" s="1007" t="s">
        <v>456</v>
      </c>
      <c r="D121" s="1005" t="s">
        <v>114</v>
      </c>
      <c r="E121" s="904">
        <v>40462</v>
      </c>
      <c r="F121" s="897">
        <v>2</v>
      </c>
      <c r="G121" s="106">
        <f t="shared" si="263"/>
        <v>8</v>
      </c>
      <c r="H121" s="106">
        <f t="shared" si="264"/>
        <v>10</v>
      </c>
      <c r="I121" s="17">
        <f t="shared" si="265"/>
        <v>14</v>
      </c>
      <c r="J121" s="17">
        <f>VLOOKUP(D121,'THANG B.LUONG'!$B$5:$I$511,F121+1,0)</f>
        <v>6950</v>
      </c>
      <c r="K121" s="17">
        <v>200</v>
      </c>
      <c r="L121" s="17">
        <v>0</v>
      </c>
      <c r="M121" s="17">
        <f t="shared" si="256"/>
        <v>556</v>
      </c>
      <c r="N121" s="17">
        <v>0</v>
      </c>
      <c r="O121" s="17">
        <v>0</v>
      </c>
      <c r="P121" s="17">
        <v>0</v>
      </c>
      <c r="Q121" s="17">
        <v>0</v>
      </c>
      <c r="R121" s="17">
        <v>0</v>
      </c>
      <c r="S121" s="17">
        <v>0</v>
      </c>
      <c r="T121" s="17">
        <v>0</v>
      </c>
      <c r="U121" s="17">
        <v>0</v>
      </c>
      <c r="V121" s="17">
        <f t="shared" si="266"/>
        <v>7706</v>
      </c>
      <c r="W121" s="1016">
        <f>VLOOKUP(B121,'Cham cong'!$B$9:$BY$275,35,0)</f>
        <v>26</v>
      </c>
      <c r="X121" s="17">
        <f>VLOOKUP(B121,'Cham cong'!$B$9:$BY$275,37,0)</f>
        <v>0</v>
      </c>
      <c r="Y121" s="17">
        <f>VLOOKUP(B121,'Cham cong'!$B$9:$BY$275,38,0)</f>
        <v>1</v>
      </c>
      <c r="Z121" s="17">
        <f>VLOOKUP(B121,'Cham cong'!$B$9:$BY$275,72,0)</f>
        <v>0</v>
      </c>
      <c r="AA121" s="17">
        <f>VLOOKUP(B121,'Cham cong'!$B$9:$BY$275,71,0)</f>
        <v>0</v>
      </c>
      <c r="AB121" s="17">
        <f>VLOOKUP(B121,'Cham cong'!$B$9:$BY$275,36,0)</f>
        <v>0</v>
      </c>
      <c r="AC121" s="17"/>
      <c r="AD121" s="17"/>
      <c r="AE121" s="17"/>
      <c r="AF121" s="17"/>
      <c r="AG121" s="17"/>
      <c r="AH121" s="17"/>
      <c r="AI121" s="17"/>
      <c r="AJ121" s="17"/>
      <c r="AK121" s="927">
        <f>V121/'Cham cong'!$AS$3*(W121+Z121/8*2+AA121/8*1.5+AB121*3)+J121/'Cham cong'!$AS$3*(X121+Y121)+AC121+P121+AE121+AG121+AH121+AI121+AJ121</f>
        <v>7973.3076923076915</v>
      </c>
      <c r="AL121" s="17">
        <f t="shared" si="267"/>
        <v>480.58499999999998</v>
      </c>
      <c r="AM121" s="940">
        <v>4577</v>
      </c>
      <c r="AN121" s="1303">
        <f>VLOOKUP(B121,'Cham cong'!$B$9:$BY$275,75,0)</f>
        <v>4000</v>
      </c>
      <c r="AO121" s="938"/>
      <c r="AP121" s="962">
        <f t="shared" si="268"/>
        <v>3490</v>
      </c>
      <c r="AR121" s="1053">
        <f t="shared" si="260"/>
        <v>7973307.6923076911</v>
      </c>
      <c r="AS121" s="959">
        <f t="shared" si="261"/>
        <v>4577000</v>
      </c>
      <c r="AT121" s="959">
        <f t="shared" si="262"/>
        <v>4000000</v>
      </c>
      <c r="AU121" s="949"/>
      <c r="AV121" s="949"/>
      <c r="AW121" s="949"/>
      <c r="AY121" s="949">
        <v>695045.90304477396</v>
      </c>
      <c r="BG121" s="949"/>
      <c r="BK121" s="949"/>
      <c r="BL121" s="949"/>
    </row>
    <row r="122" spans="1:66" s="856" customFormat="1" ht="12.75">
      <c r="A122" s="1006">
        <v>14</v>
      </c>
      <c r="B122" s="133" t="s">
        <v>457</v>
      </c>
      <c r="C122" s="1007" t="s">
        <v>458</v>
      </c>
      <c r="D122" s="1005" t="s">
        <v>114</v>
      </c>
      <c r="E122" s="904">
        <v>43232</v>
      </c>
      <c r="F122" s="897">
        <v>2</v>
      </c>
      <c r="G122" s="106">
        <f t="shared" si="263"/>
        <v>1</v>
      </c>
      <c r="H122" s="106">
        <f t="shared" si="264"/>
        <v>3</v>
      </c>
      <c r="I122" s="17">
        <f t="shared" si="265"/>
        <v>13</v>
      </c>
      <c r="J122" s="17">
        <f>VLOOKUP(D122,'THANG B.LUONG'!$B$5:$I$511,F122+1,0)</f>
        <v>6950</v>
      </c>
      <c r="K122" s="17">
        <v>200</v>
      </c>
      <c r="L122" s="17">
        <v>0</v>
      </c>
      <c r="M122" s="17">
        <f t="shared" si="256"/>
        <v>0</v>
      </c>
      <c r="N122" s="17">
        <v>0</v>
      </c>
      <c r="O122" s="17">
        <v>0</v>
      </c>
      <c r="P122" s="17">
        <v>0</v>
      </c>
      <c r="Q122" s="17">
        <v>0</v>
      </c>
      <c r="R122" s="17">
        <v>0</v>
      </c>
      <c r="S122" s="17">
        <v>0</v>
      </c>
      <c r="T122" s="17">
        <v>0</v>
      </c>
      <c r="U122" s="17">
        <v>0</v>
      </c>
      <c r="V122" s="17">
        <f t="shared" si="266"/>
        <v>7150</v>
      </c>
      <c r="W122" s="1016">
        <f>VLOOKUP(B122,'Cham cong'!$B$9:$BY$275,35,0)</f>
        <v>26</v>
      </c>
      <c r="X122" s="17">
        <f>VLOOKUP(B122,'Cham cong'!$B$9:$BY$275,37,0)</f>
        <v>0</v>
      </c>
      <c r="Y122" s="17">
        <f>VLOOKUP(B122,'Cham cong'!$B$9:$BY$275,38,0)</f>
        <v>1</v>
      </c>
      <c r="Z122" s="17">
        <f>VLOOKUP(B122,'Cham cong'!$B$9:$BY$275,72,0)</f>
        <v>0</v>
      </c>
      <c r="AA122" s="17">
        <f>VLOOKUP(B122,'Cham cong'!$B$9:$BY$275,71,0)</f>
        <v>0</v>
      </c>
      <c r="AB122" s="17">
        <f>VLOOKUP(B122,'Cham cong'!$B$9:$BY$275,36,0)</f>
        <v>0</v>
      </c>
      <c r="AC122" s="17"/>
      <c r="AD122" s="17"/>
      <c r="AE122" s="17"/>
      <c r="AF122" s="17"/>
      <c r="AG122" s="17"/>
      <c r="AH122" s="17"/>
      <c r="AI122" s="17"/>
      <c r="AJ122" s="17"/>
      <c r="AK122" s="927">
        <f>V122/'Cham cong'!$AS$3*(W122+Z122/8*2+AA122/8*1.5+AB122*3)+J122/'Cham cong'!$AS$3*(X122+Y122)+AC122+P122+AE122+AG122+AH122+AI122+AJ122</f>
        <v>7417.3076923076924</v>
      </c>
      <c r="AL122" s="17">
        <f t="shared" si="267"/>
        <v>480.58499999999998</v>
      </c>
      <c r="AM122" s="946">
        <v>4577</v>
      </c>
      <c r="AN122" s="1303">
        <f>VLOOKUP(B122,'Cham cong'!$B$9:$BY$275,75,0)</f>
        <v>3000</v>
      </c>
      <c r="AO122" s="938"/>
      <c r="AP122" s="962">
        <f t="shared" si="268"/>
        <v>3940</v>
      </c>
      <c r="AR122" s="1053">
        <f t="shared" si="260"/>
        <v>7417307.692307692</v>
      </c>
      <c r="AS122" s="959">
        <f t="shared" si="261"/>
        <v>4577000</v>
      </c>
      <c r="AT122" s="959">
        <f t="shared" si="262"/>
        <v>3000000</v>
      </c>
      <c r="AU122" s="949"/>
      <c r="AV122" s="949"/>
      <c r="AW122" s="949"/>
      <c r="AY122" s="949">
        <v>874915.65578327503</v>
      </c>
      <c r="BG122" s="949"/>
      <c r="BK122" s="949"/>
      <c r="BL122" s="949"/>
    </row>
    <row r="123" spans="1:66" s="856" customFormat="1">
      <c r="A123" s="898"/>
      <c r="B123" s="95"/>
      <c r="C123" s="96" t="s">
        <v>459</v>
      </c>
      <c r="D123" s="96"/>
      <c r="E123" s="899"/>
      <c r="F123" s="140"/>
      <c r="G123" s="140"/>
      <c r="H123" s="140"/>
      <c r="I123" s="140"/>
      <c r="J123" s="140"/>
      <c r="K123" s="140"/>
      <c r="L123" s="140"/>
      <c r="M123" s="140"/>
      <c r="N123" s="140"/>
      <c r="O123" s="140"/>
      <c r="P123" s="140"/>
      <c r="Q123" s="140"/>
      <c r="R123" s="140"/>
      <c r="S123" s="140"/>
      <c r="T123" s="140"/>
      <c r="U123" s="140"/>
      <c r="V123" s="140"/>
      <c r="W123" s="1021"/>
      <c r="X123" s="140"/>
      <c r="Y123" s="140"/>
      <c r="Z123" s="140"/>
      <c r="AA123" s="140"/>
      <c r="AB123" s="140"/>
      <c r="AC123" s="140"/>
      <c r="AD123" s="140"/>
      <c r="AE123" s="140"/>
      <c r="AF123" s="140"/>
      <c r="AG123" s="140"/>
      <c r="AH123" s="140"/>
      <c r="AI123" s="140"/>
      <c r="AJ123" s="140"/>
      <c r="AK123" s="937">
        <f>SUM(AK124)</f>
        <v>12755.384615384615</v>
      </c>
      <c r="AL123" s="937">
        <f t="shared" ref="AL123:AO123" si="269">SUM(AL124)</f>
        <v>535.5</v>
      </c>
      <c r="AM123" s="937">
        <f t="shared" si="269"/>
        <v>5100</v>
      </c>
      <c r="AN123" s="937">
        <f t="shared" si="269"/>
        <v>0</v>
      </c>
      <c r="AO123" s="937">
        <f t="shared" si="269"/>
        <v>0</v>
      </c>
      <c r="AP123" s="937">
        <f>SUM(AP124)</f>
        <v>12220</v>
      </c>
      <c r="AR123" s="1037">
        <f t="shared" ref="AR123:AR151" si="270">AK123*1000</f>
        <v>12755384.615384616</v>
      </c>
      <c r="AS123" s="953">
        <f t="shared" si="261"/>
        <v>5100000</v>
      </c>
      <c r="AT123" s="1038">
        <f t="shared" ref="AT123:AT128" si="271">AN123*1000</f>
        <v>0</v>
      </c>
      <c r="AU123" s="949"/>
      <c r="AV123" s="949"/>
      <c r="AW123" s="949"/>
      <c r="AY123" s="952">
        <f>SUM(AY115:AY122)</f>
        <v>5191441.7177292006</v>
      </c>
      <c r="BG123" s="949"/>
      <c r="BK123" s="949"/>
      <c r="BL123" s="949"/>
    </row>
    <row r="124" spans="1:66" s="856" customFormat="1">
      <c r="A124" s="1006">
        <v>1</v>
      </c>
      <c r="B124" s="133" t="s">
        <v>460</v>
      </c>
      <c r="C124" s="124" t="s">
        <v>461</v>
      </c>
      <c r="D124" s="106" t="str">
        <f>'THANG B.LUONG'!B231</f>
        <v>Trưởng BP An ninh</v>
      </c>
      <c r="E124" s="896">
        <v>43304</v>
      </c>
      <c r="F124" s="905">
        <v>3</v>
      </c>
      <c r="G124" s="106">
        <f>DATEDIF(E124,$J$3,"y")</f>
        <v>1</v>
      </c>
      <c r="H124" s="106">
        <f>DATEDIF(E124,$J$3,"ym")</f>
        <v>1</v>
      </c>
      <c r="I124" s="17">
        <f>DATEDIF(E124,$J$3,"md")</f>
        <v>2</v>
      </c>
      <c r="J124" s="17">
        <f>VLOOKUP(D124,'THANG B.LUONG'!$B$5:$I$511,F124+1,0)</f>
        <v>11320</v>
      </c>
      <c r="K124" s="17">
        <v>0</v>
      </c>
      <c r="L124" s="17">
        <v>500</v>
      </c>
      <c r="M124" s="17">
        <v>0</v>
      </c>
      <c r="N124" s="17">
        <v>0</v>
      </c>
      <c r="O124" s="17">
        <v>200</v>
      </c>
      <c r="P124" s="17">
        <v>300</v>
      </c>
      <c r="Q124" s="17">
        <v>0</v>
      </c>
      <c r="R124" s="17">
        <v>0</v>
      </c>
      <c r="S124" s="17">
        <v>0</v>
      </c>
      <c r="T124" s="17">
        <v>0</v>
      </c>
      <c r="U124" s="17">
        <v>0</v>
      </c>
      <c r="V124" s="17">
        <f t="shared" ref="V124:V129" si="272">SUM(J124:U124)-P124</f>
        <v>12020</v>
      </c>
      <c r="W124" s="1016">
        <f>VLOOKUP(B124,'Cham cong'!$B$9:$BY$275,35,0)</f>
        <v>26</v>
      </c>
      <c r="X124" s="17">
        <f>VLOOKUP(B124,'Cham cong'!$B$9:$BY$275,37,0)</f>
        <v>0</v>
      </c>
      <c r="Y124" s="17">
        <f>VLOOKUP(B124,'Cham cong'!$B$9:$BY$275,38,0)</f>
        <v>1</v>
      </c>
      <c r="Z124" s="17">
        <f>VLOOKUP(B124,'Cham cong'!$B$9:$BY$275,72,0)</f>
        <v>0</v>
      </c>
      <c r="AA124" s="17">
        <f>VLOOKUP(B124,'Cham cong'!$B$9:$BY$275,71,0)</f>
        <v>0</v>
      </c>
      <c r="AB124" s="17">
        <f>VLOOKUP(B124,'Cham cong'!$B$9:$BY$275,36,0)</f>
        <v>0</v>
      </c>
      <c r="AC124" s="17"/>
      <c r="AD124" s="17"/>
      <c r="AE124" s="17"/>
      <c r="AF124" s="17"/>
      <c r="AG124" s="17"/>
      <c r="AH124" s="17"/>
      <c r="AI124" s="17"/>
      <c r="AJ124" s="17"/>
      <c r="AK124" s="927">
        <f>V124/'Cham cong'!$AS$3*(W124+Z124/8*2+AA124/8*1.5+AB124*3)+J124/'Cham cong'!$AS$3*(X124+Y124)+AC124+P124+AE124+AG124+AH124+AI124+AJ124</f>
        <v>12755.384615384615</v>
      </c>
      <c r="AL124" s="17">
        <f>AM124*$AN$3</f>
        <v>535.5</v>
      </c>
      <c r="AM124" s="17">
        <v>5100</v>
      </c>
      <c r="AN124" s="938">
        <f>VLOOKUP(B124,'Cham cong'!$B$9:$BY$275,75,0)</f>
        <v>0</v>
      </c>
      <c r="AO124" s="938"/>
      <c r="AP124" s="950">
        <f t="shared" ref="AP124:AP130" si="273">ROUND(AK124-AL124-AN124+AO124,-1)</f>
        <v>12220</v>
      </c>
      <c r="AR124" s="951">
        <f t="shared" si="270"/>
        <v>12755384.615384616</v>
      </c>
      <c r="AS124" s="953">
        <f t="shared" si="261"/>
        <v>5100000</v>
      </c>
      <c r="AT124" s="856">
        <f t="shared" si="271"/>
        <v>0</v>
      </c>
      <c r="AU124" s="949"/>
      <c r="AV124" s="949"/>
      <c r="AW124" s="949"/>
      <c r="AY124" s="949"/>
      <c r="BA124" s="863"/>
      <c r="BB124" s="863"/>
      <c r="BC124" s="863"/>
      <c r="BD124" s="863"/>
      <c r="BE124" s="863"/>
      <c r="BG124" s="949"/>
      <c r="BK124" s="949"/>
      <c r="BL124" s="949"/>
    </row>
    <row r="125" spans="1:66" s="856" customFormat="1">
      <c r="A125" s="898"/>
      <c r="B125" s="95"/>
      <c r="C125" s="96" t="s">
        <v>462</v>
      </c>
      <c r="D125" s="96"/>
      <c r="E125" s="899"/>
      <c r="F125" s="140"/>
      <c r="G125" s="140"/>
      <c r="H125" s="140"/>
      <c r="I125" s="140"/>
      <c r="J125" s="140"/>
      <c r="K125" s="140"/>
      <c r="L125" s="140"/>
      <c r="M125" s="140"/>
      <c r="N125" s="140"/>
      <c r="O125" s="140"/>
      <c r="P125" s="140"/>
      <c r="Q125" s="140"/>
      <c r="R125" s="140"/>
      <c r="S125" s="140"/>
      <c r="T125" s="140"/>
      <c r="U125" s="140"/>
      <c r="V125" s="140"/>
      <c r="W125" s="1021"/>
      <c r="X125" s="140"/>
      <c r="Y125" s="140"/>
      <c r="Z125" s="140"/>
      <c r="AA125" s="140"/>
      <c r="AB125" s="140"/>
      <c r="AC125" s="140"/>
      <c r="AD125" s="140"/>
      <c r="AE125" s="140"/>
      <c r="AF125" s="140"/>
      <c r="AG125" s="140"/>
      <c r="AH125" s="140"/>
      <c r="AI125" s="140"/>
      <c r="AJ125" s="140"/>
      <c r="AK125" s="937">
        <f>SUM(AK126:AK127)</f>
        <v>24209.134615384617</v>
      </c>
      <c r="AL125" s="937">
        <f t="shared" ref="AL125:AO125" si="274">SUM(AL126:AL127)</f>
        <v>1071</v>
      </c>
      <c r="AM125" s="937">
        <f t="shared" si="274"/>
        <v>10200</v>
      </c>
      <c r="AN125" s="937">
        <f t="shared" si="274"/>
        <v>4000</v>
      </c>
      <c r="AO125" s="937">
        <f t="shared" si="274"/>
        <v>0</v>
      </c>
      <c r="AP125" s="937">
        <f>SUM(AP126:AP127)</f>
        <v>19140</v>
      </c>
      <c r="AR125" s="1037">
        <f t="shared" si="270"/>
        <v>24209134.615384616</v>
      </c>
      <c r="AS125" s="953">
        <f t="shared" si="261"/>
        <v>10200000</v>
      </c>
      <c r="AT125" s="1038">
        <f t="shared" si="271"/>
        <v>4000000</v>
      </c>
      <c r="AU125" s="949"/>
      <c r="AV125" s="949"/>
      <c r="AW125" s="949"/>
      <c r="AY125" s="949"/>
      <c r="BG125" s="949"/>
      <c r="BK125" s="949"/>
      <c r="BL125" s="949"/>
    </row>
    <row r="126" spans="1:66" s="1314" customFormat="1" ht="13.5" customHeight="1">
      <c r="A126" s="1291">
        <v>1</v>
      </c>
      <c r="B126" s="1292" t="s">
        <v>470</v>
      </c>
      <c r="C126" s="1319" t="s">
        <v>471</v>
      </c>
      <c r="D126" s="1311" t="str">
        <f>'THANG B.LUONG'!B192</f>
        <v>Trưởng BP Cây xanh - vệ sinh</v>
      </c>
      <c r="E126" s="1312">
        <v>42969</v>
      </c>
      <c r="F126" s="1313">
        <v>1</v>
      </c>
      <c r="G126" s="1311">
        <f>DATEDIF(E126,$J$3,"y")</f>
        <v>2</v>
      </c>
      <c r="H126" s="1311">
        <f>DATEDIF(E126,$J$3,"ym")</f>
        <v>0</v>
      </c>
      <c r="I126" s="1300">
        <f>DATEDIF(E126,$J$3,"md")</f>
        <v>3</v>
      </c>
      <c r="J126" s="1300">
        <f>VLOOKUP(D126,'THANG B.LUONG'!$B$5:$I$511,F126+1,0)</f>
        <v>11370</v>
      </c>
      <c r="K126" s="1300">
        <v>0</v>
      </c>
      <c r="L126" s="1300">
        <v>500</v>
      </c>
      <c r="M126" s="1300">
        <f>IF(G126&gt;=3,J126*(0.03+(G126-3)*0.01),0)</f>
        <v>0</v>
      </c>
      <c r="N126" s="1300">
        <v>0</v>
      </c>
      <c r="O126" s="1300">
        <v>200</v>
      </c>
      <c r="P126" s="1300">
        <v>300</v>
      </c>
      <c r="Q126" s="1300">
        <v>0</v>
      </c>
      <c r="R126" s="1300">
        <v>0</v>
      </c>
      <c r="S126" s="1300">
        <v>0</v>
      </c>
      <c r="T126" s="1300">
        <v>0</v>
      </c>
      <c r="U126" s="1300"/>
      <c r="V126" s="1300">
        <f>SUM(J126:U126)-P126</f>
        <v>12070</v>
      </c>
      <c r="W126" s="1299">
        <f>VLOOKUP(B126,'Cham cong'!$B$9:$BY$275,35,0)</f>
        <v>26</v>
      </c>
      <c r="X126" s="1300">
        <f>VLOOKUP(B126,'Cham cong'!$B$9:$BY$275,37,0)</f>
        <v>0</v>
      </c>
      <c r="Y126" s="1300">
        <f>VLOOKUP(B126,'Cham cong'!$B$9:$BY$275,38,0)</f>
        <v>1</v>
      </c>
      <c r="Z126" s="1300">
        <f>VLOOKUP(B126,'Cham cong'!$B$9:$BY$275,72,0)</f>
        <v>33</v>
      </c>
      <c r="AA126" s="1300">
        <f>VLOOKUP(B126,'Cham cong'!$B$9:$BY$275,71,0)</f>
        <v>0</v>
      </c>
      <c r="AB126" s="1300">
        <f>VLOOKUP(B126,'Cham cong'!$B$9:$BY$275,36,0)</f>
        <v>0</v>
      </c>
      <c r="AC126" s="1300"/>
      <c r="AD126" s="1300"/>
      <c r="AE126" s="1300"/>
      <c r="AF126" s="1300"/>
      <c r="AG126" s="1300"/>
      <c r="AH126" s="1300"/>
      <c r="AI126" s="1300"/>
      <c r="AJ126" s="1298"/>
      <c r="AK126" s="1298">
        <f>V126/'Cham cong'!$AS$3*(W126+Z126/8*2+AA126/8*1.5+AB126*3)+J126/'Cham cong'!$AS$3*(X126+Y126)+AC126+P126+AE126+AG126+AH126+AI126+AJ126</f>
        <v>16637.211538461539</v>
      </c>
      <c r="AL126" s="1300">
        <f>AM126*$AN$3</f>
        <v>535.5</v>
      </c>
      <c r="AM126" s="1300">
        <v>5100</v>
      </c>
      <c r="AN126" s="1303">
        <f>VLOOKUP(B126,'Cham cong'!$B$9:$BY$275,75,0)</f>
        <v>0</v>
      </c>
      <c r="AO126" s="1303"/>
      <c r="AP126" s="1304">
        <f>ROUND(AK126-AL126-AN126+AO126,-1)</f>
        <v>16100</v>
      </c>
      <c r="AR126" s="1306">
        <f>AK126*1000</f>
        <v>16637211.53846154</v>
      </c>
      <c r="AS126" s="1316">
        <f>AM126*1000</f>
        <v>5100000</v>
      </c>
      <c r="AT126" s="1314">
        <f>AN126*1000</f>
        <v>0</v>
      </c>
      <c r="AU126" s="1318"/>
      <c r="AV126" s="1318"/>
      <c r="AW126" s="1318"/>
      <c r="AY126" s="1318"/>
      <c r="BG126" s="1318"/>
      <c r="BK126" s="1318"/>
      <c r="BL126" s="1318"/>
    </row>
    <row r="127" spans="1:66" s="1314" customFormat="1" ht="13.5" customHeight="1">
      <c r="A127" s="1291">
        <v>1</v>
      </c>
      <c r="B127" s="1292" t="s">
        <v>463</v>
      </c>
      <c r="C127" s="1319" t="s">
        <v>464</v>
      </c>
      <c r="D127" s="1311" t="str">
        <f>'THANG B.LUONG'!B193</f>
        <v>Tổ trưởng CX - VSCN</v>
      </c>
      <c r="E127" s="1312">
        <v>43213</v>
      </c>
      <c r="F127" s="1313">
        <v>6</v>
      </c>
      <c r="G127" s="1311">
        <f>DATEDIF(E127,$J$3,"y")</f>
        <v>1</v>
      </c>
      <c r="H127" s="1311">
        <f>DATEDIF(E127,$J$3,"ym")</f>
        <v>4</v>
      </c>
      <c r="I127" s="1300">
        <f>DATEDIF(E127,$J$3,"md")</f>
        <v>2</v>
      </c>
      <c r="J127" s="1300">
        <f>'THANG B.LUONG'!H121</f>
        <v>6810</v>
      </c>
      <c r="K127" s="1300">
        <v>0</v>
      </c>
      <c r="L127" s="1300">
        <v>0</v>
      </c>
      <c r="M127" s="1300">
        <f>IF(G127&gt;=3,J127*(0.03+(G127-3)*0.01),0)</f>
        <v>0</v>
      </c>
      <c r="N127" s="1300">
        <v>0</v>
      </c>
      <c r="O127" s="1300">
        <v>200</v>
      </c>
      <c r="P127" s="1300">
        <v>300</v>
      </c>
      <c r="Q127" s="1300">
        <v>0</v>
      </c>
      <c r="R127" s="1300">
        <v>0</v>
      </c>
      <c r="S127" s="1300">
        <v>0</v>
      </c>
      <c r="T127" s="1300">
        <v>0</v>
      </c>
      <c r="U127" s="1300"/>
      <c r="V127" s="1300">
        <f t="shared" si="272"/>
        <v>7010</v>
      </c>
      <c r="W127" s="1299">
        <f>VLOOKUP(B127,'Cham cong'!$B$9:$BY$275,35,0)</f>
        <v>26</v>
      </c>
      <c r="X127" s="1300">
        <f>VLOOKUP(B127,'Cham cong'!$B$9:$BY$275,37,0)</f>
        <v>0</v>
      </c>
      <c r="Y127" s="1300">
        <f>VLOOKUP(B127,'Cham cong'!$B$9:$BY$275,38,0)</f>
        <v>1</v>
      </c>
      <c r="Z127" s="1300">
        <f>VLOOKUP(B127,'Cham cong'!$B$9:$BY$275,72,0)</f>
        <v>0</v>
      </c>
      <c r="AA127" s="1300">
        <f>VLOOKUP(B127,'Cham cong'!$B$9:$BY$275,71,0)</f>
        <v>0</v>
      </c>
      <c r="AB127" s="1300">
        <f>VLOOKUP(B127,'Cham cong'!$B$9:$BY$275,36,0)</f>
        <v>0</v>
      </c>
      <c r="AC127" s="1300"/>
      <c r="AD127" s="1300"/>
      <c r="AE127" s="1300"/>
      <c r="AF127" s="1300"/>
      <c r="AG127" s="1300"/>
      <c r="AH127" s="1300"/>
      <c r="AI127" s="1300"/>
      <c r="AJ127" s="1298"/>
      <c r="AK127" s="1298">
        <f>V127/'Cham cong'!$AS$3*(W127+Z127/8*2+AA127/8*1.5+AB127*3)+J127/'Cham cong'!$AS$3*(X127+Y127)+AC127+P127+AE127+AG127+AH127+AI127+AJ127</f>
        <v>7571.923076923078</v>
      </c>
      <c r="AL127" s="1300">
        <f>AM127*$AN$3</f>
        <v>535.5</v>
      </c>
      <c r="AM127" s="1300">
        <v>5100</v>
      </c>
      <c r="AN127" s="1303">
        <f>VLOOKUP(B127,'Cham cong'!$B$9:$BY$275,75,0)</f>
        <v>4000</v>
      </c>
      <c r="AO127" s="1303"/>
      <c r="AP127" s="1304">
        <f t="shared" si="273"/>
        <v>3040</v>
      </c>
      <c r="AR127" s="1306">
        <f t="shared" si="270"/>
        <v>7571923.0769230779</v>
      </c>
      <c r="AS127" s="1316">
        <f t="shared" si="261"/>
        <v>5100000</v>
      </c>
      <c r="AT127" s="1314">
        <f t="shared" si="271"/>
        <v>4000000</v>
      </c>
      <c r="AU127" s="1318"/>
      <c r="AV127" s="1318"/>
      <c r="AW127" s="1318"/>
      <c r="AY127" s="1318"/>
      <c r="BG127" s="1318"/>
      <c r="BK127" s="1318"/>
      <c r="BL127" s="1318"/>
    </row>
    <row r="128" spans="1:66" s="856" customFormat="1">
      <c r="A128" s="898"/>
      <c r="B128" s="95"/>
      <c r="C128" s="96" t="s">
        <v>465</v>
      </c>
      <c r="D128" s="96"/>
      <c r="E128" s="899"/>
      <c r="F128" s="140"/>
      <c r="G128" s="140"/>
      <c r="H128" s="140"/>
      <c r="I128" s="140"/>
      <c r="J128" s="140"/>
      <c r="K128" s="140"/>
      <c r="L128" s="140"/>
      <c r="M128" s="140"/>
      <c r="N128" s="140"/>
      <c r="O128" s="140"/>
      <c r="P128" s="140"/>
      <c r="Q128" s="140"/>
      <c r="R128" s="140"/>
      <c r="S128" s="140"/>
      <c r="T128" s="140"/>
      <c r="U128" s="140"/>
      <c r="V128" s="140"/>
      <c r="W128" s="1021"/>
      <c r="X128" s="140"/>
      <c r="Y128" s="140"/>
      <c r="Z128" s="140"/>
      <c r="AA128" s="140"/>
      <c r="AB128" s="140"/>
      <c r="AC128" s="140"/>
      <c r="AD128" s="140"/>
      <c r="AE128" s="140"/>
      <c r="AF128" s="140"/>
      <c r="AG128" s="140"/>
      <c r="AH128" s="140"/>
      <c r="AI128" s="140"/>
      <c r="AJ128" s="140"/>
      <c r="AK128" s="937">
        <f>SUM(AK129:AK130)</f>
        <v>22975.476923076923</v>
      </c>
      <c r="AL128" s="937">
        <f t="shared" ref="AL128:AO128" si="275">SUM(AL129:AL130)</f>
        <v>535.5</v>
      </c>
      <c r="AM128" s="937">
        <f t="shared" si="275"/>
        <v>5100</v>
      </c>
      <c r="AN128" s="937">
        <f t="shared" si="275"/>
        <v>4000</v>
      </c>
      <c r="AO128" s="937">
        <f t="shared" si="275"/>
        <v>0</v>
      </c>
      <c r="AP128" s="937">
        <f>SUM(AP129:AP130)</f>
        <v>18440</v>
      </c>
      <c r="AR128" s="1037">
        <f t="shared" si="270"/>
        <v>22975476.923076924</v>
      </c>
      <c r="AS128" s="953">
        <f t="shared" si="261"/>
        <v>5100000</v>
      </c>
      <c r="AT128" s="1038">
        <f t="shared" si="271"/>
        <v>4000000</v>
      </c>
      <c r="AU128" s="949"/>
      <c r="AV128" s="949"/>
      <c r="AW128" s="949"/>
      <c r="AY128" s="949"/>
      <c r="BG128" s="949"/>
      <c r="BK128" s="949"/>
      <c r="BL128" s="949"/>
    </row>
    <row r="129" spans="1:64" s="856" customFormat="1" ht="12.75">
      <c r="A129" s="895">
        <v>1</v>
      </c>
      <c r="B129" s="91" t="s">
        <v>466</v>
      </c>
      <c r="C129" s="105" t="s">
        <v>467</v>
      </c>
      <c r="D129" s="106" t="str">
        <f>'THANG B.LUONG'!B187</f>
        <v>Trưởng BP môi trường</v>
      </c>
      <c r="E129" s="896">
        <v>42247</v>
      </c>
      <c r="F129" s="897">
        <v>2</v>
      </c>
      <c r="G129" s="106">
        <f>DATEDIF(E129,$J$3,"y")</f>
        <v>3</v>
      </c>
      <c r="H129" s="106">
        <f>DATEDIF(E129,$J$3,"ym")</f>
        <v>11</v>
      </c>
      <c r="I129" s="17">
        <f>DATEDIF(E129,$J$3,"md")</f>
        <v>25</v>
      </c>
      <c r="J129" s="17">
        <f>VLOOKUP(D129,'THANG B.LUONG'!$B$5:$I$511,F129+1,0)</f>
        <v>13080</v>
      </c>
      <c r="K129" s="17">
        <v>0</v>
      </c>
      <c r="L129" s="17">
        <v>500</v>
      </c>
      <c r="M129" s="17">
        <f t="shared" ref="M129:M130" si="276">IF(G129&gt;=3,J129*(0.03+(G129-3)*0.01),0)</f>
        <v>392.4</v>
      </c>
      <c r="N129" s="17">
        <v>0</v>
      </c>
      <c r="O129" s="17">
        <v>200</v>
      </c>
      <c r="P129" s="17">
        <v>300</v>
      </c>
      <c r="Q129" s="17">
        <v>0</v>
      </c>
      <c r="R129" s="17">
        <v>0</v>
      </c>
      <c r="S129" s="17">
        <v>0</v>
      </c>
      <c r="T129" s="17">
        <v>0</v>
      </c>
      <c r="U129" s="17">
        <v>0</v>
      </c>
      <c r="V129" s="17">
        <f t="shared" si="272"/>
        <v>14172.4</v>
      </c>
      <c r="W129" s="1016">
        <f>VLOOKUP(B129,'Cham cong'!$B$9:$BY$275,35,0)</f>
        <v>26</v>
      </c>
      <c r="X129" s="17">
        <f>VLOOKUP(B129,'Cham cong'!$B$9:$BY$275,37,0)</f>
        <v>0</v>
      </c>
      <c r="Y129" s="17">
        <f>VLOOKUP(B129,'Cham cong'!$B$9:$BY$275,38,0)</f>
        <v>1</v>
      </c>
      <c r="Z129" s="17">
        <f>VLOOKUP(B129,'Cham cong'!$B$9:$BY$275,72,0)</f>
        <v>0</v>
      </c>
      <c r="AA129" s="17">
        <f>VLOOKUP(B129,'Cham cong'!$B$9:$BY$275,71,0)</f>
        <v>0</v>
      </c>
      <c r="AB129" s="17">
        <f>VLOOKUP(B129,'Cham cong'!$B$9:$BY$275,36,0)</f>
        <v>0</v>
      </c>
      <c r="AC129" s="17"/>
      <c r="AD129" s="17"/>
      <c r="AE129" s="17"/>
      <c r="AF129" s="17"/>
      <c r="AG129" s="17"/>
      <c r="AH129" s="17"/>
      <c r="AI129" s="17"/>
      <c r="AJ129" s="17"/>
      <c r="AK129" s="927">
        <f>V129/'Cham cong'!$AS$3*(W129+Z129/8*2+AA129/8*1.5+AB129*3)+J129/'Cham cong'!$AS$3*(X129+Y129)+AC129+P129+AE129+AG129+AH129+AI129+AJ129</f>
        <v>14975.476923076925</v>
      </c>
      <c r="AL129" s="17">
        <f>AM129*$AN$3</f>
        <v>535.5</v>
      </c>
      <c r="AM129" s="940">
        <v>5100</v>
      </c>
      <c r="AN129" s="938">
        <f>VLOOKUP(B129,'Cham cong'!$B$9:$BY$275,75,0)</f>
        <v>0</v>
      </c>
      <c r="AO129" s="938"/>
      <c r="AP129" s="950">
        <f t="shared" si="273"/>
        <v>14440</v>
      </c>
      <c r="AR129" s="951">
        <f t="shared" si="270"/>
        <v>14975476.923076926</v>
      </c>
      <c r="AS129" s="953">
        <f t="shared" si="261"/>
        <v>5100000</v>
      </c>
      <c r="AT129" s="856">
        <f t="shared" ref="AT129:AT130" si="277">AN129*1000</f>
        <v>0</v>
      </c>
      <c r="AU129" s="949"/>
      <c r="AV129" s="949"/>
      <c r="AW129" s="949"/>
      <c r="AY129" s="949"/>
      <c r="BG129" s="949"/>
      <c r="BK129" s="949"/>
      <c r="BL129" s="949"/>
    </row>
    <row r="130" spans="1:64" s="1314" customFormat="1" ht="12.75">
      <c r="A130" s="1291">
        <v>1</v>
      </c>
      <c r="B130" s="1292" t="s">
        <v>468</v>
      </c>
      <c r="C130" s="1319" t="s">
        <v>469</v>
      </c>
      <c r="D130" s="1311" t="str">
        <f>'THANG B.LUONG'!B189</f>
        <v>NV vận hành trạm xử lý nước thải</v>
      </c>
      <c r="E130" s="1312">
        <v>43535</v>
      </c>
      <c r="F130" s="1313">
        <v>1</v>
      </c>
      <c r="G130" s="1311">
        <f>DATEDIF(E130,$J$3,"y")</f>
        <v>0</v>
      </c>
      <c r="H130" s="1311">
        <f>DATEDIF(E130,$J$3,"ym")</f>
        <v>5</v>
      </c>
      <c r="I130" s="1300">
        <f>DATEDIF(E130,$J$3,"md")</f>
        <v>14</v>
      </c>
      <c r="J130" s="1300">
        <v>8000</v>
      </c>
      <c r="K130" s="1300">
        <v>0</v>
      </c>
      <c r="L130" s="1300">
        <v>0</v>
      </c>
      <c r="M130" s="1300">
        <f t="shared" si="276"/>
        <v>0</v>
      </c>
      <c r="N130" s="1300">
        <v>0</v>
      </c>
      <c r="O130" s="1300">
        <v>0</v>
      </c>
      <c r="P130" s="1300">
        <v>0</v>
      </c>
      <c r="Q130" s="1300">
        <v>0</v>
      </c>
      <c r="R130" s="1300">
        <v>0</v>
      </c>
      <c r="S130" s="1300">
        <v>0</v>
      </c>
      <c r="T130" s="1300">
        <v>0</v>
      </c>
      <c r="U130" s="1300">
        <v>0</v>
      </c>
      <c r="V130" s="1300">
        <f>SUM(J130:U130)-P130</f>
        <v>8000</v>
      </c>
      <c r="W130" s="1016">
        <f>VLOOKUP(B130,'Cham cong'!$B$9:$BY$275,35,0)</f>
        <v>26</v>
      </c>
      <c r="X130" s="17">
        <f>VLOOKUP(B130,'Cham cong'!$B$9:$BY$275,37,0)</f>
        <v>0</v>
      </c>
      <c r="Y130" s="17">
        <v>0</v>
      </c>
      <c r="Z130" s="17">
        <f>VLOOKUP(B130,'Cham cong'!$B$9:$BY$275,72,0)</f>
        <v>0</v>
      </c>
      <c r="AA130" s="17">
        <f>VLOOKUP(B130,'Cham cong'!$B$9:$BY$275,71,0)</f>
        <v>0</v>
      </c>
      <c r="AB130" s="17">
        <f>VLOOKUP(B130,'Cham cong'!$B$9:$BY$275,36,0)</f>
        <v>0</v>
      </c>
      <c r="AC130" s="1300"/>
      <c r="AD130" s="1300"/>
      <c r="AE130" s="1300"/>
      <c r="AF130" s="1300"/>
      <c r="AG130" s="1300"/>
      <c r="AH130" s="1300"/>
      <c r="AI130" s="1300"/>
      <c r="AJ130" s="1300"/>
      <c r="AK130" s="1298">
        <f>V130/'Cham cong'!$AS$3*(W130+Z130/8*2+AA130/8*1.5+AB130*3)+J130/'Cham cong'!$AS$3*(X130+Y130)+AC130+P130+AE130+AG130+AH130+AI130+AJ130</f>
        <v>8000</v>
      </c>
      <c r="AL130" s="1300">
        <f>AM130*$AN$3</f>
        <v>0</v>
      </c>
      <c r="AM130" s="1302">
        <v>0</v>
      </c>
      <c r="AN130" s="938">
        <f>VLOOKUP(B130,'Cham cong'!$B$9:$BY$275,75,0)</f>
        <v>4000</v>
      </c>
      <c r="AO130" s="1303"/>
      <c r="AP130" s="1304">
        <f t="shared" si="273"/>
        <v>4000</v>
      </c>
      <c r="AR130" s="1306">
        <f t="shared" si="270"/>
        <v>8000000</v>
      </c>
      <c r="AS130" s="1316">
        <f t="shared" si="261"/>
        <v>0</v>
      </c>
      <c r="AT130" s="1314">
        <f t="shared" si="277"/>
        <v>4000000</v>
      </c>
      <c r="AU130" s="1318"/>
      <c r="AV130" s="1318"/>
      <c r="AW130" s="1318"/>
      <c r="AY130" s="1318"/>
      <c r="BE130" s="1314" t="s">
        <v>1263</v>
      </c>
      <c r="BG130" s="1318"/>
      <c r="BK130" s="1318"/>
      <c r="BL130" s="1318"/>
    </row>
    <row r="131" spans="1:64" s="865" customFormat="1" ht="10.5" customHeight="1">
      <c r="A131" s="898"/>
      <c r="B131" s="95"/>
      <c r="C131" s="96" t="s">
        <v>472</v>
      </c>
      <c r="D131" s="96"/>
      <c r="E131" s="899"/>
      <c r="F131" s="140"/>
      <c r="G131" s="140"/>
      <c r="H131" s="140"/>
      <c r="I131" s="140"/>
      <c r="J131" s="140"/>
      <c r="K131" s="140"/>
      <c r="L131" s="140"/>
      <c r="M131" s="140"/>
      <c r="N131" s="140"/>
      <c r="O131" s="140"/>
      <c r="P131" s="140"/>
      <c r="Q131" s="140"/>
      <c r="R131" s="140"/>
      <c r="S131" s="140"/>
      <c r="T131" s="140"/>
      <c r="U131" s="140"/>
      <c r="V131" s="140"/>
      <c r="W131" s="140"/>
      <c r="X131" s="140"/>
      <c r="Y131" s="140"/>
      <c r="Z131" s="140"/>
      <c r="AA131" s="140"/>
      <c r="AB131" s="140"/>
      <c r="AC131" s="140"/>
      <c r="AD131" s="140"/>
      <c r="AE131" s="140"/>
      <c r="AF131" s="140"/>
      <c r="AG131" s="140"/>
      <c r="AH131" s="140"/>
      <c r="AI131" s="140"/>
      <c r="AJ131" s="140"/>
      <c r="AK131" s="937">
        <f>SUM(AK132:AK137)</f>
        <v>84642.139423076922</v>
      </c>
      <c r="AL131" s="937">
        <f t="shared" ref="AL131:AO131" si="278">SUM(AL132:AL137)</f>
        <v>2121</v>
      </c>
      <c r="AM131" s="937">
        <f t="shared" si="278"/>
        <v>20200</v>
      </c>
      <c r="AN131" s="937">
        <f t="shared" si="278"/>
        <v>22000</v>
      </c>
      <c r="AO131" s="937">
        <f t="shared" si="278"/>
        <v>0</v>
      </c>
      <c r="AP131" s="937">
        <f>SUM(AP132:AP137)</f>
        <v>60520</v>
      </c>
      <c r="AQ131" s="856"/>
      <c r="AR131" s="1037">
        <f t="shared" si="270"/>
        <v>84642139.423076928</v>
      </c>
      <c r="AS131" s="953">
        <f t="shared" si="261"/>
        <v>20200000</v>
      </c>
      <c r="AT131" s="1054">
        <f t="shared" ref="AT131:AT168" si="279">AN131*1000</f>
        <v>22000000</v>
      </c>
      <c r="AU131" s="877"/>
      <c r="AV131" s="877"/>
      <c r="AW131" s="877"/>
      <c r="AY131" s="877"/>
      <c r="BG131" s="877"/>
      <c r="BK131" s="877"/>
      <c r="BL131" s="877"/>
    </row>
    <row r="132" spans="1:64" ht="12.75">
      <c r="A132" s="895">
        <v>1</v>
      </c>
      <c r="B132" s="91" t="s">
        <v>473</v>
      </c>
      <c r="C132" s="105" t="s">
        <v>474</v>
      </c>
      <c r="D132" s="106" t="str">
        <f>'THANG B.LUONG'!B218</f>
        <v>Trưởng phòng Quản trị SX NM</v>
      </c>
      <c r="E132" s="896">
        <v>43132</v>
      </c>
      <c r="F132" s="897">
        <v>4</v>
      </c>
      <c r="G132" s="106">
        <f t="shared" ref="G132:G137" si="280">DATEDIF(E132,$J$3,"y")</f>
        <v>1</v>
      </c>
      <c r="H132" s="106">
        <f t="shared" ref="H132:H137" si="281">DATEDIF(E132,$J$3,"ym")</f>
        <v>6</v>
      </c>
      <c r="I132" s="17">
        <f t="shared" ref="I132:I137" si="282">DATEDIF(E132,$J$3,"md")</f>
        <v>24</v>
      </c>
      <c r="J132" s="17">
        <f>VLOOKUP(D132,'THANG B.LUONG'!$B$5:$I$511,F132+1,0)</f>
        <v>24470</v>
      </c>
      <c r="K132" s="17">
        <v>0</v>
      </c>
      <c r="L132" s="17">
        <v>1000</v>
      </c>
      <c r="M132" s="17">
        <f t="shared" ref="M132:M137" si="283">IF(G132&gt;=3,J132*(0.03+(G132-3)*0.01),0)</f>
        <v>0</v>
      </c>
      <c r="N132" s="17">
        <v>0</v>
      </c>
      <c r="O132" s="17">
        <v>500</v>
      </c>
      <c r="P132" s="17">
        <v>500</v>
      </c>
      <c r="Q132" s="17">
        <v>0</v>
      </c>
      <c r="R132" s="17">
        <v>0</v>
      </c>
      <c r="S132" s="17">
        <v>0</v>
      </c>
      <c r="T132" s="17">
        <v>0</v>
      </c>
      <c r="U132" s="17">
        <v>0</v>
      </c>
      <c r="V132" s="17">
        <f t="shared" ref="V132:V137" si="284">SUM(J132:U132)-P132</f>
        <v>25970</v>
      </c>
      <c r="W132" s="1016">
        <f>VLOOKUP(B132,'Cham cong'!$B$9:$BY$275,35,0)</f>
        <v>26</v>
      </c>
      <c r="X132" s="17">
        <f>VLOOKUP(B132,'Cham cong'!$B$9:$BY$275,37,0)</f>
        <v>0</v>
      </c>
      <c r="Y132" s="17">
        <f>VLOOKUP(B132,'Cham cong'!$B$9:$BY$275,38,0)</f>
        <v>1</v>
      </c>
      <c r="Z132" s="17">
        <f>VLOOKUP(B132,'Cham cong'!$B$9:$BY$275,72,0)</f>
        <v>0</v>
      </c>
      <c r="AA132" s="17">
        <f>VLOOKUP(B132,'Cham cong'!$B$9:$BY$275,71,0)</f>
        <v>0</v>
      </c>
      <c r="AB132" s="17">
        <f>VLOOKUP(B132,'Cham cong'!$B$9:$BY$275,36,0)</f>
        <v>0</v>
      </c>
      <c r="AC132" s="17"/>
      <c r="AD132" s="17"/>
      <c r="AE132" s="17"/>
      <c r="AF132" s="17"/>
      <c r="AG132" s="17"/>
      <c r="AH132" s="17"/>
      <c r="AI132" s="17"/>
      <c r="AJ132" s="17"/>
      <c r="AK132" s="927">
        <f>V132/'Cham cong'!$AS$3*(W132+Z132/8*2+AA132/8*1.5+AB132*3)+J132/'Cham cong'!$AS$3*(X132+Y132)+AC132+P132+AE132+AG132+AH132+AI132+AJ132</f>
        <v>27411.153846153848</v>
      </c>
      <c r="AL132" s="17">
        <f t="shared" ref="AL132:AL137" si="285">AM132*$AN$3</f>
        <v>577.5</v>
      </c>
      <c r="AM132" s="940">
        <v>5500</v>
      </c>
      <c r="AN132" s="938">
        <f>VLOOKUP(B132,'Cham cong'!$B$9:$BY$275,75,0)</f>
        <v>15000</v>
      </c>
      <c r="AO132" s="938"/>
      <c r="AP132" s="950">
        <f t="shared" ref="AP132:AP137" si="286">ROUND(AK132-AL132-AN132+AO132,-1)</f>
        <v>11830</v>
      </c>
      <c r="AQ132" s="856"/>
      <c r="AR132" s="951">
        <f t="shared" si="270"/>
        <v>27411153.846153848</v>
      </c>
      <c r="AS132" s="953">
        <f t="shared" si="261"/>
        <v>5500000</v>
      </c>
      <c r="AT132" s="856">
        <f t="shared" si="279"/>
        <v>15000000</v>
      </c>
    </row>
    <row r="133" spans="1:64" ht="12.75">
      <c r="A133" s="895">
        <v>2</v>
      </c>
      <c r="B133" s="91" t="s">
        <v>475</v>
      </c>
      <c r="C133" s="105" t="s">
        <v>476</v>
      </c>
      <c r="D133" s="106" t="str">
        <f>'THANG B.LUONG'!B219</f>
        <v>Trưởng BP thống kê sản xuất</v>
      </c>
      <c r="E133" s="896">
        <v>43277</v>
      </c>
      <c r="F133" s="897">
        <v>1</v>
      </c>
      <c r="G133" s="106">
        <f t="shared" si="280"/>
        <v>1</v>
      </c>
      <c r="H133" s="106">
        <f t="shared" si="281"/>
        <v>1</v>
      </c>
      <c r="I133" s="17">
        <f t="shared" si="282"/>
        <v>30</v>
      </c>
      <c r="J133" s="17">
        <f>VLOOKUP(D133,'THANG B.LUONG'!$B$5:$I$511,F133+1,0)</f>
        <v>10380</v>
      </c>
      <c r="K133" s="17">
        <v>0</v>
      </c>
      <c r="L133" s="17">
        <v>500</v>
      </c>
      <c r="M133" s="17">
        <f t="shared" si="283"/>
        <v>0</v>
      </c>
      <c r="N133" s="17">
        <v>0</v>
      </c>
      <c r="O133" s="17">
        <v>200</v>
      </c>
      <c r="P133" s="17">
        <v>300</v>
      </c>
      <c r="Q133" s="17">
        <v>0</v>
      </c>
      <c r="R133" s="17">
        <v>0</v>
      </c>
      <c r="S133" s="17">
        <v>0</v>
      </c>
      <c r="T133" s="17">
        <v>0</v>
      </c>
      <c r="U133" s="17">
        <v>0</v>
      </c>
      <c r="V133" s="17">
        <f t="shared" si="284"/>
        <v>11080</v>
      </c>
      <c r="W133" s="1016">
        <f>VLOOKUP(B133,'Cham cong'!$B$9:$BY$275,35,0)</f>
        <v>26</v>
      </c>
      <c r="X133" s="17">
        <f>VLOOKUP(B133,'Cham cong'!$B$9:$BY$275,37,0)</f>
        <v>0</v>
      </c>
      <c r="Y133" s="17">
        <f>VLOOKUP(B133,'Cham cong'!$B$9:$BY$275,38,0)</f>
        <v>1</v>
      </c>
      <c r="Z133" s="17">
        <f>VLOOKUP(B133,'Cham cong'!$B$9:$BY$275,72,0)</f>
        <v>0</v>
      </c>
      <c r="AA133" s="17">
        <f>VLOOKUP(B133,'Cham cong'!$B$9:$BY$275,71,0)</f>
        <v>0</v>
      </c>
      <c r="AB133" s="17">
        <f>VLOOKUP(B133,'Cham cong'!$B$9:$BY$275,36,0)</f>
        <v>0</v>
      </c>
      <c r="AC133" s="17"/>
      <c r="AD133" s="17"/>
      <c r="AE133" s="17"/>
      <c r="AF133" s="17"/>
      <c r="AG133" s="17"/>
      <c r="AH133" s="17"/>
      <c r="AI133" s="17"/>
      <c r="AJ133" s="17"/>
      <c r="AK133" s="927">
        <f>V133/'Cham cong'!$AS$3*(W133+Z133/8*2+AA133/8*1.5+AB133*3)+J133/'Cham cong'!$AS$3*(X133+Y133)+AC133+P133+AE133+AG133+AH133+AI133+AJ133</f>
        <v>11779.23076923077</v>
      </c>
      <c r="AL133" s="17">
        <f t="shared" si="285"/>
        <v>535.5</v>
      </c>
      <c r="AM133" s="946">
        <v>5100</v>
      </c>
      <c r="AN133" s="938">
        <f>VLOOKUP(B133,'Cham cong'!$B$9:$BY$275,75,0)</f>
        <v>0</v>
      </c>
      <c r="AO133" s="938"/>
      <c r="AP133" s="950">
        <f t="shared" si="286"/>
        <v>11240</v>
      </c>
      <c r="AR133" s="951">
        <f t="shared" si="270"/>
        <v>11779230.76923077</v>
      </c>
      <c r="AS133" s="953">
        <f t="shared" si="261"/>
        <v>5100000</v>
      </c>
      <c r="AT133" s="856">
        <f t="shared" si="279"/>
        <v>0</v>
      </c>
    </row>
    <row r="134" spans="1:64" s="856" customFormat="1" ht="12.75">
      <c r="A134" s="895">
        <v>3</v>
      </c>
      <c r="B134" s="91" t="s">
        <v>477</v>
      </c>
      <c r="C134" s="108" t="s">
        <v>478</v>
      </c>
      <c r="D134" s="106" t="str">
        <f>'THANG B.LUONG'!B92</f>
        <v xml:space="preserve">NV thống kê ĐS - PB nguyên liệu </v>
      </c>
      <c r="E134" s="896">
        <v>42788</v>
      </c>
      <c r="F134" s="897">
        <v>1</v>
      </c>
      <c r="G134" s="106">
        <f t="shared" si="280"/>
        <v>2</v>
      </c>
      <c r="H134" s="106">
        <f t="shared" si="281"/>
        <v>6</v>
      </c>
      <c r="I134" s="17">
        <f t="shared" si="282"/>
        <v>3</v>
      </c>
      <c r="J134" s="17">
        <f>VLOOKUP(D134,'THANG B.LUONG'!$B$5:$I$511,F134+1,0)</f>
        <v>7840</v>
      </c>
      <c r="K134" s="17">
        <v>0</v>
      </c>
      <c r="L134" s="17">
        <v>0</v>
      </c>
      <c r="M134" s="17">
        <f t="shared" si="283"/>
        <v>0</v>
      </c>
      <c r="N134" s="17">
        <v>0</v>
      </c>
      <c r="O134" s="17">
        <v>0</v>
      </c>
      <c r="P134" s="17">
        <v>0</v>
      </c>
      <c r="Q134" s="17">
        <v>0</v>
      </c>
      <c r="R134" s="17">
        <v>0</v>
      </c>
      <c r="S134" s="17">
        <v>0</v>
      </c>
      <c r="T134" s="17">
        <v>0</v>
      </c>
      <c r="U134" s="17">
        <v>0</v>
      </c>
      <c r="V134" s="927">
        <f t="shared" si="284"/>
        <v>7840</v>
      </c>
      <c r="W134" s="1016">
        <f>VLOOKUP(B134,'Cham cong'!$B$9:$BY$275,35,0)</f>
        <v>26</v>
      </c>
      <c r="X134" s="17">
        <f>VLOOKUP(B134,'Cham cong'!$B$9:$BY$275,37,0)</f>
        <v>0</v>
      </c>
      <c r="Y134" s="17">
        <f>VLOOKUP(B134,'Cham cong'!$B$9:$BY$275,38,0)</f>
        <v>1</v>
      </c>
      <c r="Z134" s="17">
        <f>VLOOKUP(B134,'Cham cong'!$B$9:$BY$275,72,0)</f>
        <v>25</v>
      </c>
      <c r="AA134" s="17">
        <f>VLOOKUP(B134,'Cham cong'!$B$9:$BY$275,71,0)</f>
        <v>55.5</v>
      </c>
      <c r="AB134" s="17">
        <f>VLOOKUP(B134,'Cham cong'!$B$9:$BY$275,36,0)</f>
        <v>0</v>
      </c>
      <c r="AC134" s="17"/>
      <c r="AD134" s="17"/>
      <c r="AE134" s="17"/>
      <c r="AF134" s="17"/>
      <c r="AG134" s="17"/>
      <c r="AH134" s="17"/>
      <c r="AI134" s="17"/>
      <c r="AJ134" s="17"/>
      <c r="AK134" s="927">
        <f>V134/'Cham cong'!$AS$3*(W134+Z134/8*2+AA134/8*1.5+AB134*3)+J134/'Cham cong'!$AS$3*(X134+Y134)+AC134+P134+AE134+AG134+AH134+AI134+AJ134</f>
        <v>13164.038461538461</v>
      </c>
      <c r="AL134" s="17">
        <f t="shared" si="285"/>
        <v>504</v>
      </c>
      <c r="AM134" s="946">
        <v>4800</v>
      </c>
      <c r="AN134" s="938">
        <f>VLOOKUP(B134,'Cham cong'!$B$9:$BY$275,75,0)</f>
        <v>4000</v>
      </c>
      <c r="AO134" s="938"/>
      <c r="AP134" s="950">
        <f t="shared" si="286"/>
        <v>8660</v>
      </c>
      <c r="AR134" s="951">
        <f t="shared" si="270"/>
        <v>13164038.46153846</v>
      </c>
      <c r="AS134" s="953">
        <f t="shared" si="261"/>
        <v>4800000</v>
      </c>
      <c r="AT134" s="856">
        <f t="shared" si="279"/>
        <v>4000000</v>
      </c>
      <c r="AU134" s="949"/>
      <c r="AV134" s="949"/>
      <c r="AW134" s="949"/>
      <c r="AY134" s="949"/>
      <c r="BG134" s="949"/>
      <c r="BK134" s="949"/>
      <c r="BL134" s="949"/>
    </row>
    <row r="135" spans="1:64" s="856" customFormat="1" hidden="1">
      <c r="A135" s="895">
        <v>5</v>
      </c>
      <c r="B135" s="91" t="s">
        <v>479</v>
      </c>
      <c r="C135" s="108" t="s">
        <v>480</v>
      </c>
      <c r="D135" s="106" t="str">
        <f>'THANG B.LUONG'!B133</f>
        <v>NV thống kê ĐS - PB thành phẩm</v>
      </c>
      <c r="E135" s="896">
        <v>43252</v>
      </c>
      <c r="F135" s="897">
        <v>2</v>
      </c>
      <c r="G135" s="106">
        <f t="shared" si="280"/>
        <v>1</v>
      </c>
      <c r="H135" s="106">
        <f t="shared" si="281"/>
        <v>2</v>
      </c>
      <c r="I135" s="17">
        <f t="shared" si="282"/>
        <v>24</v>
      </c>
      <c r="J135" s="17">
        <f>VLOOKUP(D135,'THANG B.LUONG'!$B$5:$I$511,F135+1,0)</f>
        <v>8620</v>
      </c>
      <c r="K135" s="17">
        <v>0</v>
      </c>
      <c r="L135" s="17">
        <v>0</v>
      </c>
      <c r="M135" s="17">
        <f t="shared" si="283"/>
        <v>0</v>
      </c>
      <c r="N135" s="17">
        <v>0</v>
      </c>
      <c r="O135" s="17">
        <v>0</v>
      </c>
      <c r="P135" s="17">
        <v>0</v>
      </c>
      <c r="Q135" s="17">
        <v>0</v>
      </c>
      <c r="R135" s="17">
        <v>0</v>
      </c>
      <c r="S135" s="17">
        <v>0</v>
      </c>
      <c r="T135" s="17">
        <v>0</v>
      </c>
      <c r="U135" s="17">
        <v>0</v>
      </c>
      <c r="V135" s="927">
        <f t="shared" si="284"/>
        <v>8620</v>
      </c>
      <c r="W135" s="1016">
        <f>VLOOKUP(B135,'Cham cong'!$B$9:$BY$275,35,0)</f>
        <v>26</v>
      </c>
      <c r="X135" s="17">
        <f>VLOOKUP(B135,'Cham cong'!$B$9:$BY$275,37,0)</f>
        <v>0</v>
      </c>
      <c r="Y135" s="17">
        <f>VLOOKUP(B135,'Cham cong'!$B$9:$BY$275,38,0)</f>
        <v>1</v>
      </c>
      <c r="Z135" s="17">
        <f>VLOOKUP(B135,'Cham cong'!$B$9:$BY$275,72,0)</f>
        <v>8.5</v>
      </c>
      <c r="AA135" s="17">
        <f>VLOOKUP(B135,'Cham cong'!$B$9:$BY$275,71,0)</f>
        <v>56.5</v>
      </c>
      <c r="AB135" s="17">
        <f>VLOOKUP(B135,'Cham cong'!$B$9:$BY$275,36,0)</f>
        <v>0</v>
      </c>
      <c r="AC135" s="17"/>
      <c r="AD135" s="17"/>
      <c r="AE135" s="17"/>
      <c r="AF135" s="17"/>
      <c r="AG135" s="17"/>
      <c r="AH135" s="17"/>
      <c r="AI135" s="17"/>
      <c r="AJ135" s="17"/>
      <c r="AK135" s="927">
        <f>V135/'Cham cong'!$AS$3*(W135+Z135/8*2+AA135/8*1.5+AB135*3)+J135/'Cham cong'!$AS$3*(X135+Y135)+AC135+P135+AE135+AG135+AH135+AI135+AJ135</f>
        <v>13168.29326923077</v>
      </c>
      <c r="AL135" s="1069">
        <f t="shared" si="285"/>
        <v>0</v>
      </c>
      <c r="AM135" s="1069">
        <v>0</v>
      </c>
      <c r="AN135" s="938">
        <f>VLOOKUP(B135,'Cham cong'!$B$9:$BY$275,75,0)</f>
        <v>0</v>
      </c>
      <c r="AO135" s="938"/>
      <c r="AP135" s="950">
        <f t="shared" si="286"/>
        <v>13170</v>
      </c>
      <c r="AR135" s="951">
        <f t="shared" si="270"/>
        <v>13168293.26923077</v>
      </c>
      <c r="AS135" s="953">
        <f t="shared" si="261"/>
        <v>0</v>
      </c>
      <c r="AT135" s="856">
        <f t="shared" si="279"/>
        <v>0</v>
      </c>
      <c r="AU135" s="949"/>
      <c r="AV135" s="949"/>
      <c r="AW135" s="949"/>
      <c r="AY135" s="949"/>
      <c r="BG135" s="949"/>
      <c r="BK135" s="949"/>
      <c r="BL135" s="949"/>
    </row>
    <row r="136" spans="1:64" s="856" customFormat="1">
      <c r="A136" s="895">
        <v>4</v>
      </c>
      <c r="B136" s="91" t="s">
        <v>481</v>
      </c>
      <c r="C136" s="108" t="s">
        <v>482</v>
      </c>
      <c r="D136" s="106" t="str">
        <f>'THANG B.LUONG'!B92</f>
        <v xml:space="preserve">NV thống kê ĐS - PB nguyên liệu </v>
      </c>
      <c r="E136" s="896">
        <v>43277</v>
      </c>
      <c r="F136" s="897">
        <v>1</v>
      </c>
      <c r="G136" s="106">
        <f t="shared" si="280"/>
        <v>1</v>
      </c>
      <c r="H136" s="106">
        <f t="shared" si="281"/>
        <v>1</v>
      </c>
      <c r="I136" s="17">
        <f t="shared" si="282"/>
        <v>30</v>
      </c>
      <c r="J136" s="17">
        <f>VLOOKUP(D136,'THANG B.LUONG'!$B$5:$I$511,F136+1,0)</f>
        <v>7840</v>
      </c>
      <c r="K136" s="17">
        <v>0</v>
      </c>
      <c r="L136" s="17">
        <v>0</v>
      </c>
      <c r="M136" s="17">
        <f t="shared" si="283"/>
        <v>0</v>
      </c>
      <c r="N136" s="17">
        <v>0</v>
      </c>
      <c r="O136" s="17">
        <v>0</v>
      </c>
      <c r="P136" s="17">
        <v>0</v>
      </c>
      <c r="Q136" s="17">
        <v>0</v>
      </c>
      <c r="R136" s="17">
        <v>0</v>
      </c>
      <c r="S136" s="17">
        <v>0</v>
      </c>
      <c r="T136" s="17">
        <v>0</v>
      </c>
      <c r="U136" s="17">
        <v>0</v>
      </c>
      <c r="V136" s="927">
        <f t="shared" si="284"/>
        <v>7840</v>
      </c>
      <c r="W136" s="1016">
        <f>VLOOKUP(B136,'Cham cong'!$B$9:$BY$275,35,0)</f>
        <v>26</v>
      </c>
      <c r="X136" s="17">
        <f>VLOOKUP(B136,'Cham cong'!$B$9:$BY$275,37,0)</f>
        <v>0</v>
      </c>
      <c r="Y136" s="17">
        <f>VLOOKUP(B136,'Cham cong'!$B$9:$BY$275,38,0)</f>
        <v>1</v>
      </c>
      <c r="Z136" s="17">
        <f>VLOOKUP(B136,'Cham cong'!$B$9:$BY$275,72,0)</f>
        <v>0</v>
      </c>
      <c r="AA136" s="17">
        <f>VLOOKUP(B136,'Cham cong'!$B$9:$BY$275,71,0)</f>
        <v>0</v>
      </c>
      <c r="AB136" s="17">
        <f>VLOOKUP(B136,'Cham cong'!$B$9:$BY$275,36,0)</f>
        <v>0</v>
      </c>
      <c r="AC136" s="17"/>
      <c r="AD136" s="17"/>
      <c r="AE136" s="17"/>
      <c r="AF136" s="17"/>
      <c r="AG136" s="17"/>
      <c r="AH136" s="17"/>
      <c r="AI136" s="17"/>
      <c r="AJ136" s="17"/>
      <c r="AK136" s="927">
        <f>V136/'Cham cong'!$AS$3*(W136+Z136/8*2+AA136/8*1.5+AB136*3)+J136/'Cham cong'!$AS$3*(X136+Y136)+AC136+P136+AE136+AG136+AH136+AI136+AJ136</f>
        <v>8141.5384615384619</v>
      </c>
      <c r="AL136" s="17">
        <f t="shared" si="285"/>
        <v>504</v>
      </c>
      <c r="AM136" s="17">
        <v>4800</v>
      </c>
      <c r="AN136" s="938">
        <f>VLOOKUP(B136,'Cham cong'!$B$9:$BY$275,75,0)</f>
        <v>3000</v>
      </c>
      <c r="AO136" s="938"/>
      <c r="AP136" s="950">
        <f t="shared" si="286"/>
        <v>4640</v>
      </c>
      <c r="AR136" s="951">
        <f t="shared" si="270"/>
        <v>8141538.461538462</v>
      </c>
      <c r="AS136" s="953">
        <f t="shared" si="261"/>
        <v>4800000</v>
      </c>
      <c r="AT136" s="856">
        <f t="shared" si="279"/>
        <v>3000000</v>
      </c>
      <c r="AU136" s="949"/>
      <c r="AV136" s="949"/>
      <c r="AW136" s="949"/>
      <c r="AY136" s="949"/>
      <c r="BG136" s="949"/>
      <c r="BK136" s="949"/>
      <c r="BL136" s="949"/>
    </row>
    <row r="137" spans="1:64" s="861" customFormat="1" hidden="1">
      <c r="A137" s="895">
        <v>6</v>
      </c>
      <c r="B137" s="1255" t="s">
        <v>483</v>
      </c>
      <c r="C137" s="1055" t="s">
        <v>484</v>
      </c>
      <c r="D137" s="12" t="str">
        <f>'THANG B.LUONG'!B134</f>
        <v>NV thống kê xử lý bùn</v>
      </c>
      <c r="E137" s="908">
        <v>43425</v>
      </c>
      <c r="F137" s="909">
        <v>1</v>
      </c>
      <c r="G137" s="12">
        <f t="shared" si="280"/>
        <v>0</v>
      </c>
      <c r="H137" s="12">
        <f t="shared" si="281"/>
        <v>9</v>
      </c>
      <c r="I137" s="921">
        <f t="shared" si="282"/>
        <v>4</v>
      </c>
      <c r="J137" s="921">
        <f>VLOOKUP(D137,'THANG B.LUONG'!$B$5:$I$511,F137+1,0)</f>
        <v>7840</v>
      </c>
      <c r="K137" s="921">
        <v>0</v>
      </c>
      <c r="L137" s="921">
        <v>0</v>
      </c>
      <c r="M137" s="921">
        <f t="shared" si="283"/>
        <v>0</v>
      </c>
      <c r="N137" s="921">
        <v>0</v>
      </c>
      <c r="O137" s="921">
        <v>0</v>
      </c>
      <c r="P137" s="921">
        <v>0</v>
      </c>
      <c r="Q137" s="921">
        <v>0</v>
      </c>
      <c r="R137" s="921">
        <v>0</v>
      </c>
      <c r="S137" s="921">
        <v>0</v>
      </c>
      <c r="T137" s="921">
        <v>0</v>
      </c>
      <c r="U137" s="921">
        <v>0</v>
      </c>
      <c r="V137" s="932">
        <f t="shared" si="284"/>
        <v>7840</v>
      </c>
      <c r="W137" s="1016">
        <f>VLOOKUP(B137,'Cham cong'!$B$9:$BY$275,35,0)</f>
        <v>26</v>
      </c>
      <c r="X137" s="17">
        <f>VLOOKUP(B137,'Cham cong'!$B$9:$BY$275,37,0)</f>
        <v>0</v>
      </c>
      <c r="Y137" s="17">
        <f>VLOOKUP(B137,'Cham cong'!$B$9:$BY$275,38,0)</f>
        <v>1</v>
      </c>
      <c r="Z137" s="17">
        <f>VLOOKUP(B137,'Cham cong'!$B$9:$BY$275,72,0)</f>
        <v>8</v>
      </c>
      <c r="AA137" s="17">
        <f>VLOOKUP(B137,'Cham cong'!$B$9:$BY$275,71,0)</f>
        <v>39.5</v>
      </c>
      <c r="AB137" s="17">
        <f>VLOOKUP(B137,'Cham cong'!$B$9:$BY$275,36,0)</f>
        <v>0</v>
      </c>
      <c r="AC137" s="921"/>
      <c r="AD137" s="921"/>
      <c r="AE137" s="921"/>
      <c r="AF137" s="921"/>
      <c r="AG137" s="921"/>
      <c r="AH137" s="921"/>
      <c r="AI137" s="921"/>
      <c r="AJ137" s="921"/>
      <c r="AK137" s="932">
        <f>V137/'Cham cong'!$AS$3*(W137+Z137/8*2+AA137/8*1.5+AB137*3)+J137/'Cham cong'!$AS$3*(X137+Y137)+AC137+P137+AE137+AG137+AH137+AI137+AJ137</f>
        <v>10977.884615384615</v>
      </c>
      <c r="AL137" s="921">
        <f t="shared" si="285"/>
        <v>0</v>
      </c>
      <c r="AM137" s="17">
        <v>0</v>
      </c>
      <c r="AN137" s="938">
        <f>VLOOKUP(B137,'Cham cong'!$B$9:$BY$275,75,0)</f>
        <v>0</v>
      </c>
      <c r="AO137" s="938"/>
      <c r="AP137" s="969">
        <f t="shared" si="286"/>
        <v>10980</v>
      </c>
      <c r="AR137" s="975">
        <f t="shared" si="270"/>
        <v>10977884.615384616</v>
      </c>
      <c r="AS137" s="1039">
        <f t="shared" si="261"/>
        <v>0</v>
      </c>
      <c r="AT137" s="861">
        <f t="shared" si="279"/>
        <v>0</v>
      </c>
      <c r="AU137" s="976"/>
      <c r="AV137" s="976"/>
      <c r="AW137" s="976"/>
      <c r="AY137" s="976"/>
      <c r="BG137" s="976"/>
      <c r="BK137" s="976"/>
      <c r="BL137" s="976"/>
    </row>
    <row r="138" spans="1:64" ht="13.5" customHeight="1">
      <c r="A138" s="898"/>
      <c r="B138" s="95"/>
      <c r="C138" s="96" t="s">
        <v>485</v>
      </c>
      <c r="D138" s="96"/>
      <c r="E138" s="899"/>
      <c r="F138" s="140"/>
      <c r="G138" s="140"/>
      <c r="H138" s="140"/>
      <c r="I138" s="140"/>
      <c r="J138" s="140"/>
      <c r="K138" s="140"/>
      <c r="L138" s="140"/>
      <c r="M138" s="140"/>
      <c r="N138" s="140"/>
      <c r="O138" s="140"/>
      <c r="P138" s="140"/>
      <c r="Q138" s="140"/>
      <c r="R138" s="140"/>
      <c r="S138" s="140"/>
      <c r="T138" s="140"/>
      <c r="U138" s="140"/>
      <c r="V138" s="140"/>
      <c r="W138" s="140"/>
      <c r="X138" s="140"/>
      <c r="Y138" s="140"/>
      <c r="Z138" s="140"/>
      <c r="AA138" s="140"/>
      <c r="AB138" s="140"/>
      <c r="AC138" s="140"/>
      <c r="AD138" s="140"/>
      <c r="AE138" s="140"/>
      <c r="AF138" s="140"/>
      <c r="AG138" s="140"/>
      <c r="AH138" s="140"/>
      <c r="AI138" s="140"/>
      <c r="AJ138" s="140"/>
      <c r="AK138" s="937">
        <f>SUM(AK139:AK140)</f>
        <v>26478.276923076923</v>
      </c>
      <c r="AL138" s="937">
        <f t="shared" ref="AL138:AO138" si="287">SUM(AL139:AL140)</f>
        <v>1081.5</v>
      </c>
      <c r="AM138" s="937">
        <f t="shared" si="287"/>
        <v>10300</v>
      </c>
      <c r="AN138" s="937">
        <f t="shared" si="287"/>
        <v>11000</v>
      </c>
      <c r="AO138" s="937">
        <f t="shared" si="287"/>
        <v>0</v>
      </c>
      <c r="AP138" s="937">
        <f>SUM(AP139:AP140)</f>
        <v>14400</v>
      </c>
      <c r="AR138" s="1037">
        <f t="shared" si="270"/>
        <v>26478276.923076924</v>
      </c>
      <c r="AS138" s="953">
        <f t="shared" si="261"/>
        <v>10300000</v>
      </c>
      <c r="AT138" s="1038">
        <f t="shared" si="279"/>
        <v>11000000</v>
      </c>
    </row>
    <row r="139" spans="1:64" s="867" customFormat="1" ht="12.75">
      <c r="A139" s="895">
        <v>1</v>
      </c>
      <c r="B139" s="91" t="s">
        <v>486</v>
      </c>
      <c r="C139" s="105" t="s">
        <v>487</v>
      </c>
      <c r="D139" s="106" t="str">
        <f>'THANG B.LUONG'!B199</f>
        <v>Trưởng BP xe cơ giới</v>
      </c>
      <c r="E139" s="896">
        <v>42542</v>
      </c>
      <c r="F139" s="905">
        <v>3</v>
      </c>
      <c r="G139" s="106">
        <f>DATEDIF(E139,$J$3,"y")</f>
        <v>3</v>
      </c>
      <c r="H139" s="106">
        <f>DATEDIF(E139,$J$3,"ym")</f>
        <v>2</v>
      </c>
      <c r="I139" s="17">
        <f>DATEDIF(E139,$J$3,"md")</f>
        <v>4</v>
      </c>
      <c r="J139" s="17">
        <f>VLOOKUP(D139,'THANG B.LUONG'!$B$5:$I$511,F139+1,0)</f>
        <v>14720</v>
      </c>
      <c r="K139" s="17">
        <v>0</v>
      </c>
      <c r="L139" s="17">
        <v>500</v>
      </c>
      <c r="M139" s="17">
        <f t="shared" ref="M139:M144" si="288">IF(G139&gt;=3,J139*(0.03+(G139-3)*0.01),0)</f>
        <v>441.59999999999997</v>
      </c>
      <c r="N139" s="17">
        <v>0</v>
      </c>
      <c r="O139" s="17">
        <v>200</v>
      </c>
      <c r="P139" s="17">
        <v>300</v>
      </c>
      <c r="Q139" s="17">
        <v>0</v>
      </c>
      <c r="R139" s="17">
        <v>0</v>
      </c>
      <c r="S139" s="17">
        <v>0</v>
      </c>
      <c r="T139" s="17">
        <v>0</v>
      </c>
      <c r="U139" s="17">
        <v>0</v>
      </c>
      <c r="V139" s="17">
        <f t="shared" ref="V139:V144" si="289">SUM(J139:U139)-P139</f>
        <v>15861.6</v>
      </c>
      <c r="W139" s="1016">
        <f>VLOOKUP(B139,'Cham cong'!$B$9:$BY$275,35,0)</f>
        <v>26</v>
      </c>
      <c r="X139" s="17">
        <f>VLOOKUP(B139,'Cham cong'!$B$9:$BY$275,37,0)</f>
        <v>0</v>
      </c>
      <c r="Y139" s="17">
        <f>VLOOKUP(B139,'Cham cong'!$B$9:$BY$275,38,0)</f>
        <v>1</v>
      </c>
      <c r="Z139" s="17">
        <f>VLOOKUP(B139,'Cham cong'!$B$9:$BY$275,72,0)</f>
        <v>0</v>
      </c>
      <c r="AA139" s="17">
        <f>VLOOKUP(B139,'Cham cong'!$B$9:$BY$275,71,0)</f>
        <v>0</v>
      </c>
      <c r="AB139" s="17">
        <f>VLOOKUP(B139,'Cham cong'!$B$9:$BY$275,36,0)</f>
        <v>0</v>
      </c>
      <c r="AC139" s="17"/>
      <c r="AD139" s="17"/>
      <c r="AE139" s="17"/>
      <c r="AF139" s="17"/>
      <c r="AG139" s="17"/>
      <c r="AH139" s="17"/>
      <c r="AI139" s="17"/>
      <c r="AJ139" s="17"/>
      <c r="AK139" s="927">
        <f>V139/'Cham cong'!$AS$3*(W139+Z139/8*2+AA139/8*1.5+AB139*3)+J139/'Cham cong'!$AS$3*(X139+Y139)+AC139+P139+AE139+AG139+AH139+AI139+AJ139</f>
        <v>16727.753846153846</v>
      </c>
      <c r="AL139" s="17">
        <f>AM139*$AN$3</f>
        <v>577.5</v>
      </c>
      <c r="AM139" s="940">
        <v>5500</v>
      </c>
      <c r="AN139" s="938">
        <f>VLOOKUP(B139,'Cham cong'!$B$9:$BY$275,75,0)</f>
        <v>5000</v>
      </c>
      <c r="AO139" s="938"/>
      <c r="AP139" s="950">
        <f t="shared" ref="AP139:AP144" si="290">ROUND(AK139-AL139-AN139+AO139,-1)</f>
        <v>11150</v>
      </c>
      <c r="AR139" s="951">
        <f t="shared" si="270"/>
        <v>16727753.846153846</v>
      </c>
      <c r="AS139" s="953">
        <f t="shared" si="261"/>
        <v>5500000</v>
      </c>
      <c r="AT139" s="856">
        <f t="shared" si="279"/>
        <v>5000000</v>
      </c>
      <c r="AU139" s="1074"/>
      <c r="AV139" s="1074"/>
      <c r="AW139" s="1074"/>
      <c r="AY139" s="1074"/>
      <c r="BG139" s="1074"/>
      <c r="BK139" s="1074"/>
      <c r="BL139" s="1074"/>
    </row>
    <row r="140" spans="1:64" ht="12.75">
      <c r="A140" s="895">
        <v>2</v>
      </c>
      <c r="B140" s="91" t="s">
        <v>488</v>
      </c>
      <c r="C140" s="124" t="s">
        <v>489</v>
      </c>
      <c r="D140" s="106" t="str">
        <f>'THANG B.LUONG'!B200</f>
        <v>Tổ trưởng XCG xử lý bùn</v>
      </c>
      <c r="E140" s="896">
        <v>42443</v>
      </c>
      <c r="F140" s="905">
        <v>1</v>
      </c>
      <c r="G140" s="106">
        <f>DATEDIF(E140,$J$3,"y")</f>
        <v>3</v>
      </c>
      <c r="H140" s="106">
        <f>DATEDIF(E140,$J$3,"ym")</f>
        <v>5</v>
      </c>
      <c r="I140" s="17">
        <f>DATEDIF(E140,$J$3,"md")</f>
        <v>11</v>
      </c>
      <c r="J140" s="17">
        <f>VLOOKUP(D140,'THANG B.LUONG'!$B$5:$I$511,F140+1,0)</f>
        <v>8040</v>
      </c>
      <c r="K140" s="17">
        <v>0</v>
      </c>
      <c r="L140" s="17">
        <v>200</v>
      </c>
      <c r="M140" s="17">
        <f t="shared" si="288"/>
        <v>241.2</v>
      </c>
      <c r="N140" s="17">
        <v>0</v>
      </c>
      <c r="O140" s="17">
        <v>100</v>
      </c>
      <c r="P140" s="17">
        <v>200</v>
      </c>
      <c r="Q140" s="17">
        <v>0</v>
      </c>
      <c r="R140" s="17">
        <v>0</v>
      </c>
      <c r="S140" s="17">
        <v>0</v>
      </c>
      <c r="T140" s="17">
        <v>0</v>
      </c>
      <c r="U140" s="17">
        <v>0</v>
      </c>
      <c r="V140" s="927">
        <f t="shared" si="289"/>
        <v>8581.2000000000007</v>
      </c>
      <c r="W140" s="1016">
        <f>VLOOKUP(B140,'Cham cong'!$B$9:$BY$275,35,0)</f>
        <v>28</v>
      </c>
      <c r="X140" s="17">
        <f>VLOOKUP(B140,'Cham cong'!$B$9:$BY$275,37,0)</f>
        <v>0</v>
      </c>
      <c r="Y140" s="17">
        <f>VLOOKUP(B140,'Cham cong'!$B$9:$BY$275,38,0)</f>
        <v>1</v>
      </c>
      <c r="Z140" s="17">
        <f>VLOOKUP(B140,'Cham cong'!$B$9:$BY$275,72,0)</f>
        <v>0</v>
      </c>
      <c r="AA140" s="17">
        <f>VLOOKUP(B140,'Cham cong'!$B$9:$BY$275,71,0)</f>
        <v>0</v>
      </c>
      <c r="AB140" s="17">
        <f>VLOOKUP(B140,'Cham cong'!$B$9:$BY$275,36,0)</f>
        <v>0</v>
      </c>
      <c r="AC140" s="17"/>
      <c r="AD140" s="17"/>
      <c r="AE140" s="17"/>
      <c r="AF140" s="17"/>
      <c r="AG140" s="17"/>
      <c r="AH140" s="17"/>
      <c r="AI140" s="17"/>
      <c r="AJ140" s="17"/>
      <c r="AK140" s="927">
        <f>V140/'Cham cong'!$AS$3*(W140+Z140/8*2+AA140/8*1.5+AB140*3)+J140/'Cham cong'!$AS$3*(X140+Y140)+AC140+P140+AE140+AG140+AH140+AI140+AJ140</f>
        <v>9750.5230769230766</v>
      </c>
      <c r="AL140" s="17">
        <f>AM140*$AN$3</f>
        <v>504</v>
      </c>
      <c r="AM140" s="940">
        <v>4800</v>
      </c>
      <c r="AN140" s="938">
        <f>VLOOKUP(B140,'Cham cong'!$B$9:$BY$275,75,0)</f>
        <v>6000</v>
      </c>
      <c r="AO140" s="938"/>
      <c r="AP140" s="950">
        <f t="shared" si="290"/>
        <v>3250</v>
      </c>
      <c r="AR140" s="951">
        <f t="shared" si="270"/>
        <v>9750523.0769230761</v>
      </c>
      <c r="AS140" s="953">
        <f t="shared" si="261"/>
        <v>4800000</v>
      </c>
      <c r="AT140" s="856">
        <f t="shared" si="279"/>
        <v>6000000</v>
      </c>
    </row>
    <row r="141" spans="1:64">
      <c r="A141" s="898"/>
      <c r="B141" s="95"/>
      <c r="C141" s="96" t="s">
        <v>490</v>
      </c>
      <c r="D141" s="96"/>
      <c r="E141" s="899"/>
      <c r="F141" s="140"/>
      <c r="G141" s="140"/>
      <c r="H141" s="140"/>
      <c r="I141" s="140"/>
      <c r="J141" s="140"/>
      <c r="K141" s="140"/>
      <c r="L141" s="140"/>
      <c r="M141" s="140"/>
      <c r="N141" s="140"/>
      <c r="O141" s="140"/>
      <c r="P141" s="140"/>
      <c r="Q141" s="140"/>
      <c r="R141" s="140"/>
      <c r="S141" s="140"/>
      <c r="T141" s="140"/>
      <c r="U141" s="140"/>
      <c r="V141" s="140"/>
      <c r="W141" s="140"/>
      <c r="X141" s="140"/>
      <c r="Y141" s="140"/>
      <c r="Z141" s="140"/>
      <c r="AA141" s="140"/>
      <c r="AB141" s="140"/>
      <c r="AC141" s="140"/>
      <c r="AD141" s="140"/>
      <c r="AE141" s="140"/>
      <c r="AF141" s="140"/>
      <c r="AG141" s="140"/>
      <c r="AH141" s="140"/>
      <c r="AI141" s="140"/>
      <c r="AJ141" s="140"/>
      <c r="AK141" s="937">
        <f>SUM(AK142:AK145)</f>
        <v>47998.875961538462</v>
      </c>
      <c r="AL141" s="937">
        <f t="shared" ref="AL141:AO141" si="291">SUM(AL142:AL145)</f>
        <v>1617</v>
      </c>
      <c r="AM141" s="937">
        <f t="shared" si="291"/>
        <v>15400</v>
      </c>
      <c r="AN141" s="937">
        <f t="shared" si="291"/>
        <v>13000</v>
      </c>
      <c r="AO141" s="937">
        <f t="shared" si="291"/>
        <v>0</v>
      </c>
      <c r="AP141" s="937">
        <f>SUM(AP142:AP145)</f>
        <v>33380</v>
      </c>
      <c r="AQ141" s="937">
        <f t="shared" ref="AQ141:AU141" si="292">SUM(AQ142:AQ144)</f>
        <v>0</v>
      </c>
      <c r="AR141" s="937">
        <f t="shared" si="292"/>
        <v>38518535.817307696</v>
      </c>
      <c r="AS141" s="937">
        <f t="shared" si="292"/>
        <v>15400000</v>
      </c>
      <c r="AT141" s="937">
        <f t="shared" si="292"/>
        <v>13000000</v>
      </c>
      <c r="AU141" s="937">
        <f t="shared" si="292"/>
        <v>0</v>
      </c>
      <c r="AV141" s="937"/>
      <c r="AW141" s="937"/>
      <c r="AX141" s="937">
        <f>SUM(AX142:AX144)</f>
        <v>0</v>
      </c>
      <c r="AY141" s="937">
        <f>SUM(AY142:AY144)</f>
        <v>0</v>
      </c>
      <c r="AZ141" s="937">
        <f>SUM(AZ142:AZ144)</f>
        <v>0</v>
      </c>
    </row>
    <row r="142" spans="1:64" s="868" customFormat="1">
      <c r="A142" s="895">
        <v>1</v>
      </c>
      <c r="B142" s="1255" t="s">
        <v>491</v>
      </c>
      <c r="C142" s="907" t="s">
        <v>492</v>
      </c>
      <c r="D142" s="489" t="str">
        <f>'THANG B.LUONG'!B196</f>
        <v>Trưởng BP QC Inline</v>
      </c>
      <c r="E142" s="908">
        <v>38579</v>
      </c>
      <c r="F142" s="909">
        <v>2</v>
      </c>
      <c r="G142" s="12">
        <f>DATEDIF(E142,$J$3,"y")</f>
        <v>14</v>
      </c>
      <c r="H142" s="12">
        <f>DATEDIF(E142,$J$3,"ym")</f>
        <v>0</v>
      </c>
      <c r="I142" s="921">
        <f>DATEDIF(E142,$J$3,"md")</f>
        <v>10</v>
      </c>
      <c r="J142" s="921">
        <f>VLOOKUP(D142,'THANG B.LUONG'!$B$5:$I$511,F142+1,0)</f>
        <v>12800</v>
      </c>
      <c r="K142" s="921">
        <v>0</v>
      </c>
      <c r="L142" s="921">
        <v>500</v>
      </c>
      <c r="M142" s="921">
        <f t="shared" si="288"/>
        <v>1792.0000000000002</v>
      </c>
      <c r="N142" s="921">
        <v>0</v>
      </c>
      <c r="O142" s="921">
        <v>200</v>
      </c>
      <c r="P142" s="921">
        <v>300</v>
      </c>
      <c r="Q142" s="921">
        <v>0</v>
      </c>
      <c r="R142" s="921">
        <v>0</v>
      </c>
      <c r="S142" s="921">
        <v>0</v>
      </c>
      <c r="T142" s="921">
        <v>0</v>
      </c>
      <c r="U142" s="921">
        <v>0</v>
      </c>
      <c r="V142" s="921">
        <f t="shared" si="289"/>
        <v>15292</v>
      </c>
      <c r="W142" s="1016">
        <f>VLOOKUP(B142,'Cham cong'!$B$9:$BY$275,35,0)</f>
        <v>26</v>
      </c>
      <c r="X142" s="17">
        <f>VLOOKUP(B142,'Cham cong'!$B$9:$BY$275,37,0)</f>
        <v>0</v>
      </c>
      <c r="Y142" s="17">
        <f>VLOOKUP(B142,'Cham cong'!$B$9:$BY$275,38,0)</f>
        <v>1</v>
      </c>
      <c r="Z142" s="17">
        <f>VLOOKUP(B142,'Cham cong'!$B$9:$BY$275,72,0)</f>
        <v>0</v>
      </c>
      <c r="AA142" s="17">
        <f>VLOOKUP(B142,'Cham cong'!$B$9:$BY$275,71,0)</f>
        <v>0</v>
      </c>
      <c r="AB142" s="17">
        <f>VLOOKUP(B142,'Cham cong'!$B$9:$BY$275,36,0)</f>
        <v>0</v>
      </c>
      <c r="AC142" s="921"/>
      <c r="AD142" s="921"/>
      <c r="AE142" s="921"/>
      <c r="AF142" s="921"/>
      <c r="AG142" s="921"/>
      <c r="AH142" s="921"/>
      <c r="AI142" s="921"/>
      <c r="AJ142" s="921"/>
      <c r="AK142" s="932">
        <f>V142/'Cham cong'!$AS$3*(W142+Z142/8*2+AA142/8*1.5+AB142*3)+J142/'Cham cong'!$AS$3*(X142+Y142)+AC142+P142+AE142+AG142+AH142+AI142+AJ142</f>
        <v>16084.307692307691</v>
      </c>
      <c r="AL142" s="921">
        <f>AM142*$AN$3</f>
        <v>577.5</v>
      </c>
      <c r="AM142" s="943">
        <v>5500</v>
      </c>
      <c r="AN142" s="944">
        <f>VLOOKUP(B142,'Cham cong'!$B$9:$BY$275,75,0)</f>
        <v>10000</v>
      </c>
      <c r="AO142" s="944"/>
      <c r="AP142" s="969">
        <f t="shared" si="290"/>
        <v>5510</v>
      </c>
      <c r="AR142" s="975">
        <f t="shared" si="270"/>
        <v>16084307.692307692</v>
      </c>
      <c r="AS142" s="953">
        <f t="shared" ref="AS142:AS208" si="293">AM142*1000</f>
        <v>5500000</v>
      </c>
      <c r="AT142" s="861">
        <f t="shared" si="279"/>
        <v>10000000</v>
      </c>
      <c r="AU142" s="1075"/>
      <c r="AV142" s="1075"/>
      <c r="AW142" s="1075"/>
      <c r="AY142" s="1075"/>
      <c r="BE142" s="1249"/>
      <c r="BG142" s="1075"/>
      <c r="BK142" s="1075"/>
      <c r="BL142" s="1075"/>
    </row>
    <row r="143" spans="1:64" ht="12.75" customHeight="1">
      <c r="A143" s="895">
        <v>2</v>
      </c>
      <c r="B143" s="133" t="s">
        <v>493</v>
      </c>
      <c r="C143" s="318" t="s">
        <v>494</v>
      </c>
      <c r="D143" s="1005" t="str">
        <f>'THANG B.LUONG'!B149</f>
        <v>NV QC inline ĐS - PB</v>
      </c>
      <c r="E143" s="904">
        <v>42415</v>
      </c>
      <c r="F143" s="897">
        <v>1</v>
      </c>
      <c r="G143" s="106">
        <f>DATEDIF(E143,$J$3,"y")</f>
        <v>3</v>
      </c>
      <c r="H143" s="106">
        <f>DATEDIF(E143,$J$3,"ym")</f>
        <v>6</v>
      </c>
      <c r="I143" s="17">
        <f>DATEDIF(E143,$J$3,"md")</f>
        <v>10</v>
      </c>
      <c r="J143" s="17">
        <f>VLOOKUP(D143,'THANG B.LUONG'!$B$5:$I$511,F143+1,0)</f>
        <v>7820</v>
      </c>
      <c r="K143" s="17">
        <v>0</v>
      </c>
      <c r="L143" s="17">
        <v>0</v>
      </c>
      <c r="M143" s="17">
        <f t="shared" si="288"/>
        <v>234.6</v>
      </c>
      <c r="N143" s="17">
        <v>0</v>
      </c>
      <c r="O143" s="17">
        <v>0</v>
      </c>
      <c r="P143" s="17">
        <v>0</v>
      </c>
      <c r="Q143" s="17">
        <v>0</v>
      </c>
      <c r="R143" s="17">
        <v>0</v>
      </c>
      <c r="S143" s="17">
        <v>0</v>
      </c>
      <c r="T143" s="17">
        <v>0</v>
      </c>
      <c r="U143" s="17">
        <v>0</v>
      </c>
      <c r="V143" s="927">
        <f t="shared" si="289"/>
        <v>8054.6</v>
      </c>
      <c r="W143" s="1016">
        <f>VLOOKUP(B143,'Cham cong'!$B$9:$BY$275,35,0)</f>
        <v>26</v>
      </c>
      <c r="X143" s="17">
        <f>VLOOKUP(B143,'Cham cong'!$B$9:$BY$275,37,0)</f>
        <v>0</v>
      </c>
      <c r="Y143" s="17">
        <f>VLOOKUP(B143,'Cham cong'!$B$9:$BY$275,38,0)</f>
        <v>1</v>
      </c>
      <c r="Z143" s="17">
        <f>VLOOKUP(B143,'Cham cong'!$B$9:$BY$275,72,0)</f>
        <v>8</v>
      </c>
      <c r="AA143" s="17">
        <f>VLOOKUP(B143,'Cham cong'!$B$9:$BY$275,71,0)</f>
        <v>49.5</v>
      </c>
      <c r="AB143" s="17">
        <f>VLOOKUP(B143,'Cham cong'!$B$9:$BY$275,36,0)</f>
        <v>0</v>
      </c>
      <c r="AC143" s="17"/>
      <c r="AD143" s="17"/>
      <c r="AE143" s="17"/>
      <c r="AF143" s="17"/>
      <c r="AG143" s="17"/>
      <c r="AH143" s="945"/>
      <c r="AI143" s="17"/>
      <c r="AJ143" s="17"/>
      <c r="AK143" s="927">
        <f>V143/'Cham cong'!$AS$3*(W143+Z143/8*2+AA143/8*1.5+AB143*3)+J143/'Cham cong'!$AS$3*(X143+Y143)+AC143+P143+AE143+AG143+AH143+AI143+AJ143</f>
        <v>11850.213701923078</v>
      </c>
      <c r="AL143" s="17">
        <f>AM143*$AN$3</f>
        <v>535.5</v>
      </c>
      <c r="AM143" s="920">
        <v>5100</v>
      </c>
      <c r="AN143" s="944">
        <f>VLOOKUP(B143,'Cham cong'!$B$9:$BY$275,75,0)</f>
        <v>0</v>
      </c>
      <c r="AO143" s="938"/>
      <c r="AP143" s="950">
        <f t="shared" si="290"/>
        <v>11310</v>
      </c>
      <c r="AR143" s="951">
        <f t="shared" si="270"/>
        <v>11850213.701923078</v>
      </c>
      <c r="AS143" s="953">
        <f t="shared" si="293"/>
        <v>5100000</v>
      </c>
      <c r="AT143" s="856">
        <f t="shared" si="279"/>
        <v>0</v>
      </c>
      <c r="BE143" s="1249"/>
    </row>
    <row r="144" spans="1:64" s="868" customFormat="1">
      <c r="A144" s="895">
        <v>3</v>
      </c>
      <c r="B144" s="1255" t="s">
        <v>495</v>
      </c>
      <c r="C144" s="1056" t="s">
        <v>496</v>
      </c>
      <c r="D144" s="1057" t="str">
        <f>'THANG B.LUONG'!B149</f>
        <v>NV QC inline ĐS - PB</v>
      </c>
      <c r="E144" s="1058">
        <v>43369</v>
      </c>
      <c r="F144" s="909">
        <v>1</v>
      </c>
      <c r="G144" s="12">
        <f>DATEDIF(E144,$J$3,"y")</f>
        <v>0</v>
      </c>
      <c r="H144" s="12">
        <f>DATEDIF(E144,$J$3,"ym")</f>
        <v>10</v>
      </c>
      <c r="I144" s="921">
        <f>DATEDIF(E144,$J$3,"md")</f>
        <v>30</v>
      </c>
      <c r="J144" s="921">
        <v>8000</v>
      </c>
      <c r="K144" s="921">
        <v>0</v>
      </c>
      <c r="L144" s="921">
        <v>0</v>
      </c>
      <c r="M144" s="921">
        <f t="shared" si="288"/>
        <v>0</v>
      </c>
      <c r="N144" s="921">
        <v>0</v>
      </c>
      <c r="O144" s="1066">
        <v>100</v>
      </c>
      <c r="P144" s="1066">
        <v>200</v>
      </c>
      <c r="Q144" s="921">
        <v>0</v>
      </c>
      <c r="R144" s="921">
        <v>0</v>
      </c>
      <c r="S144" s="921">
        <v>0</v>
      </c>
      <c r="T144" s="921">
        <v>0</v>
      </c>
      <c r="U144" s="921">
        <v>0</v>
      </c>
      <c r="V144" s="932">
        <f t="shared" si="289"/>
        <v>8100</v>
      </c>
      <c r="W144" s="1016">
        <f>VLOOKUP(B144,'Cham cong'!$B$9:$BY$275,35,0)</f>
        <v>26</v>
      </c>
      <c r="X144" s="17">
        <f>VLOOKUP(B144,'Cham cong'!$B$9:$BY$275,37,0)</f>
        <v>0</v>
      </c>
      <c r="Y144" s="17">
        <f>VLOOKUP(B144,'Cham cong'!$B$9:$BY$275,38,0)</f>
        <v>1</v>
      </c>
      <c r="Z144" s="17">
        <f>VLOOKUP(B144,'Cham cong'!$B$9:$BY$275,72,0)</f>
        <v>16</v>
      </c>
      <c r="AA144" s="17">
        <f>VLOOKUP(B144,'Cham cong'!$B$9:$BY$275,71,0)</f>
        <v>12.5</v>
      </c>
      <c r="AB144" s="17">
        <f>VLOOKUP(B144,'Cham cong'!$B$9:$BY$275,36,0)</f>
        <v>0</v>
      </c>
      <c r="AC144" s="921"/>
      <c r="AD144" s="921"/>
      <c r="AE144" s="921"/>
      <c r="AF144" s="921"/>
      <c r="AG144" s="921"/>
      <c r="AH144" s="921"/>
      <c r="AI144" s="921"/>
      <c r="AJ144" s="921"/>
      <c r="AK144" s="932">
        <f>V144/'Cham cong'!$AS$3*(W144+Z144/8*2+AA144/8*1.5+AB144*3)+J144/'Cham cong'!$AS$3*(X144+Y144)+AC144+P144+AE144+AG144+AH144+AI144+AJ144</f>
        <v>10584.014423076924</v>
      </c>
      <c r="AL144" s="921">
        <f>AM144*$AN$3</f>
        <v>504</v>
      </c>
      <c r="AM144" s="943">
        <v>4800</v>
      </c>
      <c r="AN144" s="944">
        <f>VLOOKUP(B144,'Cham cong'!$B$9:$BY$275,75,0)</f>
        <v>3000</v>
      </c>
      <c r="AO144" s="938"/>
      <c r="AP144" s="969">
        <f t="shared" si="290"/>
        <v>7080</v>
      </c>
      <c r="AR144" s="975">
        <f t="shared" si="270"/>
        <v>10584014.423076924</v>
      </c>
      <c r="AS144" s="953">
        <f t="shared" si="293"/>
        <v>4800000</v>
      </c>
      <c r="AT144" s="861">
        <f t="shared" si="279"/>
        <v>3000000</v>
      </c>
      <c r="AU144" s="1075"/>
      <c r="AV144" s="1075"/>
      <c r="AW144" s="1075"/>
      <c r="AY144" s="1075"/>
      <c r="BE144" s="1249"/>
      <c r="BG144" s="1075"/>
      <c r="BK144" s="1075"/>
      <c r="BL144" s="1075"/>
    </row>
    <row r="145" spans="1:64" s="1470" customFormat="1">
      <c r="A145" s="1397">
        <v>3</v>
      </c>
      <c r="B145" s="580" t="s">
        <v>1310</v>
      </c>
      <c r="C145" s="1491" t="s">
        <v>1311</v>
      </c>
      <c r="D145" s="1492" t="str">
        <f>'THANG B.LUONG'!B159</f>
        <v>NV QC inline xử lý bùn</v>
      </c>
      <c r="E145" s="1493">
        <v>43696</v>
      </c>
      <c r="F145" s="916">
        <v>1</v>
      </c>
      <c r="G145" s="582">
        <f>DATEDIF(E145,$J$3,"y")</f>
        <v>0</v>
      </c>
      <c r="H145" s="582">
        <f>DATEDIF(E145,$J$3,"ym")</f>
        <v>0</v>
      </c>
      <c r="I145" s="922">
        <f>DATEDIF(E145,$J$3,"md")</f>
        <v>6</v>
      </c>
      <c r="J145" s="922">
        <v>7820</v>
      </c>
      <c r="K145" s="922">
        <v>0</v>
      </c>
      <c r="L145" s="922">
        <v>0</v>
      </c>
      <c r="M145" s="922">
        <f t="shared" ref="M145" si="294">IF(G145&gt;=3,J145*(0.03+(G145-3)*0.01),0)</f>
        <v>0</v>
      </c>
      <c r="N145" s="922">
        <f t="shared" ref="N145" si="295">IF(H145&gt;=3,K145*(0.03+(H145-3)*0.01),0)</f>
        <v>0</v>
      </c>
      <c r="O145" s="922">
        <f t="shared" ref="O145" si="296">IF(I145&gt;=3,L145*(0.03+(I145-3)*0.01),0)</f>
        <v>0</v>
      </c>
      <c r="P145" s="922">
        <f t="shared" ref="P145" si="297">IF(J145&gt;=3,M145*(0.03+(J145-3)*0.01),0)</f>
        <v>0</v>
      </c>
      <c r="Q145" s="922">
        <f t="shared" ref="Q145" si="298">IF(K145&gt;=3,N145*(0.03+(K145-3)*0.01),0)</f>
        <v>0</v>
      </c>
      <c r="R145" s="922">
        <f t="shared" ref="R145" si="299">IF(L145&gt;=3,O145*(0.03+(L145-3)*0.01),0)</f>
        <v>0</v>
      </c>
      <c r="S145" s="922">
        <f t="shared" ref="S145" si="300">IF(M145&gt;=3,P145*(0.03+(M145-3)*0.01),0)</f>
        <v>0</v>
      </c>
      <c r="T145" s="922">
        <v>0</v>
      </c>
      <c r="U145" s="922">
        <v>0</v>
      </c>
      <c r="V145" s="1398">
        <f>(SUM(J145:U145)-P145)*0.85</f>
        <v>6647</v>
      </c>
      <c r="W145" s="931">
        <f>VLOOKUP(B145,'Cham cong'!$B$9:$BY$275,35,0)</f>
        <v>26</v>
      </c>
      <c r="X145" s="922">
        <f>VLOOKUP(B145,'Cham cong'!$B$9:$BY$275,37,0)</f>
        <v>0</v>
      </c>
      <c r="Y145" s="922">
        <f>VLOOKUP(B145,'Cham cong'!$B$9:$BY$275,38,0)</f>
        <v>1</v>
      </c>
      <c r="Z145" s="922">
        <f>VLOOKUP(B145,'Cham cong'!$B$9:$BY$275,72,0)</f>
        <v>16</v>
      </c>
      <c r="AA145" s="922">
        <f>VLOOKUP(B145,'Cham cong'!$B$9:$BY$275,71,0)</f>
        <v>31.5</v>
      </c>
      <c r="AB145" s="922">
        <f>VLOOKUP(B145,'Cham cong'!$B$9:$BY$275,36,0)</f>
        <v>0</v>
      </c>
      <c r="AC145" s="922"/>
      <c r="AD145" s="922"/>
      <c r="AE145" s="922"/>
      <c r="AF145" s="922"/>
      <c r="AG145" s="922"/>
      <c r="AH145" s="922"/>
      <c r="AI145" s="922"/>
      <c r="AJ145" s="922"/>
      <c r="AK145" s="1398">
        <f>V145/'Cham cong'!$AS$3*(W145+Z145/8*2+AA145/8*1.5+AB145*3)+J145/'Cham cong'!$AS$3*(X145+Y145)+AC145+P145+AE145+AG145+AH145+AI145+AJ145</f>
        <v>9480.3401442307695</v>
      </c>
      <c r="AL145" s="922">
        <f>AM145*$AN$3</f>
        <v>0</v>
      </c>
      <c r="AM145" s="1408">
        <v>0</v>
      </c>
      <c r="AN145" s="942">
        <f>VLOOKUP(B145,'Cham cong'!$B$9:$BY$275,75,0)</f>
        <v>0</v>
      </c>
      <c r="AO145" s="942"/>
      <c r="AP145" s="1399">
        <f t="shared" ref="AP145" si="301">ROUND(AK145-AL145-AN145+AO145,-1)</f>
        <v>9480</v>
      </c>
      <c r="AR145" s="966">
        <f t="shared" ref="AR145" si="302">AK145*1000</f>
        <v>9480340.1442307699</v>
      </c>
      <c r="AS145" s="1045">
        <f t="shared" ref="AS145" si="303">AM145*1000</f>
        <v>0</v>
      </c>
      <c r="AT145" s="862">
        <f t="shared" ref="AT145" si="304">AN145*1000</f>
        <v>0</v>
      </c>
      <c r="AU145" s="1474"/>
      <c r="AV145" s="1474"/>
      <c r="AW145" s="1474"/>
      <c r="AY145" s="1474"/>
      <c r="BE145" s="1494"/>
      <c r="BG145" s="1474"/>
      <c r="BK145" s="1474"/>
      <c r="BL145" s="1474"/>
    </row>
    <row r="146" spans="1:64" ht="18" customHeight="1">
      <c r="A146" s="888"/>
      <c r="B146" s="1252" t="s">
        <v>497</v>
      </c>
      <c r="C146" s="136"/>
      <c r="D146" s="136"/>
      <c r="E146" s="889"/>
      <c r="F146" s="136"/>
      <c r="G146" s="136"/>
      <c r="H146" s="136"/>
      <c r="I146" s="136"/>
      <c r="J146" s="136"/>
      <c r="K146" s="136"/>
      <c r="L146" s="136"/>
      <c r="M146" s="136"/>
      <c r="N146" s="136"/>
      <c r="O146" s="136"/>
      <c r="P146" s="136"/>
      <c r="Q146" s="136"/>
      <c r="R146" s="136"/>
      <c r="S146" s="136"/>
      <c r="T146" s="136"/>
      <c r="U146" s="136"/>
      <c r="V146" s="136"/>
      <c r="W146" s="136"/>
      <c r="X146" s="136"/>
      <c r="Y146" s="136"/>
      <c r="Z146" s="136"/>
      <c r="AA146" s="136"/>
      <c r="AB146" s="136"/>
      <c r="AC146" s="136"/>
      <c r="AD146" s="136"/>
      <c r="AE146" s="136"/>
      <c r="AF146" s="136"/>
      <c r="AG146" s="136"/>
      <c r="AH146" s="136"/>
      <c r="AI146" s="136"/>
      <c r="AJ146" s="136"/>
      <c r="AK146" s="136"/>
      <c r="AL146" s="136"/>
      <c r="AM146" s="136"/>
      <c r="AN146" s="136"/>
      <c r="AO146" s="136"/>
      <c r="AP146" s="136"/>
      <c r="AR146" s="951">
        <f t="shared" si="270"/>
        <v>0</v>
      </c>
      <c r="AS146" s="953">
        <f t="shared" si="293"/>
        <v>0</v>
      </c>
      <c r="AT146" s="856">
        <f t="shared" si="279"/>
        <v>0</v>
      </c>
    </row>
    <row r="147" spans="1:64">
      <c r="A147" s="898"/>
      <c r="B147" s="95"/>
      <c r="C147" s="96" t="s">
        <v>74</v>
      </c>
      <c r="D147" s="96"/>
      <c r="E147" s="899"/>
      <c r="F147" s="140"/>
      <c r="G147" s="140"/>
      <c r="H147" s="140"/>
      <c r="I147" s="140"/>
      <c r="J147" s="140"/>
      <c r="K147" s="140"/>
      <c r="L147" s="140"/>
      <c r="M147" s="140"/>
      <c r="N147" s="140"/>
      <c r="O147" s="140"/>
      <c r="P147" s="140"/>
      <c r="Q147" s="140"/>
      <c r="R147" s="140"/>
      <c r="S147" s="140"/>
      <c r="T147" s="140"/>
      <c r="U147" s="140"/>
      <c r="V147" s="140"/>
      <c r="W147" s="140"/>
      <c r="X147" s="140"/>
      <c r="Y147" s="140"/>
      <c r="Z147" s="140"/>
      <c r="AA147" s="140"/>
      <c r="AB147" s="140"/>
      <c r="AC147" s="140"/>
      <c r="AD147" s="140"/>
      <c r="AE147" s="140"/>
      <c r="AF147" s="140"/>
      <c r="AG147" s="140"/>
      <c r="AH147" s="140"/>
      <c r="AI147" s="140"/>
      <c r="AJ147" s="140"/>
      <c r="AK147" s="1071">
        <f>SUM(AK148)</f>
        <v>70043.461538461532</v>
      </c>
      <c r="AL147" s="1071">
        <f t="shared" ref="AL147:AP147" si="305">SUM(AL148)</f>
        <v>871.5</v>
      </c>
      <c r="AM147" s="1071">
        <f t="shared" si="305"/>
        <v>8300</v>
      </c>
      <c r="AN147" s="1071">
        <f t="shared" si="305"/>
        <v>0</v>
      </c>
      <c r="AO147" s="1071">
        <f t="shared" si="305"/>
        <v>0</v>
      </c>
      <c r="AP147" s="1071">
        <f t="shared" si="305"/>
        <v>69170</v>
      </c>
      <c r="AR147" s="1034">
        <f t="shared" si="270"/>
        <v>70043461.538461536</v>
      </c>
      <c r="AS147" s="953">
        <f t="shared" si="293"/>
        <v>8300000</v>
      </c>
      <c r="AT147" s="856">
        <f t="shared" si="279"/>
        <v>0</v>
      </c>
      <c r="AU147" s="1404">
        <f>AR147*50%+AR149+AR171+AU166</f>
        <v>79909761.538461536</v>
      </c>
      <c r="AV147" s="1076">
        <f>AS147*50%+AS149+AS171+AV166</f>
        <v>8950000</v>
      </c>
      <c r="AW147" s="1076">
        <f>AT147*50%+AT149+AT171+AW166</f>
        <v>0</v>
      </c>
      <c r="AX147" s="1077" t="s">
        <v>498</v>
      </c>
    </row>
    <row r="148" spans="1:64" s="869" customFormat="1">
      <c r="A148" s="1059">
        <v>1</v>
      </c>
      <c r="B148" s="92" t="s">
        <v>499</v>
      </c>
      <c r="C148" s="92" t="s">
        <v>500</v>
      </c>
      <c r="D148" s="1060" t="str">
        <f>'THANG B.LUONG'!B72</f>
        <v>GIÁM ĐỐC KINH DOANH</v>
      </c>
      <c r="E148" s="1061">
        <v>43115</v>
      </c>
      <c r="F148" s="1062">
        <v>5</v>
      </c>
      <c r="G148" s="93">
        <f>DATEDIF(E148,$J$3,"y")</f>
        <v>1</v>
      </c>
      <c r="H148" s="93">
        <f>DATEDIF(E148,$J$3,"ym")</f>
        <v>7</v>
      </c>
      <c r="I148" s="1015">
        <f>DATEDIF(E148,$J$3,"md")</f>
        <v>10</v>
      </c>
      <c r="J148" s="1015">
        <f>VLOOKUP(D148,'THANG B.LUONG'!$B$5:$I$511,F148+1,0)</f>
        <v>48190</v>
      </c>
      <c r="K148" s="1015">
        <v>0</v>
      </c>
      <c r="L148" s="1015">
        <v>3000</v>
      </c>
      <c r="M148" s="1015">
        <f>IF(G148&gt;=3,J148*(0.03+(G148-3)*0.01),0)</f>
        <v>0</v>
      </c>
      <c r="N148" s="1015">
        <v>0</v>
      </c>
      <c r="O148" s="1015">
        <v>1000</v>
      </c>
      <c r="P148" s="1015">
        <v>1000</v>
      </c>
      <c r="Q148" s="1015">
        <v>0</v>
      </c>
      <c r="R148" s="1015">
        <v>0</v>
      </c>
      <c r="S148" s="1015">
        <v>0</v>
      </c>
      <c r="T148" s="1015">
        <v>0</v>
      </c>
      <c r="U148" s="1015">
        <v>0</v>
      </c>
      <c r="V148" s="1015">
        <f>SUM(J148:U148)-P148</f>
        <v>52190</v>
      </c>
      <c r="W148" s="1067">
        <f>VLOOKUP(B148,'Cham cong'!$B$9:$BY$275,35,0)</f>
        <v>26</v>
      </c>
      <c r="X148" s="1015">
        <f>VLOOKUP(B148,'Cham cong'!$B$9:$BY$275,37,0)</f>
        <v>0</v>
      </c>
      <c r="Y148" s="1015">
        <f>VLOOKUP(B148,'Cham cong'!$B$9:$BY$275,38,0)</f>
        <v>1</v>
      </c>
      <c r="Z148" s="1015">
        <f>VLOOKUP(B148,'Cham cong'!$B$9:$BY$275,72,0)</f>
        <v>0</v>
      </c>
      <c r="AA148" s="1015">
        <f>VLOOKUP(B148,'Cham cong'!$B$9:$BY$275,71,0)</f>
        <v>0</v>
      </c>
      <c r="AB148" s="1015">
        <f>VLOOKUP(B148,'Cham cong'!$B$9:$BY$275,36,0)</f>
        <v>0</v>
      </c>
      <c r="AC148" s="1015"/>
      <c r="AD148" s="1015"/>
      <c r="AE148" s="1015"/>
      <c r="AF148" s="1015"/>
      <c r="AG148" s="1015"/>
      <c r="AH148" s="1015"/>
      <c r="AI148" s="1015"/>
      <c r="AJ148" s="1015">
        <v>15000</v>
      </c>
      <c r="AK148" s="1015">
        <f>V148/'Cham cong'!$AS$3*(W148+Z148/8*2+AA148/8*1.5+AB148*3)+J148/'Cham cong'!$AS$3*(X148+Y148)+AC148+P148+AE148+AG148+AH148+AI148+AJ148</f>
        <v>70043.461538461532</v>
      </c>
      <c r="AL148" s="1015">
        <f>AM148*$AN$3</f>
        <v>871.5</v>
      </c>
      <c r="AM148" s="1015">
        <v>8300</v>
      </c>
      <c r="AN148" s="1030">
        <f>VLOOKUP(B148,'Cham cong'!$B$9:$BY$275,75,0)</f>
        <v>0</v>
      </c>
      <c r="AO148" s="1030"/>
      <c r="AP148" s="1030">
        <f>ROUND(AK148-AL148-AN148+AO148,-1)</f>
        <v>69170</v>
      </c>
      <c r="AR148" s="1078">
        <f t="shared" si="270"/>
        <v>70043461.538461536</v>
      </c>
      <c r="AS148" s="1079">
        <f t="shared" si="293"/>
        <v>8300000</v>
      </c>
      <c r="AT148" s="1080">
        <f t="shared" si="279"/>
        <v>0</v>
      </c>
      <c r="AU148" s="1405">
        <f>AR147*40%+AR152+AR153+AR154</f>
        <v>84618600</v>
      </c>
      <c r="AV148" s="1081">
        <f>AS147*40%+AS152+AS153+AS154</f>
        <v>18020000</v>
      </c>
      <c r="AW148" s="1081">
        <f>AT147*40%+AT152+AT153+AT154</f>
        <v>0</v>
      </c>
      <c r="AX148" s="1082" t="s">
        <v>501</v>
      </c>
      <c r="AY148" s="1089"/>
      <c r="BG148" s="1089"/>
      <c r="BK148" s="1089"/>
      <c r="BL148" s="1089"/>
    </row>
    <row r="149" spans="1:64">
      <c r="A149" s="898"/>
      <c r="B149" s="1263"/>
      <c r="C149" s="138" t="s">
        <v>502</v>
      </c>
      <c r="D149" s="137"/>
      <c r="E149" s="899"/>
      <c r="F149" s="140"/>
      <c r="G149" s="140"/>
      <c r="H149" s="140"/>
      <c r="I149" s="140"/>
      <c r="J149" s="140"/>
      <c r="K149" s="140"/>
      <c r="L149" s="140"/>
      <c r="M149" s="140"/>
      <c r="N149" s="140"/>
      <c r="O149" s="140"/>
      <c r="P149" s="140"/>
      <c r="Q149" s="140"/>
      <c r="R149" s="140"/>
      <c r="S149" s="140"/>
      <c r="T149" s="140"/>
      <c r="U149" s="140"/>
      <c r="V149" s="140"/>
      <c r="W149" s="140"/>
      <c r="X149" s="140"/>
      <c r="Y149" s="140"/>
      <c r="Z149" s="140"/>
      <c r="AA149" s="140"/>
      <c r="AB149" s="140"/>
      <c r="AC149" s="140"/>
      <c r="AD149" s="140"/>
      <c r="AE149" s="140"/>
      <c r="AF149" s="140"/>
      <c r="AG149" s="140"/>
      <c r="AH149" s="140"/>
      <c r="AI149" s="140"/>
      <c r="AJ149" s="140"/>
      <c r="AK149" s="937">
        <f>SUM(AK150)</f>
        <v>15168.030769230769</v>
      </c>
      <c r="AL149" s="937">
        <f t="shared" ref="AL149:AP149" si="306">SUM(AL150)</f>
        <v>504</v>
      </c>
      <c r="AM149" s="937">
        <f t="shared" si="306"/>
        <v>4800</v>
      </c>
      <c r="AN149" s="937">
        <f t="shared" si="306"/>
        <v>0</v>
      </c>
      <c r="AO149" s="937">
        <f t="shared" si="306"/>
        <v>0</v>
      </c>
      <c r="AP149" s="937">
        <f t="shared" si="306"/>
        <v>14660</v>
      </c>
      <c r="AR149" s="1034">
        <f t="shared" si="270"/>
        <v>15168030.769230768</v>
      </c>
      <c r="AS149" s="953">
        <f t="shared" si="293"/>
        <v>4800000</v>
      </c>
      <c r="AT149" s="856">
        <f t="shared" si="279"/>
        <v>0</v>
      </c>
      <c r="AU149" s="1403">
        <f>AR166-AU166+AR167+AR168+AR169+AR170</f>
        <v>70617692.307692304</v>
      </c>
      <c r="AV149" s="1076">
        <f>AS166-AV166+AS167+AS168+AS169+AS170</f>
        <v>19200000</v>
      </c>
      <c r="AW149" s="1076">
        <f>AT166-AW166+AT167+AT168+AT169+AT170</f>
        <v>0</v>
      </c>
      <c r="AX149" s="1077" t="s">
        <v>503</v>
      </c>
    </row>
    <row r="150" spans="1:64" ht="12.75">
      <c r="A150" s="895">
        <v>2</v>
      </c>
      <c r="B150" s="105" t="s">
        <v>504</v>
      </c>
      <c r="C150" s="105" t="s">
        <v>505</v>
      </c>
      <c r="D150" s="139" t="str">
        <f>'[2]THANG B.LUONG'!$B$60</f>
        <v>Sale admin</v>
      </c>
      <c r="E150" s="896">
        <v>42513</v>
      </c>
      <c r="F150" s="897">
        <v>2</v>
      </c>
      <c r="G150" s="106">
        <f>DATEDIF(E150,$J$3,"y")</f>
        <v>3</v>
      </c>
      <c r="H150" s="106">
        <f>DATEDIF(E150,$J$3,"ym")</f>
        <v>3</v>
      </c>
      <c r="I150" s="17">
        <f>DATEDIF(E150,$J$3,"md")</f>
        <v>2</v>
      </c>
      <c r="J150" s="17">
        <f>VLOOKUP(D150,'THANG B.LUONG'!$B$5:$I$511,F150+1,0)</f>
        <v>5960</v>
      </c>
      <c r="K150" s="17">
        <v>0</v>
      </c>
      <c r="L150" s="17">
        <v>0</v>
      </c>
      <c r="M150" s="17">
        <f>IF(G150&gt;=3,J150*(0.03+(G150-3)*0.01),0)</f>
        <v>178.79999999999998</v>
      </c>
      <c r="N150" s="17">
        <v>0</v>
      </c>
      <c r="O150" s="17">
        <v>0</v>
      </c>
      <c r="P150" s="17">
        <v>300</v>
      </c>
      <c r="Q150" s="17">
        <v>0</v>
      </c>
      <c r="R150" s="17">
        <v>0</v>
      </c>
      <c r="S150" s="17">
        <v>0</v>
      </c>
      <c r="T150" s="17">
        <v>0</v>
      </c>
      <c r="U150" s="17">
        <v>0</v>
      </c>
      <c r="V150" s="927">
        <f>SUM(J150:U150)-P150</f>
        <v>6138.8</v>
      </c>
      <c r="W150" s="928">
        <f>VLOOKUP(B150,'Cham cong'!$B$9:$BY$275,35,0)</f>
        <v>26</v>
      </c>
      <c r="X150" s="17">
        <f>VLOOKUP(B150,'Cham cong'!$B$9:$BY$275,37,0)</f>
        <v>0</v>
      </c>
      <c r="Y150" s="17">
        <f>VLOOKUP(B150,'Cham cong'!$B$9:$BY$275,38,0)</f>
        <v>1</v>
      </c>
      <c r="Z150" s="17">
        <f>VLOOKUP(B150,'Cham cong'!$B$9:$BY$275,72,0)</f>
        <v>0</v>
      </c>
      <c r="AA150" s="17">
        <f>VLOOKUP(B150,'Cham cong'!$B$9:$BY$275,71,0)</f>
        <v>0</v>
      </c>
      <c r="AB150" s="17">
        <f>VLOOKUP(B150,'Cham cong'!$B$9:$BY$275,36,0)</f>
        <v>0</v>
      </c>
      <c r="AC150" s="17"/>
      <c r="AD150" s="17">
        <f>VLOOKUP(B150,'DT-DS'!$A$23:$L$45,3,0)</f>
        <v>0</v>
      </c>
      <c r="AE150" s="17">
        <f>SUMIF('KPI T07-19'!$B$20:$B$40,'Luong VP'!B150,'KPI T07-19'!$AB$20:$AB$40)</f>
        <v>8500</v>
      </c>
      <c r="AF150" s="17"/>
      <c r="AG150" s="17"/>
      <c r="AH150" s="17"/>
      <c r="AI150" s="17"/>
      <c r="AJ150" s="17"/>
      <c r="AK150" s="927">
        <f>V150/'Cham cong'!$AS$3*(W150+Z150/8*2+AA150/8*1.5+AB150*3)+J150/'Cham cong'!$AS$3*(X150+Y150)+AC150+P150+AE150+AG150+AH150+AI150+AJ150</f>
        <v>15168.030769230769</v>
      </c>
      <c r="AL150" s="17">
        <f t="shared" ref="AL150:AL158" si="307">AM150*$AN$3</f>
        <v>504</v>
      </c>
      <c r="AM150" s="940">
        <v>4800</v>
      </c>
      <c r="AN150" s="938">
        <f>VLOOKUP(B150,'Cham cong'!$B$9:$BY$275,75,0)</f>
        <v>0</v>
      </c>
      <c r="AO150" s="938"/>
      <c r="AP150" s="950">
        <f>ROUND(AK150-AL150-AN150+AO150,-1)</f>
        <v>14660</v>
      </c>
      <c r="AR150" s="951">
        <f t="shared" si="270"/>
        <v>15168030.769230768</v>
      </c>
      <c r="AS150" s="953">
        <f t="shared" si="293"/>
        <v>4800000</v>
      </c>
      <c r="AT150" s="856">
        <f t="shared" si="279"/>
        <v>0</v>
      </c>
      <c r="AU150" s="1403" t="e">
        <f>AR156+AR157+AR158+#REF!</f>
        <v>#REF!</v>
      </c>
      <c r="AV150" s="1076">
        <f>AS156+AS157+AS158</f>
        <v>14400000</v>
      </c>
      <c r="AW150" s="1076">
        <f>AT156+AT157+AT158</f>
        <v>0</v>
      </c>
      <c r="AX150" s="1077" t="s">
        <v>506</v>
      </c>
    </row>
    <row r="151" spans="1:64">
      <c r="A151" s="1063"/>
      <c r="B151" s="1264"/>
      <c r="C151" s="141" t="s">
        <v>507</v>
      </c>
      <c r="D151" s="140"/>
      <c r="E151" s="899"/>
      <c r="F151" s="140"/>
      <c r="G151" s="140"/>
      <c r="H151" s="140"/>
      <c r="I151" s="140"/>
      <c r="J151" s="140"/>
      <c r="K151" s="140"/>
      <c r="L151" s="140"/>
      <c r="M151" s="140"/>
      <c r="N151" s="140"/>
      <c r="O151" s="140"/>
      <c r="P151" s="140"/>
      <c r="Q151" s="140"/>
      <c r="R151" s="140"/>
      <c r="S151" s="140"/>
      <c r="T151" s="140"/>
      <c r="U151" s="140"/>
      <c r="V151" s="140"/>
      <c r="W151" s="140"/>
      <c r="X151" s="140"/>
      <c r="Y151" s="140"/>
      <c r="Z151" s="140"/>
      <c r="AA151" s="140"/>
      <c r="AB151" s="140"/>
      <c r="AC151" s="140"/>
      <c r="AD151" s="140"/>
      <c r="AE151" s="140"/>
      <c r="AF151" s="140"/>
      <c r="AG151" s="140"/>
      <c r="AH151" s="140"/>
      <c r="AI151" s="140"/>
      <c r="AJ151" s="140"/>
      <c r="AK151" s="937">
        <f>SUM(AK152:AK171)</f>
        <v>303722.49230769242</v>
      </c>
      <c r="AL151" s="937">
        <f t="shared" ref="AL151:AO151" si="308">SUM(AL152:AL171)</f>
        <v>6615</v>
      </c>
      <c r="AM151" s="937">
        <f t="shared" si="308"/>
        <v>63000</v>
      </c>
      <c r="AN151" s="937">
        <f t="shared" si="308"/>
        <v>0</v>
      </c>
      <c r="AO151" s="937">
        <f t="shared" si="308"/>
        <v>0</v>
      </c>
      <c r="AP151" s="937">
        <f>SUM(AP152:AP171)</f>
        <v>297090</v>
      </c>
      <c r="AR151" s="1034">
        <f t="shared" si="270"/>
        <v>303722492.30769241</v>
      </c>
      <c r="AS151" s="953">
        <f t="shared" si="293"/>
        <v>63000000</v>
      </c>
      <c r="AT151" s="856">
        <f t="shared" si="279"/>
        <v>0</v>
      </c>
      <c r="AU151" s="1403" t="e">
        <f>AR160*40%+AR161+#REF!</f>
        <v>#REF!</v>
      </c>
      <c r="AV151" s="1076">
        <f t="shared" ref="AV151:AW151" si="309">AS160*40%+AS161</f>
        <v>2040000</v>
      </c>
      <c r="AW151" s="1266">
        <f t="shared" si="309"/>
        <v>0</v>
      </c>
      <c r="AX151" s="1077" t="s">
        <v>508</v>
      </c>
    </row>
    <row r="152" spans="1:64" s="865" customFormat="1">
      <c r="A152" s="1064">
        <v>3</v>
      </c>
      <c r="B152" s="997" t="s">
        <v>509</v>
      </c>
      <c r="C152" s="997" t="s">
        <v>510</v>
      </c>
      <c r="D152" s="1065" t="s">
        <v>77</v>
      </c>
      <c r="E152" s="886">
        <v>42280</v>
      </c>
      <c r="F152" s="988">
        <v>7</v>
      </c>
      <c r="G152" s="987">
        <f t="shared" ref="G152:G158" si="310">DATEDIF(E152,$J$3,"y")</f>
        <v>3</v>
      </c>
      <c r="H152" s="987">
        <f t="shared" ref="H152:H158" si="311">DATEDIF(E152,$J$3,"ym")</f>
        <v>10</v>
      </c>
      <c r="I152" s="927">
        <f t="shared" ref="I152:I158" si="312">DATEDIF(E152,$J$3,"md")</f>
        <v>22</v>
      </c>
      <c r="J152" s="927">
        <f>VLOOKUP(D152,'THANG B.LUONG'!$B$5:$I$511,F152+1,0)</f>
        <v>15220</v>
      </c>
      <c r="K152" s="927">
        <v>0</v>
      </c>
      <c r="L152" s="927">
        <v>0</v>
      </c>
      <c r="M152" s="927">
        <f t="shared" ref="M152:M171" si="313">IF(G152&gt;=3,J152*(0.03+(G152-3)*0.01),0)</f>
        <v>456.59999999999997</v>
      </c>
      <c r="N152" s="927">
        <v>0</v>
      </c>
      <c r="O152" s="927">
        <v>500</v>
      </c>
      <c r="P152" s="927">
        <v>300</v>
      </c>
      <c r="Q152" s="927">
        <v>500</v>
      </c>
      <c r="R152" s="927">
        <v>0</v>
      </c>
      <c r="S152" s="927">
        <v>0</v>
      </c>
      <c r="T152" s="927">
        <v>0</v>
      </c>
      <c r="U152" s="927">
        <v>0</v>
      </c>
      <c r="V152" s="927">
        <f t="shared" ref="V152:V160" si="314">SUM(J152:U152)-P152</f>
        <v>16676.599999999999</v>
      </c>
      <c r="W152" s="1019">
        <f>VLOOKUP(B152,'Cham cong'!$B$9:$BY$275,35,0)</f>
        <v>26</v>
      </c>
      <c r="X152" s="927">
        <f>VLOOKUP(B152,'Cham cong'!$B$9:$BY$275,37,0)</f>
        <v>0</v>
      </c>
      <c r="Y152" s="927">
        <f>VLOOKUP(B152,'Cham cong'!$B$9:$BY$275,38,0)</f>
        <v>1</v>
      </c>
      <c r="Z152" s="927">
        <f>VLOOKUP(B152,'Cham cong'!$B$9:$BY$275,72,0)</f>
        <v>0</v>
      </c>
      <c r="AA152" s="927">
        <f>VLOOKUP(B152,'Cham cong'!$B$9:$BY$275,71,0)</f>
        <v>0</v>
      </c>
      <c r="AB152" s="927">
        <f>VLOOKUP(B152,'Cham cong'!$B$9:$BY$275,36,0)</f>
        <v>0</v>
      </c>
      <c r="AC152" s="927"/>
      <c r="AD152" s="927">
        <v>0</v>
      </c>
      <c r="AE152" s="927">
        <f>SUMIF('KPI T07-19'!$B$20:$B$40,'Luong VP'!B152,'KPI T07-19'!$AB$20:$AB$40)</f>
        <v>10000</v>
      </c>
      <c r="AF152" s="927"/>
      <c r="AG152" s="927"/>
      <c r="AH152" s="927"/>
      <c r="AI152" s="927"/>
      <c r="AJ152" s="941"/>
      <c r="AK152" s="927">
        <f>V152/'Cham cong'!$AS$3*(W152+Z152/8*2+AA152/8*1.5+AB152*3)+J152/'Cham cong'!$AS$3*(X152+Y152)+AC152+P152+AE152+AG152+AH152+AI152+AJ152</f>
        <v>27561.984615384616</v>
      </c>
      <c r="AL152" s="927">
        <f t="shared" si="307"/>
        <v>535.5</v>
      </c>
      <c r="AM152" s="1022">
        <v>5100</v>
      </c>
      <c r="AN152" s="950">
        <f>VLOOKUP(B152,'Cham cong'!$B$9:$BY$275,75,0)</f>
        <v>0</v>
      </c>
      <c r="AO152" s="950"/>
      <c r="AP152" s="950">
        <f t="shared" ref="AP152:AP158" si="315">ROUND(AK152-AL152-AN152+AO152,-1)</f>
        <v>27030</v>
      </c>
      <c r="AQ152" s="873"/>
      <c r="AR152" s="1083">
        <f t="shared" ref="AR152:AR158" si="316">AK152*1000</f>
        <v>27561984.615384616</v>
      </c>
      <c r="AS152" s="953">
        <f t="shared" si="293"/>
        <v>5100000</v>
      </c>
      <c r="AT152" s="856">
        <f t="shared" si="279"/>
        <v>0</v>
      </c>
      <c r="AU152" s="1403" t="e">
        <f>AR160*60%+#REF!+AR163+AR162+#REF!+AR164</f>
        <v>#REF!</v>
      </c>
      <c r="AV152" s="1076" t="e">
        <f>AS160*60%+#REF!+AS163+AS162+#REF!</f>
        <v>#REF!</v>
      </c>
      <c r="AW152" s="1076" t="e">
        <f>AT160*60%+#REF!+AT163+AT162+#REF!</f>
        <v>#REF!</v>
      </c>
      <c r="AX152" s="1077" t="s">
        <v>511</v>
      </c>
      <c r="AY152" s="877"/>
      <c r="BG152" s="877"/>
      <c r="BK152" s="877"/>
      <c r="BL152" s="877"/>
    </row>
    <row r="153" spans="1:64" ht="12.75">
      <c r="A153" s="1064">
        <v>4</v>
      </c>
      <c r="B153" s="105" t="s">
        <v>512</v>
      </c>
      <c r="C153" s="105" t="s">
        <v>513</v>
      </c>
      <c r="D153" s="139" t="str">
        <f>'THANG B.LUONG'!B76</f>
        <v>NV sale</v>
      </c>
      <c r="E153" s="896">
        <v>43263</v>
      </c>
      <c r="F153" s="897">
        <v>7</v>
      </c>
      <c r="G153" s="106">
        <f t="shared" si="310"/>
        <v>1</v>
      </c>
      <c r="H153" s="106">
        <f t="shared" si="311"/>
        <v>2</v>
      </c>
      <c r="I153" s="17">
        <f t="shared" si="312"/>
        <v>13</v>
      </c>
      <c r="J153" s="17">
        <f>VLOOKUP(D153,'THANG B.LUONG'!$B$5:$I$511,F153+1,0)</f>
        <v>7900</v>
      </c>
      <c r="K153" s="17">
        <v>0</v>
      </c>
      <c r="L153" s="17">
        <v>0</v>
      </c>
      <c r="M153" s="17">
        <f t="shared" si="313"/>
        <v>0</v>
      </c>
      <c r="N153" s="17">
        <v>0</v>
      </c>
      <c r="O153" s="922">
        <v>500</v>
      </c>
      <c r="P153" s="922">
        <v>200</v>
      </c>
      <c r="Q153" s="922">
        <v>500</v>
      </c>
      <c r="R153" s="17">
        <v>0</v>
      </c>
      <c r="S153" s="17">
        <v>0</v>
      </c>
      <c r="T153" s="17">
        <v>0</v>
      </c>
      <c r="U153" s="17">
        <v>0</v>
      </c>
      <c r="V153" s="17">
        <f t="shared" si="314"/>
        <v>8900</v>
      </c>
      <c r="W153" s="928">
        <f>VLOOKUP(B153,'Cham cong'!$B$9:$BY$275,35,0)</f>
        <v>26</v>
      </c>
      <c r="X153" s="17"/>
      <c r="Y153" s="17">
        <f>VLOOKUP(B153,'Cham cong'!$B$9:$BY$275,38,0)</f>
        <v>1</v>
      </c>
      <c r="Z153" s="17">
        <f>VLOOKUP(B153,'Cham cong'!$B$9:$BY$275,72,0)</f>
        <v>0</v>
      </c>
      <c r="AA153" s="17">
        <f>VLOOKUP(B153,'Cham cong'!$B$9:$BY$275,71,0)</f>
        <v>0</v>
      </c>
      <c r="AB153" s="17">
        <f>VLOOKUP(B153,'Cham cong'!$B$9:$BY$275,36,0)</f>
        <v>0</v>
      </c>
      <c r="AC153" s="17"/>
      <c r="AD153" s="17">
        <f>SUMIF('KPI T07-19'!$B$20:$B$38,'Luong VP'!B153,'KPI T07-19'!$AB$20:$AB$38)</f>
        <v>0</v>
      </c>
      <c r="AE153" s="17">
        <f>SUMIF('KPI T07-19'!$B$20:$B$40,'Luong VP'!B153,'KPI T07-19'!$AB$20:$AB$40)</f>
        <v>6000</v>
      </c>
      <c r="AF153" s="17"/>
      <c r="AG153" s="17"/>
      <c r="AH153" s="17"/>
      <c r="AI153" s="17"/>
      <c r="AJ153" s="920"/>
      <c r="AK153" s="927">
        <f>V153/'Cham cong'!$AS$3*(W153+Z153/8*2+AA153/8*1.5+AB153*3)+J153/'Cham cong'!$AS$3*(X153+Y153)+AC153+P153+AE153+AG153+AH153+AI153+AJ153</f>
        <v>15403.846153846154</v>
      </c>
      <c r="AL153" s="17">
        <f t="shared" si="307"/>
        <v>504</v>
      </c>
      <c r="AM153" s="946">
        <v>4800</v>
      </c>
      <c r="AN153" s="938">
        <f>VLOOKUP(B153,'Cham cong'!$B$9:$BY$275,75,0)</f>
        <v>0</v>
      </c>
      <c r="AO153" s="938"/>
      <c r="AP153" s="950">
        <f t="shared" si="315"/>
        <v>14900</v>
      </c>
      <c r="AR153" s="1084">
        <f t="shared" si="316"/>
        <v>15403846.153846154</v>
      </c>
      <c r="AS153" s="953">
        <f t="shared" si="293"/>
        <v>4800000</v>
      </c>
      <c r="AT153" s="856">
        <f t="shared" si="279"/>
        <v>0</v>
      </c>
      <c r="AU153" s="1403">
        <f>AR147*10%+AR173+AR175+AR204</f>
        <v>46707770.769230768</v>
      </c>
      <c r="AV153" s="1076">
        <f>AS147*10%+AS173+AS175+AS204</f>
        <v>15830000</v>
      </c>
      <c r="AW153" s="1076">
        <f>AT147*10%+AT173+AT175+AT204</f>
        <v>16500000</v>
      </c>
      <c r="AX153" s="1077" t="s">
        <v>514</v>
      </c>
    </row>
    <row r="154" spans="1:64" ht="12.75">
      <c r="A154" s="1064">
        <v>5</v>
      </c>
      <c r="B154" s="105" t="s">
        <v>515</v>
      </c>
      <c r="C154" s="105" t="s">
        <v>516</v>
      </c>
      <c r="D154" s="139" t="str">
        <f>'THANG B.LUONG'!B76</f>
        <v>NV sale</v>
      </c>
      <c r="E154" s="896">
        <v>43299</v>
      </c>
      <c r="F154" s="897">
        <v>5</v>
      </c>
      <c r="G154" s="106">
        <f t="shared" si="310"/>
        <v>1</v>
      </c>
      <c r="H154" s="106">
        <f t="shared" si="311"/>
        <v>1</v>
      </c>
      <c r="I154" s="17">
        <f t="shared" si="312"/>
        <v>7</v>
      </c>
      <c r="J154" s="17">
        <f>VLOOKUP(D154,'THANG B.LUONG'!$B$5:$I$511,F154+1,0)</f>
        <v>7160</v>
      </c>
      <c r="K154" s="17">
        <v>0</v>
      </c>
      <c r="L154" s="17">
        <v>0</v>
      </c>
      <c r="M154" s="17">
        <f t="shared" si="313"/>
        <v>0</v>
      </c>
      <c r="N154" s="17">
        <v>0</v>
      </c>
      <c r="O154" s="17">
        <v>0</v>
      </c>
      <c r="P154" s="922">
        <v>200</v>
      </c>
      <c r="Q154" s="17">
        <v>0</v>
      </c>
      <c r="R154" s="17">
        <v>0</v>
      </c>
      <c r="S154" s="17">
        <v>0</v>
      </c>
      <c r="T154" s="17">
        <v>0</v>
      </c>
      <c r="U154" s="17">
        <v>0</v>
      </c>
      <c r="V154" s="17">
        <f t="shared" si="314"/>
        <v>7160</v>
      </c>
      <c r="W154" s="928">
        <f>VLOOKUP(B154,'Cham cong'!$B$9:$BY$275,35,0)</f>
        <v>26</v>
      </c>
      <c r="X154" s="17">
        <f>VLOOKUP(B154,'Cham cong'!$B$9:$BY$275,37,0)</f>
        <v>0</v>
      </c>
      <c r="Y154" s="17">
        <f>VLOOKUP(B154,'Cham cong'!$B$9:$BY$275,38,0)</f>
        <v>1</v>
      </c>
      <c r="Z154" s="17">
        <f>VLOOKUP(B154,'Cham cong'!$B$9:$BY$275,72,0)</f>
        <v>0</v>
      </c>
      <c r="AA154" s="17">
        <f>VLOOKUP(B154,'Cham cong'!$B$9:$BY$275,71,0)</f>
        <v>0</v>
      </c>
      <c r="AB154" s="17">
        <f>VLOOKUP(B154,'Cham cong'!$B$9:$BY$275,36,0)</f>
        <v>0</v>
      </c>
      <c r="AC154" s="17"/>
      <c r="AD154" s="17">
        <f>SUMIF('KPI T07-19'!$B$20:$B$38,'Luong VP'!B154,'KPI T07-19'!$AB$20:$AB$38)</f>
        <v>0</v>
      </c>
      <c r="AE154" s="17">
        <f>SUMIF('KPI T07-19'!$B$20:$B$40,'Luong VP'!B154,'KPI T07-19'!$AB$20:$AB$40)</f>
        <v>6000</v>
      </c>
      <c r="AF154" s="17"/>
      <c r="AG154" s="17"/>
      <c r="AH154" s="17"/>
      <c r="AI154" s="17"/>
      <c r="AJ154" s="920"/>
      <c r="AK154" s="927">
        <f>V154/'Cham cong'!$AS$3*(W154+Z154/8*2+AA154/8*1.5+AB154*3)+J154/'Cham cong'!$AS$3*(X154+Y154)+AC154+P154+AE154+AG154+AH154+AI154+AJ154</f>
        <v>13635.384615384613</v>
      </c>
      <c r="AL154" s="17">
        <f t="shared" si="307"/>
        <v>504</v>
      </c>
      <c r="AM154" s="946">
        <v>4800</v>
      </c>
      <c r="AN154" s="938">
        <f>VLOOKUP(B154,'Cham cong'!$B$9:$BY$275,75,0)</f>
        <v>0</v>
      </c>
      <c r="AO154" s="938"/>
      <c r="AP154" s="950">
        <f t="shared" si="315"/>
        <v>13130</v>
      </c>
      <c r="AR154" s="1084">
        <f t="shared" si="316"/>
        <v>13635384.615384614</v>
      </c>
      <c r="AS154" s="953">
        <f t="shared" si="293"/>
        <v>4800000</v>
      </c>
      <c r="AT154" s="856">
        <f t="shared" si="279"/>
        <v>0</v>
      </c>
      <c r="AU154" s="1076">
        <f t="shared" ref="AU154:AW155" si="317">AR172-AR173-AR178-AR179-AR175</f>
        <v>94349689.923076928</v>
      </c>
      <c r="AV154" s="1076">
        <f t="shared" si="317"/>
        <v>28800000</v>
      </c>
      <c r="AW154" s="1076">
        <f t="shared" si="317"/>
        <v>34000000</v>
      </c>
      <c r="AX154" s="1077" t="s">
        <v>517</v>
      </c>
    </row>
    <row r="155" spans="1:64" s="1470" customFormat="1" ht="12.75" hidden="1">
      <c r="A155" s="1468">
        <v>5</v>
      </c>
      <c r="B155" s="657" t="s">
        <v>1299</v>
      </c>
      <c r="C155" s="657" t="s">
        <v>1300</v>
      </c>
      <c r="D155" s="1469" t="str">
        <f>'THANG B.LUONG'!B76</f>
        <v>NV sale</v>
      </c>
      <c r="E155" s="915">
        <v>43654</v>
      </c>
      <c r="F155" s="916">
        <v>2</v>
      </c>
      <c r="G155" s="582">
        <f t="shared" ref="G155" si="318">DATEDIF(E155,$J$3,"y")</f>
        <v>0</v>
      </c>
      <c r="H155" s="582">
        <f t="shared" ref="H155" si="319">DATEDIF(E155,$J$3,"ym")</f>
        <v>1</v>
      </c>
      <c r="I155" s="922">
        <f t="shared" ref="I155" si="320">DATEDIF(E155,$J$3,"md")</f>
        <v>17</v>
      </c>
      <c r="J155" s="922">
        <f>VLOOKUP(D155,'THANG B.LUONG'!$B$5:$I$511,F155+1,0)</f>
        <v>6190</v>
      </c>
      <c r="K155" s="922">
        <v>0</v>
      </c>
      <c r="L155" s="922">
        <v>0</v>
      </c>
      <c r="M155" s="922">
        <f t="shared" ref="M155" si="321">IF(G155&gt;=3,J155*(0.03+(G155-3)*0.01),0)</f>
        <v>0</v>
      </c>
      <c r="N155" s="922">
        <v>0</v>
      </c>
      <c r="O155" s="922">
        <v>0</v>
      </c>
      <c r="P155" s="922">
        <v>200</v>
      </c>
      <c r="Q155" s="922">
        <v>0</v>
      </c>
      <c r="R155" s="922">
        <v>0</v>
      </c>
      <c r="S155" s="922">
        <v>0</v>
      </c>
      <c r="T155" s="922">
        <v>0</v>
      </c>
      <c r="U155" s="922">
        <v>0</v>
      </c>
      <c r="V155" s="922">
        <f>(SUM(J155:U155)-P155)*0.85</f>
        <v>5261.5</v>
      </c>
      <c r="W155" s="931">
        <f>VLOOKUP(B155,'Cham cong'!$B$9:$BY$275,35,0)</f>
        <v>26</v>
      </c>
      <c r="X155" s="922">
        <f>VLOOKUP(B155,'Cham cong'!$B$9:$BY$275,37,0)</f>
        <v>0</v>
      </c>
      <c r="Y155" s="922">
        <f>VLOOKUP(B155,'Cham cong'!$B$9:$BY$275,38,0)</f>
        <v>1</v>
      </c>
      <c r="Z155" s="922">
        <f>VLOOKUP(B155,'Cham cong'!$B$9:$BY$275,72,0)</f>
        <v>0</v>
      </c>
      <c r="AA155" s="922">
        <f>VLOOKUP(B155,'Cham cong'!$B$9:$BY$275,71,0)</f>
        <v>0</v>
      </c>
      <c r="AB155" s="922">
        <f>VLOOKUP(B155,'Cham cong'!$B$9:$BY$275,36,0)</f>
        <v>0</v>
      </c>
      <c r="AC155" s="922"/>
      <c r="AD155" s="922">
        <f>SUMIF('KPI T07-19'!$B$20:$B$38,'Luong VP'!B155,'KPI T07-19'!$AB$20:$AB$38)</f>
        <v>0</v>
      </c>
      <c r="AE155" s="922">
        <v>2000</v>
      </c>
      <c r="AF155" s="922"/>
      <c r="AG155" s="922"/>
      <c r="AH155" s="922"/>
      <c r="AI155" s="922"/>
      <c r="AJ155" s="1408"/>
      <c r="AK155" s="1398">
        <f>V155/'Cham cong'!$AS$3*(W155+Z155/8*2+AA155/8*1.5+AB155*3)+J155/'Cham cong'!$AS$3*(X155+Y155)+AC155+P155+AE155+AG155+AH155+AI155+AJ155</f>
        <v>7699.5769230769229</v>
      </c>
      <c r="AL155" s="922">
        <f t="shared" ref="AL155" si="322">AM155*$AN$3</f>
        <v>0</v>
      </c>
      <c r="AM155" s="1073">
        <v>0</v>
      </c>
      <c r="AN155" s="942">
        <f>VLOOKUP(B155,'Cham cong'!$B$9:$BY$275,75,0)</f>
        <v>0</v>
      </c>
      <c r="AO155" s="942"/>
      <c r="AP155" s="1399">
        <f t="shared" ref="AP155" si="323">ROUND(AK155-AL155-AN155+AO155,-1)</f>
        <v>7700</v>
      </c>
      <c r="AR155" s="1471">
        <f t="shared" ref="AR155" si="324">AK155*1000</f>
        <v>7699576.923076923</v>
      </c>
      <c r="AS155" s="1045">
        <f t="shared" ref="AS155" si="325">AM155*1000</f>
        <v>0</v>
      </c>
      <c r="AT155" s="862">
        <f t="shared" ref="AT155" si="326">AN155*1000</f>
        <v>0</v>
      </c>
      <c r="AU155" s="1472">
        <f t="shared" si="317"/>
        <v>-32607259.384615391</v>
      </c>
      <c r="AV155" s="1472">
        <f t="shared" si="317"/>
        <v>-14100000</v>
      </c>
      <c r="AW155" s="1472">
        <f t="shared" si="317"/>
        <v>-11500000</v>
      </c>
      <c r="AX155" s="1473" t="s">
        <v>517</v>
      </c>
      <c r="AY155" s="1474"/>
      <c r="BG155" s="1474"/>
      <c r="BK155" s="1474"/>
      <c r="BL155" s="1474"/>
    </row>
    <row r="156" spans="1:64" ht="12.75">
      <c r="A156" s="1064">
        <v>6</v>
      </c>
      <c r="B156" s="105" t="s">
        <v>518</v>
      </c>
      <c r="C156" s="105" t="s">
        <v>519</v>
      </c>
      <c r="D156" s="139" t="s">
        <v>79</v>
      </c>
      <c r="E156" s="896">
        <v>39508</v>
      </c>
      <c r="F156" s="897">
        <v>4</v>
      </c>
      <c r="G156" s="106">
        <f t="shared" si="310"/>
        <v>11</v>
      </c>
      <c r="H156" s="106">
        <f t="shared" si="311"/>
        <v>5</v>
      </c>
      <c r="I156" s="17">
        <f t="shared" si="312"/>
        <v>24</v>
      </c>
      <c r="J156" s="17">
        <f>VLOOKUP(D156,'THANG B.LUONG'!$B$5:$I$511,F156+1,0)</f>
        <v>6820</v>
      </c>
      <c r="K156" s="17">
        <v>0</v>
      </c>
      <c r="L156" s="17">
        <v>0</v>
      </c>
      <c r="M156" s="17">
        <f t="shared" si="313"/>
        <v>750.2</v>
      </c>
      <c r="N156" s="17">
        <v>0</v>
      </c>
      <c r="O156" s="17">
        <v>500</v>
      </c>
      <c r="P156" s="17">
        <v>200</v>
      </c>
      <c r="Q156" s="17">
        <v>500</v>
      </c>
      <c r="R156" s="17">
        <v>0</v>
      </c>
      <c r="S156" s="17">
        <v>0</v>
      </c>
      <c r="T156" s="17">
        <v>0</v>
      </c>
      <c r="U156" s="17">
        <v>0</v>
      </c>
      <c r="V156" s="17">
        <f t="shared" si="314"/>
        <v>8570.2000000000007</v>
      </c>
      <c r="W156" s="928">
        <f>VLOOKUP(B156,'Cham cong'!$B$9:$BY$275,35,0)</f>
        <v>26</v>
      </c>
      <c r="X156" s="17">
        <f>VLOOKUP(B156,'Cham cong'!$B$9:$BY$275,37,0)</f>
        <v>0</v>
      </c>
      <c r="Y156" s="17">
        <f>VLOOKUP(B156,'Cham cong'!$B$9:$BY$275,38,0)</f>
        <v>1</v>
      </c>
      <c r="Z156" s="17">
        <f>VLOOKUP(B156,'Cham cong'!$B$9:$BY$275,72,0)</f>
        <v>0</v>
      </c>
      <c r="AA156" s="17">
        <f>VLOOKUP(B156,'Cham cong'!$B$9:$BY$275,71,0)</f>
        <v>0</v>
      </c>
      <c r="AB156" s="17">
        <f>VLOOKUP(B156,'Cham cong'!$B$9:$BY$275,36,0)</f>
        <v>0</v>
      </c>
      <c r="AC156" s="17">
        <f>VLOOKUP(B156,'T08-19'!$A$8:$AZ$62,50,0)</f>
        <v>0</v>
      </c>
      <c r="AD156" s="17">
        <v>0</v>
      </c>
      <c r="AE156" s="17">
        <f>SUMIF('KPI T07-19'!$B$20:$B$40,'Luong VP'!B156,'KPI T07-19'!$AB$20:$AB$40)</f>
        <v>8000</v>
      </c>
      <c r="AF156" s="17"/>
      <c r="AG156" s="17"/>
      <c r="AH156" s="17"/>
      <c r="AI156" s="920"/>
      <c r="AJ156" s="920"/>
      <c r="AK156" s="927">
        <f>V156/'Cham cong'!$AS$3*(W156+Z156/8*2+AA156/8*1.5+AB156*3)+J156/'Cham cong'!$AS$3*(X156+Y156)+AC156+P156+AE156+AG156+AH156+AI156+AJ156</f>
        <v>17032.507692307692</v>
      </c>
      <c r="AL156" s="17">
        <f t="shared" si="307"/>
        <v>504</v>
      </c>
      <c r="AM156" s="946">
        <v>4800</v>
      </c>
      <c r="AN156" s="950">
        <f>VLOOKUP(B156,'Cham cong'!$B$9:$BY$275,75,0)</f>
        <v>0</v>
      </c>
      <c r="AO156" s="938"/>
      <c r="AP156" s="950">
        <f t="shared" si="315"/>
        <v>16530</v>
      </c>
      <c r="AR156" s="951">
        <f t="shared" si="316"/>
        <v>17032507.692307692</v>
      </c>
      <c r="AS156" s="953">
        <f t="shared" si="293"/>
        <v>4800000</v>
      </c>
      <c r="AT156" s="856">
        <f t="shared" si="279"/>
        <v>0</v>
      </c>
      <c r="AU156" s="1076">
        <f>AR178+AR179</f>
        <v>23231892.307692304</v>
      </c>
      <c r="AV156" s="1076">
        <f>AS178+AS179</f>
        <v>9600000</v>
      </c>
      <c r="AW156" s="1076">
        <f>AT178+AT179</f>
        <v>8000000</v>
      </c>
      <c r="AX156" s="1077" t="s">
        <v>520</v>
      </c>
    </row>
    <row r="157" spans="1:64" ht="12.75">
      <c r="A157" s="1064">
        <v>7</v>
      </c>
      <c r="B157" s="105" t="s">
        <v>521</v>
      </c>
      <c r="C157" s="105" t="s">
        <v>522</v>
      </c>
      <c r="D157" s="139" t="s">
        <v>79</v>
      </c>
      <c r="E157" s="896">
        <v>42639</v>
      </c>
      <c r="F157" s="897">
        <v>2</v>
      </c>
      <c r="G157" s="106">
        <f t="shared" si="310"/>
        <v>2</v>
      </c>
      <c r="H157" s="106">
        <f t="shared" si="311"/>
        <v>10</v>
      </c>
      <c r="I157" s="17">
        <f t="shared" si="312"/>
        <v>30</v>
      </c>
      <c r="J157" s="17">
        <f>VLOOKUP(D157,'THANG B.LUONG'!$B$5:$I$511,F157+1,0)</f>
        <v>6190</v>
      </c>
      <c r="K157" s="17">
        <v>0</v>
      </c>
      <c r="L157" s="17">
        <v>0</v>
      </c>
      <c r="M157" s="17">
        <f t="shared" si="313"/>
        <v>0</v>
      </c>
      <c r="N157" s="17">
        <v>0</v>
      </c>
      <c r="O157" s="17">
        <v>500</v>
      </c>
      <c r="P157" s="17">
        <v>200</v>
      </c>
      <c r="Q157" s="17">
        <v>500</v>
      </c>
      <c r="R157" s="17">
        <v>0</v>
      </c>
      <c r="S157" s="17">
        <v>0</v>
      </c>
      <c r="T157" s="17">
        <v>0</v>
      </c>
      <c r="U157" s="17">
        <v>0</v>
      </c>
      <c r="V157" s="17">
        <f t="shared" si="314"/>
        <v>7190</v>
      </c>
      <c r="W157" s="928">
        <f>VLOOKUP(B157,'Cham cong'!$B$9:$BY$275,35,0)</f>
        <v>26</v>
      </c>
      <c r="X157" s="17">
        <f>VLOOKUP(B157,'Cham cong'!$B$9:$BY$275,37,0)</f>
        <v>0</v>
      </c>
      <c r="Y157" s="17">
        <f>VLOOKUP(B157,'Cham cong'!$B$9:$BY$275,38,0)</f>
        <v>1</v>
      </c>
      <c r="Z157" s="17">
        <f>VLOOKUP(B157,'Cham cong'!$B$9:$BY$275,72,0)</f>
        <v>0</v>
      </c>
      <c r="AA157" s="17">
        <f>VLOOKUP(B157,'Cham cong'!$B$9:$BY$275,71,0)</f>
        <v>0</v>
      </c>
      <c r="AB157" s="17">
        <f>VLOOKUP(B157,'Cham cong'!$B$9:$BY$275,36,0)</f>
        <v>0</v>
      </c>
      <c r="AC157" s="17">
        <f>VLOOKUP(B157,'T08-19'!$A$8:$AZ$62,50,0)</f>
        <v>0</v>
      </c>
      <c r="AD157" s="17">
        <v>0</v>
      </c>
      <c r="AE157" s="17">
        <f>SUMIF('KPI T07-19'!$B$20:$B$40,'Luong VP'!B157,'KPI T07-19'!$AB$20:$AB$40)</f>
        <v>8000</v>
      </c>
      <c r="AF157" s="17"/>
      <c r="AG157" s="17"/>
      <c r="AH157" s="17"/>
      <c r="AI157" s="17"/>
      <c r="AJ157" s="17"/>
      <c r="AK157" s="927">
        <f>V157/'Cham cong'!$AS$3*(W157+Z157/8*2+AA157/8*1.5+AB157*3)+J157/'Cham cong'!$AS$3*(X157+Y157)+AC157+P157+AE157+AG157+AH157+AI157+AJ157</f>
        <v>15628.076923076922</v>
      </c>
      <c r="AL157" s="17">
        <f t="shared" si="307"/>
        <v>504</v>
      </c>
      <c r="AM157" s="946">
        <v>4800</v>
      </c>
      <c r="AN157" s="938">
        <f>VLOOKUP(B157,'Cham cong'!$B$9:$BY$275,75,0)</f>
        <v>0</v>
      </c>
      <c r="AO157" s="938"/>
      <c r="AP157" s="950">
        <f t="shared" si="315"/>
        <v>15120</v>
      </c>
      <c r="AR157" s="951">
        <f t="shared" si="316"/>
        <v>15628076.923076922</v>
      </c>
      <c r="AS157" s="953">
        <f t="shared" si="293"/>
        <v>4800000</v>
      </c>
      <c r="AT157" s="856">
        <f t="shared" si="279"/>
        <v>0</v>
      </c>
      <c r="AU157" s="1076">
        <f>AR185-AR196-AR197</f>
        <v>109285119.84615383</v>
      </c>
      <c r="AV157" s="1076">
        <f>AS185-AS196-AS197</f>
        <v>45770000</v>
      </c>
      <c r="AW157" s="1076">
        <f>AT185-AT196-AT197</f>
        <v>43000000</v>
      </c>
      <c r="AX157" s="1077" t="s">
        <v>523</v>
      </c>
    </row>
    <row r="158" spans="1:64" ht="12.75">
      <c r="A158" s="1064">
        <v>8</v>
      </c>
      <c r="B158" s="105" t="s">
        <v>524</v>
      </c>
      <c r="C158" s="105" t="s">
        <v>525</v>
      </c>
      <c r="D158" s="139" t="s">
        <v>79</v>
      </c>
      <c r="E158" s="896">
        <v>42786</v>
      </c>
      <c r="F158" s="897">
        <v>2</v>
      </c>
      <c r="G158" s="106">
        <f t="shared" si="310"/>
        <v>2</v>
      </c>
      <c r="H158" s="106">
        <f t="shared" si="311"/>
        <v>6</v>
      </c>
      <c r="I158" s="17">
        <f t="shared" si="312"/>
        <v>5</v>
      </c>
      <c r="J158" s="17">
        <f>VLOOKUP(D158,'THANG B.LUONG'!$B$5:$I$511,F158+1,0)</f>
        <v>6190</v>
      </c>
      <c r="K158" s="17">
        <v>0</v>
      </c>
      <c r="L158" s="17">
        <v>0</v>
      </c>
      <c r="M158" s="17">
        <f t="shared" si="313"/>
        <v>0</v>
      </c>
      <c r="N158" s="17">
        <v>0</v>
      </c>
      <c r="O158" s="17">
        <v>500</v>
      </c>
      <c r="P158" s="17">
        <v>200</v>
      </c>
      <c r="Q158" s="17">
        <v>500</v>
      </c>
      <c r="R158" s="17">
        <v>0</v>
      </c>
      <c r="S158" s="17">
        <v>0</v>
      </c>
      <c r="T158" s="17">
        <v>0</v>
      </c>
      <c r="U158" s="17">
        <v>0</v>
      </c>
      <c r="V158" s="17">
        <f t="shared" si="314"/>
        <v>7190</v>
      </c>
      <c r="W158" s="928">
        <f>VLOOKUP(B158,'Cham cong'!$B$9:$BY$275,35,0)</f>
        <v>26</v>
      </c>
      <c r="X158" s="17">
        <f>VLOOKUP(B158,'Cham cong'!$B$9:$BY$275,37,0)</f>
        <v>0</v>
      </c>
      <c r="Y158" s="17">
        <f>VLOOKUP(B158,'Cham cong'!$B$9:$BY$275,38,0)</f>
        <v>1</v>
      </c>
      <c r="Z158" s="17">
        <f>VLOOKUP(B158,'Cham cong'!$B$9:$BY$275,72,0)</f>
        <v>0</v>
      </c>
      <c r="AA158" s="17">
        <f>VLOOKUP(B158,'Cham cong'!$B$9:$BY$275,71,0)</f>
        <v>0</v>
      </c>
      <c r="AB158" s="17">
        <f>VLOOKUP(B158,'Cham cong'!$B$9:$BY$275,36,0)</f>
        <v>0</v>
      </c>
      <c r="AC158" s="17"/>
      <c r="AD158" s="17">
        <v>0</v>
      </c>
      <c r="AE158" s="17">
        <f>SUMIF('KPI T07-19'!$B$20:$B$40,'Luong VP'!B158,'KPI T07-19'!$AB$20:$AB$40)</f>
        <v>8000</v>
      </c>
      <c r="AF158" s="17"/>
      <c r="AG158" s="17"/>
      <c r="AH158" s="17"/>
      <c r="AI158" s="17"/>
      <c r="AJ158" s="17"/>
      <c r="AK158" s="927">
        <f>V158/'Cham cong'!$AS$3*(W158+Z158/8*2+AA158/8*1.5+AB158*3)+J158/'Cham cong'!$AS$3*(X158+Y158)+AC158+P158+AE158+AG158+AH158+AI158+AJ158</f>
        <v>15628.076923076922</v>
      </c>
      <c r="AL158" s="17">
        <f t="shared" si="307"/>
        <v>504</v>
      </c>
      <c r="AM158" s="946">
        <v>4800</v>
      </c>
      <c r="AN158" s="938">
        <f>VLOOKUP(B158,'Cham cong'!$B$9:$BY$275,75,0)</f>
        <v>0</v>
      </c>
      <c r="AO158" s="938"/>
      <c r="AP158" s="950">
        <f t="shared" si="315"/>
        <v>15120</v>
      </c>
      <c r="AR158" s="951">
        <f t="shared" si="316"/>
        <v>15628076.923076922</v>
      </c>
      <c r="AS158" s="953">
        <f t="shared" si="293"/>
        <v>4800000</v>
      </c>
      <c r="AT158" s="856">
        <f t="shared" si="279"/>
        <v>0</v>
      </c>
      <c r="AU158" s="1076">
        <f>AR196+AR197</f>
        <v>15560004.53846154</v>
      </c>
      <c r="AV158" s="1076">
        <f>AS196+AS197</f>
        <v>0</v>
      </c>
      <c r="AW158" s="1076">
        <f>AT196+AT197</f>
        <v>6000000</v>
      </c>
      <c r="AX158" s="1077" t="s">
        <v>526</v>
      </c>
    </row>
    <row r="159" spans="1:64" s="1461" customFormat="1" ht="12.75" hidden="1">
      <c r="A159" s="1455">
        <v>8</v>
      </c>
      <c r="B159" s="1427" t="s">
        <v>1254</v>
      </c>
      <c r="C159" s="1427" t="s">
        <v>1255</v>
      </c>
      <c r="D159" s="1456" t="s">
        <v>79</v>
      </c>
      <c r="E159" s="1457">
        <v>43229</v>
      </c>
      <c r="F159" s="1458">
        <v>2</v>
      </c>
      <c r="G159" s="1459">
        <f t="shared" ref="G159" si="327">DATEDIF(E159,$J$3,"y")</f>
        <v>1</v>
      </c>
      <c r="H159" s="1459">
        <f t="shared" ref="H159" si="328">DATEDIF(E159,$J$3,"ym")</f>
        <v>3</v>
      </c>
      <c r="I159" s="1460">
        <f t="shared" ref="I159" si="329">DATEDIF(E159,$J$3,"md")</f>
        <v>16</v>
      </c>
      <c r="J159" s="1460">
        <f>VLOOKUP(D159,'THANG B.LUONG'!$B$5:$I$511,F159+1,0)</f>
        <v>6190</v>
      </c>
      <c r="K159" s="1460">
        <v>0</v>
      </c>
      <c r="L159" s="1460">
        <v>0</v>
      </c>
      <c r="M159" s="1460">
        <f t="shared" ref="M159" si="330">IF(G159&gt;=3,J159*(0.03+(G159-3)*0.01),0)</f>
        <v>0</v>
      </c>
      <c r="N159" s="1460">
        <v>0</v>
      </c>
      <c r="O159" s="1460">
        <v>500</v>
      </c>
      <c r="P159" s="1460">
        <v>200</v>
      </c>
      <c r="Q159" s="1460">
        <v>500</v>
      </c>
      <c r="R159" s="1460">
        <v>0</v>
      </c>
      <c r="S159" s="1460">
        <v>0</v>
      </c>
      <c r="T159" s="1460">
        <v>0</v>
      </c>
      <c r="U159" s="1460">
        <v>0</v>
      </c>
      <c r="V159" s="921">
        <f>SUM(J159:U159)-P159</f>
        <v>7190</v>
      </c>
      <c r="W159" s="928">
        <f>VLOOKUP(B159,'Cham cong'!$B$9:$BY$275,35,0)</f>
        <v>26</v>
      </c>
      <c r="X159" s="1460">
        <f>VLOOKUP(B159,'Cham cong'!$B$9:$BY$275,37,0)</f>
        <v>0</v>
      </c>
      <c r="Y159" s="1460">
        <f>VLOOKUP(B159,'Cham cong'!$B$9:$BY$275,38,0)</f>
        <v>1</v>
      </c>
      <c r="Z159" s="1460">
        <f>VLOOKUP(B159,'Cham cong'!$B$9:$BY$275,72,0)</f>
        <v>0</v>
      </c>
      <c r="AA159" s="1460">
        <f>VLOOKUP(B159,'Cham cong'!$B$9:$BY$275,71,0)</f>
        <v>0</v>
      </c>
      <c r="AB159" s="1460">
        <f>VLOOKUP(B159,'Cham cong'!$B$9:$BY$275,36,0)</f>
        <v>0</v>
      </c>
      <c r="AC159" s="1460"/>
      <c r="AD159" s="1460">
        <v>0</v>
      </c>
      <c r="AE159" s="17">
        <f>SUMIF('KPI T07-19'!$B$20:$B$40,'Luong VP'!B159,'KPI T07-19'!$AB$20:$AB$40)</f>
        <v>8000</v>
      </c>
      <c r="AF159" s="1460"/>
      <c r="AG159" s="1460"/>
      <c r="AH159" s="1460"/>
      <c r="AI159" s="1460"/>
      <c r="AJ159" s="1460"/>
      <c r="AK159" s="1476">
        <f>V159/'Cham cong'!$AS$3*(W159+Z159/8*2+AA159/8*1.5+AB159*3)+J159/'Cham cong'!$AS$3*(X159+Y159)+AC159+P159+AE159+AG159+AH159+AI159+AJ159</f>
        <v>15628.076923076922</v>
      </c>
      <c r="AL159" s="1460">
        <f t="shared" ref="AL159" si="331">AM159*$AN$3</f>
        <v>0</v>
      </c>
      <c r="AM159" s="946">
        <v>0</v>
      </c>
      <c r="AN159" s="969">
        <f>VLOOKUP(B159,'Cham cong'!$B$9:$BY$275,75,0)</f>
        <v>0</v>
      </c>
      <c r="AO159" s="944"/>
      <c r="AP159" s="1519">
        <f t="shared" ref="AP159" si="332">ROUND(AK159-AL159-AN159+AO159,-1)</f>
        <v>15630</v>
      </c>
      <c r="AR159" s="1462">
        <f t="shared" ref="AR159" si="333">AK159*1000</f>
        <v>15628076.923076922</v>
      </c>
      <c r="AS159" s="1463">
        <f t="shared" ref="AS159" si="334">AM159*1000</f>
        <v>0</v>
      </c>
      <c r="AT159" s="1464">
        <f t="shared" ref="AT159" si="335">AN159*1000</f>
        <v>0</v>
      </c>
      <c r="AU159" s="1465">
        <f t="shared" ref="AU159" si="336">AR198+AR199</f>
        <v>14859582.846153846</v>
      </c>
      <c r="AV159" s="1465">
        <f t="shared" ref="AV159" si="337">AS198+AS199</f>
        <v>0</v>
      </c>
      <c r="AW159" s="1465">
        <f t="shared" ref="AW159" si="338">AT198+AT199</f>
        <v>6000000</v>
      </c>
      <c r="AX159" s="1466" t="s">
        <v>526</v>
      </c>
      <c r="AY159" s="1467"/>
      <c r="BE159" s="1461" t="s">
        <v>1263</v>
      </c>
      <c r="BG159" s="1467"/>
      <c r="BK159" s="1467"/>
      <c r="BL159" s="1467"/>
    </row>
    <row r="160" spans="1:64" s="865" customFormat="1">
      <c r="A160" s="1064">
        <v>9</v>
      </c>
      <c r="B160" s="997" t="s">
        <v>527</v>
      </c>
      <c r="C160" s="997" t="s">
        <v>528</v>
      </c>
      <c r="D160" s="1065" t="str">
        <f>'THANG B.LUONG'!B77</f>
        <v>Trưởng sale Tỉnh</v>
      </c>
      <c r="E160" s="886">
        <v>43206</v>
      </c>
      <c r="F160" s="988">
        <v>7</v>
      </c>
      <c r="G160" s="987">
        <f t="shared" ref="G160:G171" si="339">DATEDIF(E160,$J$3,"y")</f>
        <v>1</v>
      </c>
      <c r="H160" s="987">
        <f t="shared" ref="H160:H171" si="340">DATEDIF(E160,$J$3,"ym")</f>
        <v>4</v>
      </c>
      <c r="I160" s="927">
        <f t="shared" ref="I160:I171" si="341">DATEDIF(E160,$J$3,"md")</f>
        <v>9</v>
      </c>
      <c r="J160" s="927">
        <f>VLOOKUP(D160,'THANG B.LUONG'!$B$5:$I$511,F160+1,0)</f>
        <v>15220</v>
      </c>
      <c r="K160" s="927">
        <v>0</v>
      </c>
      <c r="L160" s="927">
        <v>0</v>
      </c>
      <c r="M160" s="927">
        <f t="shared" si="313"/>
        <v>0</v>
      </c>
      <c r="N160" s="927">
        <v>0</v>
      </c>
      <c r="O160" s="927">
        <v>500</v>
      </c>
      <c r="P160" s="927">
        <v>300</v>
      </c>
      <c r="Q160" s="927">
        <v>500</v>
      </c>
      <c r="R160" s="927">
        <v>0</v>
      </c>
      <c r="S160" s="927">
        <v>0</v>
      </c>
      <c r="T160" s="927">
        <v>0</v>
      </c>
      <c r="U160" s="927">
        <v>0</v>
      </c>
      <c r="V160" s="927">
        <f t="shared" si="314"/>
        <v>16220</v>
      </c>
      <c r="W160" s="1019">
        <f>VLOOKUP(B160,'Cham cong'!$B$9:$BY$275,35,0)</f>
        <v>26</v>
      </c>
      <c r="X160" s="927">
        <f>VLOOKUP(B160,'Cham cong'!$B$9:$BY$275,37,0)</f>
        <v>0</v>
      </c>
      <c r="Y160" s="927">
        <f>VLOOKUP(B160,'Cham cong'!$B$9:$BY$275,38,0)</f>
        <v>1</v>
      </c>
      <c r="Z160" s="927">
        <f>VLOOKUP(B160,'Cham cong'!$B$9:$BY$275,72,0)</f>
        <v>0</v>
      </c>
      <c r="AA160" s="927">
        <f>VLOOKUP(B160,'Cham cong'!$B$9:$BY$275,71,0)</f>
        <v>0</v>
      </c>
      <c r="AB160" s="927">
        <f>VLOOKUP(B160,'Cham cong'!$B$9:$BY$275,36,0)</f>
        <v>0</v>
      </c>
      <c r="AC160" s="927"/>
      <c r="AD160" s="927">
        <v>0</v>
      </c>
      <c r="AE160" s="927">
        <f>SUMIF('KPI T07-19'!$B$20:$B$40,'Luong VP'!B160,'KPI T07-19'!$AB$20:$AB$40)</f>
        <v>5000</v>
      </c>
      <c r="AF160" s="927"/>
      <c r="AG160" s="927"/>
      <c r="AH160" s="927"/>
      <c r="AI160" s="927"/>
      <c r="AJ160" s="941"/>
      <c r="AK160" s="927">
        <f>V160/'Cham cong'!$AS$3*(W160+Z160/8*2+AA160/8*1.5+AB160*3)+J160/'Cham cong'!$AS$3*(X160+Y160)+AC160+P160+AE160+AG160+AH160+AI160+AJ160</f>
        <v>22105.384615384617</v>
      </c>
      <c r="AL160" s="927">
        <f t="shared" ref="AL160:AL171" si="342">AM160*$AN$3</f>
        <v>535.5</v>
      </c>
      <c r="AM160" s="1072">
        <v>5100</v>
      </c>
      <c r="AN160" s="938">
        <f>VLOOKUP(B160,'Cham cong'!$B$9:$BY$275,75,0)</f>
        <v>0</v>
      </c>
      <c r="AO160" s="950"/>
      <c r="AP160" s="950">
        <f t="shared" ref="AP160:AP170" si="343">ROUND(AK160-AL160-AN160+AO160,-1)</f>
        <v>21570</v>
      </c>
      <c r="AQ160" s="873"/>
      <c r="AR160" s="954">
        <f t="shared" ref="AR160:AR168" si="344">AK160*1000</f>
        <v>22105384.615384616</v>
      </c>
      <c r="AS160" s="953">
        <f t="shared" si="293"/>
        <v>5100000</v>
      </c>
      <c r="AT160" s="856">
        <f t="shared" si="279"/>
        <v>0</v>
      </c>
      <c r="AU160" s="1076">
        <f>AR203-AR204</f>
        <v>52410036.538461544</v>
      </c>
      <c r="AV160" s="1076">
        <f>AS203-AS204</f>
        <v>27462000</v>
      </c>
      <c r="AW160" s="1076">
        <f>AT203-AT204</f>
        <v>21000000</v>
      </c>
      <c r="AX160" s="1077" t="s">
        <v>529</v>
      </c>
      <c r="AY160" s="877"/>
      <c r="BG160" s="877"/>
      <c r="BK160" s="877"/>
      <c r="BL160" s="877"/>
    </row>
    <row r="161" spans="1:64" ht="12.75" hidden="1">
      <c r="A161" s="1064">
        <v>11</v>
      </c>
      <c r="B161" s="907" t="s">
        <v>1249</v>
      </c>
      <c r="C161" s="907" t="s">
        <v>1250</v>
      </c>
      <c r="D161" s="489" t="s">
        <v>79</v>
      </c>
      <c r="E161" s="908">
        <v>43561</v>
      </c>
      <c r="F161" s="909">
        <v>2</v>
      </c>
      <c r="G161" s="12">
        <f t="shared" ref="G161" si="345">DATEDIF(E161,$J$3,"y")</f>
        <v>0</v>
      </c>
      <c r="H161" s="12">
        <f t="shared" ref="H161" si="346">DATEDIF(E161,$J$3,"ym")</f>
        <v>4</v>
      </c>
      <c r="I161" s="921">
        <f t="shared" ref="I161" si="347">DATEDIF(E161,$J$3,"md")</f>
        <v>19</v>
      </c>
      <c r="J161" s="921">
        <f>VLOOKUP(D161,'THANG B.LUONG'!$B$5:$I$511,F161+1,0)</f>
        <v>6190</v>
      </c>
      <c r="K161" s="921">
        <v>0</v>
      </c>
      <c r="L161" s="921">
        <v>0</v>
      </c>
      <c r="M161" s="921">
        <f t="shared" ref="M161" si="348">IF(G161&gt;=3,J161*(0.03+(G161-3)*0.01),0)</f>
        <v>0</v>
      </c>
      <c r="N161" s="921">
        <v>0</v>
      </c>
      <c r="O161" s="921">
        <v>500</v>
      </c>
      <c r="P161" s="921">
        <v>200</v>
      </c>
      <c r="Q161" s="921">
        <v>500</v>
      </c>
      <c r="R161" s="921">
        <v>0</v>
      </c>
      <c r="S161" s="921">
        <v>0</v>
      </c>
      <c r="T161" s="921">
        <v>0</v>
      </c>
      <c r="U161" s="921">
        <v>0</v>
      </c>
      <c r="V161" s="921">
        <f>SUM(J161:U161)-P161</f>
        <v>7190</v>
      </c>
      <c r="W161" s="1016">
        <f>VLOOKUP(B161,'Cham cong'!$B$9:$BY$275,35,0)</f>
        <v>26</v>
      </c>
      <c r="X161" s="921">
        <f>VLOOKUP(B161,'Cham cong'!$B$9:$BY$275,37,0)</f>
        <v>0</v>
      </c>
      <c r="Y161" s="921">
        <f>VLOOKUP(B161,'Cham cong'!$B$9:$BY$275,38,0)</f>
        <v>1</v>
      </c>
      <c r="Z161" s="921">
        <f>VLOOKUP(B161,'Cham cong'!$B$9:$BY$275,72,0)</f>
        <v>0</v>
      </c>
      <c r="AA161" s="921">
        <f>VLOOKUP(B161,'Cham cong'!$B$9:$BY$275,71,0)</f>
        <v>0</v>
      </c>
      <c r="AB161" s="921">
        <f>VLOOKUP(B161,'Cham cong'!$B$9:$BY$275,36,0)</f>
        <v>0</v>
      </c>
      <c r="AC161" s="921"/>
      <c r="AD161" s="921">
        <v>0</v>
      </c>
      <c r="AE161" s="921">
        <f>SUMIF('KPI T07-19'!$B$20:$B$40,'Luong VP'!B161,'KPI T07-19'!$AB$20:$AB$40)</f>
        <v>6000</v>
      </c>
      <c r="AF161" s="921"/>
      <c r="AG161" s="921"/>
      <c r="AH161" s="921"/>
      <c r="AI161" s="921"/>
      <c r="AJ161" s="943"/>
      <c r="AK161" s="932">
        <f>V161/'Cham cong'!$AS$3*(W161+Z161/8*2+AA161/8*1.5+AB161*3)+J161/'Cham cong'!$AS$3*(X161+Y161)+AC161+P161+AE161+AG161+AH161+AI161+AJ161</f>
        <v>13628.076923076922</v>
      </c>
      <c r="AL161" s="921">
        <f t="shared" ref="AL161" si="349">AM161*$AN$3</f>
        <v>0</v>
      </c>
      <c r="AM161" s="946">
        <v>0</v>
      </c>
      <c r="AN161" s="944">
        <f>VLOOKUP(B161,'Cham cong'!$B$9:$BY$275,75,0)</f>
        <v>0</v>
      </c>
      <c r="AO161" s="944"/>
      <c r="AP161" s="969">
        <f t="shared" ref="AP161" si="350">ROUND(AK161-AL161-AN161+AO161,-1)</f>
        <v>13630</v>
      </c>
      <c r="AQ161" s="873">
        <v>8310</v>
      </c>
      <c r="AR161" s="951">
        <f t="shared" ref="AR161" si="351">AK161*1000</f>
        <v>13628076.923076922</v>
      </c>
      <c r="AS161" s="953">
        <f t="shared" ref="AS161" si="352">AM161*1000</f>
        <v>0</v>
      </c>
      <c r="AT161" s="856">
        <f t="shared" ref="AT161" si="353">AN161*1000</f>
        <v>0</v>
      </c>
      <c r="AU161" s="875">
        <v>714869000</v>
      </c>
      <c r="BE161" s="873" t="s">
        <v>1263</v>
      </c>
    </row>
    <row r="162" spans="1:64" ht="12.75">
      <c r="A162" s="1064">
        <v>12</v>
      </c>
      <c r="B162" s="105" t="s">
        <v>532</v>
      </c>
      <c r="C162" s="105" t="s">
        <v>533</v>
      </c>
      <c r="D162" s="139" t="s">
        <v>79</v>
      </c>
      <c r="E162" s="896">
        <v>43244</v>
      </c>
      <c r="F162" s="897">
        <v>2</v>
      </c>
      <c r="G162" s="106">
        <f t="shared" si="339"/>
        <v>1</v>
      </c>
      <c r="H162" s="106">
        <f t="shared" si="340"/>
        <v>3</v>
      </c>
      <c r="I162" s="17">
        <f t="shared" si="341"/>
        <v>1</v>
      </c>
      <c r="J162" s="17">
        <f>VLOOKUP(D162,'THANG B.LUONG'!$B$5:$I$511,F162+1,0)</f>
        <v>6190</v>
      </c>
      <c r="K162" s="17">
        <v>0</v>
      </c>
      <c r="L162" s="17">
        <v>0</v>
      </c>
      <c r="M162" s="17">
        <f t="shared" si="313"/>
        <v>0</v>
      </c>
      <c r="N162" s="17">
        <v>0</v>
      </c>
      <c r="O162" s="17">
        <v>500</v>
      </c>
      <c r="P162" s="17">
        <v>200</v>
      </c>
      <c r="Q162" s="17">
        <v>500</v>
      </c>
      <c r="R162" s="17">
        <v>0</v>
      </c>
      <c r="S162" s="17">
        <v>0</v>
      </c>
      <c r="T162" s="17">
        <v>0</v>
      </c>
      <c r="U162" s="17">
        <v>0</v>
      </c>
      <c r="V162" s="17">
        <f t="shared" ref="V162:V170" si="354">SUM(J162:U162)-P162</f>
        <v>7190</v>
      </c>
      <c r="W162" s="928">
        <f>VLOOKUP(B162,'Cham cong'!$B$9:$BY$275,35,0)</f>
        <v>26</v>
      </c>
      <c r="X162" s="17">
        <f>VLOOKUP(B162,'Cham cong'!$B$9:$BY$275,37,0)</f>
        <v>0</v>
      </c>
      <c r="Y162" s="17">
        <f>VLOOKUP(B162,'Cham cong'!$B$9:$BY$275,38,0)</f>
        <v>1</v>
      </c>
      <c r="Z162" s="17">
        <f>VLOOKUP(B162,'Cham cong'!$B$9:$BY$275,72,0)</f>
        <v>0</v>
      </c>
      <c r="AA162" s="17">
        <f>VLOOKUP(B162,'Cham cong'!$B$9:$BY$275,71,0)</f>
        <v>0</v>
      </c>
      <c r="AB162" s="17">
        <f>VLOOKUP(B162,'Cham cong'!$B$9:$BY$275,36,0)</f>
        <v>0</v>
      </c>
      <c r="AC162" s="17"/>
      <c r="AD162" s="17">
        <v>0</v>
      </c>
      <c r="AE162" s="921">
        <f>SUMIF('KPI T07-19'!$B$20:$B$40,'Luong VP'!B162,'KPI T07-19'!$AB$20:$AB$40)</f>
        <v>3000</v>
      </c>
      <c r="AF162" s="17"/>
      <c r="AG162" s="17"/>
      <c r="AH162" s="17"/>
      <c r="AI162" s="17"/>
      <c r="AJ162" s="920"/>
      <c r="AK162" s="927">
        <f>V162/'Cham cong'!$AS$3*(W162+Z162/8*2+AA162/8*1.5+AB162*3)+J162/'Cham cong'!$AS$3*(X162+Y162)+AC162+P162+AE162+AG162+AH162+AI162+AJ162</f>
        <v>10628.076923076922</v>
      </c>
      <c r="AL162" s="17">
        <f t="shared" si="342"/>
        <v>504</v>
      </c>
      <c r="AM162" s="946">
        <v>4800</v>
      </c>
      <c r="AN162" s="950">
        <f>VLOOKUP(B162,'Cham cong'!$B$9:$BY$275,75,0)</f>
        <v>0</v>
      </c>
      <c r="AO162" s="938"/>
      <c r="AP162" s="950">
        <f t="shared" si="343"/>
        <v>10120</v>
      </c>
      <c r="AR162" s="951">
        <f t="shared" si="344"/>
        <v>10628076.923076922</v>
      </c>
      <c r="AS162" s="953">
        <f t="shared" si="293"/>
        <v>4800000</v>
      </c>
      <c r="AT162" s="856">
        <f t="shared" si="279"/>
        <v>0</v>
      </c>
      <c r="AU162" s="875" t="e">
        <f>#REF!-#REF!</f>
        <v>#REF!</v>
      </c>
    </row>
    <row r="163" spans="1:64" ht="12" customHeight="1">
      <c r="A163" s="1064">
        <v>14</v>
      </c>
      <c r="B163" s="105" t="s">
        <v>535</v>
      </c>
      <c r="C163" s="105" t="s">
        <v>536</v>
      </c>
      <c r="D163" s="139" t="s">
        <v>79</v>
      </c>
      <c r="E163" s="896">
        <v>43262</v>
      </c>
      <c r="F163" s="897">
        <v>2</v>
      </c>
      <c r="G163" s="106">
        <f t="shared" si="339"/>
        <v>1</v>
      </c>
      <c r="H163" s="106">
        <f t="shared" si="340"/>
        <v>2</v>
      </c>
      <c r="I163" s="17">
        <f t="shared" si="341"/>
        <v>14</v>
      </c>
      <c r="J163" s="17">
        <f>VLOOKUP(D163,'THANG B.LUONG'!$B$5:$I$511,F163+1,0)</f>
        <v>6190</v>
      </c>
      <c r="K163" s="17">
        <v>0</v>
      </c>
      <c r="L163" s="17">
        <v>0</v>
      </c>
      <c r="M163" s="17">
        <f t="shared" si="313"/>
        <v>0</v>
      </c>
      <c r="N163" s="17">
        <v>0</v>
      </c>
      <c r="O163" s="17">
        <v>500</v>
      </c>
      <c r="P163" s="17">
        <v>200</v>
      </c>
      <c r="Q163" s="17">
        <v>500</v>
      </c>
      <c r="R163" s="17">
        <v>0</v>
      </c>
      <c r="S163" s="17">
        <v>0</v>
      </c>
      <c r="T163" s="17">
        <v>0</v>
      </c>
      <c r="U163" s="17">
        <v>0</v>
      </c>
      <c r="V163" s="17">
        <f t="shared" si="354"/>
        <v>7190</v>
      </c>
      <c r="W163" s="928">
        <f>VLOOKUP(B163,'Cham cong'!$B$9:$BY$275,35,0)</f>
        <v>26</v>
      </c>
      <c r="X163" s="17">
        <f>VLOOKUP(B163,'Cham cong'!$B$9:$BY$275,37,0)</f>
        <v>0</v>
      </c>
      <c r="Y163" s="17">
        <f>VLOOKUP(B163,'Cham cong'!$B$9:$BY$275,38,0)</f>
        <v>1</v>
      </c>
      <c r="Z163" s="17">
        <f>VLOOKUP(B163,'Cham cong'!$B$9:$BY$275,72,0)</f>
        <v>0</v>
      </c>
      <c r="AA163" s="17">
        <f>VLOOKUP(B163,'Cham cong'!$B$9:$BY$275,71,0)</f>
        <v>0</v>
      </c>
      <c r="AB163" s="17">
        <f>VLOOKUP(B163,'Cham cong'!$B$9:$BY$275,36,0)</f>
        <v>0</v>
      </c>
      <c r="AC163" s="17"/>
      <c r="AD163" s="17">
        <v>0</v>
      </c>
      <c r="AE163" s="921">
        <f>SUMIF('KPI T07-19'!$B$20:$B$40,'Luong VP'!B163,'KPI T07-19'!$AB$20:$AB$40)</f>
        <v>3000</v>
      </c>
      <c r="AF163" s="17"/>
      <c r="AG163" s="17"/>
      <c r="AH163" s="17"/>
      <c r="AI163" s="17"/>
      <c r="AJ163" s="920"/>
      <c r="AK163" s="927">
        <f>V163/'Cham cong'!$AS$3*(W163+Z163/8*2+AA163/8*1.5+AB163*3)+J163/'Cham cong'!$AS$3*(X163+Y163)+AC163+P163+AE163+AG163+AH163+AI163+AJ163</f>
        <v>10628.076923076922</v>
      </c>
      <c r="AL163" s="17">
        <f t="shared" si="342"/>
        <v>504</v>
      </c>
      <c r="AM163" s="946">
        <v>4800</v>
      </c>
      <c r="AN163" s="938">
        <f>VLOOKUP(B163,'Cham cong'!$B$9:$BY$275,75,0)</f>
        <v>0</v>
      </c>
      <c r="AO163" s="938"/>
      <c r="AP163" s="950">
        <f t="shared" si="343"/>
        <v>10120</v>
      </c>
      <c r="AR163" s="951">
        <f t="shared" si="344"/>
        <v>10628076.923076922</v>
      </c>
      <c r="AS163" s="953">
        <f t="shared" si="293"/>
        <v>4800000</v>
      </c>
      <c r="AT163" s="856">
        <f t="shared" si="279"/>
        <v>0</v>
      </c>
    </row>
    <row r="164" spans="1:64" s="1336" customFormat="1" ht="12" hidden="1" customHeight="1">
      <c r="A164" s="1329">
        <v>15</v>
      </c>
      <c r="B164" s="1319" t="s">
        <v>537</v>
      </c>
      <c r="C164" s="1319" t="s">
        <v>538</v>
      </c>
      <c r="D164" s="1342" t="s">
        <v>79</v>
      </c>
      <c r="E164" s="1312">
        <v>43568</v>
      </c>
      <c r="F164" s="1313">
        <v>2</v>
      </c>
      <c r="G164" s="1311">
        <f t="shared" ref="G164" si="355">DATEDIF(E164,$J$3,"y")</f>
        <v>0</v>
      </c>
      <c r="H164" s="1311">
        <f t="shared" ref="H164" si="356">DATEDIF(E164,$J$3,"ym")</f>
        <v>4</v>
      </c>
      <c r="I164" s="1300">
        <f t="shared" ref="I164" si="357">DATEDIF(E164,$J$3,"md")</f>
        <v>12</v>
      </c>
      <c r="J164" s="1300">
        <f>VLOOKUP(D164,'THANG B.LUONG'!$B$5:$I$511,F164+1,0)</f>
        <v>6190</v>
      </c>
      <c r="K164" s="1300">
        <v>0</v>
      </c>
      <c r="L164" s="1300">
        <v>0</v>
      </c>
      <c r="M164" s="1300">
        <f t="shared" ref="M164" si="358">IF(G164&gt;=3,J164*(0.03+(G164-3)*0.01),0)</f>
        <v>0</v>
      </c>
      <c r="N164" s="1300">
        <v>0</v>
      </c>
      <c r="O164" s="1300">
        <v>500</v>
      </c>
      <c r="P164" s="1300">
        <v>200</v>
      </c>
      <c r="Q164" s="1300">
        <v>500</v>
      </c>
      <c r="R164" s="1300">
        <v>0</v>
      </c>
      <c r="S164" s="1300">
        <v>0</v>
      </c>
      <c r="T164" s="1300">
        <v>0</v>
      </c>
      <c r="U164" s="1300">
        <v>0</v>
      </c>
      <c r="V164" s="1300">
        <f>SUM(J164:U164)-P164</f>
        <v>7190</v>
      </c>
      <c r="W164" s="928">
        <f>VLOOKUP(B164,'Cham cong'!$B$9:$BY$275,35,0)</f>
        <v>26</v>
      </c>
      <c r="X164" s="17">
        <f>VLOOKUP(B164,'Cham cong'!$B$9:$BY$275,37,0)</f>
        <v>0</v>
      </c>
      <c r="Y164" s="17">
        <f>VLOOKUP(B164,'Cham cong'!$B$9:$BY$275,38,0)</f>
        <v>1</v>
      </c>
      <c r="Z164" s="17">
        <f>VLOOKUP(B164,'Cham cong'!$B$9:$BY$275,72,0)</f>
        <v>0</v>
      </c>
      <c r="AA164" s="17">
        <f>VLOOKUP(B164,'Cham cong'!$B$9:$BY$275,71,0)</f>
        <v>0</v>
      </c>
      <c r="AB164" s="1300">
        <f>VLOOKUP(B164,'Cham cong'!$B$9:$BY$275,36,0)</f>
        <v>0</v>
      </c>
      <c r="AC164" s="1300"/>
      <c r="AD164" s="1300">
        <v>0</v>
      </c>
      <c r="AE164" s="921">
        <f>SUMIF('KPI T07-19'!$B$20:$B$40,'Luong VP'!B164,'KPI T07-19'!$AB$20:$AB$40)</f>
        <v>4000</v>
      </c>
      <c r="AF164" s="1300"/>
      <c r="AG164" s="1300"/>
      <c r="AH164" s="1300"/>
      <c r="AI164" s="1300"/>
      <c r="AJ164" s="1297"/>
      <c r="AK164" s="1298">
        <f>V164/'Cham cong'!$AS$3*(W164+Z164/8*2+AA164/8*1.5+AB164*3)+J164/'Cham cong'!$AS$3*(X164+Y164)+AC164+P164+AE164+AG164+AH164+AI164+AJ164</f>
        <v>11628.076923076922</v>
      </c>
      <c r="AL164" s="1300">
        <f t="shared" ref="AL164" si="359">AM164*$AN$3</f>
        <v>0</v>
      </c>
      <c r="AM164" s="1343">
        <v>0</v>
      </c>
      <c r="AN164" s="1304">
        <f>VLOOKUP(B164,'Cham cong'!$B$9:$BY$275,75,0)</f>
        <v>0</v>
      </c>
      <c r="AO164" s="1303"/>
      <c r="AP164" s="1304">
        <f t="shared" ref="AP164" si="360">ROUND(AK164-AL164-AN164+AO164,-1)</f>
        <v>11630</v>
      </c>
      <c r="AR164" s="1306">
        <f t="shared" ref="AR164" si="361">AK164*1000</f>
        <v>11628076.923076922</v>
      </c>
      <c r="AS164" s="1316">
        <f t="shared" ref="AS164" si="362">AM164*1000</f>
        <v>0</v>
      </c>
      <c r="AT164" s="1314">
        <f t="shared" ref="AT164" si="363">AN164*1000</f>
        <v>0</v>
      </c>
      <c r="AU164" s="1345"/>
      <c r="AV164" s="1345"/>
      <c r="AW164" s="1345"/>
      <c r="AY164" s="1345"/>
      <c r="BE164" s="1336" t="s">
        <v>1263</v>
      </c>
      <c r="BG164" s="1345"/>
      <c r="BK164" s="1345"/>
      <c r="BL164" s="1345"/>
    </row>
    <row r="165" spans="1:64" s="1533" customFormat="1" ht="12" hidden="1" customHeight="1">
      <c r="A165" s="1531">
        <v>15</v>
      </c>
      <c r="B165" s="1499" t="s">
        <v>1324</v>
      </c>
      <c r="C165" s="1499" t="s">
        <v>1323</v>
      </c>
      <c r="D165" s="1532" t="s">
        <v>79</v>
      </c>
      <c r="E165" s="1500">
        <v>43685</v>
      </c>
      <c r="F165" s="1501">
        <v>2</v>
      </c>
      <c r="G165" s="661">
        <f t="shared" ref="G165" si="364">DATEDIF(E165,$J$3,"y")</f>
        <v>0</v>
      </c>
      <c r="H165" s="661">
        <f t="shared" ref="H165" si="365">DATEDIF(E165,$J$3,"ym")</f>
        <v>0</v>
      </c>
      <c r="I165" s="1502">
        <f t="shared" ref="I165" si="366">DATEDIF(E165,$J$3,"md")</f>
        <v>17</v>
      </c>
      <c r="J165" s="1502">
        <f>VLOOKUP(D165,'THANG B.LUONG'!$B$5:$I$511,F165+1,0)</f>
        <v>6190</v>
      </c>
      <c r="K165" s="1502">
        <v>0</v>
      </c>
      <c r="L165" s="1502">
        <v>0</v>
      </c>
      <c r="M165" s="1502">
        <f t="shared" ref="M165" si="367">IF(G165&gt;=3,J165*(0.03+(G165-3)*0.01),0)</f>
        <v>0</v>
      </c>
      <c r="N165" s="1502">
        <v>0</v>
      </c>
      <c r="O165" s="1502">
        <v>500</v>
      </c>
      <c r="P165" s="1502">
        <v>200</v>
      </c>
      <c r="Q165" s="1502">
        <v>500</v>
      </c>
      <c r="R165" s="1502">
        <v>0</v>
      </c>
      <c r="S165" s="1502">
        <v>0</v>
      </c>
      <c r="T165" s="1502">
        <v>0</v>
      </c>
      <c r="U165" s="1502">
        <v>0</v>
      </c>
      <c r="V165" s="922">
        <f>(SUM(J165:U165)-P165)*0.85</f>
        <v>6111.5</v>
      </c>
      <c r="W165" s="1504">
        <f>VLOOKUP(B165,'Cham cong'!$B$9:$BY$275,35,0)</f>
        <v>26</v>
      </c>
      <c r="X165" s="1502">
        <f>VLOOKUP(B165,'Cham cong'!$B$9:$BY$275,37,0)</f>
        <v>0</v>
      </c>
      <c r="Y165" s="1502">
        <f>VLOOKUP(B165,'Cham cong'!$B$9:$BY$275,38,0)</f>
        <v>1</v>
      </c>
      <c r="Z165" s="1502">
        <f>VLOOKUP(B165,'Cham cong'!$B$9:$BY$275,72,0)</f>
        <v>0</v>
      </c>
      <c r="AA165" s="1502">
        <f>VLOOKUP(B165,'Cham cong'!$B$9:$BY$275,71,0)</f>
        <v>0</v>
      </c>
      <c r="AB165" s="1502">
        <f>VLOOKUP(B165,'Cham cong'!$B$9:$BY$275,36,0)</f>
        <v>0</v>
      </c>
      <c r="AC165" s="1502"/>
      <c r="AD165" s="1502">
        <v>0</v>
      </c>
      <c r="AE165" s="921">
        <f>SUMIF('KPI T07-19'!$B$20:$B$40,'Luong VP'!B165,'KPI T07-19'!$AB$20:$AB$40)</f>
        <v>0</v>
      </c>
      <c r="AF165" s="1502"/>
      <c r="AG165" s="1502"/>
      <c r="AH165" s="1502"/>
      <c r="AI165" s="1502"/>
      <c r="AJ165" s="1510"/>
      <c r="AK165" s="1503">
        <f>V165/'Cham cong'!$AS$3*(W165+Z165/8*2+AA165/8*1.5+AB165*3)+J165/'Cham cong'!$AS$3*(X165+Y165)+AC165+P165+AE165+AG165+AH165+AI165+AJ165</f>
        <v>6549.5769230769229</v>
      </c>
      <c r="AL165" s="1502">
        <f t="shared" ref="AL165" si="368">AM165*$AN$3</f>
        <v>0</v>
      </c>
      <c r="AM165" s="1526">
        <v>0</v>
      </c>
      <c r="AN165" s="1506">
        <f>VLOOKUP(B165,'Cham cong'!$B$9:$BY$275,75,0)</f>
        <v>0</v>
      </c>
      <c r="AO165" s="1505"/>
      <c r="AP165" s="1506">
        <f t="shared" ref="AP165" si="369">ROUND(AK165-AL165-AN165+AO165,-1)</f>
        <v>6550</v>
      </c>
      <c r="AR165" s="1512">
        <f t="shared" ref="AR165" si="370">AK165*1000</f>
        <v>6549576.923076923</v>
      </c>
      <c r="AS165" s="1527">
        <f t="shared" ref="AS165" si="371">AM165*1000</f>
        <v>0</v>
      </c>
      <c r="AT165" s="1507">
        <f t="shared" ref="AT165" si="372">AN165*1000</f>
        <v>0</v>
      </c>
      <c r="AU165" s="1534"/>
      <c r="AV165" s="1534"/>
      <c r="AW165" s="1534"/>
      <c r="AY165" s="1534"/>
      <c r="BE165" s="1533" t="s">
        <v>1263</v>
      </c>
      <c r="BG165" s="1534"/>
      <c r="BK165" s="1534"/>
      <c r="BL165" s="1534"/>
    </row>
    <row r="166" spans="1:64" s="865" customFormat="1" hidden="1">
      <c r="A166" s="1064">
        <v>16</v>
      </c>
      <c r="B166" s="997" t="s">
        <v>539</v>
      </c>
      <c r="C166" s="997" t="s">
        <v>540</v>
      </c>
      <c r="D166" s="1065" t="str">
        <f>'THANG B.LUONG'!B77</f>
        <v>Trưởng sale Tỉnh</v>
      </c>
      <c r="E166" s="886">
        <v>43234</v>
      </c>
      <c r="F166" s="988">
        <v>7</v>
      </c>
      <c r="G166" s="987">
        <f t="shared" si="339"/>
        <v>1</v>
      </c>
      <c r="H166" s="987">
        <f t="shared" si="340"/>
        <v>3</v>
      </c>
      <c r="I166" s="927">
        <f t="shared" si="341"/>
        <v>11</v>
      </c>
      <c r="J166" s="927">
        <f>VLOOKUP(D166,'THANG B.LUONG'!$B$5:$I$511,F166+1,0)</f>
        <v>15220</v>
      </c>
      <c r="K166" s="927">
        <v>0</v>
      </c>
      <c r="L166" s="927">
        <v>0</v>
      </c>
      <c r="M166" s="927">
        <f t="shared" si="313"/>
        <v>0</v>
      </c>
      <c r="N166" s="927">
        <v>0</v>
      </c>
      <c r="O166" s="927">
        <v>500</v>
      </c>
      <c r="P166" s="927">
        <v>300</v>
      </c>
      <c r="Q166" s="927">
        <v>500</v>
      </c>
      <c r="R166" s="927">
        <v>0</v>
      </c>
      <c r="S166" s="927">
        <v>0</v>
      </c>
      <c r="T166" s="927">
        <v>0</v>
      </c>
      <c r="U166" s="927">
        <v>8500</v>
      </c>
      <c r="V166" s="927">
        <f t="shared" si="354"/>
        <v>24720</v>
      </c>
      <c r="W166" s="1019">
        <f>VLOOKUP(B166,'Cham cong'!$B$9:$BY$275,35,0)</f>
        <v>26</v>
      </c>
      <c r="X166" s="927">
        <f>VLOOKUP(B166,'Cham cong'!$B$9:$BY$275,37,0)</f>
        <v>0</v>
      </c>
      <c r="Y166" s="927">
        <f>VLOOKUP(B166,'Cham cong'!$B$9:$BY$275,38,0)</f>
        <v>1</v>
      </c>
      <c r="Z166" s="927">
        <f>VLOOKUP(B166,'Cham cong'!$B$9:$BY$275,72,0)</f>
        <v>0</v>
      </c>
      <c r="AA166" s="927">
        <f>VLOOKUP(B166,'Cham cong'!$B$9:$BY$275,71,0)</f>
        <v>0</v>
      </c>
      <c r="AB166" s="927">
        <f>VLOOKUP(B166,'Cham cong'!$B$9:$BY$275,36,0)</f>
        <v>0</v>
      </c>
      <c r="AC166" s="927"/>
      <c r="AD166" s="927">
        <v>0</v>
      </c>
      <c r="AE166" s="927">
        <f>SUMIF('KPI T07-19'!$B$20:$B$40,'Luong VP'!B166,'KPI T07-19'!$AB$20:$AB$40)</f>
        <v>5000</v>
      </c>
      <c r="AF166" s="927"/>
      <c r="AG166" s="927"/>
      <c r="AH166" s="927"/>
      <c r="AI166" s="927"/>
      <c r="AJ166" s="920"/>
      <c r="AK166" s="927">
        <f>V166/'Cham cong'!$AS$3*(W166+Z166/8*2+AA166/8*1.5+AB166*3)+J166/'Cham cong'!$AS$3*(X166+Y166)+AC166+P166+AE166+AG166+AH166+AI166+AJ166</f>
        <v>30605.384615384617</v>
      </c>
      <c r="AL166" s="927">
        <f t="shared" si="342"/>
        <v>0</v>
      </c>
      <c r="AM166" s="1072">
        <v>0</v>
      </c>
      <c r="AN166" s="938">
        <f>VLOOKUP(B166,'Cham cong'!$B$9:$BY$275,75,0)</f>
        <v>0</v>
      </c>
      <c r="AO166" s="950"/>
      <c r="AP166" s="950">
        <f t="shared" si="343"/>
        <v>30610</v>
      </c>
      <c r="AQ166" s="873"/>
      <c r="AR166" s="954">
        <f t="shared" si="344"/>
        <v>30605384.615384616</v>
      </c>
      <c r="AS166" s="953">
        <f t="shared" si="293"/>
        <v>0</v>
      </c>
      <c r="AT166" s="856">
        <f t="shared" si="279"/>
        <v>0</v>
      </c>
      <c r="AU166" s="1085">
        <v>8500000</v>
      </c>
      <c r="AV166" s="1085"/>
      <c r="AW166" s="875"/>
      <c r="AY166" s="877"/>
      <c r="BG166" s="877"/>
      <c r="BK166" s="877"/>
      <c r="BL166" s="877"/>
    </row>
    <row r="167" spans="1:64" ht="12.75">
      <c r="A167" s="1064">
        <v>17</v>
      </c>
      <c r="B167" s="105" t="s">
        <v>541</v>
      </c>
      <c r="C167" s="105" t="s">
        <v>542</v>
      </c>
      <c r="D167" s="139" t="s">
        <v>79</v>
      </c>
      <c r="E167" s="896">
        <v>43206</v>
      </c>
      <c r="F167" s="897">
        <v>2</v>
      </c>
      <c r="G167" s="106">
        <f t="shared" si="339"/>
        <v>1</v>
      </c>
      <c r="H167" s="106">
        <f t="shared" si="340"/>
        <v>4</v>
      </c>
      <c r="I167" s="17">
        <f t="shared" si="341"/>
        <v>9</v>
      </c>
      <c r="J167" s="17">
        <f>VLOOKUP(D167,'THANG B.LUONG'!$B$5:$I$511,F167+1,0)</f>
        <v>6190</v>
      </c>
      <c r="K167" s="17">
        <v>0</v>
      </c>
      <c r="L167" s="17">
        <v>0</v>
      </c>
      <c r="M167" s="17">
        <f t="shared" si="313"/>
        <v>0</v>
      </c>
      <c r="N167" s="17">
        <v>0</v>
      </c>
      <c r="O167" s="17">
        <v>500</v>
      </c>
      <c r="P167" s="17">
        <v>200</v>
      </c>
      <c r="Q167" s="17">
        <v>500</v>
      </c>
      <c r="R167" s="17">
        <v>0</v>
      </c>
      <c r="S167" s="17">
        <v>0</v>
      </c>
      <c r="T167" s="17">
        <v>0</v>
      </c>
      <c r="U167" s="17">
        <v>0</v>
      </c>
      <c r="V167" s="17">
        <f t="shared" si="354"/>
        <v>7190</v>
      </c>
      <c r="W167" s="928">
        <f>VLOOKUP(B167,'Cham cong'!$B$9:$BY$275,35,0)</f>
        <v>26</v>
      </c>
      <c r="X167" s="17">
        <f>VLOOKUP(B167,'Cham cong'!$B$9:$BY$275,37,0)</f>
        <v>0</v>
      </c>
      <c r="Y167" s="17">
        <f>VLOOKUP(B167,'Cham cong'!$B$9:$BY$275,38,0)</f>
        <v>1</v>
      </c>
      <c r="Z167" s="17">
        <f>VLOOKUP(B167,'Cham cong'!$B$9:$BY$275,72,0)</f>
        <v>0</v>
      </c>
      <c r="AA167" s="17">
        <f>VLOOKUP(B167,'Cham cong'!$B$9:$BY$275,71,0)</f>
        <v>0</v>
      </c>
      <c r="AB167" s="17">
        <f>VLOOKUP(B167,'Cham cong'!$B$9:$BY$275,36,0)</f>
        <v>0</v>
      </c>
      <c r="AC167" s="17"/>
      <c r="AD167" s="17">
        <v>0</v>
      </c>
      <c r="AE167" s="17">
        <f>SUMIF('KPI T07-19'!$B$20:$B$40,'Luong VP'!B167,'KPI T07-19'!$AB$20:$AB$40)</f>
        <v>4000</v>
      </c>
      <c r="AF167" s="17"/>
      <c r="AG167" s="17"/>
      <c r="AH167" s="17"/>
      <c r="AI167" s="17"/>
      <c r="AJ167" s="920"/>
      <c r="AK167" s="927">
        <f>V167/'Cham cong'!$AS$3*(W167+Z167/8*2+AA167/8*1.5+AB167*3)+J167/'Cham cong'!$AS$3*(X167+Y167)+AC167+P167+AE167+AG167+AH167+AI167+AJ167</f>
        <v>11628.076923076922</v>
      </c>
      <c r="AL167" s="17">
        <f t="shared" si="342"/>
        <v>504</v>
      </c>
      <c r="AM167" s="946">
        <v>4800</v>
      </c>
      <c r="AN167" s="938">
        <f>VLOOKUP(B167,'Cham cong'!$B$9:$BY$275,75,0)</f>
        <v>0</v>
      </c>
      <c r="AO167" s="938"/>
      <c r="AP167" s="950">
        <f t="shared" si="343"/>
        <v>11120</v>
      </c>
      <c r="AR167" s="951">
        <f t="shared" si="344"/>
        <v>11628076.923076922</v>
      </c>
      <c r="AS167" s="953">
        <f t="shared" si="293"/>
        <v>4800000</v>
      </c>
      <c r="AT167" s="856">
        <f t="shared" si="279"/>
        <v>0</v>
      </c>
    </row>
    <row r="168" spans="1:64" ht="12.75">
      <c r="A168" s="1064">
        <v>18</v>
      </c>
      <c r="B168" s="105" t="s">
        <v>543</v>
      </c>
      <c r="C168" s="105" t="s">
        <v>544</v>
      </c>
      <c r="D168" s="139" t="s">
        <v>79</v>
      </c>
      <c r="E168" s="896">
        <v>43216</v>
      </c>
      <c r="F168" s="897">
        <v>2</v>
      </c>
      <c r="G168" s="106">
        <f t="shared" si="339"/>
        <v>1</v>
      </c>
      <c r="H168" s="106">
        <f t="shared" si="340"/>
        <v>3</v>
      </c>
      <c r="I168" s="17">
        <f t="shared" si="341"/>
        <v>30</v>
      </c>
      <c r="J168" s="17">
        <f>VLOOKUP(D168,'THANG B.LUONG'!$B$5:$I$511,F168+1,0)</f>
        <v>6190</v>
      </c>
      <c r="K168" s="17">
        <v>0</v>
      </c>
      <c r="L168" s="17">
        <v>0</v>
      </c>
      <c r="M168" s="17">
        <f t="shared" si="313"/>
        <v>0</v>
      </c>
      <c r="N168" s="17">
        <v>0</v>
      </c>
      <c r="O168" s="17">
        <v>500</v>
      </c>
      <c r="P168" s="17">
        <v>200</v>
      </c>
      <c r="Q168" s="17">
        <v>500</v>
      </c>
      <c r="R168" s="17">
        <v>0</v>
      </c>
      <c r="S168" s="17">
        <v>0</v>
      </c>
      <c r="T168" s="17">
        <v>0</v>
      </c>
      <c r="U168" s="17">
        <v>0</v>
      </c>
      <c r="V168" s="17">
        <f t="shared" si="354"/>
        <v>7190</v>
      </c>
      <c r="W168" s="928">
        <f>VLOOKUP(B168,'Cham cong'!$B$9:$BY$275,35,0)</f>
        <v>26</v>
      </c>
      <c r="X168" s="17">
        <f>VLOOKUP(B168,'Cham cong'!$B$9:$BY$275,37,0)</f>
        <v>0</v>
      </c>
      <c r="Y168" s="17">
        <f>VLOOKUP(B168,'Cham cong'!$B$9:$BY$275,38,0)</f>
        <v>1</v>
      </c>
      <c r="Z168" s="17">
        <f>VLOOKUP(B168,'Cham cong'!$B$9:$BY$275,72,0)</f>
        <v>0</v>
      </c>
      <c r="AA168" s="17">
        <f>VLOOKUP(B168,'Cham cong'!$B$9:$BY$275,71,0)</f>
        <v>0</v>
      </c>
      <c r="AB168" s="17">
        <f>VLOOKUP(B168,'Cham cong'!$B$9:$BY$275,36,0)</f>
        <v>0</v>
      </c>
      <c r="AC168" s="17"/>
      <c r="AD168" s="17">
        <v>0</v>
      </c>
      <c r="AE168" s="17">
        <f>SUMIF('KPI T07-19'!$B$20:$B$40,'Luong VP'!B168,'KPI T07-19'!$AB$20:$AB$40)</f>
        <v>6000</v>
      </c>
      <c r="AF168" s="17"/>
      <c r="AG168" s="17"/>
      <c r="AH168" s="17"/>
      <c r="AI168" s="17"/>
      <c r="AJ168" s="920"/>
      <c r="AK168" s="927">
        <f>V168/'Cham cong'!$AS$3*(W168+Z168/8*2+AA168/8*1.5+AB168*3)+J168/'Cham cong'!$AS$3*(X168+Y168)+AC168+P168+AE168+AG168+AH168+AI168+AJ168</f>
        <v>13628.076923076922</v>
      </c>
      <c r="AL168" s="17">
        <f t="shared" si="342"/>
        <v>504</v>
      </c>
      <c r="AM168" s="946">
        <v>4800</v>
      </c>
      <c r="AN168" s="950">
        <f>VLOOKUP(B168,'Cham cong'!$B$9:$BY$275,75,0)</f>
        <v>0</v>
      </c>
      <c r="AO168" s="938"/>
      <c r="AP168" s="950">
        <f t="shared" si="343"/>
        <v>13120</v>
      </c>
      <c r="AR168" s="951">
        <f t="shared" si="344"/>
        <v>13628076.923076922</v>
      </c>
      <c r="AS168" s="953">
        <f t="shared" si="293"/>
        <v>4800000</v>
      </c>
      <c r="AT168" s="856">
        <f t="shared" si="279"/>
        <v>0</v>
      </c>
    </row>
    <row r="169" spans="1:64" ht="12.75">
      <c r="A169" s="1064">
        <v>19</v>
      </c>
      <c r="B169" s="105" t="s">
        <v>545</v>
      </c>
      <c r="C169" s="105" t="s">
        <v>546</v>
      </c>
      <c r="D169" s="139" t="s">
        <v>79</v>
      </c>
      <c r="E169" s="896">
        <v>43252</v>
      </c>
      <c r="F169" s="897">
        <v>2</v>
      </c>
      <c r="G169" s="106">
        <f t="shared" si="339"/>
        <v>1</v>
      </c>
      <c r="H169" s="106">
        <f t="shared" si="340"/>
        <v>2</v>
      </c>
      <c r="I169" s="17">
        <f t="shared" si="341"/>
        <v>24</v>
      </c>
      <c r="J169" s="17">
        <f>VLOOKUP(D169,'THANG B.LUONG'!$B$5:$I$511,F169+1,0)</f>
        <v>6190</v>
      </c>
      <c r="K169" s="17">
        <v>0</v>
      </c>
      <c r="L169" s="17">
        <v>0</v>
      </c>
      <c r="M169" s="17">
        <f t="shared" si="313"/>
        <v>0</v>
      </c>
      <c r="N169" s="17">
        <v>0</v>
      </c>
      <c r="O169" s="17">
        <v>500</v>
      </c>
      <c r="P169" s="17">
        <v>200</v>
      </c>
      <c r="Q169" s="17">
        <v>500</v>
      </c>
      <c r="R169" s="17">
        <v>0</v>
      </c>
      <c r="S169" s="17">
        <v>0</v>
      </c>
      <c r="T169" s="17">
        <v>0</v>
      </c>
      <c r="U169" s="17">
        <v>0</v>
      </c>
      <c r="V169" s="17">
        <f t="shared" si="354"/>
        <v>7190</v>
      </c>
      <c r="W169" s="928">
        <f>VLOOKUP(B169,'Cham cong'!$B$9:$BY$275,35,0)</f>
        <v>26</v>
      </c>
      <c r="X169" s="17">
        <f>VLOOKUP(B169,'Cham cong'!$B$9:$BY$275,37,0)</f>
        <v>0</v>
      </c>
      <c r="Y169" s="17">
        <f>VLOOKUP(B169,'Cham cong'!$B$9:$BY$275,38,0)</f>
        <v>1</v>
      </c>
      <c r="Z169" s="17">
        <f>VLOOKUP(B169,'Cham cong'!$B$9:$BY$275,72,0)</f>
        <v>0</v>
      </c>
      <c r="AA169" s="17">
        <f>VLOOKUP(B169,'Cham cong'!$B$9:$BY$275,71,0)</f>
        <v>0</v>
      </c>
      <c r="AB169" s="17">
        <f>VLOOKUP(B169,'Cham cong'!$B$9:$BY$275,36,0)</f>
        <v>0</v>
      </c>
      <c r="AC169" s="17"/>
      <c r="AD169" s="17">
        <v>0</v>
      </c>
      <c r="AE169" s="17">
        <f>SUMIF('KPI T07-19'!$B$20:$B$40,'Luong VP'!B169,'KPI T07-19'!$AB$20:$AB$40)</f>
        <v>4000</v>
      </c>
      <c r="AF169" s="17"/>
      <c r="AG169" s="17"/>
      <c r="AH169" s="17"/>
      <c r="AI169" s="17"/>
      <c r="AJ169" s="920"/>
      <c r="AK169" s="927">
        <f>V169/'Cham cong'!$AS$3*(W169+Z169/8*2+AA169/8*1.5+AB169*3)+J169/'Cham cong'!$AS$3*(X169+Y169)+AC169+P169+AE169+AG169+AH169+AI169+AJ169</f>
        <v>11628.076923076922</v>
      </c>
      <c r="AL169" s="17">
        <f t="shared" si="342"/>
        <v>504</v>
      </c>
      <c r="AM169" s="946">
        <v>4800</v>
      </c>
      <c r="AN169" s="938">
        <f>VLOOKUP(B169,'Cham cong'!$B$9:$BY$275,75,0)</f>
        <v>0</v>
      </c>
      <c r="AO169" s="938"/>
      <c r="AP169" s="950">
        <f t="shared" si="343"/>
        <v>11120</v>
      </c>
      <c r="AR169" s="951">
        <f t="shared" ref="AR169:AR186" si="373">AK169*1000</f>
        <v>11628076.923076922</v>
      </c>
      <c r="AS169" s="953">
        <f t="shared" si="293"/>
        <v>4800000</v>
      </c>
      <c r="AT169" s="856">
        <f t="shared" ref="AT169:AT186" si="374">AN169*1000</f>
        <v>0</v>
      </c>
    </row>
    <row r="170" spans="1:64" ht="12.75">
      <c r="A170" s="1064">
        <v>20</v>
      </c>
      <c r="B170" s="105" t="s">
        <v>547</v>
      </c>
      <c r="C170" s="105" t="s">
        <v>548</v>
      </c>
      <c r="D170" s="139" t="s">
        <v>79</v>
      </c>
      <c r="E170" s="896">
        <v>43252</v>
      </c>
      <c r="F170" s="897">
        <v>2</v>
      </c>
      <c r="G170" s="106">
        <f t="shared" si="339"/>
        <v>1</v>
      </c>
      <c r="H170" s="106">
        <f t="shared" si="340"/>
        <v>2</v>
      </c>
      <c r="I170" s="17">
        <f t="shared" si="341"/>
        <v>24</v>
      </c>
      <c r="J170" s="17">
        <f>VLOOKUP(D170,'THANG B.LUONG'!$B$5:$I$511,F170+1,0)</f>
        <v>6190</v>
      </c>
      <c r="K170" s="17">
        <v>0</v>
      </c>
      <c r="L170" s="17">
        <v>0</v>
      </c>
      <c r="M170" s="17">
        <f t="shared" si="313"/>
        <v>0</v>
      </c>
      <c r="N170" s="17">
        <v>0</v>
      </c>
      <c r="O170" s="17">
        <v>500</v>
      </c>
      <c r="P170" s="17">
        <v>200</v>
      </c>
      <c r="Q170" s="17">
        <v>500</v>
      </c>
      <c r="R170" s="17">
        <v>0</v>
      </c>
      <c r="S170" s="17">
        <v>0</v>
      </c>
      <c r="T170" s="17">
        <v>0</v>
      </c>
      <c r="U170" s="17">
        <v>0</v>
      </c>
      <c r="V170" s="17">
        <f t="shared" si="354"/>
        <v>7190</v>
      </c>
      <c r="W170" s="928">
        <f>VLOOKUP(B170,'Cham cong'!$B$9:$BY$275,35,0)</f>
        <v>26</v>
      </c>
      <c r="X170" s="17">
        <f>VLOOKUP(B170,'Cham cong'!$B$9:$BY$275,37,0)</f>
        <v>0</v>
      </c>
      <c r="Y170" s="17">
        <f>VLOOKUP(B170,'Cham cong'!$B$9:$BY$275,38,0)</f>
        <v>1</v>
      </c>
      <c r="Z170" s="17">
        <f>VLOOKUP(B170,'Cham cong'!$B$9:$BY$275,72,0)</f>
        <v>0</v>
      </c>
      <c r="AA170" s="17">
        <f>VLOOKUP(B170,'Cham cong'!$B$9:$BY$275,71,0)</f>
        <v>0</v>
      </c>
      <c r="AB170" s="17">
        <f>VLOOKUP(B170,'Cham cong'!$B$9:$BY$275,36,0)</f>
        <v>0</v>
      </c>
      <c r="AC170" s="17"/>
      <c r="AD170" s="17">
        <v>0</v>
      </c>
      <c r="AE170" s="17">
        <f>SUMIF('KPI T07-19'!$B$20:$B$40,'Luong VP'!B170,'KPI T07-19'!$AB$20:$AB$40)</f>
        <v>4000</v>
      </c>
      <c r="AF170" s="17"/>
      <c r="AG170" s="17"/>
      <c r="AH170" s="17"/>
      <c r="AI170" s="17"/>
      <c r="AJ170" s="920"/>
      <c r="AK170" s="927">
        <f>V170/'Cham cong'!$AS$3*(W170+Z170/8*2+AA170/8*1.5+AB170*3)+J170/'Cham cong'!$AS$3*(X170+Y170)+AC170+P170+AE170+AG170+AH170+AI170+AJ170</f>
        <v>11628.076923076922</v>
      </c>
      <c r="AL170" s="17">
        <f t="shared" si="342"/>
        <v>504</v>
      </c>
      <c r="AM170" s="946">
        <v>4800</v>
      </c>
      <c r="AN170" s="938">
        <f>VLOOKUP(B170,'Cham cong'!$B$9:$BY$275,75,0)</f>
        <v>0</v>
      </c>
      <c r="AO170" s="938"/>
      <c r="AP170" s="950">
        <f t="shared" si="343"/>
        <v>11120</v>
      </c>
      <c r="AR170" s="951">
        <f t="shared" si="373"/>
        <v>11628076.923076922</v>
      </c>
      <c r="AS170" s="953">
        <f t="shared" si="293"/>
        <v>4800000</v>
      </c>
      <c r="AT170" s="856">
        <f t="shared" si="374"/>
        <v>0</v>
      </c>
    </row>
    <row r="171" spans="1:64" s="1341" customFormat="1" hidden="1">
      <c r="A171" s="1329">
        <v>21</v>
      </c>
      <c r="B171" s="1330" t="s">
        <v>549</v>
      </c>
      <c r="C171" s="1330" t="s">
        <v>550</v>
      </c>
      <c r="D171" s="1331" t="s">
        <v>551</v>
      </c>
      <c r="E171" s="1332">
        <v>43539</v>
      </c>
      <c r="F171" s="1333">
        <v>4</v>
      </c>
      <c r="G171" s="1334">
        <f t="shared" si="339"/>
        <v>0</v>
      </c>
      <c r="H171" s="1334">
        <f t="shared" si="340"/>
        <v>5</v>
      </c>
      <c r="I171" s="1298">
        <f t="shared" si="341"/>
        <v>10</v>
      </c>
      <c r="J171" s="1298">
        <v>12420</v>
      </c>
      <c r="K171" s="1298">
        <v>0</v>
      </c>
      <c r="L171" s="1298">
        <v>0</v>
      </c>
      <c r="M171" s="1298">
        <f t="shared" si="313"/>
        <v>0</v>
      </c>
      <c r="N171" s="1298">
        <v>0</v>
      </c>
      <c r="O171" s="1298">
        <v>500</v>
      </c>
      <c r="P171" s="1298">
        <v>300</v>
      </c>
      <c r="Q171" s="1298">
        <v>500</v>
      </c>
      <c r="R171" s="1298">
        <v>0</v>
      </c>
      <c r="S171" s="1298">
        <v>0</v>
      </c>
      <c r="T171" s="1298">
        <v>0</v>
      </c>
      <c r="U171" s="1298">
        <v>0</v>
      </c>
      <c r="V171" s="1298">
        <f>SUM(J171:U171)-P171</f>
        <v>13420</v>
      </c>
      <c r="W171" s="928">
        <f>VLOOKUP(B171,'Cham cong'!$B$9:$BY$275,35,0)</f>
        <v>26</v>
      </c>
      <c r="X171" s="1298">
        <v>0</v>
      </c>
      <c r="Y171" s="1298">
        <v>0</v>
      </c>
      <c r="Z171" s="1298">
        <f>VLOOKUP(B171,'Cham cong'!$B$9:$BY$275,72,0)</f>
        <v>0</v>
      </c>
      <c r="AA171" s="1298">
        <f>VLOOKUP(B171,'Cham cong'!$B$9:$BY$275,71,0)</f>
        <v>0</v>
      </c>
      <c r="AB171" s="1298">
        <f>VLOOKUP(B171,'Cham cong'!$B$9:$BY$275,36,0)</f>
        <v>0</v>
      </c>
      <c r="AC171" s="1298"/>
      <c r="AD171" s="1298">
        <v>0</v>
      </c>
      <c r="AE171" s="1298">
        <f>SUMIF('KPI T07-19'!$B$20:$B$40,'Luong VP'!B171,'KPI T07-19'!$AB$20:$AB$40)</f>
        <v>7500</v>
      </c>
      <c r="AF171" s="1298"/>
      <c r="AG171" s="1298"/>
      <c r="AH171" s="1298"/>
      <c r="AI171" s="1298"/>
      <c r="AJ171" s="1301"/>
      <c r="AK171" s="1298">
        <f>V171/'Cham cong'!$AS$3*(W171+Z171/8*2+AA171/8*1.5+AB171*3)+J171/'Cham cong'!$AS$3*(X171+Y171)+AC171+P171+AE171+AG171+AH171+AI171+AJ171</f>
        <v>21220</v>
      </c>
      <c r="AL171" s="1298">
        <f t="shared" si="342"/>
        <v>0</v>
      </c>
      <c r="AM171" s="1335">
        <v>0</v>
      </c>
      <c r="AN171" s="950">
        <f>VLOOKUP(B171,'Cham cong'!$B$9:$BY$275,75,0)</f>
        <v>0</v>
      </c>
      <c r="AO171" s="1304"/>
      <c r="AP171" s="1304">
        <f>ROUND(AK171-AL171-AN171+AO171,-1)</f>
        <v>21220</v>
      </c>
      <c r="AQ171" s="1336"/>
      <c r="AR171" s="1337">
        <f t="shared" ref="AR171" si="375">AK171*1000</f>
        <v>21220000</v>
      </c>
      <c r="AS171" s="1338">
        <f t="shared" ref="AS171" si="376">AM171*1000</f>
        <v>0</v>
      </c>
      <c r="AT171" s="1339">
        <f t="shared" ref="AT171" si="377">AN171*1000</f>
        <v>0</v>
      </c>
      <c r="AU171" s="1340"/>
      <c r="AV171" s="1340"/>
      <c r="AW171" s="1340"/>
      <c r="AY171" s="1340"/>
      <c r="BE171" s="1341" t="s">
        <v>1263</v>
      </c>
      <c r="BG171" s="1340"/>
      <c r="BK171" s="1340"/>
      <c r="BL171" s="1340"/>
    </row>
    <row r="172" spans="1:64" ht="12.75" customHeight="1">
      <c r="A172" s="911"/>
      <c r="B172" s="1263"/>
      <c r="C172" s="142" t="s">
        <v>552</v>
      </c>
      <c r="D172" s="137"/>
      <c r="E172" s="899"/>
      <c r="F172" s="140"/>
      <c r="G172" s="140"/>
      <c r="H172" s="140"/>
      <c r="I172" s="140"/>
      <c r="J172" s="140"/>
      <c r="K172" s="140"/>
      <c r="L172" s="140"/>
      <c r="M172" s="140"/>
      <c r="N172" s="140"/>
      <c r="O172" s="140"/>
      <c r="P172" s="140"/>
      <c r="Q172" s="140"/>
      <c r="R172" s="140"/>
      <c r="S172" s="140"/>
      <c r="T172" s="140"/>
      <c r="U172" s="140"/>
      <c r="V172" s="140"/>
      <c r="W172" s="140"/>
      <c r="X172" s="140"/>
      <c r="Y172" s="140"/>
      <c r="Z172" s="140"/>
      <c r="AA172" s="140"/>
      <c r="AB172" s="140"/>
      <c r="AC172" s="140"/>
      <c r="AD172" s="140"/>
      <c r="AE172" s="140"/>
      <c r="AF172" s="140"/>
      <c r="AG172" s="140"/>
      <c r="AH172" s="140"/>
      <c r="AI172" s="140"/>
      <c r="AJ172" s="140"/>
      <c r="AK172" s="937">
        <f>SUM(AK173:AK184)</f>
        <v>144944.00684615385</v>
      </c>
      <c r="AL172" s="937">
        <f t="shared" ref="AL172:AO172" si="378">SUM(AL173:AL184)</f>
        <v>5071.5</v>
      </c>
      <c r="AM172" s="937">
        <f t="shared" si="378"/>
        <v>48300</v>
      </c>
      <c r="AN172" s="937">
        <f t="shared" si="378"/>
        <v>52500</v>
      </c>
      <c r="AO172" s="937">
        <f t="shared" si="378"/>
        <v>0</v>
      </c>
      <c r="AP172" s="937">
        <f>SUM(AP173:AP184)</f>
        <v>87370</v>
      </c>
      <c r="AQ172" s="937">
        <f t="shared" ref="AQ172:AZ172" si="379">SUM(AQ173:AQ184)</f>
        <v>0</v>
      </c>
      <c r="AR172" s="937">
        <f t="shared" si="379"/>
        <v>144944006.84615386</v>
      </c>
      <c r="AS172" s="937">
        <f t="shared" si="379"/>
        <v>48300000</v>
      </c>
      <c r="AT172" s="937">
        <f t="shared" si="379"/>
        <v>52500000</v>
      </c>
      <c r="AU172" s="937">
        <f t="shared" si="379"/>
        <v>0</v>
      </c>
      <c r="AV172" s="937"/>
      <c r="AW172" s="937"/>
      <c r="AX172" s="937">
        <f t="shared" si="379"/>
        <v>0</v>
      </c>
      <c r="AY172" s="937">
        <f t="shared" si="379"/>
        <v>5920</v>
      </c>
      <c r="AZ172" s="937">
        <f t="shared" si="379"/>
        <v>1060</v>
      </c>
    </row>
    <row r="173" spans="1:64" ht="12.75">
      <c r="A173" s="895">
        <v>1</v>
      </c>
      <c r="B173" s="105" t="s">
        <v>553</v>
      </c>
      <c r="C173" s="105" t="s">
        <v>554</v>
      </c>
      <c r="D173" s="139" t="str">
        <f>'[2]THANG B.LUONG'!$B$65</f>
        <v>Trưởng đội vận chuyển</v>
      </c>
      <c r="E173" s="896">
        <v>39539</v>
      </c>
      <c r="F173" s="897">
        <v>1</v>
      </c>
      <c r="G173" s="106">
        <f t="shared" ref="G173:G184" si="380">DATEDIF(E173,$J$3,"y")</f>
        <v>11</v>
      </c>
      <c r="H173" s="106">
        <f t="shared" ref="H173:H184" si="381">DATEDIF(E173,$J$3,"ym")</f>
        <v>4</v>
      </c>
      <c r="I173" s="17">
        <f t="shared" ref="I173:I184" si="382">DATEDIF(E173,$J$3,"md")</f>
        <v>24</v>
      </c>
      <c r="J173" s="17">
        <f>VLOOKUP(D173,'THANG B.LUONG'!$B$5:$I$511,F173+1,0)</f>
        <v>7770</v>
      </c>
      <c r="K173" s="17">
        <v>0</v>
      </c>
      <c r="L173" s="17">
        <v>500</v>
      </c>
      <c r="M173" s="17">
        <f t="shared" ref="M173:M184" si="383">IF(G173&gt;=3,J173*(0.03+(G173-3)*0.01),0)</f>
        <v>854.7</v>
      </c>
      <c r="N173" s="17">
        <v>0</v>
      </c>
      <c r="O173" s="17">
        <v>200</v>
      </c>
      <c r="P173" s="17">
        <v>300</v>
      </c>
      <c r="Q173" s="17">
        <v>0</v>
      </c>
      <c r="R173" s="17">
        <v>0</v>
      </c>
      <c r="S173" s="17">
        <v>0</v>
      </c>
      <c r="T173" s="17">
        <v>6500</v>
      </c>
      <c r="U173" s="17">
        <v>0</v>
      </c>
      <c r="V173" s="17">
        <f>SUM(J173:U173)-P173</f>
        <v>15824.7</v>
      </c>
      <c r="W173" s="928">
        <f>VLOOKUP(B173,'Cham cong'!$B$9:$BY$275,35,0)</f>
        <v>26</v>
      </c>
      <c r="X173" s="17">
        <f>VLOOKUP(B173,'Cham cong'!$B$9:$BY$275,37,0)</f>
        <v>0</v>
      </c>
      <c r="Y173" s="17">
        <f>VLOOKUP(B173,'Cham cong'!$B$9:$BY$275,38,0)</f>
        <v>1</v>
      </c>
      <c r="Z173" s="17">
        <f>VLOOKUP(B173,'Cham cong'!$B$9:$BY$275,72,0)</f>
        <v>0</v>
      </c>
      <c r="AA173" s="17">
        <f>VLOOKUP(B173,'Cham cong'!$B$9:$BY$275,71,0)</f>
        <v>0</v>
      </c>
      <c r="AB173" s="17">
        <f>VLOOKUP(B173,'Cham cong'!$B$9:$BY$275,36,0)</f>
        <v>0</v>
      </c>
      <c r="AC173" s="17">
        <v>0</v>
      </c>
      <c r="AD173" s="17">
        <v>0</v>
      </c>
      <c r="AE173" s="17">
        <v>0</v>
      </c>
      <c r="AF173" s="17">
        <v>0</v>
      </c>
      <c r="AG173" s="17">
        <v>0</v>
      </c>
      <c r="AH173" s="17">
        <v>0</v>
      </c>
      <c r="AI173" s="17"/>
      <c r="AJ173" s="17"/>
      <c r="AK173" s="927">
        <f>V173/'Cham cong'!$AS$3*(W173+Z173/8*2+AA173/8*1.5+AB173*3)+J173/'Cham cong'!$AS$3*(X173+Y173)+AC173+P173+AE173+AG173+AH173+AI173+AJ173</f>
        <v>16423.546153846153</v>
      </c>
      <c r="AL173" s="17">
        <f t="shared" ref="AL173:AL211" si="384">AM173*$AN$3</f>
        <v>535.5</v>
      </c>
      <c r="AM173" s="940">
        <v>5100</v>
      </c>
      <c r="AN173" s="938">
        <f>VLOOKUP(B173,'Cham cong'!$B$9:$BY$275,75,0)</f>
        <v>4500</v>
      </c>
      <c r="AO173" s="938"/>
      <c r="AP173" s="950">
        <f t="shared" ref="AP173:AP184" si="385">ROUND(AK173-AL173-AN173+AO173,-1)</f>
        <v>11390</v>
      </c>
      <c r="AR173" s="951">
        <f t="shared" si="373"/>
        <v>16423546.153846154</v>
      </c>
      <c r="AS173" s="953">
        <f t="shared" si="293"/>
        <v>5100000</v>
      </c>
      <c r="AT173" s="1086">
        <f t="shared" si="374"/>
        <v>4500000</v>
      </c>
    </row>
    <row r="174" spans="1:64" ht="12.75">
      <c r="A174" s="895">
        <v>2</v>
      </c>
      <c r="B174" s="105" t="s">
        <v>555</v>
      </c>
      <c r="C174" s="105" t="s">
        <v>556</v>
      </c>
      <c r="D174" s="39" t="str">
        <f>'THANG B.LUONG'!$B$51</f>
        <v>Tài xế</v>
      </c>
      <c r="E174" s="896">
        <v>40486</v>
      </c>
      <c r="F174" s="897">
        <v>2</v>
      </c>
      <c r="G174" s="106">
        <f t="shared" si="380"/>
        <v>8</v>
      </c>
      <c r="H174" s="106">
        <f t="shared" si="381"/>
        <v>9</v>
      </c>
      <c r="I174" s="17">
        <f t="shared" si="382"/>
        <v>21</v>
      </c>
      <c r="J174" s="17">
        <f>VLOOKUP(D174,'THANG B.LUONG'!$B$5:$I$511,F174+1,0)</f>
        <v>5480</v>
      </c>
      <c r="K174" s="17">
        <v>0</v>
      </c>
      <c r="L174" s="17">
        <v>200</v>
      </c>
      <c r="M174" s="17">
        <f t="shared" si="383"/>
        <v>438.40000000000003</v>
      </c>
      <c r="N174" s="17">
        <v>0</v>
      </c>
      <c r="O174" s="17">
        <v>0</v>
      </c>
      <c r="P174" s="17">
        <v>0</v>
      </c>
      <c r="Q174" s="17">
        <v>0</v>
      </c>
      <c r="R174" s="17">
        <v>0</v>
      </c>
      <c r="S174" s="17">
        <v>0</v>
      </c>
      <c r="T174" s="17">
        <v>0</v>
      </c>
      <c r="U174" s="17">
        <v>0</v>
      </c>
      <c r="V174" s="17">
        <f t="shared" ref="V174:V211" si="386">SUM(J174:U174)-P174</f>
        <v>6118.4</v>
      </c>
      <c r="W174" s="928">
        <f>VLOOKUP(B174,'Cham cong'!$B$9:$BY$275,35,0)</f>
        <v>26</v>
      </c>
      <c r="X174" s="17">
        <f>VLOOKUP(B174,'Cham cong'!$B$9:$BY$275,37,0)</f>
        <v>0</v>
      </c>
      <c r="Y174" s="17">
        <f>VLOOKUP(B174,'Cham cong'!$B$9:$BY$275,38,0)</f>
        <v>1</v>
      </c>
      <c r="Z174" s="17">
        <f>VLOOKUP(B174,'Cham cong'!$B$9:$BY$275,72,0)</f>
        <v>0</v>
      </c>
      <c r="AA174" s="17">
        <f>VLOOKUP(B174,'Cham cong'!$B$9:$BY$275,71,0)</f>
        <v>0</v>
      </c>
      <c r="AB174" s="17">
        <f>VLOOKUP(B174,'Cham cong'!$B$9:$BY$275,36,0)</f>
        <v>0</v>
      </c>
      <c r="AC174" s="17">
        <f>VLOOKUP(B174,'T08-19'!$A$8:$AZ$62,50,0)</f>
        <v>840</v>
      </c>
      <c r="AD174" s="17">
        <f>VLOOKUP(B174,'T08-19'!$A$8:$AZ$62,48,0)</f>
        <v>61</v>
      </c>
      <c r="AE174" s="17">
        <f>VLOOKUP(B174,'T08-19'!$A$8:$AZ$62,49,0)</f>
        <v>6421.5087692307725</v>
      </c>
      <c r="AF174" s="17">
        <f>VLOOKUP(B174,'T08-19'!$A$8:$AZ$62,51,0)</f>
        <v>0</v>
      </c>
      <c r="AG174" s="17">
        <f>VLOOKUP(B174,'T08-19'!$A$8:$AZ$62,52,0)</f>
        <v>0</v>
      </c>
      <c r="AH174" s="17">
        <f>VLOOKUP(B174,'T08-19'!$A$8:$AZ$62,5,0)</f>
        <v>0</v>
      </c>
      <c r="AI174" s="17">
        <v>1000</v>
      </c>
      <c r="AJ174" s="17"/>
      <c r="AK174" s="927">
        <f>V174/'Cham cong'!$AS$3*(W174+Z174/8*2+AA174/8*1.5+AB174*3)+J174/'Cham cong'!$AS$3*(X174+Y174)+AC174+P174+AE174+AG174+AH174+AI174+AJ174</f>
        <v>14590.678000000004</v>
      </c>
      <c r="AL174" s="17">
        <f t="shared" si="384"/>
        <v>504</v>
      </c>
      <c r="AM174" s="940">
        <v>4800</v>
      </c>
      <c r="AN174" s="938">
        <f>VLOOKUP(B174,'Cham cong'!$B$9:$BY$275,75,0)</f>
        <v>4000</v>
      </c>
      <c r="AO174" s="938"/>
      <c r="AP174" s="950">
        <f t="shared" si="385"/>
        <v>10090</v>
      </c>
      <c r="AR174" s="951">
        <f t="shared" si="373"/>
        <v>14590678.000000004</v>
      </c>
      <c r="AS174" s="953">
        <f t="shared" si="293"/>
        <v>4800000</v>
      </c>
      <c r="AT174" s="856">
        <f t="shared" si="374"/>
        <v>4000000</v>
      </c>
    </row>
    <row r="175" spans="1:64" ht="12.75">
      <c r="A175" s="895">
        <v>3</v>
      </c>
      <c r="B175" s="105" t="s">
        <v>557</v>
      </c>
      <c r="C175" s="105" t="s">
        <v>558</v>
      </c>
      <c r="D175" s="1005" t="s">
        <v>49</v>
      </c>
      <c r="E175" s="896">
        <v>41682</v>
      </c>
      <c r="F175" s="897">
        <v>1</v>
      </c>
      <c r="G175" s="106">
        <f t="shared" si="380"/>
        <v>5</v>
      </c>
      <c r="H175" s="106">
        <f t="shared" si="381"/>
        <v>6</v>
      </c>
      <c r="I175" s="17">
        <f t="shared" si="382"/>
        <v>13</v>
      </c>
      <c r="J175" s="17">
        <f>VLOOKUP(D175,'THANG B.LUONG'!$B$5:$I$511,F175+1,0)</f>
        <v>7010</v>
      </c>
      <c r="K175" s="17">
        <v>0</v>
      </c>
      <c r="L175" s="17">
        <v>200</v>
      </c>
      <c r="M175" s="17">
        <f t="shared" si="383"/>
        <v>350.5</v>
      </c>
      <c r="N175" s="17">
        <v>0</v>
      </c>
      <c r="O175" s="17">
        <v>0</v>
      </c>
      <c r="P175" s="17">
        <v>0</v>
      </c>
      <c r="Q175" s="17">
        <v>0</v>
      </c>
      <c r="R175" s="17">
        <v>0</v>
      </c>
      <c r="S175" s="17">
        <v>0</v>
      </c>
      <c r="T175" s="17">
        <v>2600</v>
      </c>
      <c r="U175" s="17">
        <v>0</v>
      </c>
      <c r="V175" s="17">
        <f t="shared" si="386"/>
        <v>10160.5</v>
      </c>
      <c r="W175" s="928">
        <f>VLOOKUP(B175,'Cham cong'!$B$9:$BY$275,35,0)</f>
        <v>26</v>
      </c>
      <c r="X175" s="17">
        <f>VLOOKUP(B175,'Cham cong'!$B$9:$BY$275,37,0)</f>
        <v>0</v>
      </c>
      <c r="Y175" s="17">
        <f>VLOOKUP(B175,'Cham cong'!$B$9:$BY$275,38,0)</f>
        <v>1</v>
      </c>
      <c r="Z175" s="17">
        <f>VLOOKUP(B175,'Cham cong'!$B$9:$BY$275,72,0)</f>
        <v>0</v>
      </c>
      <c r="AA175" s="17">
        <f>VLOOKUP(B175,'Cham cong'!$B$9:$BY$275,71,0)</f>
        <v>0</v>
      </c>
      <c r="AB175" s="17">
        <f>VLOOKUP(B175,'Cham cong'!$B$9:$BY$275,36,0)</f>
        <v>0</v>
      </c>
      <c r="AC175" s="17">
        <f>VLOOKUP(B175,'T08-19'!$A$8:$AZ$62,50,0)</f>
        <v>0</v>
      </c>
      <c r="AD175" s="17">
        <f>VLOOKUP(B175,'T08-19'!$A$8:$AZ$62,48,0)</f>
        <v>6</v>
      </c>
      <c r="AE175" s="17">
        <f>VLOOKUP(B175,'T08-19'!$A$8:$AZ$62,49,0)</f>
        <v>508.76307692307688</v>
      </c>
      <c r="AF175" s="17">
        <f>VLOOKUP(B175,'T08-19'!$A$8:$AZ$62,51,0)</f>
        <v>0</v>
      </c>
      <c r="AG175" s="17">
        <v>0</v>
      </c>
      <c r="AH175" s="17">
        <f>VLOOKUP(B175,'T08-19'!$A$8:$AZ$62,5,0)</f>
        <v>0</v>
      </c>
      <c r="AI175" s="17"/>
      <c r="AJ175" s="17"/>
      <c r="AK175" s="927">
        <f>V175/'Cham cong'!$AS$3*(W175+Z175/8*2+AA175/8*1.5+AB175*3)+J175/'Cham cong'!$AS$3*(X175+Y175)+AC175+P175+AE175+AG175+AH175+AI175+AJ175</f>
        <v>10938.878461538461</v>
      </c>
      <c r="AL175" s="17">
        <f t="shared" si="384"/>
        <v>504</v>
      </c>
      <c r="AM175" s="940">
        <v>4800</v>
      </c>
      <c r="AN175" s="938">
        <f>VLOOKUP(B175,'Cham cong'!$B$9:$BY$275,75,0)</f>
        <v>6000</v>
      </c>
      <c r="AO175" s="938"/>
      <c r="AP175" s="950">
        <f t="shared" si="385"/>
        <v>4430</v>
      </c>
      <c r="AR175" s="951">
        <f t="shared" si="373"/>
        <v>10938878.461538462</v>
      </c>
      <c r="AS175" s="953">
        <f t="shared" si="293"/>
        <v>4800000</v>
      </c>
      <c r="AT175" s="1086">
        <f t="shared" si="374"/>
        <v>6000000</v>
      </c>
    </row>
    <row r="176" spans="1:64" ht="12.75">
      <c r="A176" s="895">
        <v>4</v>
      </c>
      <c r="B176" s="105" t="s">
        <v>559</v>
      </c>
      <c r="C176" s="105" t="s">
        <v>560</v>
      </c>
      <c r="D176" s="39" t="str">
        <f>'THANG B.LUONG'!$B$51</f>
        <v>Tài xế</v>
      </c>
      <c r="E176" s="896">
        <v>42248</v>
      </c>
      <c r="F176" s="897">
        <v>1</v>
      </c>
      <c r="G176" s="106">
        <f t="shared" si="380"/>
        <v>3</v>
      </c>
      <c r="H176" s="106">
        <f t="shared" si="381"/>
        <v>11</v>
      </c>
      <c r="I176" s="17">
        <f t="shared" si="382"/>
        <v>24</v>
      </c>
      <c r="J176" s="17">
        <f>VLOOKUP(D176,'THANG B.LUONG'!$B$5:$I$511,F176+1,0)</f>
        <v>5220</v>
      </c>
      <c r="K176" s="17">
        <v>0</v>
      </c>
      <c r="L176" s="17">
        <v>200</v>
      </c>
      <c r="M176" s="17">
        <f t="shared" si="383"/>
        <v>156.6</v>
      </c>
      <c r="N176" s="17">
        <v>0</v>
      </c>
      <c r="O176" s="17">
        <v>0</v>
      </c>
      <c r="P176" s="17">
        <v>0</v>
      </c>
      <c r="Q176" s="17">
        <v>0</v>
      </c>
      <c r="R176" s="17">
        <v>0</v>
      </c>
      <c r="S176" s="17">
        <v>0</v>
      </c>
      <c r="T176" s="17">
        <v>0</v>
      </c>
      <c r="U176" s="17">
        <v>0</v>
      </c>
      <c r="V176" s="17">
        <f t="shared" si="386"/>
        <v>5576.6</v>
      </c>
      <c r="W176" s="928">
        <f>VLOOKUP(B176,'Cham cong'!$B$9:$BY$275,35,0)</f>
        <v>26</v>
      </c>
      <c r="X176" s="17">
        <f>VLOOKUP(B176,'Cham cong'!$B$9:$BY$275,37,0)</f>
        <v>0</v>
      </c>
      <c r="Y176" s="17">
        <f>VLOOKUP(B176,'Cham cong'!$B$9:$BY$275,38,0)</f>
        <v>1</v>
      </c>
      <c r="Z176" s="17">
        <f>VLOOKUP(B176,'Cham cong'!$B$9:$BY$275,72,0)</f>
        <v>0</v>
      </c>
      <c r="AA176" s="17">
        <f>VLOOKUP(B176,'Cham cong'!$B$9:$BY$275,71,0)</f>
        <v>0</v>
      </c>
      <c r="AB176" s="17">
        <f>VLOOKUP(B176,'Cham cong'!$B$9:$BY$275,36,0)</f>
        <v>0</v>
      </c>
      <c r="AC176" s="17">
        <f>VLOOKUP(B176,'T08-19'!$A$8:$AZ$62,50,0)</f>
        <v>600</v>
      </c>
      <c r="AD176" s="17">
        <f>VLOOKUP(B176,'T08-19'!$A$8:$AZ$62,48,0)</f>
        <v>60</v>
      </c>
      <c r="AE176" s="17">
        <f>VLOOKUP(B176,'T08-19'!$A$8:$AZ$62,49,0)</f>
        <v>5313.7438461538495</v>
      </c>
      <c r="AF176" s="17">
        <f>VLOOKUP(B176,'T08-19'!$A$8:$AZ$62,51,0)</f>
        <v>0</v>
      </c>
      <c r="AG176" s="17">
        <f>VLOOKUP(B176,'T08-19'!$A$8:$AZ$62,52,0)</f>
        <v>0</v>
      </c>
      <c r="AH176" s="17">
        <f>VLOOKUP(B176,'T08-19'!$A$8:$AZ$62,5,0)</f>
        <v>0</v>
      </c>
      <c r="AI176" s="17"/>
      <c r="AJ176" s="17"/>
      <c r="AK176" s="927">
        <f>V176/'Cham cong'!$AS$3*(W176+Z176/8*2+AA176/8*1.5+AB176*3)+J176/'Cham cong'!$AS$3*(X176+Y176)+AC176+P176+AE176+AG176+AH176+AI176+AJ176</f>
        <v>11691.11307692308</v>
      </c>
      <c r="AL176" s="17">
        <f t="shared" si="384"/>
        <v>504</v>
      </c>
      <c r="AM176" s="940">
        <v>4800</v>
      </c>
      <c r="AN176" s="938">
        <f>VLOOKUP(B176,'Cham cong'!$B$9:$BY$275,75,0)</f>
        <v>4000</v>
      </c>
      <c r="AO176" s="938"/>
      <c r="AP176" s="950">
        <f t="shared" si="385"/>
        <v>7190</v>
      </c>
      <c r="AR176" s="951">
        <f t="shared" si="373"/>
        <v>11691113.07692308</v>
      </c>
      <c r="AS176" s="953">
        <f t="shared" si="293"/>
        <v>4800000</v>
      </c>
      <c r="AT176" s="856">
        <f t="shared" si="374"/>
        <v>4000000</v>
      </c>
    </row>
    <row r="177" spans="1:66" ht="12.75">
      <c r="A177" s="895">
        <v>5</v>
      </c>
      <c r="B177" s="105" t="s">
        <v>561</v>
      </c>
      <c r="C177" s="105" t="s">
        <v>562</v>
      </c>
      <c r="D177" s="39" t="str">
        <f>'THANG B.LUONG'!$B$51</f>
        <v>Tài xế</v>
      </c>
      <c r="E177" s="896">
        <v>42597</v>
      </c>
      <c r="F177" s="897">
        <v>1</v>
      </c>
      <c r="G177" s="106">
        <f t="shared" si="380"/>
        <v>3</v>
      </c>
      <c r="H177" s="106">
        <f t="shared" si="381"/>
        <v>0</v>
      </c>
      <c r="I177" s="17">
        <f t="shared" si="382"/>
        <v>10</v>
      </c>
      <c r="J177" s="17">
        <f>VLOOKUP(D177,'THANG B.LUONG'!$B$5:$I$511,F177+1,0)</f>
        <v>5220</v>
      </c>
      <c r="K177" s="17">
        <v>0</v>
      </c>
      <c r="L177" s="17">
        <v>200</v>
      </c>
      <c r="M177" s="17">
        <f t="shared" si="383"/>
        <v>156.6</v>
      </c>
      <c r="N177" s="17">
        <v>0</v>
      </c>
      <c r="O177" s="17">
        <v>0</v>
      </c>
      <c r="P177" s="17">
        <v>0</v>
      </c>
      <c r="Q177" s="17">
        <v>0</v>
      </c>
      <c r="R177" s="17">
        <v>0</v>
      </c>
      <c r="S177" s="17">
        <v>0</v>
      </c>
      <c r="T177" s="17">
        <v>0</v>
      </c>
      <c r="U177" s="17">
        <v>0</v>
      </c>
      <c r="V177" s="17">
        <f t="shared" si="386"/>
        <v>5576.6</v>
      </c>
      <c r="W177" s="928">
        <f>VLOOKUP(B177,'Cham cong'!$B$9:$BY$275,35,0)</f>
        <v>26</v>
      </c>
      <c r="X177" s="17">
        <f>VLOOKUP(B177,'Cham cong'!$B$9:$BY$275,37,0)</f>
        <v>0</v>
      </c>
      <c r="Y177" s="17">
        <f>VLOOKUP(B177,'Cham cong'!$B$9:$BY$275,38,0)</f>
        <v>1</v>
      </c>
      <c r="Z177" s="17">
        <f>VLOOKUP(B177,'Cham cong'!$B$9:$BY$275,72,0)</f>
        <v>0</v>
      </c>
      <c r="AA177" s="17">
        <f>VLOOKUP(B177,'Cham cong'!$B$9:$BY$275,71,0)</f>
        <v>0</v>
      </c>
      <c r="AB177" s="17">
        <f>VLOOKUP(B177,'Cham cong'!$B$9:$BY$275,36,0)</f>
        <v>0</v>
      </c>
      <c r="AC177" s="17">
        <f>VLOOKUP(B177,'T08-19'!$A$8:$AZ$62,50,0)</f>
        <v>540</v>
      </c>
      <c r="AD177" s="17">
        <f>VLOOKUP(B177,'T08-19'!$A$8:$AZ$62,48,0)</f>
        <v>55</v>
      </c>
      <c r="AE177" s="17">
        <f>VLOOKUP(B177,'T08-19'!$A$8:$AZ$62,49,0)</f>
        <v>5130.2694615384635</v>
      </c>
      <c r="AF177" s="17">
        <f>VLOOKUP(B177,'T08-19'!$A$8:$AZ$62,51,0)</f>
        <v>0</v>
      </c>
      <c r="AG177" s="17">
        <f>VLOOKUP(B177,'T08-19'!$A$8:$AZ$62,52,0)</f>
        <v>0</v>
      </c>
      <c r="AH177" s="17">
        <f>VLOOKUP(B177,'T08-19'!$A$8:$AZ$62,5,0)</f>
        <v>0</v>
      </c>
      <c r="AI177" s="17"/>
      <c r="AJ177" s="17"/>
      <c r="AK177" s="927">
        <f>V177/'Cham cong'!$AS$3*(W177+Z177/8*2+AA177/8*1.5+AB177*3)+J177/'Cham cong'!$AS$3*(X177+Y177)+AC177+P177+AE177+AG177+AH177+AI177+AJ177</f>
        <v>11447.638692307693</v>
      </c>
      <c r="AL177" s="17">
        <f t="shared" si="384"/>
        <v>504</v>
      </c>
      <c r="AM177" s="940">
        <v>4800</v>
      </c>
      <c r="AN177" s="938">
        <f>VLOOKUP(B177,'Cham cong'!$B$9:$BY$275,75,0)</f>
        <v>6000</v>
      </c>
      <c r="AO177" s="938"/>
      <c r="AP177" s="950">
        <f t="shared" si="385"/>
        <v>4940</v>
      </c>
      <c r="AR177" s="951">
        <f t="shared" si="373"/>
        <v>11447638.692307694</v>
      </c>
      <c r="AS177" s="953">
        <f t="shared" si="293"/>
        <v>4800000</v>
      </c>
      <c r="AT177" s="856">
        <f t="shared" si="374"/>
        <v>6000000</v>
      </c>
    </row>
    <row r="178" spans="1:66" ht="12.75">
      <c r="A178" s="895">
        <v>6</v>
      </c>
      <c r="B178" s="105" t="s">
        <v>563</v>
      </c>
      <c r="C178" s="105" t="s">
        <v>564</v>
      </c>
      <c r="D178" s="106" t="str">
        <f>'THANG B.LUONG'!$B$51</f>
        <v>Tài xế</v>
      </c>
      <c r="E178" s="896">
        <v>42441</v>
      </c>
      <c r="F178" s="897">
        <v>0</v>
      </c>
      <c r="G178" s="106">
        <f t="shared" si="380"/>
        <v>3</v>
      </c>
      <c r="H178" s="106">
        <f t="shared" si="381"/>
        <v>5</v>
      </c>
      <c r="I178" s="17">
        <f t="shared" si="382"/>
        <v>13</v>
      </c>
      <c r="J178" s="17">
        <v>10300</v>
      </c>
      <c r="K178" s="17">
        <v>0</v>
      </c>
      <c r="L178" s="17">
        <v>200</v>
      </c>
      <c r="M178" s="17">
        <f t="shared" si="383"/>
        <v>309</v>
      </c>
      <c r="N178" s="17">
        <v>0</v>
      </c>
      <c r="O178" s="17">
        <v>0</v>
      </c>
      <c r="P178" s="17">
        <v>0</v>
      </c>
      <c r="Q178" s="17">
        <v>0</v>
      </c>
      <c r="R178" s="17">
        <v>0</v>
      </c>
      <c r="S178" s="17">
        <v>0</v>
      </c>
      <c r="T178" s="17">
        <v>0</v>
      </c>
      <c r="U178" s="17">
        <v>0</v>
      </c>
      <c r="V178" s="17">
        <f t="shared" si="386"/>
        <v>10809</v>
      </c>
      <c r="W178" s="928">
        <f>VLOOKUP(B178,'Cham cong'!$B$9:$BY$275,35,0)</f>
        <v>26</v>
      </c>
      <c r="X178" s="17">
        <f>VLOOKUP(B178,'Cham cong'!$B$9:$BY$275,37,0)</f>
        <v>0</v>
      </c>
      <c r="Y178" s="17">
        <f>VLOOKUP(B178,'Cham cong'!$B$9:$BY$275,38,0)</f>
        <v>1</v>
      </c>
      <c r="Z178" s="17">
        <f>VLOOKUP(B178,'Cham cong'!$B$9:$BY$275,72,0)</f>
        <v>0</v>
      </c>
      <c r="AA178" s="17">
        <f>VLOOKUP(B178,'Cham cong'!$B$9:$BY$275,71,0)</f>
        <v>0</v>
      </c>
      <c r="AB178" s="17">
        <f>VLOOKUP(B178,'Cham cong'!$B$9:$BY$275,36,0)</f>
        <v>0</v>
      </c>
      <c r="AC178" s="1068">
        <v>0</v>
      </c>
      <c r="AD178" s="1069">
        <f>VLOOKUP(B178,'T08-19'!$A$8:$AZ$62,48,0)</f>
        <v>6</v>
      </c>
      <c r="AE178" s="1069">
        <f>VLOOKUP(B178,'T08-19'!$A$8:$AZ$62,49,0)</f>
        <v>546.44923076923112</v>
      </c>
      <c r="AF178" s="17">
        <f>VLOOKUP(B178,'T08-19'!$A$8:$AZ$62,51,0)</f>
        <v>0</v>
      </c>
      <c r="AG178" s="17">
        <f>VLOOKUP(B178,'T08-19'!$A$8:$AZ$62,52,0)</f>
        <v>0</v>
      </c>
      <c r="AH178" s="17">
        <f>VLOOKUP(B178,'T08-19'!$A$8:$AZ$62,5,0)</f>
        <v>0</v>
      </c>
      <c r="AI178" s="17"/>
      <c r="AJ178" s="17"/>
      <c r="AK178" s="927">
        <f>V178/'Cham cong'!$AS$3*(W178+Z178/8*2+AA178/8*1.5+AB178*3)+J178/'Cham cong'!$AS$3*(X178+Y178)+AC178+P178+AE178+AG178+AH178+AI178+AJ178</f>
        <v>11751.603076923077</v>
      </c>
      <c r="AL178" s="17">
        <f t="shared" si="384"/>
        <v>504</v>
      </c>
      <c r="AM178" s="946">
        <v>4800</v>
      </c>
      <c r="AN178" s="938">
        <f>VLOOKUP(B178,'Cham cong'!$B$9:$BY$275,75,0)</f>
        <v>4000</v>
      </c>
      <c r="AO178" s="938"/>
      <c r="AP178" s="950">
        <f t="shared" si="385"/>
        <v>7250</v>
      </c>
      <c r="AR178" s="1087">
        <f t="shared" si="373"/>
        <v>11751603.076923076</v>
      </c>
      <c r="AS178" s="1031">
        <f t="shared" si="293"/>
        <v>4800000</v>
      </c>
      <c r="AT178" s="863">
        <f t="shared" si="374"/>
        <v>4000000</v>
      </c>
    </row>
    <row r="179" spans="1:66" ht="12.75">
      <c r="A179" s="895">
        <v>7</v>
      </c>
      <c r="B179" s="105" t="s">
        <v>565</v>
      </c>
      <c r="C179" s="105" t="s">
        <v>566</v>
      </c>
      <c r="D179" s="39" t="str">
        <f>'THANG B.LUONG'!$B$51</f>
        <v>Tài xế</v>
      </c>
      <c r="E179" s="896">
        <v>42788</v>
      </c>
      <c r="F179" s="897">
        <v>0</v>
      </c>
      <c r="G179" s="106">
        <f t="shared" si="380"/>
        <v>2</v>
      </c>
      <c r="H179" s="106">
        <f t="shared" si="381"/>
        <v>6</v>
      </c>
      <c r="I179" s="17">
        <f t="shared" si="382"/>
        <v>3</v>
      </c>
      <c r="J179" s="17">
        <v>10300</v>
      </c>
      <c r="K179" s="17">
        <v>0</v>
      </c>
      <c r="L179" s="17">
        <v>200</v>
      </c>
      <c r="M179" s="17">
        <f t="shared" si="383"/>
        <v>0</v>
      </c>
      <c r="N179" s="17">
        <v>0</v>
      </c>
      <c r="O179" s="17">
        <v>0</v>
      </c>
      <c r="P179" s="17">
        <v>0</v>
      </c>
      <c r="Q179" s="17">
        <v>0</v>
      </c>
      <c r="R179" s="17">
        <v>0</v>
      </c>
      <c r="S179" s="17">
        <v>0</v>
      </c>
      <c r="T179" s="17">
        <v>0</v>
      </c>
      <c r="U179" s="17">
        <v>0</v>
      </c>
      <c r="V179" s="17">
        <f t="shared" si="386"/>
        <v>10500</v>
      </c>
      <c r="W179" s="928">
        <f>VLOOKUP(B179,'Cham cong'!$B$9:$BY$275,35,0)</f>
        <v>26</v>
      </c>
      <c r="X179" s="17">
        <f>VLOOKUP(B179,'Cham cong'!$B$9:$BY$275,37,0)</f>
        <v>0</v>
      </c>
      <c r="Y179" s="17">
        <f>VLOOKUP(B179,'Cham cong'!$B$9:$BY$275,38,0)</f>
        <v>1</v>
      </c>
      <c r="Z179" s="17">
        <f>VLOOKUP(B179,'Cham cong'!$B$9:$BY$275,72,0)</f>
        <v>0</v>
      </c>
      <c r="AA179" s="17">
        <f>VLOOKUP(B179,'Cham cong'!$B$9:$BY$275,71,0)</f>
        <v>0</v>
      </c>
      <c r="AB179" s="17">
        <f>VLOOKUP(B179,'Cham cong'!$B$9:$BY$275,36,0)</f>
        <v>0</v>
      </c>
      <c r="AC179" s="1068">
        <v>0</v>
      </c>
      <c r="AD179" s="1069">
        <f>VLOOKUP(B179,'T08-19'!$A$8:$AZ$62,48,0)</f>
        <v>7</v>
      </c>
      <c r="AE179" s="1069">
        <f>VLOOKUP(B179,'T08-19'!$A$8:$AZ$62,49,0)</f>
        <v>584.13538461538451</v>
      </c>
      <c r="AF179" s="17">
        <f>VLOOKUP(B179,'T08-19'!$A$8:$AZ$62,51,0)</f>
        <v>0</v>
      </c>
      <c r="AG179" s="17">
        <f>VLOOKUP(B179,'T08-19'!$A$8:$AZ$62,52,0)</f>
        <v>0</v>
      </c>
      <c r="AH179" s="17">
        <f>VLOOKUP(B179,'T08-19'!$A$8:$AZ$62,5,0)</f>
        <v>0</v>
      </c>
      <c r="AI179" s="17"/>
      <c r="AJ179" s="17"/>
      <c r="AK179" s="927">
        <f>V179/'Cham cong'!$AS$3*(W179+Z179/8*2+AA179/8*1.5+AB179*3)+J179/'Cham cong'!$AS$3*(X179+Y179)+AC179+P179+AE179+AG179+AH179+AI179+AJ179</f>
        <v>11480.289230769231</v>
      </c>
      <c r="AL179" s="17">
        <f t="shared" si="384"/>
        <v>504</v>
      </c>
      <c r="AM179" s="946">
        <v>4800</v>
      </c>
      <c r="AN179" s="938">
        <f>VLOOKUP(B179,'Cham cong'!$B$9:$BY$275,75,0)</f>
        <v>4000</v>
      </c>
      <c r="AO179" s="938"/>
      <c r="AP179" s="950">
        <f t="shared" si="385"/>
        <v>6980</v>
      </c>
      <c r="AR179" s="1087">
        <f t="shared" si="373"/>
        <v>11480289.23076923</v>
      </c>
      <c r="AS179" s="1031">
        <f t="shared" si="293"/>
        <v>4800000</v>
      </c>
      <c r="AT179" s="863">
        <f t="shared" si="374"/>
        <v>4000000</v>
      </c>
      <c r="AY179" s="875">
        <v>5920</v>
      </c>
      <c r="AZ179" s="1088">
        <f>AP179-AY179</f>
        <v>1060</v>
      </c>
    </row>
    <row r="180" spans="1:66" ht="12.75">
      <c r="A180" s="895">
        <v>8</v>
      </c>
      <c r="B180" s="105" t="s">
        <v>567</v>
      </c>
      <c r="C180" s="105" t="s">
        <v>568</v>
      </c>
      <c r="D180" s="39" t="str">
        <f>'THANG B.LUONG'!$B$51</f>
        <v>Tài xế</v>
      </c>
      <c r="E180" s="896">
        <v>42805</v>
      </c>
      <c r="F180" s="897">
        <v>1</v>
      </c>
      <c r="G180" s="106">
        <f t="shared" si="380"/>
        <v>2</v>
      </c>
      <c r="H180" s="106">
        <f t="shared" si="381"/>
        <v>5</v>
      </c>
      <c r="I180" s="17">
        <f t="shared" si="382"/>
        <v>14</v>
      </c>
      <c r="J180" s="17">
        <f>VLOOKUP(D180,'THANG B.LUONG'!$B$5:$I$511,F180+1,0)</f>
        <v>5220</v>
      </c>
      <c r="K180" s="17">
        <v>0</v>
      </c>
      <c r="L180" s="17">
        <v>200</v>
      </c>
      <c r="M180" s="17">
        <f t="shared" si="383"/>
        <v>0</v>
      </c>
      <c r="N180" s="17">
        <v>0</v>
      </c>
      <c r="O180" s="17">
        <v>0</v>
      </c>
      <c r="P180" s="17">
        <v>0</v>
      </c>
      <c r="Q180" s="17">
        <v>0</v>
      </c>
      <c r="R180" s="17">
        <v>0</v>
      </c>
      <c r="S180" s="17">
        <v>0</v>
      </c>
      <c r="T180" s="17">
        <v>0</v>
      </c>
      <c r="U180" s="17">
        <v>0</v>
      </c>
      <c r="V180" s="17">
        <f t="shared" si="386"/>
        <v>5420</v>
      </c>
      <c r="W180" s="928">
        <f>VLOOKUP(B180,'Cham cong'!$B$9:$BY$275,35,0)</f>
        <v>26</v>
      </c>
      <c r="X180" s="17">
        <f>VLOOKUP(B180,'Cham cong'!$B$9:$BY$275,37,0)</f>
        <v>0</v>
      </c>
      <c r="Y180" s="17">
        <f>VLOOKUP(B180,'Cham cong'!$B$9:$BY$275,38,0)</f>
        <v>1</v>
      </c>
      <c r="Z180" s="17">
        <f>VLOOKUP(B180,'Cham cong'!$B$9:$BY$275,72,0)</f>
        <v>0</v>
      </c>
      <c r="AA180" s="17">
        <f>VLOOKUP(B180,'Cham cong'!$B$9:$BY$275,71,0)</f>
        <v>0</v>
      </c>
      <c r="AB180" s="17">
        <f>VLOOKUP(B180,'Cham cong'!$B$9:$BY$275,36,0)</f>
        <v>0</v>
      </c>
      <c r="AC180" s="17">
        <f>VLOOKUP(B180,'T08-19'!$A$8:$AZ$62,50,0)</f>
        <v>480</v>
      </c>
      <c r="AD180" s="17">
        <f>VLOOKUP(B180,'T08-19'!$A$8:$AZ$62,48,0)</f>
        <v>55</v>
      </c>
      <c r="AE180" s="17">
        <f>VLOOKUP(B180,'T08-19'!$A$8:$AZ$62,49,0)</f>
        <v>5167.9560000000029</v>
      </c>
      <c r="AF180" s="17">
        <f>VLOOKUP(B180,'T08-19'!$A$8:$AZ$62,51,0)</f>
        <v>0</v>
      </c>
      <c r="AG180" s="17">
        <f>VLOOKUP(B180,'T08-19'!$A$8:$AZ$62,52,0)</f>
        <v>0</v>
      </c>
      <c r="AH180" s="17">
        <f>VLOOKUP(B180,'T08-19'!$A$8:$AZ$62,5,0)</f>
        <v>0</v>
      </c>
      <c r="AI180" s="17"/>
      <c r="AJ180" s="17"/>
      <c r="AK180" s="927">
        <f>V180/'Cham cong'!$AS$3*(W180+Z180/8*2+AA180/8*1.5+AB180*3)+J180/'Cham cong'!$AS$3*(X180+Y180)+AC180+P180+AE180+AG180+AH180+AI180+AJ180</f>
        <v>11268.725230769232</v>
      </c>
      <c r="AL180" s="17">
        <f t="shared" si="384"/>
        <v>504</v>
      </c>
      <c r="AM180" s="946">
        <v>4800</v>
      </c>
      <c r="AN180" s="938">
        <f>VLOOKUP(B180,'Cham cong'!$B$9:$BY$275,75,0)</f>
        <v>4000</v>
      </c>
      <c r="AO180" s="938"/>
      <c r="AP180" s="950">
        <f t="shared" si="385"/>
        <v>6760</v>
      </c>
      <c r="AR180" s="951">
        <f t="shared" si="373"/>
        <v>11268725.230769232</v>
      </c>
      <c r="AS180" s="953">
        <f t="shared" si="293"/>
        <v>4800000</v>
      </c>
      <c r="AT180" s="856">
        <f t="shared" si="374"/>
        <v>4000000</v>
      </c>
    </row>
    <row r="181" spans="1:66" ht="12.75">
      <c r="A181" s="895">
        <v>9</v>
      </c>
      <c r="B181" s="105" t="s">
        <v>569</v>
      </c>
      <c r="C181" s="105" t="s">
        <v>570</v>
      </c>
      <c r="D181" s="39" t="str">
        <f>'THANG B.LUONG'!$B$51</f>
        <v>Tài xế</v>
      </c>
      <c r="E181" s="896">
        <v>43175</v>
      </c>
      <c r="F181" s="897">
        <v>1</v>
      </c>
      <c r="G181" s="106">
        <f t="shared" si="380"/>
        <v>1</v>
      </c>
      <c r="H181" s="106">
        <f t="shared" si="381"/>
        <v>5</v>
      </c>
      <c r="I181" s="17">
        <f t="shared" si="382"/>
        <v>9</v>
      </c>
      <c r="J181" s="17">
        <f>VLOOKUP(D181,'THANG B.LUONG'!$B$5:$I$511,F181+1,0)</f>
        <v>5220</v>
      </c>
      <c r="K181" s="17">
        <v>0</v>
      </c>
      <c r="L181" s="17">
        <v>200</v>
      </c>
      <c r="M181" s="17">
        <f t="shared" si="383"/>
        <v>0</v>
      </c>
      <c r="N181" s="17">
        <v>0</v>
      </c>
      <c r="O181" s="17">
        <v>0</v>
      </c>
      <c r="P181" s="17">
        <v>0</v>
      </c>
      <c r="Q181" s="17">
        <v>0</v>
      </c>
      <c r="R181" s="17">
        <v>0</v>
      </c>
      <c r="S181" s="17">
        <v>0</v>
      </c>
      <c r="T181" s="17">
        <v>0</v>
      </c>
      <c r="U181" s="17">
        <v>0</v>
      </c>
      <c r="V181" s="17">
        <f t="shared" si="386"/>
        <v>5420</v>
      </c>
      <c r="W181" s="928">
        <f>VLOOKUP(B181,'Cham cong'!$B$9:$BY$275,35,0)</f>
        <v>26</v>
      </c>
      <c r="X181" s="17">
        <f>VLOOKUP(B181,'Cham cong'!$B$9:$BY$275,37,0)</f>
        <v>0</v>
      </c>
      <c r="Y181" s="17">
        <f>VLOOKUP(B181,'Cham cong'!$B$9:$BY$275,38,0)</f>
        <v>1</v>
      </c>
      <c r="Z181" s="17">
        <f>VLOOKUP(B181,'Cham cong'!$B$9:$BY$275,72,0)</f>
        <v>0</v>
      </c>
      <c r="AA181" s="17">
        <f>VLOOKUP(B181,'Cham cong'!$B$9:$BY$275,71,0)</f>
        <v>0</v>
      </c>
      <c r="AB181" s="17">
        <f>VLOOKUP(B181,'Cham cong'!$B$9:$BY$275,36,0)</f>
        <v>0</v>
      </c>
      <c r="AC181" s="17">
        <f>VLOOKUP(B181,'T08-19'!$A$8:$AZ$62,50,0)</f>
        <v>540</v>
      </c>
      <c r="AD181" s="17">
        <f>VLOOKUP(B181,'T08-19'!$A$8:$AZ$62,48,0)</f>
        <v>59</v>
      </c>
      <c r="AE181" s="17">
        <f>VLOOKUP(B181,'T08-19'!$A$8:$AZ$62,49,0)</f>
        <v>5162.9996153846159</v>
      </c>
      <c r="AF181" s="17">
        <f>VLOOKUP(B181,'T08-19'!$A$8:$AZ$62,51,0)</f>
        <v>0</v>
      </c>
      <c r="AG181" s="17">
        <f>VLOOKUP(B181,'T08-19'!$A$8:$AZ$62,52,0)</f>
        <v>0</v>
      </c>
      <c r="AH181" s="17"/>
      <c r="AI181" s="17"/>
      <c r="AJ181" s="17"/>
      <c r="AK181" s="927">
        <f>V181/'Cham cong'!$AS$3*(W181+Z181/8*2+AA181/8*1.5+AB181*3)+J181/'Cham cong'!$AS$3*(X181+Y181)+AC181+P181+AE181+AG181+AH181+AI181+AJ181</f>
        <v>11323.768846153846</v>
      </c>
      <c r="AL181" s="17">
        <f t="shared" si="384"/>
        <v>504</v>
      </c>
      <c r="AM181" s="946">
        <v>4800</v>
      </c>
      <c r="AN181" s="938">
        <f>VLOOKUP(B181,'Cham cong'!$B$9:$BY$275,75,0)</f>
        <v>4000</v>
      </c>
      <c r="AO181" s="938"/>
      <c r="AP181" s="950">
        <f t="shared" si="385"/>
        <v>6820</v>
      </c>
      <c r="AQ181" s="1088"/>
      <c r="AR181" s="951">
        <f t="shared" si="373"/>
        <v>11323768.846153846</v>
      </c>
      <c r="AS181" s="953">
        <f t="shared" si="293"/>
        <v>4800000</v>
      </c>
      <c r="AT181" s="856">
        <f t="shared" si="374"/>
        <v>4000000</v>
      </c>
      <c r="BE181" s="1336" t="s">
        <v>1263</v>
      </c>
    </row>
    <row r="182" spans="1:66" ht="12.75">
      <c r="A182" s="895">
        <v>10</v>
      </c>
      <c r="B182" s="105" t="s">
        <v>571</v>
      </c>
      <c r="C182" s="105" t="s">
        <v>572</v>
      </c>
      <c r="D182" s="39" t="str">
        <f>'THANG B.LUONG'!$B$51</f>
        <v>Tài xế</v>
      </c>
      <c r="E182" s="896">
        <v>43210</v>
      </c>
      <c r="F182" s="897">
        <v>1</v>
      </c>
      <c r="G182" s="106">
        <f t="shared" si="380"/>
        <v>1</v>
      </c>
      <c r="H182" s="106">
        <f t="shared" si="381"/>
        <v>4</v>
      </c>
      <c r="I182" s="17">
        <f t="shared" si="382"/>
        <v>5</v>
      </c>
      <c r="J182" s="17">
        <f>VLOOKUP(D182,'THANG B.LUONG'!$B$5:$I$511,F182+1,0)</f>
        <v>5220</v>
      </c>
      <c r="K182" s="17">
        <v>0</v>
      </c>
      <c r="L182" s="17">
        <v>200</v>
      </c>
      <c r="M182" s="17">
        <f t="shared" si="383"/>
        <v>0</v>
      </c>
      <c r="N182" s="17">
        <v>0</v>
      </c>
      <c r="O182" s="17">
        <v>0</v>
      </c>
      <c r="P182" s="17">
        <v>0</v>
      </c>
      <c r="Q182" s="17">
        <v>0</v>
      </c>
      <c r="R182" s="17">
        <v>0</v>
      </c>
      <c r="S182" s="17">
        <v>0</v>
      </c>
      <c r="T182" s="17">
        <v>0</v>
      </c>
      <c r="U182" s="17">
        <v>0</v>
      </c>
      <c r="V182" s="17">
        <f t="shared" si="386"/>
        <v>5420</v>
      </c>
      <c r="W182" s="928">
        <f>VLOOKUP(B182,'Cham cong'!$B$9:$BY$275,35,0)</f>
        <v>26</v>
      </c>
      <c r="X182" s="17">
        <f>VLOOKUP(B182,'Cham cong'!$B$9:$BY$275,37,0)</f>
        <v>0</v>
      </c>
      <c r="Y182" s="17">
        <f>VLOOKUP(B182,'Cham cong'!$B$9:$BY$275,38,0)</f>
        <v>1</v>
      </c>
      <c r="Z182" s="17">
        <f>VLOOKUP(B182,'Cham cong'!$B$9:$BY$275,72,0)</f>
        <v>0</v>
      </c>
      <c r="AA182" s="17">
        <f>VLOOKUP(B182,'Cham cong'!$B$9:$BY$275,71,0)</f>
        <v>0</v>
      </c>
      <c r="AB182" s="17">
        <f>VLOOKUP(B182,'Cham cong'!$B$9:$BY$275,36,0)</f>
        <v>0</v>
      </c>
      <c r="AC182" s="17">
        <f>VLOOKUP(B182,'T08-19'!$A$8:$AZ$62,50,0)</f>
        <v>540</v>
      </c>
      <c r="AD182" s="17">
        <f>VLOOKUP(B182,'T08-19'!$A$8:$AZ$62,48,0)</f>
        <v>52</v>
      </c>
      <c r="AE182" s="17">
        <f>VLOOKUP(B182,'T08-19'!$A$8:$AZ$62,49,0)</f>
        <v>4904.1525384615397</v>
      </c>
      <c r="AF182" s="17">
        <f>VLOOKUP(B182,'T08-19'!$A$8:$AZ$62,51,0)</f>
        <v>0</v>
      </c>
      <c r="AG182" s="17">
        <f>VLOOKUP(B182,'T08-19'!$A$8:$AZ$62,52,0)</f>
        <v>0</v>
      </c>
      <c r="AH182" s="17">
        <v>0</v>
      </c>
      <c r="AI182" s="17"/>
      <c r="AJ182" s="17"/>
      <c r="AK182" s="927">
        <f>V182/'Cham cong'!$AS$3*(W182+Z182/8*2+AA182/8*1.5+AB182*3)+J182/'Cham cong'!$AS$3*(X182+Y182)+AC182+P182+AE182+AG182+AH182+AI182+AJ182</f>
        <v>11064.92176923077</v>
      </c>
      <c r="AL182" s="17">
        <f t="shared" si="384"/>
        <v>504</v>
      </c>
      <c r="AM182" s="946">
        <v>4800</v>
      </c>
      <c r="AN182" s="938">
        <f>VLOOKUP(B182,'Cham cong'!$B$9:$BY$275,75,0)</f>
        <v>4000</v>
      </c>
      <c r="AO182" s="938"/>
      <c r="AP182" s="950">
        <f t="shared" si="385"/>
        <v>6560</v>
      </c>
      <c r="AR182" s="951">
        <f t="shared" si="373"/>
        <v>11064921.76923077</v>
      </c>
      <c r="AS182" s="953">
        <f t="shared" si="293"/>
        <v>4800000</v>
      </c>
      <c r="AT182" s="856">
        <f t="shared" si="374"/>
        <v>4000000</v>
      </c>
      <c r="BE182" s="1336" t="s">
        <v>1263</v>
      </c>
    </row>
    <row r="183" spans="1:66" ht="12.75" hidden="1">
      <c r="A183" s="895">
        <v>11</v>
      </c>
      <c r="B183" s="105" t="s">
        <v>573</v>
      </c>
      <c r="C183" s="105" t="s">
        <v>574</v>
      </c>
      <c r="D183" s="39" t="str">
        <f>'THANG B.LUONG'!$B$51</f>
        <v>Tài xế</v>
      </c>
      <c r="E183" s="896">
        <v>43358</v>
      </c>
      <c r="F183" s="897">
        <v>1</v>
      </c>
      <c r="G183" s="106">
        <f t="shared" si="380"/>
        <v>0</v>
      </c>
      <c r="H183" s="106">
        <f t="shared" si="381"/>
        <v>11</v>
      </c>
      <c r="I183" s="17">
        <f t="shared" si="382"/>
        <v>10</v>
      </c>
      <c r="J183" s="17">
        <f>VLOOKUP(D183,'THANG B.LUONG'!$B$5:$I$511,F183+1,0)</f>
        <v>5220</v>
      </c>
      <c r="K183" s="17">
        <v>0</v>
      </c>
      <c r="L183" s="17">
        <v>200</v>
      </c>
      <c r="M183" s="17">
        <f t="shared" si="383"/>
        <v>0</v>
      </c>
      <c r="N183" s="17">
        <v>0</v>
      </c>
      <c r="O183" s="17">
        <v>0</v>
      </c>
      <c r="P183" s="17">
        <v>0</v>
      </c>
      <c r="Q183" s="17">
        <v>0</v>
      </c>
      <c r="R183" s="17">
        <v>0</v>
      </c>
      <c r="S183" s="17">
        <v>0</v>
      </c>
      <c r="T183" s="17">
        <v>0</v>
      </c>
      <c r="U183" s="17">
        <v>0</v>
      </c>
      <c r="V183" s="17">
        <f t="shared" si="386"/>
        <v>5420</v>
      </c>
      <c r="W183" s="928">
        <f>VLOOKUP(B183,'Cham cong'!$B$9:$BY$275,35,0)</f>
        <v>26</v>
      </c>
      <c r="X183" s="17">
        <f>VLOOKUP(B183,'Cham cong'!$B$9:$BY$275,37,0)</f>
        <v>0</v>
      </c>
      <c r="Y183" s="17">
        <f>VLOOKUP(B183,'Cham cong'!$B$9:$BY$275,38,0)</f>
        <v>1</v>
      </c>
      <c r="Z183" s="17">
        <f>VLOOKUP(B183,'Cham cong'!$B$9:$BY$275,72,0)</f>
        <v>0</v>
      </c>
      <c r="AA183" s="17">
        <f>VLOOKUP(B183,'Cham cong'!$B$9:$BY$275,71,0)</f>
        <v>0</v>
      </c>
      <c r="AB183" s="17">
        <f>VLOOKUP(B183,'Cham cong'!$B$9:$BY$275,36,0)</f>
        <v>0</v>
      </c>
      <c r="AC183" s="17">
        <f>VLOOKUP(B183,'T08-19'!$A$8:$AZ$62,50,0)</f>
        <v>1840</v>
      </c>
      <c r="AD183" s="17">
        <f>VLOOKUP(B183,'T08-19'!$A$8:$AZ$62,48,0)</f>
        <v>21</v>
      </c>
      <c r="AE183" s="17">
        <f>VLOOKUP(B183,'T08-19'!$A$8:$AZ$62,49,0)</f>
        <v>4377.1481538461521</v>
      </c>
      <c r="AF183" s="17">
        <f>VLOOKUP(B183,'T08-19'!$A$8:$AZ$62,51,0)</f>
        <v>0</v>
      </c>
      <c r="AG183" s="17">
        <f>VLOOKUP(B183,'T08-19'!$A$8:$AZ$62,52,0)</f>
        <v>0</v>
      </c>
      <c r="AH183" s="17">
        <v>0</v>
      </c>
      <c r="AI183" s="17"/>
      <c r="AJ183" s="17"/>
      <c r="AK183" s="927">
        <f>V183/'Cham cong'!$AS$3*(W183+Z183/8*2+AA183/8*1.5+AB183*3)+J183/'Cham cong'!$AS$3*(X183+Y183)+AC183+P183+AE183+AG183+AH183+AI183+AJ183</f>
        <v>11837.917384615383</v>
      </c>
      <c r="AL183" s="17">
        <f t="shared" si="384"/>
        <v>0</v>
      </c>
      <c r="AM183" s="946">
        <v>0</v>
      </c>
      <c r="AN183" s="938">
        <f>VLOOKUP(B183,'Cham cong'!$B$9:$BY$275,75,0)</f>
        <v>4000</v>
      </c>
      <c r="AO183" s="938"/>
      <c r="AP183" s="950">
        <f t="shared" si="385"/>
        <v>7840</v>
      </c>
      <c r="AR183" s="951">
        <f t="shared" si="373"/>
        <v>11837917.384615382</v>
      </c>
      <c r="AS183" s="953">
        <f t="shared" si="293"/>
        <v>0</v>
      </c>
      <c r="AT183" s="856">
        <f t="shared" si="374"/>
        <v>4000000</v>
      </c>
      <c r="BE183" s="1336" t="s">
        <v>1263</v>
      </c>
    </row>
    <row r="184" spans="1:66" ht="12.75" hidden="1">
      <c r="A184" s="895">
        <v>12</v>
      </c>
      <c r="B184" s="105" t="s">
        <v>575</v>
      </c>
      <c r="C184" s="105" t="s">
        <v>576</v>
      </c>
      <c r="D184" s="39" t="str">
        <f>'THANG B.LUONG'!$B$51</f>
        <v>Tài xế</v>
      </c>
      <c r="E184" s="896">
        <v>43444</v>
      </c>
      <c r="F184" s="897">
        <v>1</v>
      </c>
      <c r="G184" s="106">
        <f t="shared" si="380"/>
        <v>0</v>
      </c>
      <c r="H184" s="106">
        <f t="shared" si="381"/>
        <v>8</v>
      </c>
      <c r="I184" s="17">
        <f t="shared" si="382"/>
        <v>15</v>
      </c>
      <c r="J184" s="17">
        <f>VLOOKUP(D184,'THANG B.LUONG'!$B$5:$I$511,F184+1,0)</f>
        <v>5220</v>
      </c>
      <c r="K184" s="17">
        <v>0</v>
      </c>
      <c r="L184" s="17">
        <v>200</v>
      </c>
      <c r="M184" s="17">
        <f t="shared" si="383"/>
        <v>0</v>
      </c>
      <c r="N184" s="17">
        <v>0</v>
      </c>
      <c r="O184" s="17">
        <v>0</v>
      </c>
      <c r="P184" s="17">
        <v>0</v>
      </c>
      <c r="Q184" s="17">
        <v>0</v>
      </c>
      <c r="R184" s="17">
        <v>0</v>
      </c>
      <c r="S184" s="17">
        <v>0</v>
      </c>
      <c r="T184" s="17">
        <v>0</v>
      </c>
      <c r="U184" s="17">
        <v>0</v>
      </c>
      <c r="V184" s="17">
        <f t="shared" si="386"/>
        <v>5420</v>
      </c>
      <c r="W184" s="928">
        <f>VLOOKUP(B184,'Cham cong'!$B$9:$BY$275,35,0)</f>
        <v>26</v>
      </c>
      <c r="X184" s="17">
        <f>VLOOKUP(B184,'Cham cong'!$B$9:$BY$275,37,0)</f>
        <v>0</v>
      </c>
      <c r="Y184" s="17">
        <f>VLOOKUP(B184,'Cham cong'!$B$9:$BY$275,38,0)</f>
        <v>1</v>
      </c>
      <c r="Z184" s="17">
        <f>VLOOKUP(B184,'Cham cong'!$B$9:$BY$275,72,0)</f>
        <v>0</v>
      </c>
      <c r="AA184" s="17">
        <f>VLOOKUP(B184,'Cham cong'!$B$9:$BY$275,71,0)</f>
        <v>0</v>
      </c>
      <c r="AB184" s="17">
        <f>VLOOKUP(B184,'Cham cong'!$B$9:$BY$275,36,0)</f>
        <v>0</v>
      </c>
      <c r="AC184" s="17">
        <f>VLOOKUP(B184,'T08-19'!$A$8:$AZ$62,50,0)</f>
        <v>360</v>
      </c>
      <c r="AD184" s="17">
        <f>VLOOKUP(B184,'T08-19'!$A$8:$AZ$62,48,0)</f>
        <v>59</v>
      </c>
      <c r="AE184" s="17">
        <f>VLOOKUP(B184,'T08-19'!$A$8:$AZ$62,49,0)</f>
        <v>5144.1576923076918</v>
      </c>
      <c r="AF184" s="17">
        <f>VLOOKUP(B184,'T08-19'!$A$8:$AZ$62,51,0)</f>
        <v>0</v>
      </c>
      <c r="AG184" s="17">
        <f>VLOOKUP(B184,'T08-19'!$A$8:$AZ$62,52,0)</f>
        <v>0</v>
      </c>
      <c r="AH184" s="17">
        <v>0</v>
      </c>
      <c r="AI184" s="17"/>
      <c r="AJ184" s="17"/>
      <c r="AK184" s="927">
        <f>V184/'Cham cong'!$AS$3*(W184+Z184/8*2+AA184/8*1.5+AB184*3)+J184/'Cham cong'!$AS$3*(X184+Y184)+AC184+P184+AE184+AG184+AH184+AI184+AJ184</f>
        <v>11124.926923076922</v>
      </c>
      <c r="AL184" s="17">
        <f t="shared" si="384"/>
        <v>0</v>
      </c>
      <c r="AM184" s="946">
        <v>0</v>
      </c>
      <c r="AN184" s="938">
        <f>VLOOKUP(B184,'Cham cong'!$B$9:$BY$275,75,0)</f>
        <v>4000</v>
      </c>
      <c r="AO184" s="938"/>
      <c r="AP184" s="950">
        <f t="shared" si="385"/>
        <v>7120</v>
      </c>
      <c r="AR184" s="951">
        <f t="shared" si="373"/>
        <v>11124926.923076922</v>
      </c>
      <c r="AS184" s="953">
        <f t="shared" si="293"/>
        <v>0</v>
      </c>
      <c r="AT184" s="856">
        <f t="shared" si="374"/>
        <v>4000000</v>
      </c>
      <c r="BE184" s="1336" t="s">
        <v>1263</v>
      </c>
    </row>
    <row r="185" spans="1:66">
      <c r="A185" s="911"/>
      <c r="B185" s="1264"/>
      <c r="C185" s="141" t="s">
        <v>577</v>
      </c>
      <c r="D185" s="140"/>
      <c r="E185" s="899"/>
      <c r="F185" s="140"/>
      <c r="G185" s="140"/>
      <c r="H185" s="140"/>
      <c r="I185" s="140"/>
      <c r="J185" s="140"/>
      <c r="K185" s="140"/>
      <c r="L185" s="140"/>
      <c r="M185" s="140"/>
      <c r="N185" s="140"/>
      <c r="O185" s="140"/>
      <c r="P185" s="140"/>
      <c r="Q185" s="140"/>
      <c r="R185" s="140"/>
      <c r="S185" s="140"/>
      <c r="T185" s="140"/>
      <c r="U185" s="140"/>
      <c r="V185" s="140"/>
      <c r="W185" s="140"/>
      <c r="X185" s="140"/>
      <c r="Y185" s="140"/>
      <c r="Z185" s="140"/>
      <c r="AA185" s="140"/>
      <c r="AB185" s="140"/>
      <c r="AC185" s="140"/>
      <c r="AD185" s="140"/>
      <c r="AE185" s="140"/>
      <c r="AF185" s="918"/>
      <c r="AG185" s="918"/>
      <c r="AH185" s="140"/>
      <c r="AI185" s="140"/>
      <c r="AJ185" s="140"/>
      <c r="AK185" s="937">
        <f>SUM(AK186:AK202)</f>
        <v>124845.12438461537</v>
      </c>
      <c r="AL185" s="937">
        <f t="shared" ref="AL185:AO185" si="387">SUM(AL186:AL202)</f>
        <v>4805.8499999999995</v>
      </c>
      <c r="AM185" s="937">
        <f t="shared" si="387"/>
        <v>45770</v>
      </c>
      <c r="AN185" s="937">
        <f t="shared" si="387"/>
        <v>49000</v>
      </c>
      <c r="AO185" s="937">
        <f t="shared" si="387"/>
        <v>0</v>
      </c>
      <c r="AP185" s="937">
        <f>SUM(AP186:AP202)</f>
        <v>71040</v>
      </c>
      <c r="AR185" s="1034">
        <f t="shared" si="373"/>
        <v>124845124.38461536</v>
      </c>
      <c r="AS185" s="953">
        <f t="shared" si="293"/>
        <v>45770000</v>
      </c>
      <c r="AT185" s="856">
        <f t="shared" si="374"/>
        <v>49000000</v>
      </c>
    </row>
    <row r="186" spans="1:66" ht="12.75">
      <c r="A186" s="895">
        <v>1</v>
      </c>
      <c r="B186" s="105" t="s">
        <v>578</v>
      </c>
      <c r="C186" s="105" t="s">
        <v>579</v>
      </c>
      <c r="D186" s="139" t="str">
        <f>'THANG B.LUONG'!$B$55</f>
        <v>NV Giao nhận/ Phụ xe</v>
      </c>
      <c r="E186" s="896">
        <v>42217</v>
      </c>
      <c r="F186" s="897">
        <v>1</v>
      </c>
      <c r="G186" s="106">
        <f t="shared" ref="G186:G191" si="388">DATEDIF(E186,$J$3,"y")</f>
        <v>4</v>
      </c>
      <c r="H186" s="106">
        <f t="shared" ref="H186:H191" si="389">DATEDIF(E186,$J$3,"ym")</f>
        <v>0</v>
      </c>
      <c r="I186" s="17">
        <f t="shared" ref="I186:I191" si="390">DATEDIF(E186,$J$3,"md")</f>
        <v>24</v>
      </c>
      <c r="J186" s="17">
        <f>VLOOKUP(D186,'THANG B.LUONG'!$B$5:$I$511,F186+1,0)</f>
        <v>4500</v>
      </c>
      <c r="K186" s="17">
        <v>0</v>
      </c>
      <c r="L186" s="17">
        <v>0</v>
      </c>
      <c r="M186" s="17">
        <f t="shared" ref="M186:M193" si="391">IF(G186&gt;=3,J186*(0.03+(G186-3)*0.01),0)</f>
        <v>180</v>
      </c>
      <c r="N186" s="17">
        <v>0</v>
      </c>
      <c r="O186" s="17">
        <v>0</v>
      </c>
      <c r="P186" s="17">
        <v>0</v>
      </c>
      <c r="Q186" s="17">
        <v>0</v>
      </c>
      <c r="R186" s="17">
        <v>0</v>
      </c>
      <c r="S186" s="17">
        <v>0</v>
      </c>
      <c r="T186" s="17">
        <v>0</v>
      </c>
      <c r="U186" s="17">
        <v>0</v>
      </c>
      <c r="V186" s="17">
        <f t="shared" si="386"/>
        <v>4680</v>
      </c>
      <c r="W186" s="928">
        <f>VLOOKUP(B186,'Cham cong'!$B$9:$BY$275,35,0)</f>
        <v>26</v>
      </c>
      <c r="X186" s="17">
        <f>VLOOKUP(B186,'Cham cong'!$B$9:$BY$275,37,0)</f>
        <v>0</v>
      </c>
      <c r="Y186" s="17">
        <f>VLOOKUP(B186,'Cham cong'!$B$9:$BY$275,38,0)</f>
        <v>1</v>
      </c>
      <c r="Z186" s="17">
        <f>VLOOKUP(B186,'Cham cong'!$B$9:$BY$275,72,0)</f>
        <v>0</v>
      </c>
      <c r="AA186" s="17">
        <f>VLOOKUP(B186,'Cham cong'!$B$9:$BY$275,71,0)</f>
        <v>0</v>
      </c>
      <c r="AB186" s="17">
        <f>VLOOKUP(B186,'Cham cong'!$B$9:$BY$275,36,0)</f>
        <v>0</v>
      </c>
      <c r="AC186" s="17">
        <f>VLOOKUP(B186,'T08-19'!$A$8:$AZ$62,50,0)</f>
        <v>420</v>
      </c>
      <c r="AD186" s="17">
        <f>VLOOKUP(B186,'T08-19'!$A$8:$AZ$62,4,0)/1000</f>
        <v>134884.08333333328</v>
      </c>
      <c r="AE186" s="17">
        <f>VLOOKUP(B186,'T08-19'!$A$8:$AZ$62,5,0)</f>
        <v>1618.6089999999995</v>
      </c>
      <c r="AF186" s="17">
        <f>VLOOKUP(B186,'T08-19'!$A$8:$AZ$62,51,0)</f>
        <v>0</v>
      </c>
      <c r="AG186" s="17">
        <f>VLOOKUP(B186,'T08-19'!$A$8:$AZ$62,52,0)</f>
        <v>0</v>
      </c>
      <c r="AH186" s="17"/>
      <c r="AI186" s="17"/>
      <c r="AJ186" s="17"/>
      <c r="AK186" s="927">
        <f>V186/'Cham cong'!$AS$3*(W186+Z186/8*2+AA186/8*1.5+AB186*3)+J186/'Cham cong'!$AS$3*(X186+Y186)+AC186+P186+AE186+AG186+AH186+AI186+AJ186</f>
        <v>6891.6859230769223</v>
      </c>
      <c r="AL186" s="17">
        <f t="shared" si="384"/>
        <v>480.58499999999998</v>
      </c>
      <c r="AM186" s="940">
        <v>4577</v>
      </c>
      <c r="AN186" s="938">
        <f>VLOOKUP(B186,'Cham cong'!$B$9:$BY$275,75,0)</f>
        <v>3000</v>
      </c>
      <c r="AO186" s="938"/>
      <c r="AP186" s="950">
        <f t="shared" ref="AP186:AP191" si="392">ROUND(AK186-AL186-AN186+AO186,-1)</f>
        <v>3410</v>
      </c>
      <c r="AR186" s="951">
        <f t="shared" si="373"/>
        <v>6891685.9230769221</v>
      </c>
      <c r="AS186" s="953">
        <f t="shared" si="293"/>
        <v>4577000</v>
      </c>
      <c r="AT186" s="856">
        <f t="shared" si="374"/>
        <v>3000000</v>
      </c>
      <c r="BJ186" s="873">
        <v>2900</v>
      </c>
    </row>
    <row r="187" spans="1:66" ht="12.75">
      <c r="A187" s="895">
        <v>2</v>
      </c>
      <c r="B187" s="105" t="s">
        <v>580</v>
      </c>
      <c r="C187" s="105" t="s">
        <v>581</v>
      </c>
      <c r="D187" s="139" t="str">
        <f>'THANG B.LUONG'!$B$55</f>
        <v>NV Giao nhận/ Phụ xe</v>
      </c>
      <c r="E187" s="896">
        <v>42689</v>
      </c>
      <c r="F187" s="897">
        <v>1</v>
      </c>
      <c r="G187" s="106">
        <f t="shared" si="388"/>
        <v>2</v>
      </c>
      <c r="H187" s="106">
        <f t="shared" si="389"/>
        <v>9</v>
      </c>
      <c r="I187" s="17">
        <f t="shared" si="390"/>
        <v>10</v>
      </c>
      <c r="J187" s="17">
        <f>VLOOKUP(D187,'THANG B.LUONG'!$B$5:$I$511,F187+1,0)</f>
        <v>4500</v>
      </c>
      <c r="K187" s="17">
        <v>0</v>
      </c>
      <c r="L187" s="17">
        <v>0</v>
      </c>
      <c r="M187" s="17">
        <f t="shared" si="391"/>
        <v>0</v>
      </c>
      <c r="N187" s="17">
        <v>0</v>
      </c>
      <c r="O187" s="17">
        <v>0</v>
      </c>
      <c r="P187" s="17">
        <v>0</v>
      </c>
      <c r="Q187" s="17">
        <v>0</v>
      </c>
      <c r="R187" s="17">
        <v>0</v>
      </c>
      <c r="S187" s="17">
        <v>0</v>
      </c>
      <c r="T187" s="17">
        <v>0</v>
      </c>
      <c r="U187" s="17">
        <v>0</v>
      </c>
      <c r="V187" s="17">
        <f t="shared" si="386"/>
        <v>4500</v>
      </c>
      <c r="W187" s="928">
        <f>VLOOKUP(B187,'Cham cong'!$B$9:$BY$275,35,0)</f>
        <v>26</v>
      </c>
      <c r="X187" s="17">
        <f>VLOOKUP(B187,'Cham cong'!$B$9:$BY$275,37,0)</f>
        <v>0</v>
      </c>
      <c r="Y187" s="17">
        <f>VLOOKUP(B187,'Cham cong'!$B$9:$BY$275,38,0)</f>
        <v>1</v>
      </c>
      <c r="Z187" s="17">
        <f>VLOOKUP(B187,'Cham cong'!$B$9:$BY$275,72,0)</f>
        <v>0</v>
      </c>
      <c r="AA187" s="17">
        <f>VLOOKUP(B187,'Cham cong'!$B$9:$BY$275,71,0)</f>
        <v>0</v>
      </c>
      <c r="AB187" s="17">
        <f>VLOOKUP(B187,'Cham cong'!$B$9:$BY$275,36,0)</f>
        <v>0</v>
      </c>
      <c r="AC187" s="17">
        <f>VLOOKUP(B187,'T08-19'!$A$8:$AZ$62,50,0)</f>
        <v>840</v>
      </c>
      <c r="AD187" s="17">
        <f>VLOOKUP(B187,'T08-19'!$A$8:$AZ$62,4,0)/1000</f>
        <v>165584.12499999994</v>
      </c>
      <c r="AE187" s="17">
        <f>VLOOKUP(B187,'T08-19'!$A$8:$AZ$62,5,0)</f>
        <v>1987.0094999999992</v>
      </c>
      <c r="AF187" s="17">
        <f>VLOOKUP(B187,'T08-19'!$A$8:$AZ$62,51,0)</f>
        <v>0</v>
      </c>
      <c r="AG187" s="17">
        <f>VLOOKUP(B187,'T08-19'!$A$8:$AZ$62,52,0)</f>
        <v>0</v>
      </c>
      <c r="AH187" s="17"/>
      <c r="AI187" s="17"/>
      <c r="AJ187" s="17"/>
      <c r="AK187" s="927">
        <f>V187/'Cham cong'!$AS$3*(W187+Z187/8*2+AA187/8*1.5+AB187*3)+J187/'Cham cong'!$AS$3*(X187+Y187)+AC187+P187+AE187+AG187+AH187+AI187+AJ187</f>
        <v>7500.0864230769221</v>
      </c>
      <c r="AL187" s="17">
        <f t="shared" si="384"/>
        <v>480.58499999999998</v>
      </c>
      <c r="AM187" s="940">
        <v>4577</v>
      </c>
      <c r="AN187" s="938">
        <f>VLOOKUP(B187,'Cham cong'!$B$9:$BY$275,75,0)</f>
        <v>3000</v>
      </c>
      <c r="AO187" s="938"/>
      <c r="AP187" s="950">
        <f t="shared" si="392"/>
        <v>4020</v>
      </c>
      <c r="AQ187" s="1088"/>
      <c r="AR187" s="951">
        <f t="shared" ref="AR187:AR190" si="393">AK187*1000</f>
        <v>7500086.4230769221</v>
      </c>
      <c r="AS187" s="953">
        <f t="shared" si="293"/>
        <v>4577000</v>
      </c>
      <c r="AT187" s="856">
        <f t="shared" ref="AT187:AT188" si="394">AN187*1000</f>
        <v>3000000</v>
      </c>
      <c r="BJ187" s="873">
        <v>2860</v>
      </c>
    </row>
    <row r="188" spans="1:66" ht="12.75">
      <c r="A188" s="895">
        <v>3</v>
      </c>
      <c r="B188" s="105" t="s">
        <v>582</v>
      </c>
      <c r="C188" s="105" t="s">
        <v>583</v>
      </c>
      <c r="D188" s="139" t="str">
        <f>'THANG B.LUONG'!$B$55</f>
        <v>NV Giao nhận/ Phụ xe</v>
      </c>
      <c r="E188" s="896">
        <v>42923</v>
      </c>
      <c r="F188" s="897">
        <v>1</v>
      </c>
      <c r="G188" s="106">
        <f t="shared" si="388"/>
        <v>2</v>
      </c>
      <c r="H188" s="106">
        <f t="shared" si="389"/>
        <v>1</v>
      </c>
      <c r="I188" s="17">
        <f t="shared" si="390"/>
        <v>18</v>
      </c>
      <c r="J188" s="17">
        <f>VLOOKUP(D188,'THANG B.LUONG'!$B$5:$I$511,F188+1,0)</f>
        <v>4500</v>
      </c>
      <c r="K188" s="17">
        <v>0</v>
      </c>
      <c r="L188" s="17">
        <v>0</v>
      </c>
      <c r="M188" s="17">
        <f t="shared" si="391"/>
        <v>0</v>
      </c>
      <c r="N188" s="17">
        <v>0</v>
      </c>
      <c r="O188" s="17">
        <v>0</v>
      </c>
      <c r="P188" s="17">
        <v>0</v>
      </c>
      <c r="Q188" s="17">
        <v>0</v>
      </c>
      <c r="R188" s="17">
        <v>0</v>
      </c>
      <c r="S188" s="17">
        <v>0</v>
      </c>
      <c r="T188" s="17">
        <v>0</v>
      </c>
      <c r="U188" s="17">
        <v>0</v>
      </c>
      <c r="V188" s="17">
        <f t="shared" si="386"/>
        <v>4500</v>
      </c>
      <c r="W188" s="928">
        <f>VLOOKUP(B188,'Cham cong'!$B$9:$BY$275,35,0)</f>
        <v>26</v>
      </c>
      <c r="X188" s="17">
        <f>VLOOKUP(B188,'Cham cong'!$B$9:$BY$275,37,0)</f>
        <v>0</v>
      </c>
      <c r="Y188" s="17">
        <f>VLOOKUP(B188,'Cham cong'!$B$9:$BY$275,38,0)</f>
        <v>1</v>
      </c>
      <c r="Z188" s="17">
        <f>VLOOKUP(B188,'Cham cong'!$B$9:$BY$275,72,0)</f>
        <v>0</v>
      </c>
      <c r="AA188" s="17">
        <f>VLOOKUP(B188,'Cham cong'!$B$9:$BY$275,71,0)</f>
        <v>0</v>
      </c>
      <c r="AB188" s="17">
        <f>VLOOKUP(B188,'Cham cong'!$B$9:$BY$275,36,0)</f>
        <v>0</v>
      </c>
      <c r="AC188" s="17">
        <f>VLOOKUP(B188,'T08-19'!$A$8:$AZ$62,50,0)</f>
        <v>780</v>
      </c>
      <c r="AD188" s="17">
        <f>VLOOKUP(B188,'T08-19'!$A$8:$AZ$62,4,0)/1000</f>
        <v>162559.45833333331</v>
      </c>
      <c r="AE188" s="17">
        <f>VLOOKUP(B188,'T08-19'!$A$8:$AZ$62,5,0)</f>
        <v>1950.7134999999998</v>
      </c>
      <c r="AF188" s="17">
        <f>VLOOKUP(B188,'T08-19'!$A$8:$AZ$62,51,0)</f>
        <v>0</v>
      </c>
      <c r="AG188" s="17">
        <f>VLOOKUP(B188,'T08-19'!$A$8:$AZ$62,52,0)</f>
        <v>0</v>
      </c>
      <c r="AH188" s="17"/>
      <c r="AI188" s="17"/>
      <c r="AJ188" s="17"/>
      <c r="AK188" s="927">
        <f>V188/'Cham cong'!$AS$3*(W188+Z188/8*2+AA188/8*1.5+AB188*3)+J188/'Cham cong'!$AS$3*(X188+Y188)+AC188+P188+AE188+AG188+AH188+AI188+AJ188</f>
        <v>7403.7904230769227</v>
      </c>
      <c r="AL188" s="17">
        <f t="shared" si="384"/>
        <v>480.58499999999998</v>
      </c>
      <c r="AM188" s="940">
        <v>4577</v>
      </c>
      <c r="AN188" s="938">
        <f>VLOOKUP(B188,'Cham cong'!$B$9:$BY$275,75,0)</f>
        <v>3000</v>
      </c>
      <c r="AO188" s="938"/>
      <c r="AP188" s="950">
        <f t="shared" si="392"/>
        <v>3920</v>
      </c>
      <c r="AQ188" s="1088"/>
      <c r="AR188" s="951">
        <f t="shared" si="393"/>
        <v>7403790.423076923</v>
      </c>
      <c r="AS188" s="953">
        <f t="shared" si="293"/>
        <v>4577000</v>
      </c>
      <c r="AT188" s="856">
        <f t="shared" si="394"/>
        <v>3000000</v>
      </c>
      <c r="BJ188" s="873">
        <v>2990</v>
      </c>
    </row>
    <row r="189" spans="1:66" ht="12.75">
      <c r="A189" s="895">
        <v>5</v>
      </c>
      <c r="B189" s="105" t="s">
        <v>586</v>
      </c>
      <c r="C189" s="105" t="s">
        <v>587</v>
      </c>
      <c r="D189" s="139" t="str">
        <f>'THANG B.LUONG'!$B$55</f>
        <v>NV Giao nhận/ Phụ xe</v>
      </c>
      <c r="E189" s="896">
        <v>42998</v>
      </c>
      <c r="F189" s="897">
        <v>1</v>
      </c>
      <c r="G189" s="106">
        <f t="shared" si="388"/>
        <v>1</v>
      </c>
      <c r="H189" s="106">
        <f t="shared" si="389"/>
        <v>11</v>
      </c>
      <c r="I189" s="17">
        <f t="shared" si="390"/>
        <v>5</v>
      </c>
      <c r="J189" s="17">
        <f>VLOOKUP(D189,'THANG B.LUONG'!$B$5:$I$511,F189+1,0)</f>
        <v>4500</v>
      </c>
      <c r="K189" s="17">
        <v>0</v>
      </c>
      <c r="L189" s="17">
        <v>0</v>
      </c>
      <c r="M189" s="17">
        <f t="shared" si="391"/>
        <v>0</v>
      </c>
      <c r="N189" s="17">
        <v>0</v>
      </c>
      <c r="O189" s="17">
        <v>0</v>
      </c>
      <c r="P189" s="17">
        <v>0</v>
      </c>
      <c r="Q189" s="17">
        <v>0</v>
      </c>
      <c r="R189" s="17">
        <v>0</v>
      </c>
      <c r="S189" s="17">
        <v>0</v>
      </c>
      <c r="T189" s="17">
        <v>0</v>
      </c>
      <c r="U189" s="17">
        <v>0</v>
      </c>
      <c r="V189" s="17">
        <f t="shared" si="386"/>
        <v>4500</v>
      </c>
      <c r="W189" s="928">
        <f>VLOOKUP(B189,'Cham cong'!$B$9:$BY$275,35,0)</f>
        <v>26</v>
      </c>
      <c r="X189" s="17">
        <f>VLOOKUP(B189,'Cham cong'!$B$9:$BY$275,37,0)</f>
        <v>0</v>
      </c>
      <c r="Y189" s="17">
        <f>VLOOKUP(B189,'Cham cong'!$B$9:$BY$275,38,0)</f>
        <v>1</v>
      </c>
      <c r="Z189" s="17">
        <f>VLOOKUP(B189,'Cham cong'!$B$9:$BY$275,72,0)</f>
        <v>0</v>
      </c>
      <c r="AA189" s="17">
        <f>VLOOKUP(B189,'Cham cong'!$B$9:$BY$275,71,0)</f>
        <v>0</v>
      </c>
      <c r="AB189" s="17">
        <f>VLOOKUP(B189,'Cham cong'!$B$9:$BY$275,36,0)</f>
        <v>0</v>
      </c>
      <c r="AC189" s="17">
        <f>VLOOKUP(B189,'T08-19'!$A$8:$AZ$62,50,0)</f>
        <v>660</v>
      </c>
      <c r="AD189" s="17">
        <f>VLOOKUP(B189,'T08-19'!$A$8:$AZ$62,4,0)/1000</f>
        <v>180909.62500000006</v>
      </c>
      <c r="AE189" s="17">
        <f>VLOOKUP(B189,'T08-19'!$A$8:$AZ$62,5,0)</f>
        <v>2170.915500000001</v>
      </c>
      <c r="AF189" s="17">
        <f>VLOOKUP(B189,'T08-19'!$A$8:$AZ$62,51,0)</f>
        <v>0</v>
      </c>
      <c r="AG189" s="17">
        <f>VLOOKUP(B189,'T08-19'!$A$8:$AZ$62,52,0)</f>
        <v>0</v>
      </c>
      <c r="AH189" s="17"/>
      <c r="AI189" s="17">
        <v>1000</v>
      </c>
      <c r="AJ189" s="17"/>
      <c r="AK189" s="927">
        <f>V189/'Cham cong'!$AS$3*(W189+Z189/8*2+AA189/8*1.5+AB189*3)+J189/'Cham cong'!$AS$3*(X189+Y189)+AC189+P189+AE189+AG189+AH189+AI189+AJ189</f>
        <v>8503.9924230769248</v>
      </c>
      <c r="AL189" s="17">
        <f t="shared" si="384"/>
        <v>480.58499999999998</v>
      </c>
      <c r="AM189" s="946">
        <v>4577</v>
      </c>
      <c r="AN189" s="938">
        <f>VLOOKUP(B189,'Cham cong'!$B$9:$BY$275,75,0)</f>
        <v>3000</v>
      </c>
      <c r="AO189" s="938"/>
      <c r="AP189" s="950">
        <f t="shared" si="392"/>
        <v>5020</v>
      </c>
      <c r="AQ189" s="1088"/>
      <c r="AR189" s="951">
        <f t="shared" si="393"/>
        <v>8503992.4230769239</v>
      </c>
      <c r="AS189" s="953">
        <f t="shared" si="293"/>
        <v>4577000</v>
      </c>
      <c r="AT189" s="856">
        <f t="shared" ref="AT189:AT203" si="395">AN189*1000</f>
        <v>3000000</v>
      </c>
      <c r="BJ189" s="873">
        <v>2850</v>
      </c>
    </row>
    <row r="190" spans="1:66" ht="12.75">
      <c r="A190" s="895">
        <v>6</v>
      </c>
      <c r="B190" s="105" t="s">
        <v>588</v>
      </c>
      <c r="C190" s="105" t="s">
        <v>589</v>
      </c>
      <c r="D190" s="139" t="str">
        <f>'THANG B.LUONG'!$B$55</f>
        <v>NV Giao nhận/ Phụ xe</v>
      </c>
      <c r="E190" s="896">
        <v>43004</v>
      </c>
      <c r="F190" s="897">
        <v>1</v>
      </c>
      <c r="G190" s="106">
        <f t="shared" si="388"/>
        <v>1</v>
      </c>
      <c r="H190" s="106">
        <f t="shared" si="389"/>
        <v>10</v>
      </c>
      <c r="I190" s="17">
        <f t="shared" si="390"/>
        <v>30</v>
      </c>
      <c r="J190" s="17">
        <f>VLOOKUP(D190,'THANG B.LUONG'!$B$5:$I$511,F190+1,0)</f>
        <v>4500</v>
      </c>
      <c r="K190" s="17">
        <v>0</v>
      </c>
      <c r="L190" s="17">
        <v>0</v>
      </c>
      <c r="M190" s="17">
        <f t="shared" si="391"/>
        <v>0</v>
      </c>
      <c r="N190" s="17">
        <v>0</v>
      </c>
      <c r="O190" s="17">
        <v>0</v>
      </c>
      <c r="P190" s="17">
        <v>0</v>
      </c>
      <c r="Q190" s="17">
        <v>0</v>
      </c>
      <c r="R190" s="17">
        <v>0</v>
      </c>
      <c r="S190" s="17">
        <v>0</v>
      </c>
      <c r="T190" s="17">
        <v>0</v>
      </c>
      <c r="U190" s="17">
        <v>0</v>
      </c>
      <c r="V190" s="17">
        <f t="shared" si="386"/>
        <v>4500</v>
      </c>
      <c r="W190" s="928">
        <f>VLOOKUP(B190,'Cham cong'!$B$9:$BY$275,35,0)</f>
        <v>26</v>
      </c>
      <c r="X190" s="17">
        <f>VLOOKUP(B190,'Cham cong'!$B$9:$BY$275,37,0)</f>
        <v>0</v>
      </c>
      <c r="Y190" s="17">
        <f>VLOOKUP(B190,'Cham cong'!$B$9:$BY$275,38,0)</f>
        <v>1</v>
      </c>
      <c r="Z190" s="17">
        <f>VLOOKUP(B190,'Cham cong'!$B$9:$BY$275,72,0)</f>
        <v>0</v>
      </c>
      <c r="AA190" s="17">
        <f>VLOOKUP(B190,'Cham cong'!$B$9:$BY$275,71,0)</f>
        <v>0</v>
      </c>
      <c r="AB190" s="17">
        <f>VLOOKUP(B190,'Cham cong'!$B$9:$BY$275,36,0)</f>
        <v>0</v>
      </c>
      <c r="AC190" s="17">
        <f>VLOOKUP(B190,'T08-19'!$A$8:$AZ$62,50,0)</f>
        <v>840</v>
      </c>
      <c r="AD190" s="17">
        <f>VLOOKUP(B190,'T08-19'!$A$8:$AZ$62,4,0)/1000</f>
        <v>177820.83333333331</v>
      </c>
      <c r="AE190" s="17">
        <f>VLOOKUP(B190,'T08-19'!$A$8:$AZ$62,5,0)</f>
        <v>2133.85</v>
      </c>
      <c r="AF190" s="17">
        <f>VLOOKUP(B190,'T08-19'!$A$8:$AZ$62,51,0)</f>
        <v>0</v>
      </c>
      <c r="AG190" s="1011">
        <f>VLOOKUP(B190,'T08-19'!$A$8:$AZ$62,52,0)</f>
        <v>0</v>
      </c>
      <c r="AH190" s="17"/>
      <c r="AI190" s="17"/>
      <c r="AJ190" s="17"/>
      <c r="AK190" s="927">
        <f>V190/'Cham cong'!$AS$3*(W190+Z190/8*2+AA190/8*1.5+AB190*3)+J190/'Cham cong'!$AS$3*(X190+Y190)+AC190+P190+AE190+AG190+AH190+AI190+AJ190</f>
        <v>7646.9269230769223</v>
      </c>
      <c r="AL190" s="17">
        <f t="shared" si="384"/>
        <v>480.58499999999998</v>
      </c>
      <c r="AM190" s="946">
        <v>4577</v>
      </c>
      <c r="AN190" s="938">
        <f>VLOOKUP(B190,'Cham cong'!$B$9:$BY$275,75,0)</f>
        <v>3000</v>
      </c>
      <c r="AO190" s="938"/>
      <c r="AP190" s="950">
        <f t="shared" si="392"/>
        <v>4170</v>
      </c>
      <c r="AQ190" s="1088"/>
      <c r="AR190" s="951">
        <f t="shared" si="393"/>
        <v>7646926.9230769221</v>
      </c>
      <c r="AS190" s="953">
        <f t="shared" si="293"/>
        <v>4577000</v>
      </c>
      <c r="AT190" s="856">
        <f t="shared" si="395"/>
        <v>3000000</v>
      </c>
      <c r="BJ190" s="873">
        <v>3310</v>
      </c>
      <c r="BM190" s="1477" t="s">
        <v>1181</v>
      </c>
      <c r="BN190" s="1477"/>
    </row>
    <row r="191" spans="1:66" ht="12.75">
      <c r="A191" s="895">
        <v>7</v>
      </c>
      <c r="B191" s="105" t="s">
        <v>590</v>
      </c>
      <c r="C191" s="105" t="s">
        <v>591</v>
      </c>
      <c r="D191" s="139" t="str">
        <f>'THANG B.LUONG'!$B$55</f>
        <v>NV Giao nhận/ Phụ xe</v>
      </c>
      <c r="E191" s="896">
        <v>43157</v>
      </c>
      <c r="F191" s="897">
        <v>1</v>
      </c>
      <c r="G191" s="106">
        <f t="shared" si="388"/>
        <v>1</v>
      </c>
      <c r="H191" s="106">
        <f t="shared" si="389"/>
        <v>5</v>
      </c>
      <c r="I191" s="17">
        <f t="shared" si="390"/>
        <v>30</v>
      </c>
      <c r="J191" s="17">
        <f>VLOOKUP(D191,'THANG B.LUONG'!$B$5:$I$511,F191+1,0)</f>
        <v>4500</v>
      </c>
      <c r="K191" s="17">
        <v>0</v>
      </c>
      <c r="L191" s="17">
        <v>0</v>
      </c>
      <c r="M191" s="17">
        <f t="shared" si="391"/>
        <v>0</v>
      </c>
      <c r="N191" s="17">
        <v>0</v>
      </c>
      <c r="O191" s="17">
        <v>0</v>
      </c>
      <c r="P191" s="17">
        <v>0</v>
      </c>
      <c r="Q191" s="17">
        <v>0</v>
      </c>
      <c r="R191" s="17">
        <v>0</v>
      </c>
      <c r="S191" s="17">
        <v>0</v>
      </c>
      <c r="T191" s="17">
        <v>0</v>
      </c>
      <c r="U191" s="17">
        <v>0</v>
      </c>
      <c r="V191" s="17">
        <f t="shared" si="386"/>
        <v>4500</v>
      </c>
      <c r="W191" s="928">
        <f>VLOOKUP(B191,'Cham cong'!$B$9:$BY$275,35,0)</f>
        <v>26</v>
      </c>
      <c r="X191" s="17">
        <f>VLOOKUP(B191,'Cham cong'!$B$9:$BY$275,37,0)</f>
        <v>0</v>
      </c>
      <c r="Y191" s="17">
        <f>VLOOKUP(B191,'Cham cong'!$B$9:$BY$275,38,0)</f>
        <v>1</v>
      </c>
      <c r="Z191" s="17">
        <f>VLOOKUP(B191,'Cham cong'!$B$9:$BY$275,72,0)</f>
        <v>0</v>
      </c>
      <c r="AA191" s="17">
        <f>VLOOKUP(B191,'Cham cong'!$B$9:$BY$275,71,0)</f>
        <v>0</v>
      </c>
      <c r="AB191" s="17">
        <f>VLOOKUP(B191,'Cham cong'!$B$9:$BY$275,36,0)</f>
        <v>0</v>
      </c>
      <c r="AC191" s="17">
        <f>VLOOKUP(B191,'T08-19'!$A$8:$AZ$62,50,0)</f>
        <v>560</v>
      </c>
      <c r="AD191" s="17">
        <f>VLOOKUP(B191,'T08-19'!$A$8:$AZ$62,4,0)/1000</f>
        <v>161143.66666666669</v>
      </c>
      <c r="AE191" s="17">
        <f>VLOOKUP(B191,'T08-19'!$A$8:$AZ$62,5,0)</f>
        <v>1933.7240000000002</v>
      </c>
      <c r="AF191" s="17">
        <f>VLOOKUP(B191,'T08-19'!$A$8:$AZ$62,51,0)</f>
        <v>13332</v>
      </c>
      <c r="AG191" s="17">
        <f>VLOOKUP(B191,'T08-19'!$A$8:$AZ$62,52,0)</f>
        <v>299.97000000000003</v>
      </c>
      <c r="AH191" s="17"/>
      <c r="AI191" s="17"/>
      <c r="AJ191" s="17"/>
      <c r="AK191" s="927">
        <f>V191/'Cham cong'!$AS$3*(W191+Z191/8*2+AA191/8*1.5+AB191*3)+J191/'Cham cong'!$AS$3*(X191+Y191)+AC191+P191+AE191+AG191+AH191+AI191+AJ191</f>
        <v>7466.7709230769233</v>
      </c>
      <c r="AL191" s="17">
        <f t="shared" si="384"/>
        <v>480.58499999999998</v>
      </c>
      <c r="AM191" s="946">
        <v>4577</v>
      </c>
      <c r="AN191" s="938">
        <f>VLOOKUP(B191,'Cham cong'!$B$9:$BY$275,75,0)</f>
        <v>3000</v>
      </c>
      <c r="AO191" s="938"/>
      <c r="AP191" s="950">
        <f t="shared" si="392"/>
        <v>3990</v>
      </c>
      <c r="AQ191" s="1088"/>
      <c r="AR191" s="951">
        <f t="shared" ref="AR191:AR211" si="396">AK191*1000</f>
        <v>7466770.923076923</v>
      </c>
      <c r="AS191" s="953">
        <f t="shared" si="293"/>
        <v>4577000</v>
      </c>
      <c r="AT191" s="856">
        <f t="shared" si="395"/>
        <v>3000000</v>
      </c>
      <c r="BB191" s="1088"/>
      <c r="BJ191" s="873">
        <v>3240</v>
      </c>
      <c r="BM191" s="873" t="s">
        <v>579</v>
      </c>
    </row>
    <row r="192" spans="1:66" ht="12.75">
      <c r="A192" s="895">
        <v>8</v>
      </c>
      <c r="B192" s="105" t="s">
        <v>592</v>
      </c>
      <c r="C192" s="105" t="s">
        <v>593</v>
      </c>
      <c r="D192" s="139" t="str">
        <f>'THANG B.LUONG'!$B$55</f>
        <v>NV Giao nhận/ Phụ xe</v>
      </c>
      <c r="E192" s="896">
        <v>43171</v>
      </c>
      <c r="F192" s="897">
        <v>1</v>
      </c>
      <c r="G192" s="106">
        <f t="shared" ref="G192:G200" si="397">DATEDIF(E192,$J$3,"y")</f>
        <v>1</v>
      </c>
      <c r="H192" s="106">
        <f t="shared" ref="H192:H200" si="398">DATEDIF(E192,$J$3,"ym")</f>
        <v>5</v>
      </c>
      <c r="I192" s="17">
        <f t="shared" ref="I192:I200" si="399">DATEDIF(E192,$J$3,"md")</f>
        <v>13</v>
      </c>
      <c r="J192" s="17">
        <f>VLOOKUP(D192,'THANG B.LUONG'!$B$5:$I$511,F192+1,0)</f>
        <v>4500</v>
      </c>
      <c r="K192" s="17">
        <v>0</v>
      </c>
      <c r="L192" s="17">
        <v>0</v>
      </c>
      <c r="M192" s="17">
        <f t="shared" si="391"/>
        <v>0</v>
      </c>
      <c r="N192" s="17">
        <v>0</v>
      </c>
      <c r="O192" s="17">
        <v>0</v>
      </c>
      <c r="P192" s="17">
        <v>0</v>
      </c>
      <c r="Q192" s="17">
        <v>0</v>
      </c>
      <c r="R192" s="17">
        <v>0</v>
      </c>
      <c r="S192" s="17">
        <v>0</v>
      </c>
      <c r="T192" s="17">
        <v>0</v>
      </c>
      <c r="U192" s="17">
        <v>0</v>
      </c>
      <c r="V192" s="17">
        <f t="shared" ref="V192:V200" si="400">SUM(J192:U192)-P192</f>
        <v>4500</v>
      </c>
      <c r="W192" s="928">
        <f>VLOOKUP(B192,'Cham cong'!$B$9:$BY$275,35,0)</f>
        <v>26</v>
      </c>
      <c r="X192" s="17">
        <f>VLOOKUP(B192,'Cham cong'!$B$9:$BY$275,37,0)</f>
        <v>0</v>
      </c>
      <c r="Y192" s="17">
        <f>VLOOKUP(B192,'Cham cong'!$B$9:$BY$275,38,0)</f>
        <v>1</v>
      </c>
      <c r="Z192" s="17">
        <f>VLOOKUP(B192,'Cham cong'!$B$9:$BY$275,72,0)</f>
        <v>0</v>
      </c>
      <c r="AA192" s="17">
        <f>VLOOKUP(B192,'Cham cong'!$B$9:$BY$275,71,0)</f>
        <v>0</v>
      </c>
      <c r="AB192" s="17">
        <f>VLOOKUP(B192,'Cham cong'!$B$9:$BY$275,36,0)</f>
        <v>0</v>
      </c>
      <c r="AC192" s="17">
        <f>VLOOKUP(B192,'T08-19'!$A$8:$AZ$62,50,0)</f>
        <v>360</v>
      </c>
      <c r="AD192" s="17">
        <f>VLOOKUP(B192,'T08-19'!$A$8:$AZ$62,4,0)/1000</f>
        <v>150738.4166666666</v>
      </c>
      <c r="AE192" s="17">
        <f>VLOOKUP(B192,'T08-19'!$A$8:$AZ$62,5,0)</f>
        <v>1808.8609999999992</v>
      </c>
      <c r="AF192" s="17">
        <f>VLOOKUP(B192,'T08-19'!$A$8:$AZ$62,51,0)</f>
        <v>0</v>
      </c>
      <c r="AG192" s="17">
        <f>VLOOKUP(B192,'T08-19'!$A$8:$AZ$62,52,0)</f>
        <v>0</v>
      </c>
      <c r="AH192" s="17"/>
      <c r="AI192" s="17"/>
      <c r="AJ192" s="17"/>
      <c r="AK192" s="927">
        <f>V192/'Cham cong'!$AS$3*(W192+Z192/8*2+AA192/8*1.5+AB192*3)+J192/'Cham cong'!$AS$3*(X192+Y192)+AC192+P192+AE192+AG192+AH192+AI192+AJ192</f>
        <v>6841.9379230769218</v>
      </c>
      <c r="AL192" s="17">
        <f t="shared" ref="AL192:AL196" si="401">AM192*$AN$3</f>
        <v>480.58499999999998</v>
      </c>
      <c r="AM192" s="946">
        <v>4577</v>
      </c>
      <c r="AN192" s="938">
        <f>VLOOKUP(B192,'Cham cong'!$B$9:$BY$275,75,0)</f>
        <v>3000</v>
      </c>
      <c r="AO192" s="938"/>
      <c r="AP192" s="950">
        <f t="shared" ref="AP192:AP200" si="402">ROUND(AK192-AL192-AN192+AO192,-1)</f>
        <v>3360</v>
      </c>
      <c r="AQ192" s="1088"/>
      <c r="AR192" s="951">
        <f t="shared" si="396"/>
        <v>6841937.9230769221</v>
      </c>
      <c r="AS192" s="953">
        <f t="shared" si="293"/>
        <v>4577000</v>
      </c>
      <c r="AT192" s="856">
        <f t="shared" si="395"/>
        <v>3000000</v>
      </c>
      <c r="BJ192" s="873">
        <v>3030</v>
      </c>
      <c r="BM192" s="873" t="s">
        <v>581</v>
      </c>
    </row>
    <row r="193" spans="1:67" ht="12.75">
      <c r="A193" s="895">
        <v>9</v>
      </c>
      <c r="B193" s="105" t="s">
        <v>594</v>
      </c>
      <c r="C193" s="105" t="s">
        <v>595</v>
      </c>
      <c r="D193" s="139" t="str">
        <f>'THANG B.LUONG'!$B$55</f>
        <v>NV Giao nhận/ Phụ xe</v>
      </c>
      <c r="E193" s="896">
        <v>43222</v>
      </c>
      <c r="F193" s="897">
        <v>1</v>
      </c>
      <c r="G193" s="106">
        <f t="shared" si="397"/>
        <v>1</v>
      </c>
      <c r="H193" s="106">
        <f t="shared" si="398"/>
        <v>3</v>
      </c>
      <c r="I193" s="17">
        <f t="shared" si="399"/>
        <v>23</v>
      </c>
      <c r="J193" s="17">
        <f>VLOOKUP(D193,'THANG B.LUONG'!$B$5:$I$511,F193+1,0)</f>
        <v>4500</v>
      </c>
      <c r="K193" s="17">
        <v>0</v>
      </c>
      <c r="L193" s="17">
        <v>0</v>
      </c>
      <c r="M193" s="17">
        <f t="shared" si="391"/>
        <v>0</v>
      </c>
      <c r="N193" s="17">
        <v>0</v>
      </c>
      <c r="O193" s="17">
        <v>0</v>
      </c>
      <c r="P193" s="17">
        <v>0</v>
      </c>
      <c r="Q193" s="17">
        <v>0</v>
      </c>
      <c r="R193" s="17">
        <v>0</v>
      </c>
      <c r="S193" s="17">
        <v>0</v>
      </c>
      <c r="T193" s="17">
        <v>0</v>
      </c>
      <c r="U193" s="17">
        <v>0</v>
      </c>
      <c r="V193" s="17">
        <f t="shared" si="400"/>
        <v>4500</v>
      </c>
      <c r="W193" s="928">
        <f>VLOOKUP(B193,'Cham cong'!$B$9:$BY$275,35,0)</f>
        <v>26</v>
      </c>
      <c r="X193" s="17">
        <f>VLOOKUP(B193,'Cham cong'!$B$9:$BY$275,37,0)</f>
        <v>0</v>
      </c>
      <c r="Y193" s="17">
        <f>VLOOKUP(B193,'Cham cong'!$B$9:$BY$275,38,0)</f>
        <v>1</v>
      </c>
      <c r="Z193" s="17">
        <f>VLOOKUP(B193,'Cham cong'!$B$9:$BY$275,72,0)</f>
        <v>0</v>
      </c>
      <c r="AA193" s="17">
        <f>VLOOKUP(B193,'Cham cong'!$B$9:$BY$275,71,0)</f>
        <v>0</v>
      </c>
      <c r="AB193" s="17">
        <f>VLOOKUP(B193,'Cham cong'!$B$9:$BY$275,36,0)</f>
        <v>0</v>
      </c>
      <c r="AC193" s="17">
        <f>VLOOKUP(B193,'T08-19'!$A$8:$AZ$62,50,0)</f>
        <v>600</v>
      </c>
      <c r="AD193" s="17">
        <f>VLOOKUP(B193,'T08-19'!$A$8:$AZ$62,4,0)/1000</f>
        <v>168684.70833333334</v>
      </c>
      <c r="AE193" s="17">
        <f>VLOOKUP(B193,'T08-19'!$A$8:$AZ$62,5,0)</f>
        <v>2024.2165000000002</v>
      </c>
      <c r="AF193" s="17">
        <f>VLOOKUP(B193,'T08-19'!$A$8:$AZ$62,51,0)</f>
        <v>0</v>
      </c>
      <c r="AG193" s="17">
        <f>VLOOKUP(B193,'T08-19'!$A$8:$AZ$62,52,0)</f>
        <v>0</v>
      </c>
      <c r="AH193" s="17"/>
      <c r="AI193" s="17"/>
      <c r="AJ193" s="17"/>
      <c r="AK193" s="927">
        <f>V193/'Cham cong'!$AS$3*(W193+Z193/8*2+AA193/8*1.5+AB193*3)+J193/'Cham cong'!$AS$3*(X193+Y193)+AC193+P193+AE193+AG193+AH193+AI193+AJ193</f>
        <v>7297.2934230769233</v>
      </c>
      <c r="AL193" s="17">
        <f t="shared" si="401"/>
        <v>480.58499999999998</v>
      </c>
      <c r="AM193" s="946">
        <v>4577</v>
      </c>
      <c r="AN193" s="938">
        <f>VLOOKUP(B193,'Cham cong'!$B$9:$BY$275,75,0)</f>
        <v>3000</v>
      </c>
      <c r="AO193" s="938"/>
      <c r="AP193" s="950">
        <f t="shared" si="402"/>
        <v>3820</v>
      </c>
      <c r="AQ193" s="1088"/>
      <c r="AR193" s="951">
        <f t="shared" si="396"/>
        <v>7297293.423076923</v>
      </c>
      <c r="AS193" s="953">
        <f t="shared" si="293"/>
        <v>4577000</v>
      </c>
      <c r="AT193" s="856">
        <f t="shared" si="395"/>
        <v>3000000</v>
      </c>
      <c r="BJ193" s="873">
        <v>3600</v>
      </c>
      <c r="BM193" s="873" t="s">
        <v>583</v>
      </c>
    </row>
    <row r="194" spans="1:67" ht="12.75">
      <c r="A194" s="895">
        <v>11</v>
      </c>
      <c r="B194" s="105" t="s">
        <v>596</v>
      </c>
      <c r="C194" s="105" t="s">
        <v>597</v>
      </c>
      <c r="D194" s="139" t="str">
        <f>'THANG B.LUONG'!$B$55</f>
        <v>NV Giao nhận/ Phụ xe</v>
      </c>
      <c r="E194" s="896">
        <v>43277</v>
      </c>
      <c r="F194" s="897">
        <v>1</v>
      </c>
      <c r="G194" s="106">
        <f t="shared" si="397"/>
        <v>1</v>
      </c>
      <c r="H194" s="106">
        <f t="shared" si="398"/>
        <v>1</v>
      </c>
      <c r="I194" s="17">
        <f t="shared" si="399"/>
        <v>30</v>
      </c>
      <c r="J194" s="17">
        <f>VLOOKUP(D194,'THANG B.LUONG'!$B$5:$I$511,F194+1,0)</f>
        <v>4500</v>
      </c>
      <c r="K194" s="17">
        <v>0</v>
      </c>
      <c r="L194" s="17">
        <v>0</v>
      </c>
      <c r="M194" s="17">
        <f t="shared" ref="M194:M200" si="403">IF(G194&gt;=3,J194*(0.03+(G194-3)*0.01),0)</f>
        <v>0</v>
      </c>
      <c r="N194" s="17">
        <v>0</v>
      </c>
      <c r="O194" s="17">
        <v>0</v>
      </c>
      <c r="P194" s="17">
        <v>0</v>
      </c>
      <c r="Q194" s="17">
        <v>0</v>
      </c>
      <c r="R194" s="17">
        <v>0</v>
      </c>
      <c r="S194" s="17">
        <v>0</v>
      </c>
      <c r="T194" s="17">
        <v>0</v>
      </c>
      <c r="U194" s="17">
        <v>0</v>
      </c>
      <c r="V194" s="17">
        <f t="shared" si="400"/>
        <v>4500</v>
      </c>
      <c r="W194" s="928">
        <f>VLOOKUP(B194,'Cham cong'!$B$9:$BY$275,35,0)</f>
        <v>26</v>
      </c>
      <c r="X194" s="17">
        <f>VLOOKUP(B194,'Cham cong'!$B$9:$BY$275,37,0)</f>
        <v>0</v>
      </c>
      <c r="Y194" s="17">
        <f>VLOOKUP(B194,'Cham cong'!$B$9:$BY$275,38,0)</f>
        <v>1</v>
      </c>
      <c r="Z194" s="17">
        <f>VLOOKUP(B194,'Cham cong'!$B$9:$BY$275,72,0)</f>
        <v>0</v>
      </c>
      <c r="AA194" s="17">
        <f>VLOOKUP(B194,'Cham cong'!$B$9:$BY$275,71,0)</f>
        <v>0</v>
      </c>
      <c r="AB194" s="17">
        <f>VLOOKUP(B194,'Cham cong'!$B$9:$BY$275,36,0)</f>
        <v>0</v>
      </c>
      <c r="AC194" s="17">
        <f>VLOOKUP(B194,'T08-19'!$A$8:$AZ$62,50,0)</f>
        <v>480</v>
      </c>
      <c r="AD194" s="17">
        <f>VLOOKUP(B194,'T08-19'!$A$8:$AZ$62,4,0)/1000</f>
        <v>169760</v>
      </c>
      <c r="AE194" s="17">
        <f>VLOOKUP(B194,'T08-19'!$A$8:$AZ$62,5,0)</f>
        <v>2037.12</v>
      </c>
      <c r="AF194" s="17">
        <f>VLOOKUP(B194,'T08-19'!$A$8:$AZ$62,51,0)</f>
        <v>0</v>
      </c>
      <c r="AG194" s="17">
        <f>VLOOKUP(B194,'T08-19'!$A$8:$AZ$62,52,0)</f>
        <v>0</v>
      </c>
      <c r="AH194" s="17"/>
      <c r="AI194" s="17"/>
      <c r="AJ194" s="17"/>
      <c r="AK194" s="927">
        <f>V194/'Cham cong'!$AS$3*(W194+Z194/8*2+AA194/8*1.5+AB194*3)+J194/'Cham cong'!$AS$3*(X194+Y194)+AC194+P194+AE194+AG194+AH194+AI194+AJ194</f>
        <v>7190.1969230769228</v>
      </c>
      <c r="AL194" s="17">
        <f t="shared" si="401"/>
        <v>480.58499999999998</v>
      </c>
      <c r="AM194" s="946">
        <v>4577</v>
      </c>
      <c r="AN194" s="938">
        <f>VLOOKUP(B194,'Cham cong'!$B$9:$BY$275,75,0)</f>
        <v>4000</v>
      </c>
      <c r="AO194" s="938"/>
      <c r="AP194" s="950">
        <f t="shared" si="402"/>
        <v>2710</v>
      </c>
      <c r="AQ194" s="1088"/>
      <c r="AR194" s="951">
        <f t="shared" si="396"/>
        <v>7190196.923076923</v>
      </c>
      <c r="AS194" s="953">
        <f t="shared" si="293"/>
        <v>4577000</v>
      </c>
      <c r="AT194" s="856">
        <f t="shared" si="395"/>
        <v>4000000</v>
      </c>
      <c r="BJ194" s="873">
        <v>2040</v>
      </c>
      <c r="BM194" s="873" t="s">
        <v>587</v>
      </c>
    </row>
    <row r="195" spans="1:67" ht="12.75">
      <c r="A195" s="895">
        <v>12</v>
      </c>
      <c r="B195" s="105" t="s">
        <v>598</v>
      </c>
      <c r="C195" s="105" t="s">
        <v>599</v>
      </c>
      <c r="D195" s="139" t="str">
        <f>'THANG B.LUONG'!$B$55</f>
        <v>NV Giao nhận/ Phụ xe</v>
      </c>
      <c r="E195" s="896">
        <v>43339</v>
      </c>
      <c r="F195" s="897">
        <v>1</v>
      </c>
      <c r="G195" s="106">
        <f t="shared" si="397"/>
        <v>0</v>
      </c>
      <c r="H195" s="106">
        <f t="shared" si="398"/>
        <v>11</v>
      </c>
      <c r="I195" s="17">
        <f t="shared" si="399"/>
        <v>29</v>
      </c>
      <c r="J195" s="17">
        <f>VLOOKUP(D195,'THANG B.LUONG'!$B$5:$I$511,F195+1,0)</f>
        <v>4500</v>
      </c>
      <c r="K195" s="17">
        <v>0</v>
      </c>
      <c r="L195" s="17">
        <v>0</v>
      </c>
      <c r="M195" s="17">
        <f t="shared" si="403"/>
        <v>0</v>
      </c>
      <c r="N195" s="17">
        <v>0</v>
      </c>
      <c r="O195" s="17">
        <v>0</v>
      </c>
      <c r="P195" s="17">
        <v>0</v>
      </c>
      <c r="Q195" s="17">
        <v>0</v>
      </c>
      <c r="R195" s="17">
        <v>0</v>
      </c>
      <c r="S195" s="17">
        <v>0</v>
      </c>
      <c r="T195" s="17">
        <v>0</v>
      </c>
      <c r="U195" s="17">
        <v>0</v>
      </c>
      <c r="V195" s="17">
        <f t="shared" si="400"/>
        <v>4500</v>
      </c>
      <c r="W195" s="928">
        <f>VLOOKUP(B195,'Cham cong'!$B$9:$BY$275,35,0)</f>
        <v>26</v>
      </c>
      <c r="X195" s="17">
        <f>VLOOKUP(B195,'Cham cong'!$B$9:$BY$275,37,0)</f>
        <v>0</v>
      </c>
      <c r="Y195" s="17">
        <f>VLOOKUP(B195,'Cham cong'!$B$9:$BY$275,38,0)</f>
        <v>1</v>
      </c>
      <c r="Z195" s="17">
        <f>VLOOKUP(B195,'Cham cong'!$B$9:$BY$275,72,0)</f>
        <v>0</v>
      </c>
      <c r="AA195" s="17">
        <f>VLOOKUP(B195,'Cham cong'!$B$9:$BY$275,71,0)</f>
        <v>0</v>
      </c>
      <c r="AB195" s="17">
        <f>VLOOKUP(B195,'Cham cong'!$B$9:$BY$275,36,0)</f>
        <v>0</v>
      </c>
      <c r="AC195" s="17">
        <f>VLOOKUP(B195,'T08-19'!$A$8:$AZ$62,50,0)</f>
        <v>480</v>
      </c>
      <c r="AD195" s="17">
        <f>VLOOKUP(B195,'T08-19'!$A$8:$AZ$62,4,0)/1000</f>
        <v>157240.37500000003</v>
      </c>
      <c r="AE195" s="17">
        <f>VLOOKUP(B195,'T08-19'!$A$8:$AZ$62,5,0)</f>
        <v>1886.8845000000006</v>
      </c>
      <c r="AF195" s="17">
        <f>VLOOKUP(B195,'T08-19'!$A$8:$AZ$62,51,0)</f>
        <v>0</v>
      </c>
      <c r="AG195" s="17">
        <f>VLOOKUP(B195,'T08-19'!$A$8:$AZ$62,52,0)</f>
        <v>0</v>
      </c>
      <c r="AH195" s="17"/>
      <c r="AI195" s="17"/>
      <c r="AJ195" s="17"/>
      <c r="AK195" s="927">
        <f>V195/'Cham cong'!$AS$3*(W195+Z195/8*2+AA195/8*1.5+AB195*3)+J195/'Cham cong'!$AS$3*(X195+Y195)+AC195+P195+AE195+AG195+AH195+AI195+AJ195</f>
        <v>7039.9614230769239</v>
      </c>
      <c r="AL195" s="17">
        <f t="shared" si="401"/>
        <v>480.58499999999998</v>
      </c>
      <c r="AM195" s="946">
        <v>4577</v>
      </c>
      <c r="AN195" s="938">
        <f>VLOOKUP(B195,'Cham cong'!$B$9:$BY$275,75,0)</f>
        <v>3000</v>
      </c>
      <c r="AO195" s="938"/>
      <c r="AP195" s="950">
        <f t="shared" si="402"/>
        <v>3560</v>
      </c>
      <c r="AQ195" s="1088"/>
      <c r="AR195" s="951">
        <f t="shared" ref="AR195:AR200" si="404">AK195*1000</f>
        <v>7039961.4230769239</v>
      </c>
      <c r="AS195" s="953">
        <f t="shared" si="293"/>
        <v>4577000</v>
      </c>
      <c r="AT195" s="856">
        <f t="shared" si="395"/>
        <v>3000000</v>
      </c>
      <c r="BJ195" s="873">
        <v>4040</v>
      </c>
      <c r="BM195" s="1483" t="s">
        <v>608</v>
      </c>
    </row>
    <row r="196" spans="1:67" ht="12.75" hidden="1">
      <c r="A196" s="895">
        <v>13</v>
      </c>
      <c r="B196" s="105" t="s">
        <v>600</v>
      </c>
      <c r="C196" s="105" t="s">
        <v>601</v>
      </c>
      <c r="D196" s="139" t="s">
        <v>602</v>
      </c>
      <c r="E196" s="896">
        <v>43358</v>
      </c>
      <c r="F196" s="897">
        <v>1</v>
      </c>
      <c r="G196" s="106">
        <f t="shared" si="397"/>
        <v>0</v>
      </c>
      <c r="H196" s="106">
        <f t="shared" si="398"/>
        <v>11</v>
      </c>
      <c r="I196" s="17">
        <f t="shared" si="399"/>
        <v>10</v>
      </c>
      <c r="J196" s="17">
        <v>7000</v>
      </c>
      <c r="K196" s="17">
        <v>0</v>
      </c>
      <c r="L196" s="17">
        <v>0</v>
      </c>
      <c r="M196" s="17">
        <f t="shared" si="403"/>
        <v>0</v>
      </c>
      <c r="N196" s="17">
        <v>0</v>
      </c>
      <c r="O196" s="17">
        <v>0</v>
      </c>
      <c r="P196" s="17">
        <v>0</v>
      </c>
      <c r="Q196" s="17">
        <v>0</v>
      </c>
      <c r="R196" s="17">
        <v>0</v>
      </c>
      <c r="S196" s="17">
        <v>0</v>
      </c>
      <c r="T196" s="17">
        <v>0</v>
      </c>
      <c r="U196" s="17">
        <v>0</v>
      </c>
      <c r="V196" s="17">
        <f t="shared" si="400"/>
        <v>7000</v>
      </c>
      <c r="W196" s="928">
        <f>VLOOKUP(B196,'Cham cong'!$B$9:$BY$275,35,0)</f>
        <v>26</v>
      </c>
      <c r="X196" s="17">
        <f>VLOOKUP(B196,'Cham cong'!$B$9:$BY$275,37,0)</f>
        <v>0</v>
      </c>
      <c r="Y196" s="17">
        <f>VLOOKUP(B196,'Cham cong'!$B$9:$BY$275,38,0)</f>
        <v>1</v>
      </c>
      <c r="Z196" s="17">
        <f>VLOOKUP(B196,'Cham cong'!$B$9:$BY$275,72,0)</f>
        <v>0</v>
      </c>
      <c r="AA196" s="17">
        <f>VLOOKUP(B196,'Cham cong'!$B$9:$BY$275,71,0)</f>
        <v>0</v>
      </c>
      <c r="AB196" s="17">
        <f>VLOOKUP(B196,'Cham cong'!$B$9:$BY$275,36,0)</f>
        <v>0</v>
      </c>
      <c r="AC196" s="1070">
        <v>0</v>
      </c>
      <c r="AD196" s="1069">
        <f>VLOOKUP(B196,'T08-19'!$A$8:$AZ$62,4,0)/1000</f>
        <v>30164.833333333332</v>
      </c>
      <c r="AE196" s="1069">
        <f>VLOOKUP(B196,'T08-19'!$A$8:$AZ$62,5,0)</f>
        <v>361.97800000000001</v>
      </c>
      <c r="AF196" s="17">
        <f>VLOOKUP(B196,'T08-19'!$A$8:$AZ$62,51,0)</f>
        <v>0</v>
      </c>
      <c r="AG196" s="17">
        <f>VLOOKUP(B196,'T08-19'!$A$8:$AZ$62,52,0)</f>
        <v>0</v>
      </c>
      <c r="AH196" s="17"/>
      <c r="AI196" s="17"/>
      <c r="AJ196" s="17"/>
      <c r="AK196" s="927">
        <f>V196/'Cham cong'!$AS$3*(W196+Z196/8*2+AA196/8*1.5+AB196*3)+J196/'Cham cong'!$AS$3*(X196+Y196)+AC196+P196+AE196+AG196+AH196+AI196+AJ196</f>
        <v>7631.2087692307696</v>
      </c>
      <c r="AL196" s="17">
        <f t="shared" si="401"/>
        <v>0</v>
      </c>
      <c r="AM196" s="946">
        <v>0</v>
      </c>
      <c r="AN196" s="938">
        <f>VLOOKUP(B196,'Cham cong'!$B$9:$BY$275,75,0)</f>
        <v>3000</v>
      </c>
      <c r="AO196" s="938"/>
      <c r="AP196" s="950">
        <f t="shared" si="402"/>
        <v>4630</v>
      </c>
      <c r="AQ196" s="1088"/>
      <c r="AR196" s="1087">
        <f t="shared" si="404"/>
        <v>7631208.7692307699</v>
      </c>
      <c r="AS196" s="1031">
        <f t="shared" si="293"/>
        <v>0</v>
      </c>
      <c r="AT196" s="863">
        <f t="shared" si="395"/>
        <v>3000000</v>
      </c>
      <c r="AY196" s="875">
        <v>4680</v>
      </c>
      <c r="AZ196" s="1088">
        <f>AP196-AY196</f>
        <v>-50</v>
      </c>
      <c r="BJ196" s="873">
        <v>4360</v>
      </c>
      <c r="BM196" s="1484" t="s">
        <v>1267</v>
      </c>
      <c r="BO196" s="1088"/>
    </row>
    <row r="197" spans="1:67" ht="12.75" hidden="1">
      <c r="A197" s="895">
        <v>15</v>
      </c>
      <c r="B197" s="105" t="s">
        <v>603</v>
      </c>
      <c r="C197" s="105" t="s">
        <v>604</v>
      </c>
      <c r="D197" s="139" t="s">
        <v>602</v>
      </c>
      <c r="E197" s="896">
        <v>43517</v>
      </c>
      <c r="F197" s="897">
        <v>1</v>
      </c>
      <c r="G197" s="106">
        <f t="shared" si="397"/>
        <v>0</v>
      </c>
      <c r="H197" s="106">
        <f t="shared" si="398"/>
        <v>6</v>
      </c>
      <c r="I197" s="17">
        <f t="shared" si="399"/>
        <v>4</v>
      </c>
      <c r="J197" s="17">
        <v>7000</v>
      </c>
      <c r="K197" s="17">
        <v>0</v>
      </c>
      <c r="L197" s="17">
        <v>0</v>
      </c>
      <c r="M197" s="17">
        <f t="shared" si="403"/>
        <v>0</v>
      </c>
      <c r="N197" s="17">
        <v>0</v>
      </c>
      <c r="O197" s="17">
        <v>0</v>
      </c>
      <c r="P197" s="17">
        <v>0</v>
      </c>
      <c r="Q197" s="17">
        <v>0</v>
      </c>
      <c r="R197" s="17">
        <v>0</v>
      </c>
      <c r="S197" s="17">
        <v>0</v>
      </c>
      <c r="T197" s="17">
        <v>0</v>
      </c>
      <c r="U197" s="17">
        <v>0</v>
      </c>
      <c r="V197" s="17">
        <f t="shared" si="400"/>
        <v>7000</v>
      </c>
      <c r="W197" s="928">
        <f>VLOOKUP(B197,'Cham cong'!$B$9:$BY$275,35,0)</f>
        <v>26</v>
      </c>
      <c r="X197" s="17">
        <f>VLOOKUP(B197,'Cham cong'!$B$9:$BY$275,37,0)</f>
        <v>0</v>
      </c>
      <c r="Y197" s="17">
        <f>VLOOKUP(B197,'Cham cong'!$B$9:$BY$275,38,0)</f>
        <v>1</v>
      </c>
      <c r="Z197" s="17">
        <f>VLOOKUP(B197,'Cham cong'!$B$9:$BY$275,72,0)</f>
        <v>0</v>
      </c>
      <c r="AA197" s="17">
        <f>VLOOKUP(B197,'Cham cong'!$B$9:$BY$275,71,0)</f>
        <v>0</v>
      </c>
      <c r="AB197" s="17">
        <f>VLOOKUP(B197,'Cham cong'!$B$9:$BY$275,36,0)</f>
        <v>0</v>
      </c>
      <c r="AC197" s="1070">
        <v>0</v>
      </c>
      <c r="AD197" s="1069">
        <f>VLOOKUP(B197,'T08-19'!$A$8:$AZ$62,4,0)/1000</f>
        <v>54963.75</v>
      </c>
      <c r="AE197" s="1069">
        <f>VLOOKUP(B197,'T08-19'!$A$8:$AZ$62,5,0)</f>
        <v>659.56500000000005</v>
      </c>
      <c r="AF197" s="17">
        <f>VLOOKUP(B197,'T08-19'!$A$8:$AZ$62,51,0)</f>
        <v>0</v>
      </c>
      <c r="AG197" s="17">
        <f>VLOOKUP(B197,'T08-19'!$A$8:$AZ$62,52,0)</f>
        <v>0</v>
      </c>
      <c r="AH197" s="17"/>
      <c r="AI197" s="17"/>
      <c r="AJ197" s="17"/>
      <c r="AK197" s="927">
        <f>V197/'Cham cong'!$AS$3*(W197+Z197/8*2+AA197/8*1.5+AB197*3)+J197/'Cham cong'!$AS$3*(X197+Y197)+AC197+P197+AE197+AG197+AH197+AI197+AJ197</f>
        <v>7928.79576923077</v>
      </c>
      <c r="AL197" s="17">
        <f t="shared" ref="AL197:AL202" si="405">AM197*$AN$3</f>
        <v>0</v>
      </c>
      <c r="AM197" s="946">
        <v>0</v>
      </c>
      <c r="AN197" s="938">
        <f>VLOOKUP(B197,'Cham cong'!$B$9:$BY$275,75,0)</f>
        <v>3000</v>
      </c>
      <c r="AO197" s="938"/>
      <c r="AP197" s="950">
        <f t="shared" si="402"/>
        <v>4930</v>
      </c>
      <c r="AQ197" s="1088"/>
      <c r="AR197" s="1087">
        <f t="shared" si="404"/>
        <v>7928795.7692307699</v>
      </c>
      <c r="AS197" s="1031">
        <f t="shared" si="293"/>
        <v>0</v>
      </c>
      <c r="AT197" s="863">
        <f t="shared" si="395"/>
        <v>3000000</v>
      </c>
      <c r="AY197" s="875">
        <v>3880</v>
      </c>
      <c r="AZ197" s="1088">
        <f>AP197-AY197</f>
        <v>1050</v>
      </c>
      <c r="BJ197" s="873">
        <v>4310</v>
      </c>
      <c r="BO197" s="1088"/>
    </row>
    <row r="198" spans="1:67" ht="12.75" hidden="1">
      <c r="A198" s="895">
        <v>17</v>
      </c>
      <c r="B198" s="105" t="s">
        <v>605</v>
      </c>
      <c r="C198" s="105" t="s">
        <v>606</v>
      </c>
      <c r="D198" s="139" t="str">
        <f>'THANG B.LUONG'!$B$55</f>
        <v>NV Giao nhận/ Phụ xe</v>
      </c>
      <c r="E198" s="896">
        <v>43458</v>
      </c>
      <c r="F198" s="897">
        <v>1</v>
      </c>
      <c r="G198" s="106">
        <f t="shared" si="397"/>
        <v>0</v>
      </c>
      <c r="H198" s="106">
        <f t="shared" si="398"/>
        <v>8</v>
      </c>
      <c r="I198" s="17">
        <f t="shared" si="399"/>
        <v>1</v>
      </c>
      <c r="J198" s="17">
        <f>VLOOKUP(D198,'THANG B.LUONG'!$B$5:$I$511,F198+1,0)</f>
        <v>4500</v>
      </c>
      <c r="K198" s="17">
        <v>0</v>
      </c>
      <c r="L198" s="17">
        <v>0</v>
      </c>
      <c r="M198" s="17">
        <f t="shared" si="403"/>
        <v>0</v>
      </c>
      <c r="N198" s="17">
        <v>0</v>
      </c>
      <c r="O198" s="17">
        <v>0</v>
      </c>
      <c r="P198" s="17">
        <v>0</v>
      </c>
      <c r="Q198" s="17">
        <v>0</v>
      </c>
      <c r="R198" s="17">
        <v>0</v>
      </c>
      <c r="S198" s="17">
        <v>0</v>
      </c>
      <c r="T198" s="17">
        <v>0</v>
      </c>
      <c r="U198" s="17">
        <v>0</v>
      </c>
      <c r="V198" s="17">
        <f t="shared" si="400"/>
        <v>4500</v>
      </c>
      <c r="W198" s="928">
        <f>VLOOKUP(B198,'Cham cong'!$B$9:$BY$275,35,0)</f>
        <v>26</v>
      </c>
      <c r="X198" s="17">
        <f>VLOOKUP(B198,'Cham cong'!$B$9:$BY$275,37,0)</f>
        <v>0</v>
      </c>
      <c r="Y198" s="17">
        <f>VLOOKUP(B198,'Cham cong'!$B$9:$BY$275,38,0)</f>
        <v>1</v>
      </c>
      <c r="Z198" s="17">
        <f>VLOOKUP(B198,'Cham cong'!$B$9:$BY$275,72,0)</f>
        <v>0</v>
      </c>
      <c r="AA198" s="17">
        <f>VLOOKUP(B198,'Cham cong'!$B$9:$BY$275,71,0)</f>
        <v>0</v>
      </c>
      <c r="AB198" s="17">
        <f>VLOOKUP(B198,'Cham cong'!$B$9:$BY$275,36,0)</f>
        <v>0</v>
      </c>
      <c r="AC198" s="17">
        <f>VLOOKUP(B198,'T08-19'!$A$8:$AZ$62,50,0)</f>
        <v>420</v>
      </c>
      <c r="AD198" s="17">
        <f>VLOOKUP(B198,'T08-19'!$A$8:$AZ$62,4,0)/1000</f>
        <v>162069.83333333334</v>
      </c>
      <c r="AE198" s="17">
        <f>VLOOKUP(B198,'T08-19'!$A$8:$AZ$62,5,0)</f>
        <v>1944.8380000000002</v>
      </c>
      <c r="AF198" s="17">
        <f>VLOOKUP(B198,'T08-19'!$A$8:$AZ$62,51,0)</f>
        <v>0</v>
      </c>
      <c r="AG198" s="17">
        <f>VLOOKUP(B198,'T08-19'!$A$8:$AZ$62,52,0)</f>
        <v>0</v>
      </c>
      <c r="AH198" s="17"/>
      <c r="AI198" s="17"/>
      <c r="AJ198" s="17"/>
      <c r="AK198" s="927">
        <f>V198/'Cham cong'!$AS$3*(W198+Z198/8*2+AA198/8*1.5+AB198*3)+J198/'Cham cong'!$AS$3*(X198+Y198)+AC198+P198+AE198+AG198+AH198+AI198+AJ198</f>
        <v>7037.9149230769235</v>
      </c>
      <c r="AL198" s="17">
        <f t="shared" si="405"/>
        <v>0</v>
      </c>
      <c r="AM198" s="946">
        <v>0</v>
      </c>
      <c r="AN198" s="938">
        <f>VLOOKUP(B198,'Cham cong'!$B$9:$BY$275,75,0)</f>
        <v>3000</v>
      </c>
      <c r="AO198" s="938"/>
      <c r="AP198" s="950">
        <f t="shared" si="402"/>
        <v>4040</v>
      </c>
      <c r="AQ198" s="1088"/>
      <c r="AR198" s="951">
        <f t="shared" si="404"/>
        <v>7037914.9230769239</v>
      </c>
      <c r="AS198" s="953">
        <f t="shared" si="293"/>
        <v>0</v>
      </c>
      <c r="AT198" s="856">
        <f t="shared" si="395"/>
        <v>3000000</v>
      </c>
      <c r="BJ198" s="873">
        <v>3500</v>
      </c>
      <c r="BO198" s="1088"/>
    </row>
    <row r="199" spans="1:67" s="1336" customFormat="1" ht="12.75" hidden="1">
      <c r="A199" s="1291">
        <v>18</v>
      </c>
      <c r="B199" s="1319" t="s">
        <v>607</v>
      </c>
      <c r="C199" s="1319" t="s">
        <v>608</v>
      </c>
      <c r="D199" s="1342" t="str">
        <f>'THANG B.LUONG'!$B$55</f>
        <v>NV Giao nhận/ Phụ xe</v>
      </c>
      <c r="E199" s="1312">
        <v>43577</v>
      </c>
      <c r="F199" s="1313">
        <v>1</v>
      </c>
      <c r="G199" s="1311">
        <f t="shared" si="397"/>
        <v>0</v>
      </c>
      <c r="H199" s="1311">
        <f t="shared" si="398"/>
        <v>4</v>
      </c>
      <c r="I199" s="1300">
        <f t="shared" si="399"/>
        <v>3</v>
      </c>
      <c r="J199" s="1300">
        <f>VLOOKUP(D199,'THANG B.LUONG'!$B$5:$I$511,F199+1,0)</f>
        <v>4500</v>
      </c>
      <c r="K199" s="1300">
        <v>0</v>
      </c>
      <c r="L199" s="1300">
        <v>0</v>
      </c>
      <c r="M199" s="1300">
        <f t="shared" si="403"/>
        <v>0</v>
      </c>
      <c r="N199" s="1300">
        <v>0</v>
      </c>
      <c r="O199" s="1300">
        <v>0</v>
      </c>
      <c r="P199" s="1300">
        <v>0</v>
      </c>
      <c r="Q199" s="1300">
        <v>0</v>
      </c>
      <c r="R199" s="1300">
        <v>0</v>
      </c>
      <c r="S199" s="1300">
        <v>0</v>
      </c>
      <c r="T199" s="1300">
        <v>0</v>
      </c>
      <c r="U199" s="1300">
        <v>0</v>
      </c>
      <c r="V199" s="1300">
        <f t="shared" si="400"/>
        <v>4500</v>
      </c>
      <c r="W199" s="1299">
        <f>VLOOKUP(B199,'Cham cong'!$B$9:$BY$275,35,0)</f>
        <v>26</v>
      </c>
      <c r="X199" s="1300">
        <f>VLOOKUP(B199,'Cham cong'!$B$9:$BY$275,37,0)</f>
        <v>0</v>
      </c>
      <c r="Y199" s="1300">
        <f>VLOOKUP(B199,'Cham cong'!$B$9:$BY$275,38,0)</f>
        <v>1</v>
      </c>
      <c r="Z199" s="1300">
        <f>VLOOKUP(B199,'Cham cong'!$B$9:$BY$275,72,0)</f>
        <v>0</v>
      </c>
      <c r="AA199" s="1300">
        <f>VLOOKUP(B199,'Cham cong'!$B$9:$BY$275,71,0)</f>
        <v>0</v>
      </c>
      <c r="AB199" s="1300">
        <f>VLOOKUP(B199,'Cham cong'!$B$9:$BY$275,36,0)</f>
        <v>0</v>
      </c>
      <c r="AC199" s="1300">
        <f>VLOOKUP(B199,'T08-19'!$A$8:$AZ$62,50,0)</f>
        <v>1940</v>
      </c>
      <c r="AD199" s="1300">
        <f>VLOOKUP(B199,'T08-19'!$A$8:$AZ$62,4,0)/1000</f>
        <v>100715.91666666666</v>
      </c>
      <c r="AE199" s="1300">
        <f>VLOOKUP(B199,'T08-19'!$A$8:$AZ$62,5,0)</f>
        <v>1208.5909999999999</v>
      </c>
      <c r="AF199" s="1300">
        <f>VLOOKUP(B199,'T08-19'!$A$8:$AZ$62,51,0)</f>
        <v>0</v>
      </c>
      <c r="AG199" s="1300">
        <f>VLOOKUP(B199,'T08-19'!$A$8:$AZ$62,52,0)</f>
        <v>0</v>
      </c>
      <c r="AH199" s="1300"/>
      <c r="AI199" s="1300"/>
      <c r="AJ199" s="1300"/>
      <c r="AK199" s="1298">
        <f>V199/'Cham cong'!$AS$3*(W199+Z199/8*2+AA199/8*1.5+AB199*3)+J199/'Cham cong'!$AS$3*(X199+Y199)+AC199+P199+AE199+AG199+AH199+AI199+AJ199</f>
        <v>7821.6679230769223</v>
      </c>
      <c r="AL199" s="1300">
        <f t="shared" si="405"/>
        <v>0</v>
      </c>
      <c r="AM199" s="1343">
        <v>0</v>
      </c>
      <c r="AN199" s="1303">
        <f>VLOOKUP(B199,'Cham cong'!$B$9:$BY$275,75,0)</f>
        <v>3000</v>
      </c>
      <c r="AO199" s="1303"/>
      <c r="AP199" s="1304">
        <f t="shared" si="402"/>
        <v>4820</v>
      </c>
      <c r="AQ199" s="1344"/>
      <c r="AR199" s="1306">
        <f t="shared" si="404"/>
        <v>7821667.9230769221</v>
      </c>
      <c r="AS199" s="1316">
        <f t="shared" si="293"/>
        <v>0</v>
      </c>
      <c r="AT199" s="1314">
        <f t="shared" si="395"/>
        <v>3000000</v>
      </c>
      <c r="AU199" s="1345"/>
      <c r="AV199" s="1345"/>
      <c r="AW199" s="1345"/>
      <c r="AY199" s="1345"/>
      <c r="BE199" s="1336" t="s">
        <v>1263</v>
      </c>
      <c r="BG199" s="1345"/>
      <c r="BJ199" s="1336">
        <v>2770</v>
      </c>
      <c r="BK199" s="875"/>
      <c r="BL199" s="1345"/>
    </row>
    <row r="200" spans="1:67" ht="12.75" hidden="1">
      <c r="A200" s="895">
        <v>18</v>
      </c>
      <c r="B200" s="105" t="s">
        <v>609</v>
      </c>
      <c r="C200" s="105" t="s">
        <v>610</v>
      </c>
      <c r="D200" s="139" t="str">
        <f>'THANG B.LUONG'!$B$55</f>
        <v>NV Giao nhận/ Phụ xe</v>
      </c>
      <c r="E200" s="896">
        <v>43523</v>
      </c>
      <c r="F200" s="897">
        <v>1</v>
      </c>
      <c r="G200" s="106">
        <f t="shared" si="397"/>
        <v>0</v>
      </c>
      <c r="H200" s="106">
        <f t="shared" si="398"/>
        <v>5</v>
      </c>
      <c r="I200" s="17">
        <f t="shared" si="399"/>
        <v>29</v>
      </c>
      <c r="J200" s="17">
        <f>VLOOKUP(D200,'THANG B.LUONG'!$B$5:$I$511,F200+1,0)</f>
        <v>4500</v>
      </c>
      <c r="K200" s="17">
        <v>0</v>
      </c>
      <c r="L200" s="17">
        <v>0</v>
      </c>
      <c r="M200" s="17">
        <f t="shared" si="403"/>
        <v>0</v>
      </c>
      <c r="N200" s="17">
        <v>0</v>
      </c>
      <c r="O200" s="17">
        <v>0</v>
      </c>
      <c r="P200" s="17">
        <v>0</v>
      </c>
      <c r="Q200" s="17">
        <v>0</v>
      </c>
      <c r="R200" s="17">
        <v>0</v>
      </c>
      <c r="S200" s="17">
        <v>0</v>
      </c>
      <c r="T200" s="17">
        <v>0</v>
      </c>
      <c r="U200" s="17">
        <v>0</v>
      </c>
      <c r="V200" s="17">
        <f t="shared" si="400"/>
        <v>4500</v>
      </c>
      <c r="W200" s="928">
        <f>VLOOKUP(B200,'Cham cong'!$B$9:$BY$275,35,0)</f>
        <v>26</v>
      </c>
      <c r="X200" s="17">
        <f>VLOOKUP(B200,'Cham cong'!$B$9:$BY$275,37,0)</f>
        <v>0</v>
      </c>
      <c r="Y200" s="17">
        <f>VLOOKUP(B200,'Cham cong'!$B$9:$BY$275,38,0)</f>
        <v>1</v>
      </c>
      <c r="Z200" s="17">
        <f>VLOOKUP(B200,'Cham cong'!$B$9:$BY$275,72,0)</f>
        <v>0</v>
      </c>
      <c r="AA200" s="17">
        <f>VLOOKUP(B200,'Cham cong'!$B$9:$BY$275,71,0)</f>
        <v>0</v>
      </c>
      <c r="AB200" s="17">
        <f>VLOOKUP(B200,'Cham cong'!$B$9:$BY$275,36,0)</f>
        <v>0</v>
      </c>
      <c r="AC200" s="17">
        <f>VLOOKUP(B200,'T08-19'!$A$8:$AZ$62,50,0)</f>
        <v>540</v>
      </c>
      <c r="AD200" s="17">
        <f>VLOOKUP(B200,'T08-19'!$A$8:$AZ$62,4,0)/1000</f>
        <v>147200.66666666666</v>
      </c>
      <c r="AE200" s="17">
        <f>VLOOKUP(B200,'T08-19'!$A$8:$AZ$62,5,0)</f>
        <v>1766.4079999999999</v>
      </c>
      <c r="AF200" s="17">
        <f>VLOOKUP(B200,'T08-19'!$A$8:$AZ$62,51,0)</f>
        <v>0</v>
      </c>
      <c r="AG200" s="17">
        <f>VLOOKUP(B200,'T08-19'!$A$8:$AZ$62,52,0)</f>
        <v>0</v>
      </c>
      <c r="AH200" s="17"/>
      <c r="AI200" s="17"/>
      <c r="AJ200" s="17"/>
      <c r="AK200" s="927">
        <f>V200/'Cham cong'!$AS$3*(W200+Z200/8*2+AA200/8*1.5+AB200*3)+J200/'Cham cong'!$AS$3*(X200+Y200)+AC200+P200+AE200+AG200+AH200+AI200+AJ200</f>
        <v>6979.4849230769232</v>
      </c>
      <c r="AL200" s="17">
        <f t="shared" si="405"/>
        <v>0</v>
      </c>
      <c r="AM200" s="946">
        <v>0</v>
      </c>
      <c r="AN200" s="938">
        <f>VLOOKUP(B200,'Cham cong'!$B$9:$BY$275,75,0)</f>
        <v>3000</v>
      </c>
      <c r="AO200" s="938"/>
      <c r="AP200" s="950">
        <f t="shared" si="402"/>
        <v>3980</v>
      </c>
      <c r="AQ200" s="1088"/>
      <c r="AR200" s="951">
        <f t="shared" si="404"/>
        <v>6979484.923076923</v>
      </c>
      <c r="AS200" s="953">
        <f t="shared" si="293"/>
        <v>0</v>
      </c>
      <c r="AT200" s="856">
        <f t="shared" si="395"/>
        <v>3000000</v>
      </c>
      <c r="BJ200" s="873">
        <v>3300</v>
      </c>
    </row>
    <row r="201" spans="1:67" ht="12.75" hidden="1">
      <c r="A201" s="895">
        <v>18</v>
      </c>
      <c r="B201" s="105" t="s">
        <v>611</v>
      </c>
      <c r="C201" s="105" t="s">
        <v>612</v>
      </c>
      <c r="D201" s="139" t="str">
        <f>'THANG B.LUONG'!$B$55</f>
        <v>NV Giao nhận/ Phụ xe</v>
      </c>
      <c r="E201" s="896">
        <v>43528</v>
      </c>
      <c r="F201" s="897">
        <v>1</v>
      </c>
      <c r="G201" s="106">
        <f t="shared" ref="G201" si="406">DATEDIF(E201,$J$3,"y")</f>
        <v>0</v>
      </c>
      <c r="H201" s="106">
        <f t="shared" ref="H201" si="407">DATEDIF(E201,$J$3,"ym")</f>
        <v>5</v>
      </c>
      <c r="I201" s="17">
        <f t="shared" ref="I201" si="408">DATEDIF(E201,$J$3,"md")</f>
        <v>21</v>
      </c>
      <c r="J201" s="17">
        <f>VLOOKUP(D201,'THANG B.LUONG'!$B$5:$I$511,F201+1,0)</f>
        <v>4500</v>
      </c>
      <c r="K201" s="17">
        <v>0</v>
      </c>
      <c r="L201" s="17">
        <v>0</v>
      </c>
      <c r="M201" s="17">
        <f t="shared" ref="M201" si="409">IF(G201&gt;=3,J201*(0.03+(G201-3)*0.01),0)</f>
        <v>0</v>
      </c>
      <c r="N201" s="17">
        <v>0</v>
      </c>
      <c r="O201" s="17">
        <v>0</v>
      </c>
      <c r="P201" s="17">
        <v>0</v>
      </c>
      <c r="Q201" s="17">
        <v>0</v>
      </c>
      <c r="R201" s="17">
        <v>0</v>
      </c>
      <c r="S201" s="17">
        <v>0</v>
      </c>
      <c r="T201" s="17">
        <v>0</v>
      </c>
      <c r="U201" s="17">
        <v>0</v>
      </c>
      <c r="V201" s="17">
        <f t="shared" ref="V201" si="410">SUM(J201:U201)-P201</f>
        <v>4500</v>
      </c>
      <c r="W201" s="928">
        <f>VLOOKUP(B201,'Cham cong'!$B$9:$BY$275,35,0)</f>
        <v>26</v>
      </c>
      <c r="X201" s="17">
        <f>VLOOKUP(B201,'Cham cong'!$B$9:$BY$275,37,0)</f>
        <v>0</v>
      </c>
      <c r="Y201" s="17">
        <f>VLOOKUP(B201,'Cham cong'!$B$9:$BY$275,38,0)</f>
        <v>1</v>
      </c>
      <c r="Z201" s="17">
        <f>VLOOKUP(B201,'Cham cong'!$B$9:$BY$275,72,0)</f>
        <v>0</v>
      </c>
      <c r="AA201" s="17">
        <f>VLOOKUP(B201,'Cham cong'!$B$9:$BY$275,71,0)</f>
        <v>0</v>
      </c>
      <c r="AB201" s="17">
        <f>VLOOKUP(B201,'Cham cong'!$B$9:$BY$275,36,0)</f>
        <v>0</v>
      </c>
      <c r="AC201" s="17">
        <f>VLOOKUP(B201,'T08-19'!$A$8:$AZ$62,50,0)</f>
        <v>780</v>
      </c>
      <c r="AD201" s="17">
        <f>VLOOKUP(B201,'T08-19'!$A$8:$AZ$62,4,0)/1000</f>
        <v>124862.16666666666</v>
      </c>
      <c r="AE201" s="17">
        <f>VLOOKUP(B201,'T08-19'!$A$8:$AZ$62,5,0)</f>
        <v>1498.346</v>
      </c>
      <c r="AF201" s="17">
        <f>VLOOKUP(B201,'T08-19'!$A$8:$AZ$62,51,0)</f>
        <v>0</v>
      </c>
      <c r="AG201" s="17">
        <f>VLOOKUP(B201,'T08-19'!$A$8:$AZ$62,52,0)</f>
        <v>0</v>
      </c>
      <c r="AH201" s="17"/>
      <c r="AI201" s="17"/>
      <c r="AJ201" s="17"/>
      <c r="AK201" s="927">
        <f>V201/'Cham cong'!$AS$3*(W201+Z201/8*2+AA201/8*1.5+AB201*3)+J201/'Cham cong'!$AS$3*(X201+Y201)+AC201+P201+AE201+AG201+AH201+AI201+AJ201</f>
        <v>6951.4229230769233</v>
      </c>
      <c r="AL201" s="17">
        <f t="shared" si="405"/>
        <v>0</v>
      </c>
      <c r="AM201" s="946">
        <v>0</v>
      </c>
      <c r="AN201" s="938">
        <f>VLOOKUP(B201,'Cham cong'!$B$9:$BY$275,75,0)</f>
        <v>0</v>
      </c>
      <c r="AO201" s="938"/>
      <c r="AP201" s="950">
        <f t="shared" ref="AP201" si="411">ROUND(AK201-AL201-AN201+AO201,-1)</f>
        <v>6950</v>
      </c>
      <c r="AQ201" s="1088"/>
      <c r="AR201" s="951">
        <f t="shared" ref="AR201" si="412">AK201*1000</f>
        <v>6951422.923076923</v>
      </c>
      <c r="AS201" s="953">
        <f t="shared" si="293"/>
        <v>0</v>
      </c>
      <c r="AT201" s="856">
        <f t="shared" ref="AT201" si="413">AN201*1000</f>
        <v>0</v>
      </c>
      <c r="BJ201" s="873">
        <v>3770</v>
      </c>
    </row>
    <row r="202" spans="1:67" ht="12.75" hidden="1">
      <c r="A202" s="895">
        <v>18</v>
      </c>
      <c r="B202" s="105" t="s">
        <v>613</v>
      </c>
      <c r="C202" s="105" t="s">
        <v>614</v>
      </c>
      <c r="D202" s="139" t="str">
        <f>'THANG B.LUONG'!$B$55</f>
        <v>NV Giao nhận/ Phụ xe</v>
      </c>
      <c r="E202" s="896">
        <v>43535</v>
      </c>
      <c r="F202" s="897">
        <v>1</v>
      </c>
      <c r="G202" s="106">
        <f t="shared" ref="G202" si="414">DATEDIF(E202,$J$3,"y")</f>
        <v>0</v>
      </c>
      <c r="H202" s="106">
        <f t="shared" ref="H202" si="415">DATEDIF(E202,$J$3,"ym")</f>
        <v>5</v>
      </c>
      <c r="I202" s="17">
        <f t="shared" ref="I202" si="416">DATEDIF(E202,$J$3,"md")</f>
        <v>14</v>
      </c>
      <c r="J202" s="17">
        <f>VLOOKUP(D202,'THANG B.LUONG'!$B$5:$I$511,F202+1,0)</f>
        <v>4500</v>
      </c>
      <c r="K202" s="17">
        <v>0</v>
      </c>
      <c r="L202" s="17">
        <v>0</v>
      </c>
      <c r="M202" s="17">
        <f t="shared" ref="M202" si="417">IF(G202&gt;=3,J202*(0.03+(G202-3)*0.01),0)</f>
        <v>0</v>
      </c>
      <c r="N202" s="17">
        <v>0</v>
      </c>
      <c r="O202" s="17">
        <v>0</v>
      </c>
      <c r="P202" s="17">
        <v>0</v>
      </c>
      <c r="Q202" s="17">
        <v>0</v>
      </c>
      <c r="R202" s="17">
        <v>0</v>
      </c>
      <c r="S202" s="17">
        <v>0</v>
      </c>
      <c r="T202" s="17">
        <v>0</v>
      </c>
      <c r="U202" s="17">
        <v>0</v>
      </c>
      <c r="V202" s="17">
        <f t="shared" ref="V202" si="418">SUM(J202:U202)-P202</f>
        <v>4500</v>
      </c>
      <c r="W202" s="928">
        <f>VLOOKUP(B202,'Cham cong'!$B$9:$BY$275,35,0)</f>
        <v>26</v>
      </c>
      <c r="X202" s="17">
        <f>VLOOKUP(B202,'Cham cong'!$B$9:$BY$275,37,0)</f>
        <v>0</v>
      </c>
      <c r="Y202" s="17">
        <f>VLOOKUP(B202,'Cham cong'!$B$9:$BY$275,38,0)</f>
        <v>1</v>
      </c>
      <c r="Z202" s="17">
        <f>VLOOKUP(B202,'Cham cong'!$B$9:$BY$275,72,0)</f>
        <v>0</v>
      </c>
      <c r="AA202" s="17">
        <f>VLOOKUP(B202,'Cham cong'!$B$9:$BY$275,71,0)</f>
        <v>0</v>
      </c>
      <c r="AB202" s="17">
        <f>VLOOKUP(B202,'Cham cong'!$B$9:$BY$275,36,0)</f>
        <v>0</v>
      </c>
      <c r="AC202" s="17">
        <f>VLOOKUP(B202,'T08-19'!$A$8:$AZ$62,50,0)</f>
        <v>420</v>
      </c>
      <c r="AD202" s="17">
        <f>VLOOKUP(B202,'T08-19'!$A$8:$AZ$62,4,0)/1000</f>
        <v>134909.12500000006</v>
      </c>
      <c r="AE202" s="17">
        <f>VLOOKUP(B202,'T08-19'!$A$8:$AZ$62,5,0)</f>
        <v>1618.9095000000007</v>
      </c>
      <c r="AF202" s="17">
        <f>VLOOKUP(B202,'T08-19'!$A$8:$AZ$62,51,0)</f>
        <v>0</v>
      </c>
      <c r="AG202" s="17">
        <f>VLOOKUP(B202,'T08-19'!$A$8:$AZ$62,52,0)</f>
        <v>0</v>
      </c>
      <c r="AH202" s="17"/>
      <c r="AI202" s="17"/>
      <c r="AJ202" s="17"/>
      <c r="AK202" s="927">
        <f>V202/'Cham cong'!$AS$3*(W202+Z202/8*2+AA202/8*1.5+AB202*3)+J202/'Cham cong'!$AS$3*(X202+Y202)+AC202+P202+AE202+AG202+AH202+AI202+AJ202</f>
        <v>6711.9864230769235</v>
      </c>
      <c r="AL202" s="17">
        <f t="shared" si="405"/>
        <v>0</v>
      </c>
      <c r="AM202" s="946">
        <v>0</v>
      </c>
      <c r="AN202" s="938">
        <f>VLOOKUP(B202,'Cham cong'!$B$9:$BY$275,75,0)</f>
        <v>3000</v>
      </c>
      <c r="AO202" s="938"/>
      <c r="AP202" s="950">
        <f t="shared" ref="AP202" si="419">ROUND(AK202-AL202-AN202+AO202,-1)</f>
        <v>3710</v>
      </c>
      <c r="AQ202" s="1088"/>
      <c r="AR202" s="951">
        <f t="shared" ref="AR202:AR203" si="420">AK202*1000</f>
        <v>6711986.4230769239</v>
      </c>
      <c r="AS202" s="953">
        <f t="shared" si="293"/>
        <v>0</v>
      </c>
      <c r="AT202" s="856">
        <f t="shared" ref="AT202" si="421">AN202*1000</f>
        <v>3000000</v>
      </c>
      <c r="BJ202" s="873">
        <v>4990</v>
      </c>
    </row>
    <row r="203" spans="1:67" s="870" customFormat="1">
      <c r="A203" s="911"/>
      <c r="B203" s="1264"/>
      <c r="C203" s="141" t="s">
        <v>615</v>
      </c>
      <c r="D203" s="140"/>
      <c r="E203" s="899"/>
      <c r="F203" s="140"/>
      <c r="G203" s="140"/>
      <c r="H203" s="140"/>
      <c r="I203" s="140"/>
      <c r="J203" s="140"/>
      <c r="K203" s="140"/>
      <c r="L203" s="140"/>
      <c r="M203" s="140"/>
      <c r="N203" s="140"/>
      <c r="O203" s="140"/>
      <c r="P203" s="140"/>
      <c r="Q203" s="140"/>
      <c r="R203" s="140"/>
      <c r="S203" s="140"/>
      <c r="T203" s="140"/>
      <c r="U203" s="140"/>
      <c r="V203" s="140"/>
      <c r="W203" s="140"/>
      <c r="X203" s="140"/>
      <c r="Y203" s="140"/>
      <c r="Z203" s="140"/>
      <c r="AA203" s="140"/>
      <c r="AB203" s="140"/>
      <c r="AC203" s="140"/>
      <c r="AD203" s="140"/>
      <c r="AE203" s="140"/>
      <c r="AF203" s="918"/>
      <c r="AG203" s="918"/>
      <c r="AH203" s="140"/>
      <c r="AI203" s="140"/>
      <c r="AJ203" s="140"/>
      <c r="AK203" s="937">
        <f>SUM(AK204:AK211)</f>
        <v>64751.036538461543</v>
      </c>
      <c r="AL203" s="937">
        <f t="shared" ref="AL203:AO203" si="422">SUM(AL204:AL211)</f>
        <v>3419.01</v>
      </c>
      <c r="AM203" s="937">
        <f t="shared" si="422"/>
        <v>32562</v>
      </c>
      <c r="AN203" s="937">
        <f t="shared" si="422"/>
        <v>27000</v>
      </c>
      <c r="AO203" s="937">
        <f t="shared" si="422"/>
        <v>0</v>
      </c>
      <c r="AP203" s="937">
        <f>SUM(AP204:AP211)</f>
        <v>34340</v>
      </c>
      <c r="AR203" s="1117">
        <f t="shared" si="420"/>
        <v>64751036.538461544</v>
      </c>
      <c r="AS203" s="953">
        <f t="shared" si="293"/>
        <v>32562000</v>
      </c>
      <c r="AT203" s="1118">
        <f t="shared" si="395"/>
        <v>27000000</v>
      </c>
      <c r="AU203" s="1119"/>
      <c r="AV203" s="1119"/>
      <c r="AW203" s="1119"/>
      <c r="AY203" s="1119"/>
      <c r="BG203" s="1119"/>
      <c r="BK203" s="1119"/>
      <c r="BL203" s="1119"/>
    </row>
    <row r="204" spans="1:67" ht="12.75">
      <c r="A204" s="1090">
        <v>1</v>
      </c>
      <c r="B204" s="1092" t="s">
        <v>616</v>
      </c>
      <c r="C204" s="1092" t="s">
        <v>617</v>
      </c>
      <c r="D204" s="1093" t="str">
        <f>'[2]THANG B.LUONG'!$B$68</f>
        <v>Trưởng đội giao nhận</v>
      </c>
      <c r="E204" s="1094">
        <v>41518</v>
      </c>
      <c r="F204" s="1095">
        <v>1</v>
      </c>
      <c r="G204" s="1096">
        <f t="shared" ref="G204:G211" si="423">DATEDIF(E204,$J$3,"y")</f>
        <v>5</v>
      </c>
      <c r="H204" s="1096">
        <f t="shared" ref="H204:H211" si="424">DATEDIF(E204,$J$3,"ym")</f>
        <v>11</v>
      </c>
      <c r="I204" s="1091">
        <f t="shared" ref="I204:I211" si="425">DATEDIF(E204,$J$3,"md")</f>
        <v>24</v>
      </c>
      <c r="J204" s="1091">
        <f>VLOOKUP(D204,'THANG B.LUONG'!$B$5:$I$511,F204+1,0)</f>
        <v>7020</v>
      </c>
      <c r="K204" s="1091">
        <v>0</v>
      </c>
      <c r="L204" s="1091">
        <v>500</v>
      </c>
      <c r="M204" s="1091">
        <f t="shared" ref="M204:M211" si="426">IF(G204&gt;=3,J204*(0.03+(G204-3)*0.01),0)</f>
        <v>351</v>
      </c>
      <c r="N204" s="1091">
        <v>0</v>
      </c>
      <c r="O204" s="1091">
        <v>200</v>
      </c>
      <c r="P204" s="1091">
        <v>300</v>
      </c>
      <c r="Q204" s="1091">
        <v>0</v>
      </c>
      <c r="R204" s="1091">
        <v>0</v>
      </c>
      <c r="S204" s="1091">
        <v>0</v>
      </c>
      <c r="T204" s="1091">
        <v>3700</v>
      </c>
      <c r="U204" s="1091">
        <v>0</v>
      </c>
      <c r="V204" s="1091">
        <f t="shared" si="386"/>
        <v>11771</v>
      </c>
      <c r="W204" s="1108">
        <f>VLOOKUP(B204,'Cham cong'!$B$9:$BY$275,35,0)</f>
        <v>26</v>
      </c>
      <c r="X204" s="1091">
        <f>VLOOKUP(B204,'Cham cong'!$B$9:$BY$275,37,0)</f>
        <v>0</v>
      </c>
      <c r="Y204" s="1091">
        <f>VLOOKUP(B204,'Cham cong'!$B$9:$BY$275,38,0)</f>
        <v>1</v>
      </c>
      <c r="Z204" s="1091">
        <f>VLOOKUP(B204,'Cham cong'!$B$9:$BY$275,72,0)</f>
        <v>0</v>
      </c>
      <c r="AA204" s="1091">
        <f>VLOOKUP(B204,'Cham cong'!$B$9:$BY$275,71,0)</f>
        <v>0</v>
      </c>
      <c r="AB204" s="1091">
        <f>VLOOKUP(B204,'Cham cong'!$B$9:$BY$275,36,0)</f>
        <v>0</v>
      </c>
      <c r="AC204" s="1091">
        <v>0</v>
      </c>
      <c r="AD204" s="1091">
        <v>0</v>
      </c>
      <c r="AE204" s="1091">
        <v>0</v>
      </c>
      <c r="AF204" s="1091">
        <v>0</v>
      </c>
      <c r="AG204" s="1091">
        <v>0</v>
      </c>
      <c r="AH204" s="1091"/>
      <c r="AI204" s="1091"/>
      <c r="AJ204" s="1091"/>
      <c r="AK204" s="1112">
        <f>V204/'Cham cong'!$AS$3*(W204+Z204/8*2+AA204/8*1.5+AB204*3)+J204/'Cham cong'!$AS$3*(X204+Y204)+AC204+P204+AE204+AG204+AH204+AI204+AJ204</f>
        <v>12341</v>
      </c>
      <c r="AL204" s="1091">
        <f t="shared" si="384"/>
        <v>535.5</v>
      </c>
      <c r="AM204" s="1113">
        <v>5100</v>
      </c>
      <c r="AN204" s="1114">
        <f>VLOOKUP(B204,'Cham cong'!$B$9:$BY$275,75,0)</f>
        <v>6000</v>
      </c>
      <c r="AO204" s="1114"/>
      <c r="AP204" s="1120">
        <f t="shared" ref="AP204:AP211" si="427">ROUND(AK204-AL204-AN204+AO204,-1)</f>
        <v>5810</v>
      </c>
      <c r="AQ204" s="1088"/>
      <c r="AR204" s="951">
        <f t="shared" si="396"/>
        <v>12341000</v>
      </c>
      <c r="AS204" s="953">
        <f t="shared" si="293"/>
        <v>5100000</v>
      </c>
      <c r="AT204" s="856">
        <f t="shared" ref="AT204:AT211" si="428">AN204*1000</f>
        <v>6000000</v>
      </c>
    </row>
    <row r="205" spans="1:67" ht="12.75">
      <c r="A205" s="895">
        <v>2</v>
      </c>
      <c r="B205" s="105" t="s">
        <v>618</v>
      </c>
      <c r="C205" s="105" t="s">
        <v>619</v>
      </c>
      <c r="D205" s="139" t="str">
        <f>'THANG B.LUONG'!$B$55</f>
        <v>NV Giao nhận/ Phụ xe</v>
      </c>
      <c r="E205" s="896">
        <v>41842</v>
      </c>
      <c r="F205" s="897">
        <v>2</v>
      </c>
      <c r="G205" s="106">
        <f t="shared" si="423"/>
        <v>5</v>
      </c>
      <c r="H205" s="106">
        <f t="shared" si="424"/>
        <v>1</v>
      </c>
      <c r="I205" s="17">
        <f t="shared" si="425"/>
        <v>3</v>
      </c>
      <c r="J205" s="17">
        <f>VLOOKUP(D205,'THANG B.LUONG'!$B$5:$I$511,F205+1,0)</f>
        <v>4730</v>
      </c>
      <c r="K205" s="17">
        <v>0</v>
      </c>
      <c r="L205" s="17">
        <v>0</v>
      </c>
      <c r="M205" s="17">
        <f t="shared" si="426"/>
        <v>236.5</v>
      </c>
      <c r="N205" s="17">
        <v>0</v>
      </c>
      <c r="O205" s="17">
        <v>200</v>
      </c>
      <c r="P205" s="17">
        <v>100</v>
      </c>
      <c r="Q205" s="17">
        <v>0</v>
      </c>
      <c r="R205" s="17">
        <v>0</v>
      </c>
      <c r="S205" s="17">
        <v>0</v>
      </c>
      <c r="T205" s="17">
        <v>0</v>
      </c>
      <c r="U205" s="17">
        <v>0</v>
      </c>
      <c r="V205" s="17">
        <f t="shared" si="386"/>
        <v>5166.5</v>
      </c>
      <c r="W205" s="928">
        <f>VLOOKUP(B205,'Cham cong'!$B$9:$BY$275,35,0)</f>
        <v>26</v>
      </c>
      <c r="X205" s="17">
        <f>VLOOKUP(B205,'Cham cong'!$B$9:$BY$275,37,0)</f>
        <v>0</v>
      </c>
      <c r="Y205" s="17">
        <f>VLOOKUP(B205,'Cham cong'!$B$9:$BY$275,38,0)</f>
        <v>1</v>
      </c>
      <c r="Z205" s="17">
        <f>VLOOKUP(B205,'Cham cong'!$B$9:$BY$275,72,0)</f>
        <v>0</v>
      </c>
      <c r="AA205" s="17">
        <f>VLOOKUP(B205,'Cham cong'!$B$9:$BY$275,71,0)</f>
        <v>0</v>
      </c>
      <c r="AB205" s="17">
        <f>VLOOKUP(B205,'Cham cong'!$B$9:$BY$275,36,0)</f>
        <v>0</v>
      </c>
      <c r="AC205" s="17">
        <f>VLOOKUP(B205,'T08-19'!$A$8:$AZ$62,50,0)</f>
        <v>0</v>
      </c>
      <c r="AD205" s="17">
        <f>VLOOKUP(B205,'T08-19'!$A$8:$AZ$62,4,0)/1000</f>
        <v>171152.66666666672</v>
      </c>
      <c r="AE205" s="17">
        <f>VLOOKUP(B205,'T08-19'!$A$8:$AZ$62,5,0)</f>
        <v>2053.8320000000008</v>
      </c>
      <c r="AF205" s="17">
        <f>VLOOKUP(B205,'T08-19'!$A$8:$AZ$62,51,0)</f>
        <v>0</v>
      </c>
      <c r="AG205" s="17">
        <f>VLOOKUP(B205,'T08-19'!$A$8:$AZ$62,52,0)</f>
        <v>0</v>
      </c>
      <c r="AH205" s="17"/>
      <c r="AI205" s="17"/>
      <c r="AJ205" s="17"/>
      <c r="AK205" s="927">
        <f>V205/'Cham cong'!$AS$3*(W205+Z205/8*2+AA205/8*1.5+AB205*3)+J205/'Cham cong'!$AS$3*(X205+Y205)+AC205+P205+AE205+AG205+AH205+AI205+AJ205</f>
        <v>7502.2550769230784</v>
      </c>
      <c r="AL205" s="17">
        <f t="shared" si="384"/>
        <v>480.58499999999998</v>
      </c>
      <c r="AM205" s="940">
        <v>4577</v>
      </c>
      <c r="AN205" s="938">
        <f>VLOOKUP(B205,'Cham cong'!$B$9:$BY$275,75,0)</f>
        <v>4000</v>
      </c>
      <c r="AO205" s="938"/>
      <c r="AP205" s="962">
        <f t="shared" si="427"/>
        <v>3020</v>
      </c>
      <c r="AQ205" s="1088"/>
      <c r="AR205" s="951">
        <f t="shared" si="396"/>
        <v>7502255.0769230779</v>
      </c>
      <c r="AS205" s="953">
        <f t="shared" si="293"/>
        <v>4577000</v>
      </c>
      <c r="AT205" s="856">
        <f t="shared" si="428"/>
        <v>4000000</v>
      </c>
    </row>
    <row r="206" spans="1:67" ht="12.75">
      <c r="A206" s="895">
        <v>3</v>
      </c>
      <c r="B206" s="105" t="s">
        <v>620</v>
      </c>
      <c r="C206" s="105" t="s">
        <v>621</v>
      </c>
      <c r="D206" s="139" t="str">
        <f>'THANG B.LUONG'!$B$55</f>
        <v>NV Giao nhận/ Phụ xe</v>
      </c>
      <c r="E206" s="896">
        <v>42492</v>
      </c>
      <c r="F206" s="897">
        <v>2</v>
      </c>
      <c r="G206" s="106">
        <f t="shared" si="423"/>
        <v>3</v>
      </c>
      <c r="H206" s="106">
        <f t="shared" si="424"/>
        <v>3</v>
      </c>
      <c r="I206" s="17">
        <f t="shared" si="425"/>
        <v>23</v>
      </c>
      <c r="J206" s="17">
        <f>VLOOKUP(D206,'THANG B.LUONG'!$B$5:$I$511,F206+1,0)</f>
        <v>4730</v>
      </c>
      <c r="K206" s="17">
        <v>0</v>
      </c>
      <c r="L206" s="17">
        <v>0</v>
      </c>
      <c r="M206" s="17">
        <f t="shared" si="426"/>
        <v>141.9</v>
      </c>
      <c r="N206" s="17">
        <v>0</v>
      </c>
      <c r="O206" s="17">
        <v>200</v>
      </c>
      <c r="P206" s="17">
        <v>100</v>
      </c>
      <c r="Q206" s="17">
        <v>0</v>
      </c>
      <c r="R206" s="17">
        <v>0</v>
      </c>
      <c r="S206" s="17">
        <v>0</v>
      </c>
      <c r="T206" s="17">
        <v>0</v>
      </c>
      <c r="U206" s="17">
        <v>0</v>
      </c>
      <c r="V206" s="17">
        <f t="shared" si="386"/>
        <v>5071.8999999999996</v>
      </c>
      <c r="W206" s="928">
        <f>VLOOKUP(B206,'Cham cong'!$B$9:$BY$275,35,0)</f>
        <v>26</v>
      </c>
      <c r="X206" s="17">
        <f>VLOOKUP(B206,'Cham cong'!$B$9:$BY$275,37,0)</f>
        <v>0</v>
      </c>
      <c r="Y206" s="17">
        <f>VLOOKUP(B206,'Cham cong'!$B$9:$BY$275,38,0)</f>
        <v>1</v>
      </c>
      <c r="Z206" s="17">
        <f>VLOOKUP(B206,'Cham cong'!$B$9:$BY$275,72,0)</f>
        <v>0</v>
      </c>
      <c r="AA206" s="17">
        <f>VLOOKUP(B206,'Cham cong'!$B$9:$BY$275,71,0)</f>
        <v>0</v>
      </c>
      <c r="AB206" s="17">
        <f>VLOOKUP(B206,'Cham cong'!$B$9:$BY$275,36,0)</f>
        <v>0</v>
      </c>
      <c r="AC206" s="17">
        <f>VLOOKUP(B206,'T08-19'!$A$8:$AZ$62,50,0)</f>
        <v>840</v>
      </c>
      <c r="AD206" s="17">
        <f>VLOOKUP(B206,'T08-19'!$A$8:$AZ$62,4,0)/1000</f>
        <v>148542.08333333334</v>
      </c>
      <c r="AE206" s="17">
        <f>VLOOKUP(B206,'T08-19'!$A$8:$AZ$62,5,0)</f>
        <v>1782.5050000000003</v>
      </c>
      <c r="AF206" s="17">
        <f>VLOOKUP(B206,'T08-19'!$A$8:$AZ$62,51,0)</f>
        <v>0</v>
      </c>
      <c r="AG206" s="17">
        <f>VLOOKUP(B206,'T08-19'!$A$8:$AZ$62,52,0)</f>
        <v>0</v>
      </c>
      <c r="AH206" s="17"/>
      <c r="AI206" s="17"/>
      <c r="AJ206" s="17"/>
      <c r="AK206" s="927">
        <f>V206/'Cham cong'!$AS$3*(W206+Z206/8*2+AA206/8*1.5+AB206*3)+J206/'Cham cong'!$AS$3*(X206+Y206)+AC206+P206+AE206+AG206+AH206+AI206+AJ206</f>
        <v>7976.3280769230769</v>
      </c>
      <c r="AL206" s="17">
        <f t="shared" si="384"/>
        <v>480.58499999999998</v>
      </c>
      <c r="AM206" s="940">
        <v>4577</v>
      </c>
      <c r="AN206" s="938">
        <f>VLOOKUP(B206,'Cham cong'!$B$9:$BY$275,75,0)</f>
        <v>3000</v>
      </c>
      <c r="AO206" s="938"/>
      <c r="AP206" s="962">
        <f t="shared" si="427"/>
        <v>4500</v>
      </c>
      <c r="AQ206" s="1088"/>
      <c r="AR206" s="951">
        <f t="shared" si="396"/>
        <v>7976328.076923077</v>
      </c>
      <c r="AS206" s="953">
        <f t="shared" si="293"/>
        <v>4577000</v>
      </c>
      <c r="AT206" s="856">
        <f t="shared" si="428"/>
        <v>3000000</v>
      </c>
    </row>
    <row r="207" spans="1:67" ht="12.75">
      <c r="A207" s="1090">
        <v>4</v>
      </c>
      <c r="B207" s="105" t="s">
        <v>622</v>
      </c>
      <c r="C207" s="105" t="s">
        <v>623</v>
      </c>
      <c r="D207" s="139" t="str">
        <f>'THANG B.LUONG'!$B$55</f>
        <v>NV Giao nhận/ Phụ xe</v>
      </c>
      <c r="E207" s="896">
        <v>42808</v>
      </c>
      <c r="F207" s="897">
        <v>2</v>
      </c>
      <c r="G207" s="106">
        <f t="shared" si="423"/>
        <v>2</v>
      </c>
      <c r="H207" s="106">
        <f t="shared" si="424"/>
        <v>5</v>
      </c>
      <c r="I207" s="17">
        <f t="shared" si="425"/>
        <v>11</v>
      </c>
      <c r="J207" s="17">
        <f>VLOOKUP(D207,'THANG B.LUONG'!$B$5:$I$511,F207+1,0)</f>
        <v>4730</v>
      </c>
      <c r="K207" s="17">
        <v>0</v>
      </c>
      <c r="L207" s="17">
        <v>0</v>
      </c>
      <c r="M207" s="17">
        <f t="shared" si="426"/>
        <v>0</v>
      </c>
      <c r="N207" s="17">
        <v>0</v>
      </c>
      <c r="O207" s="17">
        <v>200</v>
      </c>
      <c r="P207" s="17">
        <v>100</v>
      </c>
      <c r="Q207" s="17">
        <v>0</v>
      </c>
      <c r="R207" s="17">
        <v>0</v>
      </c>
      <c r="S207" s="17">
        <v>0</v>
      </c>
      <c r="T207" s="17">
        <v>0</v>
      </c>
      <c r="U207" s="17">
        <v>0</v>
      </c>
      <c r="V207" s="17">
        <f t="shared" si="386"/>
        <v>4930</v>
      </c>
      <c r="W207" s="928">
        <f>VLOOKUP(B207,'Cham cong'!$B$9:$BY$275,35,0)</f>
        <v>26</v>
      </c>
      <c r="X207" s="17">
        <f>VLOOKUP(B207,'Cham cong'!$B$9:$BY$275,37,0)</f>
        <v>0</v>
      </c>
      <c r="Y207" s="17">
        <f>VLOOKUP(B207,'Cham cong'!$B$9:$BY$275,38,0)</f>
        <v>1</v>
      </c>
      <c r="Z207" s="17">
        <f>VLOOKUP(B207,'Cham cong'!$B$9:$BY$275,72,0)</f>
        <v>0</v>
      </c>
      <c r="AA207" s="17">
        <f>VLOOKUP(B207,'Cham cong'!$B$9:$BY$275,71,0)</f>
        <v>0</v>
      </c>
      <c r="AB207" s="17">
        <f>VLOOKUP(B207,'Cham cong'!$B$9:$BY$275,36,0)</f>
        <v>0</v>
      </c>
      <c r="AC207" s="17">
        <f>VLOOKUP(B207,'T08-19'!$A$8:$AZ$62,50,0)</f>
        <v>780</v>
      </c>
      <c r="AD207" s="17">
        <f>VLOOKUP(B207,'T08-19'!$A$8:$AZ$62,4,0)/1000</f>
        <v>154826.66666666672</v>
      </c>
      <c r="AE207" s="17">
        <f>VLOOKUP(B207,'T08-19'!$A$8:$AZ$62,5,0)</f>
        <v>1857.9200000000008</v>
      </c>
      <c r="AF207" s="17">
        <f>VLOOKUP(B207,'T08-19'!$A$8:$AZ$62,51,0)</f>
        <v>0</v>
      </c>
      <c r="AG207" s="17">
        <f>VLOOKUP(B207,'T08-19'!$A$8:$AZ$62,52,0)</f>
        <v>0</v>
      </c>
      <c r="AH207" s="17"/>
      <c r="AI207" s="17"/>
      <c r="AJ207" s="17"/>
      <c r="AK207" s="927">
        <f>V207/'Cham cong'!$AS$3*(W207+Z207/8*2+AA207/8*1.5+AB207*3)+J207/'Cham cong'!$AS$3*(X207+Y207)+AC207+P207+AE207+AG207+AH207+AI207+AJ207</f>
        <v>7849.8430769230781</v>
      </c>
      <c r="AL207" s="17">
        <f t="shared" si="384"/>
        <v>480.58499999999998</v>
      </c>
      <c r="AM207" s="946">
        <v>4577</v>
      </c>
      <c r="AN207" s="938">
        <f>VLOOKUP(B207,'Cham cong'!$B$9:$BY$275,75,0)</f>
        <v>4000</v>
      </c>
      <c r="AO207" s="938"/>
      <c r="AP207" s="962">
        <f t="shared" si="427"/>
        <v>3370</v>
      </c>
      <c r="AQ207" s="1088"/>
      <c r="AR207" s="951">
        <f t="shared" si="396"/>
        <v>7849843.0769230779</v>
      </c>
      <c r="AS207" s="953">
        <f t="shared" si="293"/>
        <v>4577000</v>
      </c>
      <c r="AT207" s="856">
        <f t="shared" si="428"/>
        <v>4000000</v>
      </c>
    </row>
    <row r="208" spans="1:67" ht="12.75">
      <c r="A208" s="895">
        <v>5</v>
      </c>
      <c r="B208" s="105" t="s">
        <v>624</v>
      </c>
      <c r="C208" s="105" t="s">
        <v>625</v>
      </c>
      <c r="D208" s="139" t="str">
        <f>'THANG B.LUONG'!$B$55</f>
        <v>NV Giao nhận/ Phụ xe</v>
      </c>
      <c r="E208" s="896">
        <v>42877</v>
      </c>
      <c r="F208" s="897">
        <v>2</v>
      </c>
      <c r="G208" s="106">
        <f t="shared" si="423"/>
        <v>2</v>
      </c>
      <c r="H208" s="106">
        <f t="shared" si="424"/>
        <v>3</v>
      </c>
      <c r="I208" s="17">
        <f t="shared" si="425"/>
        <v>3</v>
      </c>
      <c r="J208" s="17">
        <f>VLOOKUP(D208,'THANG B.LUONG'!$B$5:$I$511,F208+1,0)</f>
        <v>4730</v>
      </c>
      <c r="K208" s="17">
        <v>0</v>
      </c>
      <c r="L208" s="17">
        <v>0</v>
      </c>
      <c r="M208" s="17">
        <f t="shared" si="426"/>
        <v>0</v>
      </c>
      <c r="N208" s="17">
        <v>0</v>
      </c>
      <c r="O208" s="17">
        <v>200</v>
      </c>
      <c r="P208" s="17">
        <v>100</v>
      </c>
      <c r="Q208" s="17">
        <v>0</v>
      </c>
      <c r="R208" s="17">
        <v>0</v>
      </c>
      <c r="S208" s="17">
        <v>0</v>
      </c>
      <c r="T208" s="17">
        <v>0</v>
      </c>
      <c r="U208" s="17">
        <v>0</v>
      </c>
      <c r="V208" s="17">
        <f t="shared" si="386"/>
        <v>4930</v>
      </c>
      <c r="W208" s="928">
        <f>VLOOKUP(B208,'Cham cong'!$B$9:$BY$275,35,0)</f>
        <v>26</v>
      </c>
      <c r="X208" s="17">
        <f>VLOOKUP(B208,'Cham cong'!$B$9:$BY$275,37,0)</f>
        <v>0</v>
      </c>
      <c r="Y208" s="17">
        <f>VLOOKUP(B208,'Cham cong'!$B$9:$BY$275,38,0)</f>
        <v>1</v>
      </c>
      <c r="Z208" s="17">
        <f>VLOOKUP(B208,'Cham cong'!$B$9:$BY$275,72,0)</f>
        <v>0</v>
      </c>
      <c r="AA208" s="17">
        <f>VLOOKUP(B208,'Cham cong'!$B$9:$BY$275,71,0)</f>
        <v>0</v>
      </c>
      <c r="AB208" s="17">
        <f>VLOOKUP(B208,'Cham cong'!$B$9:$BY$275,36,0)</f>
        <v>0</v>
      </c>
      <c r="AC208" s="17">
        <f>VLOOKUP(B208,'T08-19'!$A$8:$AZ$62,50,0)</f>
        <v>60</v>
      </c>
      <c r="AD208" s="17">
        <f>VLOOKUP(B208,'T08-19'!$A$8:$AZ$62,4,0)/1000</f>
        <v>177481.49999999997</v>
      </c>
      <c r="AE208" s="17">
        <f>VLOOKUP(B208,'T08-19'!$A$8:$AZ$62,5,0)</f>
        <v>2129.7779999999993</v>
      </c>
      <c r="AF208" s="17">
        <f>VLOOKUP(B208,'T08-19'!$A$8:$AZ$62,51,0)</f>
        <v>0</v>
      </c>
      <c r="AG208" s="17">
        <f>VLOOKUP(B208,'T08-19'!$A$8:$AZ$62,52,0)</f>
        <v>0</v>
      </c>
      <c r="AH208" s="17"/>
      <c r="AI208" s="17"/>
      <c r="AJ208" s="17"/>
      <c r="AK208" s="927">
        <f>V208/'Cham cong'!$AS$3*(W208+Z208/8*2+AA208/8*1.5+AB208*3)+J208/'Cham cong'!$AS$3*(X208+Y208)+AC208+P208+AE208+AG208+AH208+AI208+AJ208</f>
        <v>7401.7010769230765</v>
      </c>
      <c r="AL208" s="17">
        <f t="shared" si="384"/>
        <v>480.58499999999998</v>
      </c>
      <c r="AM208" s="946">
        <v>4577</v>
      </c>
      <c r="AN208" s="938">
        <f>VLOOKUP(B208,'Cham cong'!$B$9:$BY$275,75,0)</f>
        <v>3000</v>
      </c>
      <c r="AO208" s="938"/>
      <c r="AP208" s="962">
        <f t="shared" si="427"/>
        <v>3920</v>
      </c>
      <c r="AQ208" s="1088"/>
      <c r="AR208" s="951">
        <f t="shared" si="396"/>
        <v>7401701.0769230761</v>
      </c>
      <c r="AS208" s="953">
        <f t="shared" si="293"/>
        <v>4577000</v>
      </c>
      <c r="AT208" s="856">
        <f t="shared" si="428"/>
        <v>3000000</v>
      </c>
    </row>
    <row r="209" spans="1:65" ht="12.75">
      <c r="A209" s="1090">
        <v>7</v>
      </c>
      <c r="B209" s="105" t="s">
        <v>628</v>
      </c>
      <c r="C209" s="105" t="s">
        <v>629</v>
      </c>
      <c r="D209" s="139" t="str">
        <f>'THANG B.LUONG'!$B$55</f>
        <v>NV Giao nhận/ Phụ xe</v>
      </c>
      <c r="E209" s="896">
        <v>41831</v>
      </c>
      <c r="F209" s="897">
        <v>2</v>
      </c>
      <c r="G209" s="106">
        <f t="shared" si="423"/>
        <v>5</v>
      </c>
      <c r="H209" s="106">
        <f t="shared" si="424"/>
        <v>1</v>
      </c>
      <c r="I209" s="17">
        <f t="shared" si="425"/>
        <v>14</v>
      </c>
      <c r="J209" s="17">
        <f>VLOOKUP(D209,'THANG B.LUONG'!$B$5:$I$511,F209+1,0)</f>
        <v>4730</v>
      </c>
      <c r="K209" s="17">
        <v>0</v>
      </c>
      <c r="L209" s="17">
        <v>0</v>
      </c>
      <c r="M209" s="17">
        <f t="shared" si="426"/>
        <v>236.5</v>
      </c>
      <c r="N209" s="17">
        <v>0</v>
      </c>
      <c r="O209" s="17">
        <v>200</v>
      </c>
      <c r="P209" s="17">
        <v>100</v>
      </c>
      <c r="Q209" s="17">
        <v>0</v>
      </c>
      <c r="R209" s="17">
        <v>0</v>
      </c>
      <c r="S209" s="17">
        <v>0</v>
      </c>
      <c r="T209" s="17">
        <v>0</v>
      </c>
      <c r="U209" s="17">
        <v>0</v>
      </c>
      <c r="V209" s="17">
        <f t="shared" si="386"/>
        <v>5166.5</v>
      </c>
      <c r="W209" s="928">
        <f>VLOOKUP(B209,'Cham cong'!$B$9:$BY$275,35,0)</f>
        <v>26</v>
      </c>
      <c r="X209" s="17">
        <f>VLOOKUP(B209,'Cham cong'!$B$9:$BY$275,37,0)</f>
        <v>0</v>
      </c>
      <c r="Y209" s="17">
        <f>VLOOKUP(B209,'Cham cong'!$B$9:$BY$275,38,0)</f>
        <v>1</v>
      </c>
      <c r="Z209" s="17">
        <f>VLOOKUP(B209,'Cham cong'!$B$9:$BY$275,72,0)</f>
        <v>0</v>
      </c>
      <c r="AA209" s="17">
        <f>VLOOKUP(B209,'Cham cong'!$B$9:$BY$275,71,0)</f>
        <v>0</v>
      </c>
      <c r="AB209" s="17">
        <f>VLOOKUP(B209,'Cham cong'!$B$9:$BY$275,36,0)</f>
        <v>0</v>
      </c>
      <c r="AC209" s="17">
        <f>VLOOKUP(B209,'T08-19'!$A$8:$AZ$62,50,0)</f>
        <v>60</v>
      </c>
      <c r="AD209" s="17">
        <f>VLOOKUP(B209,'T08-19'!$A$8:$AZ$62,4,0)/1000</f>
        <v>177144.91666666663</v>
      </c>
      <c r="AE209" s="17">
        <f>VLOOKUP(B209,'T08-19'!$A$8:$AZ$62,5,0)</f>
        <v>2125.7389999999996</v>
      </c>
      <c r="AF209" s="17">
        <f>VLOOKUP(B209,'T08-19'!$A$8:$AZ$62,51,0)</f>
        <v>0</v>
      </c>
      <c r="AG209" s="17">
        <f>VLOOKUP(B209,'T08-19'!$A$8:$AZ$62,52,0)</f>
        <v>0</v>
      </c>
      <c r="AH209" s="17"/>
      <c r="AI209" s="17"/>
      <c r="AJ209" s="17"/>
      <c r="AK209" s="927">
        <f>V209/'Cham cong'!$AS$3*(W209+Z209/8*2+AA209/8*1.5+AB209*3)+J209/'Cham cong'!$AS$3*(X209+Y209)+AC209+P209+AE209+AG209+AH209+AI209+AJ209</f>
        <v>7634.1620769230767</v>
      </c>
      <c r="AL209" s="17">
        <f t="shared" si="384"/>
        <v>480.58499999999998</v>
      </c>
      <c r="AM209" s="940">
        <v>4577</v>
      </c>
      <c r="AN209" s="938">
        <f>VLOOKUP(B209,'Cham cong'!$B$9:$BY$275,75,0)</f>
        <v>4000</v>
      </c>
      <c r="AO209" s="938"/>
      <c r="AP209" s="962">
        <f t="shared" si="427"/>
        <v>3150</v>
      </c>
      <c r="AQ209" s="1088"/>
      <c r="AR209" s="951">
        <f t="shared" si="396"/>
        <v>7634162.076923077</v>
      </c>
      <c r="AS209" s="953">
        <f t="shared" ref="AS209:AS211" si="429">AM209*1000</f>
        <v>4577000</v>
      </c>
      <c r="AT209" s="856">
        <f t="shared" si="428"/>
        <v>4000000</v>
      </c>
      <c r="BJ209" s="873">
        <v>2860</v>
      </c>
    </row>
    <row r="210" spans="1:65" ht="12.75" hidden="1">
      <c r="A210" s="895">
        <v>8</v>
      </c>
      <c r="B210" s="105" t="s">
        <v>630</v>
      </c>
      <c r="C210" s="105" t="s">
        <v>631</v>
      </c>
      <c r="D210" s="139" t="str">
        <f>'THANG B.LUONG'!$B$55</f>
        <v>NV Giao nhận/ Phụ xe</v>
      </c>
      <c r="E210" s="896">
        <v>43525</v>
      </c>
      <c r="F210" s="897">
        <v>2</v>
      </c>
      <c r="G210" s="106">
        <f t="shared" si="423"/>
        <v>0</v>
      </c>
      <c r="H210" s="106">
        <f t="shared" si="424"/>
        <v>5</v>
      </c>
      <c r="I210" s="17">
        <f t="shared" si="425"/>
        <v>24</v>
      </c>
      <c r="J210" s="17">
        <f>VLOOKUP(D210,'THANG B.LUONG'!$B$5:$I$511,F210+1,0)</f>
        <v>4730</v>
      </c>
      <c r="K210" s="17">
        <v>0</v>
      </c>
      <c r="L210" s="17">
        <v>0</v>
      </c>
      <c r="M210" s="17">
        <f t="shared" si="426"/>
        <v>0</v>
      </c>
      <c r="N210" s="17">
        <v>0</v>
      </c>
      <c r="O210" s="17">
        <v>200</v>
      </c>
      <c r="P210" s="17">
        <v>100</v>
      </c>
      <c r="Q210" s="17">
        <v>0</v>
      </c>
      <c r="R210" s="17">
        <v>0</v>
      </c>
      <c r="S210" s="17">
        <v>0</v>
      </c>
      <c r="T210" s="17">
        <v>0</v>
      </c>
      <c r="U210" s="17">
        <v>0</v>
      </c>
      <c r="V210" s="17">
        <f t="shared" si="386"/>
        <v>4930</v>
      </c>
      <c r="W210" s="928">
        <f>VLOOKUP(B210,'Cham cong'!$B$9:$BY$275,35,0)</f>
        <v>26</v>
      </c>
      <c r="X210" s="17">
        <f>VLOOKUP(B210,'Cham cong'!$B$9:$BY$275,37,0)</f>
        <v>0</v>
      </c>
      <c r="Y210" s="17">
        <f>VLOOKUP(B210,'Cham cong'!$B$9:$BY$275,38,0)</f>
        <v>1</v>
      </c>
      <c r="Z210" s="17">
        <f>VLOOKUP(B210,'Cham cong'!$B$9:$BY$275,72,0)</f>
        <v>0</v>
      </c>
      <c r="AA210" s="17">
        <f>VLOOKUP(B210,'Cham cong'!$B$9:$BY$275,71,0)</f>
        <v>0</v>
      </c>
      <c r="AB210" s="17">
        <f>VLOOKUP(B210,'Cham cong'!$B$9:$BY$275,36,0)</f>
        <v>0</v>
      </c>
      <c r="AC210" s="17">
        <f>VLOOKUP(B210,'T08-19'!$A$8:$AZ$62,50,0)</f>
        <v>480</v>
      </c>
      <c r="AD210" s="17">
        <f>VLOOKUP(B210,'T08-19'!$A$8:$AZ$62,4,0)/1000</f>
        <v>91163.333333333343</v>
      </c>
      <c r="AE210" s="17">
        <f>VLOOKUP(B210,'T08-19'!$A$8:$AZ$62,5,0)</f>
        <v>1093.9600000000003</v>
      </c>
      <c r="AF210" s="17">
        <f>VLOOKUP(B210,'T08-19'!$A$8:$AZ$62,51,0)</f>
        <v>0</v>
      </c>
      <c r="AG210" s="17">
        <f>VLOOKUP(B210,'T08-19'!$A$8:$AZ$62,52,0)</f>
        <v>0</v>
      </c>
      <c r="AH210" s="17"/>
      <c r="AI210" s="17"/>
      <c r="AJ210" s="17"/>
      <c r="AK210" s="927">
        <f>V210/'Cham cong'!$AS$3*(W210+Z210/8*2+AA210/8*1.5+AB210*3)+J210/'Cham cong'!$AS$3*(X210+Y210)+AC210+P210+AE210+AG210+AH210+AI210+AJ210</f>
        <v>6785.8830769230772</v>
      </c>
      <c r="AL210" s="17">
        <f t="shared" si="384"/>
        <v>0</v>
      </c>
      <c r="AM210" s="940">
        <v>0</v>
      </c>
      <c r="AN210" s="938">
        <f>VLOOKUP(B210,'Cham cong'!$B$9:$BY$275,75,0)</f>
        <v>3000</v>
      </c>
      <c r="AO210" s="938"/>
      <c r="AP210" s="962">
        <f t="shared" si="427"/>
        <v>3790</v>
      </c>
      <c r="AQ210" s="1088"/>
      <c r="AR210" s="951">
        <f t="shared" si="396"/>
        <v>6785883.076923077</v>
      </c>
      <c r="AS210" s="953">
        <f t="shared" si="429"/>
        <v>0</v>
      </c>
      <c r="AT210" s="856">
        <f t="shared" si="428"/>
        <v>3000000</v>
      </c>
    </row>
    <row r="211" spans="1:65" ht="12.75">
      <c r="A211" s="895">
        <v>9</v>
      </c>
      <c r="B211" s="105" t="s">
        <v>632</v>
      </c>
      <c r="C211" s="105" t="s">
        <v>633</v>
      </c>
      <c r="D211" s="139" t="str">
        <f>'THANG B.LUONG'!$B$55</f>
        <v>NV Giao nhận/ Phụ xe</v>
      </c>
      <c r="E211" s="896">
        <v>43259</v>
      </c>
      <c r="F211" s="897">
        <v>2</v>
      </c>
      <c r="G211" s="106">
        <f t="shared" si="423"/>
        <v>1</v>
      </c>
      <c r="H211" s="106">
        <f t="shared" si="424"/>
        <v>2</v>
      </c>
      <c r="I211" s="17">
        <f t="shared" si="425"/>
        <v>17</v>
      </c>
      <c r="J211" s="17">
        <f>VLOOKUP(D211,'THANG B.LUONG'!$B$5:$I$511,F211+1,0)</f>
        <v>4730</v>
      </c>
      <c r="K211" s="17">
        <v>0</v>
      </c>
      <c r="L211" s="17">
        <v>0</v>
      </c>
      <c r="M211" s="17">
        <f t="shared" si="426"/>
        <v>0</v>
      </c>
      <c r="N211" s="17">
        <v>0</v>
      </c>
      <c r="O211" s="17">
        <v>200</v>
      </c>
      <c r="P211" s="17">
        <v>100</v>
      </c>
      <c r="Q211" s="17">
        <v>0</v>
      </c>
      <c r="R211" s="17">
        <v>0</v>
      </c>
      <c r="S211" s="17">
        <v>0</v>
      </c>
      <c r="T211" s="17">
        <v>0</v>
      </c>
      <c r="U211" s="17">
        <v>0</v>
      </c>
      <c r="V211" s="17">
        <f t="shared" si="386"/>
        <v>4930</v>
      </c>
      <c r="W211" s="928">
        <f>VLOOKUP(B211,'Cham cong'!$B$9:$BY$275,35,0)</f>
        <v>26</v>
      </c>
      <c r="X211" s="17">
        <f>VLOOKUP(B211,'Cham cong'!$B$9:$BY$275,37,0)</f>
        <v>0</v>
      </c>
      <c r="Y211" s="17">
        <f>VLOOKUP(B211,'Cham cong'!$B$9:$BY$275,38,0)</f>
        <v>1</v>
      </c>
      <c r="Z211" s="17">
        <f>VLOOKUP(B211,'Cham cong'!$B$9:$BY$275,72,0)</f>
        <v>0</v>
      </c>
      <c r="AA211" s="17">
        <f>VLOOKUP(B211,'Cham cong'!$B$9:$BY$275,71,0)</f>
        <v>0</v>
      </c>
      <c r="AB211" s="17">
        <f>VLOOKUP(B211,'Cham cong'!$B$9:$BY$275,36,0)</f>
        <v>0</v>
      </c>
      <c r="AC211" s="17">
        <f>VLOOKUP(B211,'T08-19'!$A$8:$AZ$62,50,0)</f>
        <v>360</v>
      </c>
      <c r="AD211" s="17">
        <f>VLOOKUP(B211,'T08-19'!$A$8:$AZ$62,4,0)/1000</f>
        <v>140661.75000000003</v>
      </c>
      <c r="AE211" s="17">
        <f>VLOOKUP(B211,'T08-19'!$A$8:$AZ$62,5,0)</f>
        <v>1687.9410000000005</v>
      </c>
      <c r="AF211" s="17">
        <f>VLOOKUP(B211,'T08-19'!$A$8:$AZ$62,51,0)</f>
        <v>0</v>
      </c>
      <c r="AG211" s="17">
        <f>VLOOKUP(B211,'T08-19'!$A$8:$AZ$62,52,0)</f>
        <v>0</v>
      </c>
      <c r="AH211" s="17"/>
      <c r="AI211" s="17"/>
      <c r="AJ211" s="17"/>
      <c r="AK211" s="927">
        <f>V211/'Cham cong'!$AS$3*(W211+Z211/8*2+AA211/8*1.5+AB211*3)+J211/'Cham cong'!$AS$3*(X211+Y211)+AC211+P211+AE211+AG211+AH211+AI211+AJ211</f>
        <v>7259.8640769230778</v>
      </c>
      <c r="AL211" s="17">
        <f t="shared" si="384"/>
        <v>480.58499999999998</v>
      </c>
      <c r="AM211" s="946">
        <v>4577</v>
      </c>
      <c r="AN211" s="938">
        <f>VLOOKUP(B211,'Cham cong'!$B$9:$BY$275,75,0)</f>
        <v>0</v>
      </c>
      <c r="AO211" s="938"/>
      <c r="AP211" s="962">
        <f t="shared" si="427"/>
        <v>6780</v>
      </c>
      <c r="AQ211" s="1088"/>
      <c r="AR211" s="951">
        <f t="shared" si="396"/>
        <v>7259864.0769230779</v>
      </c>
      <c r="AS211" s="953">
        <f t="shared" si="429"/>
        <v>4577000</v>
      </c>
      <c r="AT211" s="856">
        <f t="shared" si="428"/>
        <v>0</v>
      </c>
      <c r="BB211" s="875"/>
      <c r="BE211" s="1349">
        <f>AP8</f>
        <v>2090600</v>
      </c>
      <c r="BF211" s="875"/>
      <c r="BG211" s="1350">
        <v>96460000</v>
      </c>
      <c r="BH211" s="1088">
        <f>BG211/1000</f>
        <v>96460</v>
      </c>
      <c r="BK211" s="875">
        <f>AP8*1000</f>
        <v>2090600000</v>
      </c>
      <c r="BL211" s="875">
        <v>243587000</v>
      </c>
      <c r="BM211" s="873" t="s">
        <v>1301</v>
      </c>
    </row>
    <row r="212" spans="1:65" ht="13.5">
      <c r="A212" s="1097"/>
      <c r="B212" s="1099"/>
      <c r="C212" s="1099"/>
      <c r="D212" s="1100"/>
      <c r="E212" s="1101"/>
      <c r="F212" s="1102"/>
      <c r="G212" s="1103"/>
      <c r="H212" s="1103"/>
      <c r="I212" s="1098"/>
      <c r="J212" s="1098"/>
      <c r="K212" s="1098"/>
      <c r="L212" s="1098"/>
      <c r="M212" s="1098"/>
      <c r="N212" s="1098"/>
      <c r="O212" s="1098"/>
      <c r="P212" s="1098"/>
      <c r="Q212" s="1098"/>
      <c r="R212" s="1098"/>
      <c r="S212" s="1098"/>
      <c r="T212" s="1098"/>
      <c r="U212" s="1098"/>
      <c r="V212" s="1109"/>
      <c r="W212" s="1110"/>
      <c r="X212" s="1098"/>
      <c r="Y212" s="1098"/>
      <c r="Z212" s="1098"/>
      <c r="AA212" s="1098"/>
      <c r="AB212" s="1098"/>
      <c r="AC212" s="1098"/>
      <c r="AD212" s="1098"/>
      <c r="AE212" s="1098"/>
      <c r="AF212" s="1098"/>
      <c r="AG212" s="1098"/>
      <c r="AH212" s="1098"/>
      <c r="AI212" s="1098"/>
      <c r="AJ212" s="1098"/>
      <c r="AK212" s="1115">
        <f t="shared" ref="AK212:AP212" si="430">AK9+AK12+AK25+AK29+AK42+AK49+AK55+AK60+AK77+AK79+AK92+AK96+AK107+AK109+AK123+AK125+AK128+AK131+AK138+AK141+AK27</f>
        <v>1811620.2116426274</v>
      </c>
      <c r="AL212" s="1115">
        <f t="shared" si="430"/>
        <v>47715.360000000001</v>
      </c>
      <c r="AM212" s="1115">
        <f t="shared" si="430"/>
        <v>462732</v>
      </c>
      <c r="AN212" s="1115">
        <f t="shared" si="430"/>
        <v>247000</v>
      </c>
      <c r="AO212" s="1115">
        <f t="shared" si="430"/>
        <v>0</v>
      </c>
      <c r="AP212" s="1115">
        <f t="shared" si="430"/>
        <v>1516930</v>
      </c>
      <c r="AQ212" s="1121"/>
      <c r="AR212" s="1121"/>
      <c r="AS212" s="1121"/>
      <c r="AT212" s="1121"/>
      <c r="AX212" s="1088"/>
      <c r="BB212" s="875"/>
      <c r="BE212" s="875">
        <v>353740</v>
      </c>
      <c r="BF212" s="875"/>
      <c r="BG212" s="1350">
        <v>250193000</v>
      </c>
      <c r="BH212" s="1088">
        <f>BG212/1000</f>
        <v>250193</v>
      </c>
      <c r="BL212" s="875">
        <v>152000000</v>
      </c>
      <c r="BM212" s="873" t="s">
        <v>1302</v>
      </c>
    </row>
    <row r="213" spans="1:65" ht="14.25" customHeight="1">
      <c r="A213" s="1097"/>
      <c r="B213" s="1265"/>
      <c r="C213" s="1099"/>
      <c r="D213" s="1103"/>
      <c r="E213" s="1101"/>
      <c r="F213" s="1103"/>
      <c r="G213" s="1103"/>
      <c r="H213" s="1103"/>
      <c r="I213" s="1098"/>
      <c r="J213" s="1098"/>
      <c r="K213" s="1098"/>
      <c r="L213" s="1098"/>
      <c r="M213" s="1098"/>
      <c r="N213" s="1098"/>
      <c r="O213" s="1098"/>
      <c r="P213" s="1098"/>
      <c r="Q213" s="1098"/>
      <c r="R213" s="1098"/>
      <c r="S213" s="1098"/>
      <c r="T213" s="1098"/>
      <c r="U213" s="1098"/>
      <c r="V213" s="1109"/>
      <c r="W213" s="1110"/>
      <c r="X213" s="1098"/>
      <c r="Y213" s="1098"/>
      <c r="Z213" s="1098"/>
      <c r="AA213" s="1098"/>
      <c r="AB213" s="1098"/>
      <c r="AC213" s="1098"/>
      <c r="AD213" s="1098"/>
      <c r="AE213" s="1583" t="s">
        <v>634</v>
      </c>
      <c r="AF213" s="1583"/>
      <c r="AG213" s="1583"/>
      <c r="AH213" s="1583"/>
      <c r="AI213" s="1583"/>
      <c r="AJ213" s="1098"/>
      <c r="AK213" s="1116">
        <f t="shared" ref="AK213:AP213" si="431">AK172+AK185+AK203</f>
        <v>334540.16776923079</v>
      </c>
      <c r="AL213" s="1116">
        <f t="shared" si="431"/>
        <v>13296.359999999999</v>
      </c>
      <c r="AM213" s="1116">
        <f t="shared" si="431"/>
        <v>126632</v>
      </c>
      <c r="AN213" s="1116">
        <f t="shared" si="431"/>
        <v>128500</v>
      </c>
      <c r="AO213" s="1116">
        <f t="shared" si="431"/>
        <v>0</v>
      </c>
      <c r="AP213" s="1116">
        <f t="shared" si="431"/>
        <v>192750</v>
      </c>
      <c r="AS213" s="875">
        <f>AP216*1000</f>
        <v>0</v>
      </c>
      <c r="AX213" s="875"/>
      <c r="BB213" s="875"/>
      <c r="BD213" s="1088"/>
      <c r="BE213" s="1349">
        <f>BE212+BE211+380</f>
        <v>2444720</v>
      </c>
      <c r="BF213" s="875"/>
      <c r="BG213" s="1349">
        <f>SUM(BG211:BG212)</f>
        <v>346653000</v>
      </c>
      <c r="BK213" s="875">
        <f>BK211+BL211+BL212</f>
        <v>2486187000</v>
      </c>
      <c r="BL213" s="875">
        <f>SUM(BL211:BL212)</f>
        <v>395587000</v>
      </c>
      <c r="BM213" s="875">
        <v>400000000</v>
      </c>
    </row>
    <row r="214" spans="1:65" ht="12" customHeight="1">
      <c r="A214" s="1097"/>
      <c r="B214" s="1265"/>
      <c r="C214" s="1099"/>
      <c r="D214" s="1103"/>
      <c r="E214" s="1101"/>
      <c r="F214" s="1103"/>
      <c r="G214" s="1103"/>
      <c r="H214" s="1103"/>
      <c r="I214" s="1098"/>
      <c r="J214" s="1098"/>
      <c r="K214" s="1098"/>
      <c r="L214" s="1098"/>
      <c r="M214" s="1098"/>
      <c r="N214" s="1098"/>
      <c r="O214" s="1098"/>
      <c r="P214" s="1098"/>
      <c r="Q214" s="1098"/>
      <c r="R214" s="1098"/>
      <c r="S214" s="1098"/>
      <c r="T214" s="1098"/>
      <c r="U214" s="1098"/>
      <c r="V214" s="1109"/>
      <c r="W214" s="1110"/>
      <c r="X214" s="1098"/>
      <c r="Y214" s="1098"/>
      <c r="Z214" s="1098"/>
      <c r="AA214" s="1098"/>
      <c r="AB214" s="1098"/>
      <c r="AC214" s="1098"/>
      <c r="AD214" s="1098"/>
      <c r="AE214" s="1583" t="s">
        <v>635</v>
      </c>
      <c r="AF214" s="1583"/>
      <c r="AG214" s="1583"/>
      <c r="AH214" s="1583"/>
      <c r="AI214" s="1583"/>
      <c r="AJ214" s="1098"/>
      <c r="AK214" s="1116">
        <f t="shared" ref="AK214:AU214" si="432">AK151+AK149+AK147</f>
        <v>388933.98461538472</v>
      </c>
      <c r="AL214" s="1116">
        <f t="shared" si="432"/>
        <v>7990.5</v>
      </c>
      <c r="AM214" s="1116">
        <f t="shared" si="432"/>
        <v>76100</v>
      </c>
      <c r="AN214" s="1116">
        <f t="shared" si="432"/>
        <v>0</v>
      </c>
      <c r="AO214" s="1116">
        <f t="shared" si="432"/>
        <v>0</v>
      </c>
      <c r="AP214" s="1116">
        <f>AP151+AP149+AP147</f>
        <v>380920</v>
      </c>
      <c r="AQ214" s="1116">
        <f t="shared" si="432"/>
        <v>0</v>
      </c>
      <c r="AR214" s="1116">
        <f t="shared" si="432"/>
        <v>388933984.6153847</v>
      </c>
      <c r="AS214" s="1116">
        <f t="shared" si="432"/>
        <v>76100000</v>
      </c>
      <c r="AT214" s="1116">
        <f t="shared" si="432"/>
        <v>0</v>
      </c>
      <c r="AU214" s="1116" t="e">
        <f t="shared" si="432"/>
        <v>#REF!</v>
      </c>
      <c r="AV214" s="1116"/>
      <c r="AW214" s="1116"/>
      <c r="AX214" s="875"/>
      <c r="AY214" s="1116">
        <f>AY151+AY149+AY147</f>
        <v>0</v>
      </c>
      <c r="AZ214" s="1116">
        <f>AZ151+AZ149+AZ147</f>
        <v>0</v>
      </c>
      <c r="BB214" s="875"/>
      <c r="BC214" s="875"/>
      <c r="BE214" s="875">
        <f>BG217-BE213</f>
        <v>-134720</v>
      </c>
      <c r="BF214" s="875"/>
      <c r="BG214" s="875">
        <f>BG213/1000</f>
        <v>346653</v>
      </c>
      <c r="BK214" s="875">
        <v>2500000000</v>
      </c>
      <c r="BM214" s="875">
        <f>BM213-BL213</f>
        <v>4413000</v>
      </c>
    </row>
    <row r="215" spans="1:65" ht="12" customHeight="1">
      <c r="A215" s="1097"/>
      <c r="B215" s="1265"/>
      <c r="C215" s="1099"/>
      <c r="D215" s="1103"/>
      <c r="E215" s="1101"/>
      <c r="F215" s="1103"/>
      <c r="G215" s="1103"/>
      <c r="H215" s="1103"/>
      <c r="I215" s="1098"/>
      <c r="J215" s="1098"/>
      <c r="K215" s="1098"/>
      <c r="L215" s="1098"/>
      <c r="M215" s="1098"/>
      <c r="N215" s="1098"/>
      <c r="O215" s="1098"/>
      <c r="P215" s="1098"/>
      <c r="Q215" s="1098"/>
      <c r="R215" s="1098"/>
      <c r="S215" s="1098"/>
      <c r="T215" s="1098"/>
      <c r="U215" s="1098"/>
      <c r="V215" s="1109"/>
      <c r="W215" s="1110"/>
      <c r="X215" s="1098"/>
      <c r="Y215" s="1098"/>
      <c r="Z215" s="1098"/>
      <c r="AA215" s="1098"/>
      <c r="AB215" s="1098"/>
      <c r="AC215" s="1098"/>
      <c r="AD215" s="1098"/>
      <c r="AE215" s="1402"/>
      <c r="AF215" s="1402"/>
      <c r="AG215" s="1402"/>
      <c r="AH215" s="1402"/>
      <c r="AI215" s="1402"/>
      <c r="AJ215" s="1098"/>
      <c r="AK215" s="1116">
        <f>AK213+AK214</f>
        <v>723474.1523846155</v>
      </c>
      <c r="AL215" s="1116">
        <f t="shared" ref="AL215:AP215" si="433">AL213+AL214</f>
        <v>21286.86</v>
      </c>
      <c r="AM215" s="1116">
        <f t="shared" si="433"/>
        <v>202732</v>
      </c>
      <c r="AN215" s="1116">
        <f t="shared" si="433"/>
        <v>128500</v>
      </c>
      <c r="AO215" s="1116">
        <f t="shared" si="433"/>
        <v>0</v>
      </c>
      <c r="AP215" s="1116">
        <f t="shared" si="433"/>
        <v>573670</v>
      </c>
      <c r="AQ215" s="1116"/>
      <c r="AR215" s="1116"/>
      <c r="AS215" s="1116"/>
      <c r="AT215" s="1116"/>
      <c r="AU215" s="1116"/>
      <c r="AV215" s="1116"/>
      <c r="AW215" s="1116"/>
      <c r="AX215" s="875"/>
      <c r="AY215" s="1116"/>
      <c r="AZ215" s="1116"/>
      <c r="BB215" s="875"/>
      <c r="BC215" s="875"/>
      <c r="BE215" s="875"/>
      <c r="BF215" s="875"/>
      <c r="BK215" s="875">
        <f>BK213-BK214</f>
        <v>-13813000</v>
      </c>
    </row>
    <row r="216" spans="1:65" ht="12.75" customHeight="1">
      <c r="A216" s="882"/>
      <c r="B216" s="1567" t="s">
        <v>636</v>
      </c>
      <c r="C216" s="1567"/>
      <c r="D216" s="917"/>
      <c r="E216" s="1104"/>
      <c r="F216" s="917"/>
      <c r="G216" s="1104"/>
      <c r="H216" s="1104"/>
      <c r="I216" s="1104"/>
      <c r="J216" s="1595" t="s">
        <v>637</v>
      </c>
      <c r="K216" s="1595"/>
      <c r="L216" s="1595"/>
      <c r="M216" s="1595"/>
      <c r="N216" s="1595"/>
      <c r="O216" s="1595"/>
      <c r="P216" s="917"/>
      <c r="Q216" s="917"/>
      <c r="R216" s="917"/>
      <c r="S216" s="917" t="s">
        <v>637</v>
      </c>
      <c r="T216" s="917"/>
      <c r="U216" s="917"/>
      <c r="V216" s="917"/>
      <c r="W216" s="1595" t="s">
        <v>638</v>
      </c>
      <c r="X216" s="1595"/>
      <c r="Y216" s="1595"/>
      <c r="Z216" s="1595"/>
      <c r="AA216" s="917"/>
      <c r="AB216" s="917"/>
      <c r="AC216" s="917"/>
      <c r="AD216" s="917"/>
      <c r="AE216" s="917"/>
      <c r="AF216" s="917"/>
      <c r="AG216" s="917"/>
      <c r="AH216" s="917"/>
      <c r="AI216" s="917"/>
      <c r="AJ216" s="917"/>
      <c r="AK216" s="934"/>
      <c r="AL216" s="1567" t="s">
        <v>639</v>
      </c>
      <c r="AM216" s="1567"/>
      <c r="AN216" s="1567"/>
      <c r="AO216" s="880"/>
      <c r="AP216" s="1122"/>
      <c r="AS216" s="875"/>
      <c r="AX216" s="875"/>
      <c r="BA216" s="1126"/>
      <c r="BB216" s="875"/>
      <c r="BC216" s="875"/>
      <c r="BG216" s="1351">
        <v>352000</v>
      </c>
      <c r="BH216" s="1352" t="s">
        <v>1264</v>
      </c>
    </row>
    <row r="217" spans="1:65" s="871" customFormat="1" ht="14.25" customHeight="1">
      <c r="A217" s="882"/>
      <c r="B217" s="1568" t="s">
        <v>640</v>
      </c>
      <c r="C217" s="1568"/>
      <c r="D217" s="1105"/>
      <c r="E217" s="1106"/>
      <c r="F217" s="1105"/>
      <c r="G217" s="1106"/>
      <c r="H217" s="1106"/>
      <c r="I217" s="1106"/>
      <c r="J217" s="1569" t="s">
        <v>641</v>
      </c>
      <c r="K217" s="1569"/>
      <c r="L217" s="1569"/>
      <c r="M217" s="1569"/>
      <c r="N217" s="1569"/>
      <c r="O217" s="1569"/>
      <c r="P217" s="1105"/>
      <c r="Q217" s="1105"/>
      <c r="R217" s="1105"/>
      <c r="S217" s="1105" t="s">
        <v>641</v>
      </c>
      <c r="T217" s="1105"/>
      <c r="U217" s="1105"/>
      <c r="V217" s="1105"/>
      <c r="W217" s="1111" t="s">
        <v>642</v>
      </c>
      <c r="X217" s="1111"/>
      <c r="Y217" s="1111"/>
      <c r="Z217" s="1111"/>
      <c r="AA217" s="1111"/>
      <c r="AB217" s="1111"/>
      <c r="AC217" s="1111"/>
      <c r="AD217" s="1105"/>
      <c r="AE217" s="1105"/>
      <c r="AF217" s="1105"/>
      <c r="AG217" s="1105"/>
      <c r="AH217" s="1105"/>
      <c r="AI217" s="1105"/>
      <c r="AJ217" s="1105"/>
      <c r="AK217" s="1105"/>
      <c r="AL217" s="1568" t="s">
        <v>643</v>
      </c>
      <c r="AM217" s="1568"/>
      <c r="AN217" s="1568"/>
      <c r="AO217" s="1123"/>
      <c r="AP217" s="1123"/>
      <c r="AR217" s="1124"/>
      <c r="AS217" s="1125"/>
      <c r="AU217" s="1125"/>
      <c r="AV217" s="1125"/>
      <c r="AW217" s="1125"/>
      <c r="AY217" s="1125"/>
      <c r="BA217" s="1127"/>
      <c r="BB217" s="1125"/>
      <c r="BC217" s="1127"/>
      <c r="BE217" s="1127">
        <f>BE211+BH222+380</f>
        <v>2444733</v>
      </c>
      <c r="BF217" s="1127">
        <f>BG217-BE217</f>
        <v>-134733</v>
      </c>
      <c r="BG217" s="1125">
        <v>2310000</v>
      </c>
      <c r="BK217" s="1125"/>
      <c r="BL217" s="1125"/>
      <c r="BM217" s="1127">
        <f>BM214+BK215</f>
        <v>-9400000</v>
      </c>
    </row>
    <row r="218" spans="1:65">
      <c r="A218" s="882"/>
      <c r="B218" s="1251"/>
      <c r="C218" s="880"/>
      <c r="D218" s="917"/>
      <c r="E218" s="1104"/>
      <c r="F218" s="917"/>
      <c r="G218" s="1104"/>
      <c r="H218" s="1104"/>
      <c r="I218" s="1104"/>
      <c r="J218" s="917"/>
      <c r="K218" s="917"/>
      <c r="L218" s="917"/>
      <c r="M218" s="917"/>
      <c r="N218" s="917"/>
      <c r="O218" s="917"/>
      <c r="P218" s="917"/>
      <c r="Q218" s="917"/>
      <c r="R218" s="917"/>
      <c r="S218" s="917"/>
      <c r="T218" s="917"/>
      <c r="U218" s="917"/>
      <c r="V218" s="917"/>
      <c r="W218" s="923"/>
      <c r="X218" s="917"/>
      <c r="Y218" s="917"/>
      <c r="Z218" s="917"/>
      <c r="AA218" s="917"/>
      <c r="AB218" s="917"/>
      <c r="AC218" s="917"/>
      <c r="AD218" s="917"/>
      <c r="AE218" s="917"/>
      <c r="AF218" s="917"/>
      <c r="AG218" s="917"/>
      <c r="AH218" s="917"/>
      <c r="AI218" s="917"/>
      <c r="AJ218" s="917"/>
      <c r="AK218" s="934"/>
      <c r="AL218" s="880"/>
      <c r="AM218" s="880"/>
      <c r="AN218" s="917"/>
      <c r="AO218" s="880"/>
      <c r="AP218" s="885"/>
      <c r="AS218" s="1088"/>
      <c r="BB218" s="875"/>
      <c r="BF218" s="1088"/>
      <c r="BG218" s="875">
        <f>BG217-BF217</f>
        <v>2444733</v>
      </c>
    </row>
    <row r="219" spans="1:65">
      <c r="D219" s="875"/>
      <c r="E219" s="1107"/>
      <c r="F219" s="875"/>
      <c r="G219" s="1107"/>
      <c r="H219" s="1107"/>
      <c r="I219" s="1107"/>
      <c r="AL219" s="873"/>
      <c r="AM219" s="873"/>
      <c r="AO219" s="873"/>
      <c r="AP219" s="865"/>
      <c r="BM219" s="1088"/>
    </row>
    <row r="220" spans="1:65">
      <c r="D220" s="875"/>
      <c r="E220" s="1107"/>
      <c r="F220" s="875"/>
      <c r="G220" s="1107"/>
      <c r="H220" s="1107"/>
      <c r="I220" s="1107"/>
      <c r="AL220" s="873"/>
      <c r="AM220" s="873"/>
      <c r="AO220" s="873"/>
      <c r="AP220" s="865"/>
      <c r="BF220" s="1341" t="s">
        <v>1266</v>
      </c>
      <c r="BG220" s="1345">
        <v>103560000</v>
      </c>
      <c r="BH220" s="1345">
        <v>103560000</v>
      </c>
      <c r="BI220" s="1088">
        <f>BH220/1000</f>
        <v>103560</v>
      </c>
      <c r="BM220" s="875"/>
    </row>
    <row r="221" spans="1:65">
      <c r="D221" s="875"/>
      <c r="E221" s="1107"/>
      <c r="F221" s="875"/>
      <c r="G221" s="1107"/>
      <c r="H221" s="1107"/>
      <c r="I221" s="1107"/>
      <c r="AL221" s="873"/>
      <c r="AM221" s="873"/>
      <c r="AO221" s="873"/>
      <c r="AP221" s="865"/>
      <c r="BF221" s="1341" t="s">
        <v>1265</v>
      </c>
      <c r="BG221" s="1350">
        <f>BG212</f>
        <v>250193000</v>
      </c>
      <c r="BH221" s="1345">
        <v>250193000</v>
      </c>
      <c r="BI221" s="1088">
        <f>BH221/1000</f>
        <v>250193</v>
      </c>
      <c r="BM221" s="875"/>
    </row>
    <row r="222" spans="1:65">
      <c r="D222" s="875"/>
      <c r="E222" s="1107"/>
      <c r="F222" s="875"/>
      <c r="G222" s="1107"/>
      <c r="H222" s="1107"/>
      <c r="I222" s="1107"/>
      <c r="AL222" s="873"/>
      <c r="AM222" s="873"/>
      <c r="AO222" s="873"/>
      <c r="BF222" s="1341" t="s">
        <v>1267</v>
      </c>
      <c r="BG222" s="1349">
        <f>SUM(BG220:BG221)</f>
        <v>353753000</v>
      </c>
      <c r="BH222" s="1088">
        <f>BG222/1000</f>
        <v>353753</v>
      </c>
    </row>
    <row r="223" spans="1:65">
      <c r="D223" s="875"/>
      <c r="E223" s="1107"/>
      <c r="F223" s="875"/>
      <c r="G223" s="1107"/>
      <c r="H223" s="1107"/>
      <c r="I223" s="1107"/>
      <c r="AL223" s="873"/>
      <c r="AM223" s="873"/>
      <c r="AO223" s="873"/>
      <c r="AP223" s="865"/>
      <c r="BF223" s="1341" t="s">
        <v>1268</v>
      </c>
      <c r="BG223" s="875">
        <v>353740000</v>
      </c>
    </row>
    <row r="224" spans="1:65">
      <c r="D224" s="875"/>
      <c r="E224" s="1107"/>
      <c r="F224" s="875"/>
      <c r="G224" s="1107"/>
      <c r="H224" s="1107"/>
      <c r="I224" s="1107"/>
      <c r="AL224" s="873"/>
      <c r="AM224" s="873"/>
      <c r="AO224" s="873"/>
      <c r="AP224" s="865"/>
      <c r="BF224" s="1353" t="s">
        <v>1269</v>
      </c>
      <c r="BG224" s="1354">
        <f>BG222-BG223</f>
        <v>13000</v>
      </c>
      <c r="BH224" s="1088">
        <f>BG224/1000</f>
        <v>13</v>
      </c>
      <c r="BI224" s="1088">
        <f>BG218+BH224</f>
        <v>2444746</v>
      </c>
    </row>
    <row r="225" spans="4:60" ht="14.25" customHeight="1">
      <c r="D225" s="875"/>
      <c r="E225" s="1107"/>
      <c r="F225" s="875"/>
      <c r="G225" s="1107"/>
      <c r="H225" s="1107"/>
      <c r="I225" s="1107"/>
      <c r="AL225" s="873"/>
      <c r="AM225" s="873"/>
      <c r="AO225" s="873"/>
      <c r="AP225" s="865"/>
      <c r="BE225" s="1566" t="s">
        <v>1270</v>
      </c>
      <c r="BF225" s="1566"/>
      <c r="BG225" s="875">
        <v>378000</v>
      </c>
    </row>
    <row r="226" spans="4:60">
      <c r="E226" s="1107"/>
      <c r="F226" s="875"/>
      <c r="G226" s="1107"/>
      <c r="H226" s="1107"/>
      <c r="AL226" s="873"/>
      <c r="AM226" s="873"/>
      <c r="AO226" s="873"/>
      <c r="AP226" s="865"/>
      <c r="BF226" s="1353" t="s">
        <v>1271</v>
      </c>
      <c r="BH226" s="1088"/>
    </row>
    <row r="227" spans="4:60">
      <c r="AL227" s="873"/>
      <c r="AM227" s="873"/>
      <c r="AO227" s="873"/>
      <c r="AP227" s="865"/>
      <c r="BG227" s="873"/>
    </row>
    <row r="228" spans="4:60">
      <c r="BG228" s="873"/>
    </row>
  </sheetData>
  <sheetProtection formatCells="0" formatColumns="0" formatRows="0" insertColumns="0" insertRows="0" insertHyperlinks="0" deleteColumns="0" deleteRows="0" sort="0" autoFilter="0" pivotTables="0"/>
  <autoFilter ref="A5:AQ218">
    <filterColumn colId="38">
      <filters blank="1">
        <filter val="10,200"/>
        <filter val="10,300"/>
        <filter val="11,900"/>
        <filter val="126,632"/>
        <filter val="15,400"/>
        <filter val="18,300"/>
        <filter val="20,200"/>
        <filter val="202,732"/>
        <filter val="22,700"/>
        <filter val="25,800"/>
        <filter val="32,562"/>
        <filter val="33,854"/>
        <filter val="38,900"/>
        <filter val="39,277"/>
        <filter val="4,577"/>
        <filter val="4,800"/>
        <filter val="45,770"/>
        <filter val="462,732"/>
        <filter val="48,300"/>
        <filter val="5,000"/>
        <filter val="5,100"/>
        <filter val="5,500"/>
        <filter val="51,677"/>
        <filter val="57,700"/>
        <filter val="60,024"/>
        <filter val="63,000"/>
        <filter val="76,100"/>
        <filter val="8,300"/>
        <filter val="9,600"/>
      </filters>
    </filterColumn>
  </autoFilter>
  <mergeCells count="54">
    <mergeCell ref="T6:T7"/>
    <mergeCell ref="U6:U7"/>
    <mergeCell ref="V5:V7"/>
    <mergeCell ref="W5:W7"/>
    <mergeCell ref="J216:O216"/>
    <mergeCell ref="W216:Z216"/>
    <mergeCell ref="AE213:AI213"/>
    <mergeCell ref="AE214:AI214"/>
    <mergeCell ref="A2:C2"/>
    <mergeCell ref="AA3:AB3"/>
    <mergeCell ref="G5:I5"/>
    <mergeCell ref="K5:N5"/>
    <mergeCell ref="O5:U5"/>
    <mergeCell ref="Z5:Z7"/>
    <mergeCell ref="AA5:AA7"/>
    <mergeCell ref="AB5:AB7"/>
    <mergeCell ref="P6:P7"/>
    <mergeCell ref="Q6:Q7"/>
    <mergeCell ref="R6:R7"/>
    <mergeCell ref="S6:S7"/>
    <mergeCell ref="X5:X7"/>
    <mergeCell ref="Y5:Y7"/>
    <mergeCell ref="B217:C217"/>
    <mergeCell ref="J217:O217"/>
    <mergeCell ref="AL217:AN217"/>
    <mergeCell ref="A5:A7"/>
    <mergeCell ref="B5:B7"/>
    <mergeCell ref="C5:C7"/>
    <mergeCell ref="D5:D7"/>
    <mergeCell ref="E5:E7"/>
    <mergeCell ref="F5:F7"/>
    <mergeCell ref="J5:J7"/>
    <mergeCell ref="K6:K7"/>
    <mergeCell ref="L6:L7"/>
    <mergeCell ref="M6:M7"/>
    <mergeCell ref="N6:N7"/>
    <mergeCell ref="O6:O7"/>
    <mergeCell ref="B216:C216"/>
    <mergeCell ref="AC5:AC7"/>
    <mergeCell ref="AD5:AD7"/>
    <mergeCell ref="AE5:AE7"/>
    <mergeCell ref="AF5:AF7"/>
    <mergeCell ref="AG5:AG7"/>
    <mergeCell ref="AM5:AM7"/>
    <mergeCell ref="AN5:AN7"/>
    <mergeCell ref="AO5:AO7"/>
    <mergeCell ref="BE225:BF225"/>
    <mergeCell ref="AP5:AP7"/>
    <mergeCell ref="AL216:AN216"/>
    <mergeCell ref="AH5:AH7"/>
    <mergeCell ref="AI5:AI7"/>
    <mergeCell ref="AJ5:AJ7"/>
    <mergeCell ref="AK5:AK7"/>
    <mergeCell ref="AL5:AL7"/>
  </mergeCells>
  <printOptions horizontalCentered="1"/>
  <pageMargins left="0" right="0" top="0" bottom="0" header="0.31458333333333299" footer="0.31458333333333299"/>
  <pageSetup paperSize="9" scale="80" fitToWidth="0" orientation="landscape" verticalDpi="300" r:id="rId1"/>
  <headerFooter alignWithMargins="0"/>
  <ignoredErrors>
    <ignoredError sqref="V155 V70 V65 V88 V90 V165"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29"/>
  <sheetViews>
    <sheetView workbookViewId="0">
      <selection activeCell="B5" sqref="B5:E10"/>
    </sheetView>
  </sheetViews>
  <sheetFormatPr defaultRowHeight="14.25"/>
  <cols>
    <col min="3" max="3" width="22.28515625" customWidth="1"/>
    <col min="4" max="4" width="26.5703125" customWidth="1"/>
    <col min="5" max="5" width="11.85546875" style="1521" customWidth="1"/>
  </cols>
  <sheetData>
    <row r="5" spans="2:5">
      <c r="B5" s="89">
        <v>1</v>
      </c>
      <c r="C5" s="89" t="s">
        <v>286</v>
      </c>
      <c r="D5" s="89" t="s">
        <v>53</v>
      </c>
      <c r="E5" s="1522">
        <v>43253</v>
      </c>
    </row>
    <row r="6" spans="2:5">
      <c r="B6" s="89">
        <v>2</v>
      </c>
      <c r="C6" s="89" t="s">
        <v>423</v>
      </c>
      <c r="D6" s="89" t="s">
        <v>188</v>
      </c>
      <c r="E6" s="1522">
        <v>43528</v>
      </c>
    </row>
    <row r="7" spans="2:5">
      <c r="B7" s="89">
        <v>3</v>
      </c>
      <c r="C7" s="89" t="s">
        <v>469</v>
      </c>
      <c r="D7" s="89" t="s">
        <v>191</v>
      </c>
      <c r="E7" s="1522">
        <v>43535</v>
      </c>
    </row>
    <row r="8" spans="2:5">
      <c r="B8" s="89">
        <v>4</v>
      </c>
      <c r="C8" s="89" t="s">
        <v>550</v>
      </c>
      <c r="D8" s="89" t="s">
        <v>551</v>
      </c>
      <c r="E8" s="1522">
        <v>43539</v>
      </c>
    </row>
    <row r="9" spans="2:5">
      <c r="B9" s="89">
        <v>5</v>
      </c>
      <c r="C9" s="89" t="s">
        <v>574</v>
      </c>
      <c r="D9" s="89" t="s">
        <v>53</v>
      </c>
      <c r="E9" s="1522">
        <v>43358</v>
      </c>
    </row>
    <row r="10" spans="2:5">
      <c r="B10" s="89">
        <v>6</v>
      </c>
      <c r="C10" s="89" t="s">
        <v>601</v>
      </c>
      <c r="D10" s="89" t="s">
        <v>602</v>
      </c>
      <c r="E10" s="1522">
        <v>43358</v>
      </c>
    </row>
    <row r="24" spans="4:7">
      <c r="D24" s="301"/>
      <c r="E24" s="1520"/>
      <c r="F24" s="301"/>
      <c r="G24" s="1520"/>
    </row>
    <row r="25" spans="4:7">
      <c r="D25" s="301"/>
      <c r="E25" s="1520"/>
      <c r="F25" s="301"/>
      <c r="G25" s="1520"/>
    </row>
    <row r="26" spans="4:7">
      <c r="D26" s="301"/>
      <c r="E26" s="1520"/>
      <c r="F26" s="301"/>
      <c r="G26" s="1520"/>
    </row>
    <row r="27" spans="4:7">
      <c r="D27" s="301"/>
      <c r="E27" s="1520"/>
      <c r="F27" s="301"/>
      <c r="G27" s="1520"/>
    </row>
    <row r="28" spans="4:7">
      <c r="D28" s="301"/>
      <c r="E28" s="1520"/>
      <c r="F28" s="301"/>
      <c r="G28" s="1520"/>
    </row>
    <row r="29" spans="4:7">
      <c r="D29" s="301"/>
      <c r="E29" s="1520"/>
      <c r="F29" s="301"/>
      <c r="G29" s="15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212"/>
  <sheetViews>
    <sheetView topLeftCell="A3575" zoomScale="130" zoomScaleNormal="130" workbookViewId="0">
      <selection activeCell="A3589" sqref="A3589:L3615"/>
    </sheetView>
  </sheetViews>
  <sheetFormatPr defaultColWidth="9.140625" defaultRowHeight="9.1999999999999993" customHeight="1"/>
  <cols>
    <col min="1" max="1" width="2.140625" style="690" customWidth="1"/>
    <col min="2" max="2" width="11.28515625" style="690" customWidth="1"/>
    <col min="3" max="3" width="12.42578125" style="689" customWidth="1"/>
    <col min="4" max="4" width="1.28515625" style="689" customWidth="1"/>
    <col min="5" max="5" width="5.5703125" style="689" customWidth="1"/>
    <col min="6" max="6" width="18.42578125" style="689" customWidth="1"/>
    <col min="7" max="7" width="3.42578125" style="689" customWidth="1"/>
    <col min="8" max="8" width="5.42578125" style="689" customWidth="1"/>
    <col min="9" max="9" width="7.7109375" style="689" customWidth="1"/>
    <col min="10" max="10" width="7.85546875" style="689" customWidth="1"/>
    <col min="11" max="11" width="10.7109375" style="689" customWidth="1"/>
    <col min="12" max="12" width="16.5703125" style="694" customWidth="1"/>
    <col min="13" max="13" width="9.140625" style="690"/>
    <col min="14" max="14" width="15.5703125" style="695" customWidth="1"/>
    <col min="15" max="15" width="17.85546875" style="695" customWidth="1"/>
    <col min="16" max="16" width="16.42578125" style="695" customWidth="1"/>
    <col min="17" max="23" width="9.140625" style="695"/>
    <col min="24" max="24" width="9.42578125" style="695" customWidth="1"/>
    <col min="25" max="25" width="9.140625" style="695"/>
    <col min="26" max="26" width="9.28515625" style="695" customWidth="1"/>
    <col min="27" max="28" width="9.140625" style="695"/>
    <col min="29" max="29" width="9.28515625" style="695" customWidth="1"/>
    <col min="30" max="16384" width="9.140625" style="695"/>
  </cols>
  <sheetData>
    <row r="1" spans="1:29" ht="9.1999999999999993" customHeight="1">
      <c r="K1" s="721">
        <f>SUBTOTAL(9,K3:K5444)</f>
        <v>2085120</v>
      </c>
      <c r="L1" s="721">
        <v>2049480</v>
      </c>
    </row>
    <row r="2" spans="1:29" ht="9.1999999999999993" customHeight="1">
      <c r="C2" s="696"/>
      <c r="D2" s="696"/>
      <c r="E2" s="697" t="s">
        <v>1322</v>
      </c>
      <c r="F2" s="698"/>
      <c r="G2" s="698"/>
      <c r="H2" s="698"/>
      <c r="K2" s="721"/>
      <c r="L2" s="722">
        <f>K1-L1</f>
        <v>35640</v>
      </c>
    </row>
    <row r="3" spans="1:29" ht="9.1999999999999993" customHeight="1">
      <c r="B3" s="699" t="s">
        <v>644</v>
      </c>
      <c r="C3" s="700" t="s">
        <v>264</v>
      </c>
      <c r="D3" s="701"/>
      <c r="F3" s="702" t="s">
        <v>645</v>
      </c>
      <c r="G3" s="689" t="str">
        <f>VLOOKUP(C3,'Luong VP'!$B$10:$AP$189,2,0)</f>
        <v xml:space="preserve"> Ngô Pa Ri </v>
      </c>
      <c r="K3" s="723"/>
      <c r="L3" s="724"/>
    </row>
    <row r="4" spans="1:29" ht="9.1999999999999993" customHeight="1">
      <c r="B4" s="699" t="s">
        <v>646</v>
      </c>
      <c r="C4" s="689" t="str">
        <f>VLOOKUP(C3,'Luong VP'!$B$10:$AP$189,3,0)</f>
        <v>CHỦ TỊCH</v>
      </c>
      <c r="F4" s="702" t="s">
        <v>647</v>
      </c>
      <c r="G4" s="689">
        <f>VLOOKUP(C3,'Luong VP'!$B$10:$AP$189,5,0)</f>
        <v>2</v>
      </c>
    </row>
    <row r="5" spans="1:29" ht="9.1999999999999993" customHeight="1">
      <c r="B5" s="703"/>
      <c r="C5" s="704"/>
      <c r="D5" s="705"/>
      <c r="F5" s="706" t="s">
        <v>648</v>
      </c>
      <c r="G5" s="706"/>
      <c r="H5" s="706"/>
      <c r="I5" s="725"/>
      <c r="J5" s="726"/>
    </row>
    <row r="6" spans="1:29" ht="9.1999999999999993" customHeight="1">
      <c r="A6" s="707" t="s">
        <v>216</v>
      </c>
      <c r="B6" s="707" t="s">
        <v>649</v>
      </c>
      <c r="C6" s="708" t="s">
        <v>650</v>
      </c>
      <c r="D6" s="709"/>
      <c r="E6" s="710" t="s">
        <v>216</v>
      </c>
      <c r="F6" s="711" t="s">
        <v>649</v>
      </c>
      <c r="G6" s="710"/>
      <c r="H6" s="710" t="s">
        <v>651</v>
      </c>
      <c r="I6" s="727" t="s">
        <v>652</v>
      </c>
      <c r="J6" s="714"/>
      <c r="L6" s="694" t="s">
        <v>653</v>
      </c>
    </row>
    <row r="7" spans="1:29" ht="9.1999999999999993" customHeight="1">
      <c r="A7" s="712">
        <v>1</v>
      </c>
      <c r="B7" s="713" t="s">
        <v>654</v>
      </c>
      <c r="C7" s="714">
        <f>VLOOKUP(C3,'Luong VP'!$B$10:$AP$189,9,0)</f>
        <v>104000</v>
      </c>
      <c r="D7" s="715"/>
      <c r="E7" s="710" t="s">
        <v>655</v>
      </c>
      <c r="F7" s="716" t="s">
        <v>656</v>
      </c>
      <c r="G7" s="710"/>
      <c r="H7" s="710"/>
      <c r="I7" s="727"/>
      <c r="J7" s="714">
        <f>VLOOKUP(C3,'Luong VP'!$B$10:$AP$189,21,0)</f>
        <v>132600</v>
      </c>
      <c r="W7" s="738" t="s">
        <v>657</v>
      </c>
    </row>
    <row r="8" spans="1:29" ht="9.1999999999999993" customHeight="1">
      <c r="A8" s="712">
        <v>2</v>
      </c>
      <c r="B8" s="713" t="s">
        <v>658</v>
      </c>
      <c r="C8" s="714"/>
      <c r="D8" s="717"/>
      <c r="E8" s="710">
        <v>1</v>
      </c>
      <c r="F8" s="718" t="s">
        <v>659</v>
      </c>
      <c r="G8" s="718"/>
      <c r="H8" s="710" t="s">
        <v>660</v>
      </c>
      <c r="I8" s="727">
        <f>VLOOKUP(C3,'Luong VP'!$B$10:$AP$189,22,0)</f>
        <v>26</v>
      </c>
      <c r="J8" s="728">
        <f>J7/'Cham cong'!$AS$3*I8</f>
        <v>132600</v>
      </c>
    </row>
    <row r="9" spans="1:29" ht="9.1999999999999993" customHeight="1">
      <c r="A9" s="712">
        <v>3</v>
      </c>
      <c r="B9" s="713" t="s">
        <v>661</v>
      </c>
      <c r="C9" s="714">
        <f>VLOOKUP(C3,'Luong VP'!$B$10:$AP$189,10,0)</f>
        <v>0</v>
      </c>
      <c r="D9" s="717"/>
      <c r="E9" s="710">
        <v>2</v>
      </c>
      <c r="F9" s="718" t="s">
        <v>662</v>
      </c>
      <c r="G9" s="718"/>
      <c r="H9" s="710" t="s">
        <v>660</v>
      </c>
      <c r="I9" s="727">
        <f>VLOOKUP(C3,'Luong VP'!$B$10:$AP$189,27,0)</f>
        <v>0</v>
      </c>
      <c r="J9" s="728">
        <f>J7/'Cham cong'!$AS$3*I9*3</f>
        <v>0</v>
      </c>
      <c r="W9" s="739" t="s">
        <v>663</v>
      </c>
      <c r="X9" s="740" t="s">
        <v>664</v>
      </c>
      <c r="Y9" s="740" t="s">
        <v>665</v>
      </c>
    </row>
    <row r="10" spans="1:29" ht="9.1999999999999993" customHeight="1">
      <c r="A10" s="712">
        <v>4</v>
      </c>
      <c r="B10" s="713" t="s">
        <v>666</v>
      </c>
      <c r="C10" s="714">
        <f>VLOOKUP(C3,'Luong VP'!$B$10:$AP$189,11,0)</f>
        <v>8000</v>
      </c>
      <c r="D10" s="717"/>
      <c r="E10" s="710">
        <v>3</v>
      </c>
      <c r="F10" s="718" t="s">
        <v>667</v>
      </c>
      <c r="G10" s="718"/>
      <c r="H10" s="710" t="s">
        <v>668</v>
      </c>
      <c r="I10" s="727">
        <f>VLOOKUP(C3,'Luong VP'!$B$10:$AP$189,26,0)</f>
        <v>0</v>
      </c>
      <c r="J10" s="728">
        <f>J7/'Cham cong'!$AS$3*I10/8*1.5</f>
        <v>0</v>
      </c>
      <c r="W10" s="741" t="s">
        <v>669</v>
      </c>
      <c r="X10" s="742" t="e">
        <f>#REF!*1000</f>
        <v>#REF!</v>
      </c>
      <c r="Y10" s="741"/>
    </row>
    <row r="11" spans="1:29" ht="9.1999999999999993" customHeight="1">
      <c r="A11" s="712">
        <v>5</v>
      </c>
      <c r="B11" s="713" t="s">
        <v>670</v>
      </c>
      <c r="C11" s="714">
        <f>VLOOKUP(C3,'Luong VP'!$B$10:$AP$189,12,0)</f>
        <v>15600</v>
      </c>
      <c r="D11" s="717"/>
      <c r="E11" s="710">
        <v>4</v>
      </c>
      <c r="F11" s="718" t="s">
        <v>671</v>
      </c>
      <c r="G11" s="718"/>
      <c r="H11" s="710" t="s">
        <v>668</v>
      </c>
      <c r="I11" s="727">
        <f>VLOOKUP(C3,'Luong VP'!$B$10:$AP$189,25,0)</f>
        <v>0</v>
      </c>
      <c r="J11" s="728">
        <f>J7/'Cham cong'!$AS$3*I11/8*2</f>
        <v>0</v>
      </c>
      <c r="W11" s="743" t="s">
        <v>672</v>
      </c>
      <c r="X11" s="742" t="e">
        <f>#REF!*1000</f>
        <v>#REF!</v>
      </c>
      <c r="Y11" s="741"/>
    </row>
    <row r="12" spans="1:29" s="688" customFormat="1" ht="9.1999999999999993" customHeight="1">
      <c r="A12" s="712">
        <v>6</v>
      </c>
      <c r="B12" s="713" t="s">
        <v>673</v>
      </c>
      <c r="C12" s="714">
        <f>VLOOKUP(C3,'Luong VP'!$B$10:$AP$189,13,0)</f>
        <v>0</v>
      </c>
      <c r="D12" s="717"/>
      <c r="E12" s="710">
        <v>5</v>
      </c>
      <c r="F12" s="718" t="s">
        <v>674</v>
      </c>
      <c r="G12" s="718"/>
      <c r="H12" s="710" t="s">
        <v>660</v>
      </c>
      <c r="I12" s="727">
        <f>VLOOKUP(C3,'Luong VP'!$B$10:$AP$189,23,0)</f>
        <v>0</v>
      </c>
      <c r="J12" s="728">
        <f>C7/'Cham cong'!$AS$3*I12</f>
        <v>0</v>
      </c>
      <c r="K12" s="689"/>
      <c r="L12" s="694" t="str">
        <f>G3</f>
        <v xml:space="preserve"> Ngô Pa Ri </v>
      </c>
      <c r="M12" s="690"/>
      <c r="V12" s="695"/>
      <c r="W12" s="741" t="s">
        <v>675</v>
      </c>
      <c r="X12" s="742">
        <v>100000</v>
      </c>
      <c r="Y12" s="741"/>
      <c r="Z12" s="695"/>
      <c r="AA12" s="695"/>
      <c r="AB12" s="695"/>
      <c r="AC12" s="695"/>
    </row>
    <row r="13" spans="1:29" ht="9.1999999999999993" customHeight="1">
      <c r="A13" s="712">
        <v>7</v>
      </c>
      <c r="B13" s="713" t="s">
        <v>676</v>
      </c>
      <c r="C13" s="714"/>
      <c r="D13" s="717"/>
      <c r="E13" s="710">
        <v>6</v>
      </c>
      <c r="F13" s="718" t="s">
        <v>677</v>
      </c>
      <c r="G13" s="718"/>
      <c r="H13" s="710" t="s">
        <v>660</v>
      </c>
      <c r="I13" s="727">
        <f>VLOOKUP(C3,'Luong VP'!$B$10:$AP$189,24,0)</f>
        <v>1</v>
      </c>
      <c r="J13" s="714">
        <f>C7/'Cham cong'!$AS$3*I13</f>
        <v>4000</v>
      </c>
      <c r="W13" s="739" t="s">
        <v>678</v>
      </c>
      <c r="X13" s="744" t="e">
        <f>SUM(X10:X12)</f>
        <v>#REF!</v>
      </c>
      <c r="Y13" s="741"/>
    </row>
    <row r="14" spans="1:29" ht="9.1999999999999993" customHeight="1">
      <c r="A14" s="712">
        <v>8</v>
      </c>
      <c r="B14" s="713" t="s">
        <v>679</v>
      </c>
      <c r="C14" s="714">
        <f>VLOOKUP(C3,'Luong VP'!$B$10:$AP$189,14,0)</f>
        <v>1000</v>
      </c>
      <c r="D14" s="717"/>
      <c r="E14" s="710">
        <v>7</v>
      </c>
      <c r="F14" s="718" t="s">
        <v>680</v>
      </c>
      <c r="G14" s="718"/>
      <c r="H14" s="718"/>
      <c r="I14" s="729"/>
      <c r="J14" s="714">
        <f>VLOOKUP(C3,'Luong VP'!$B$10:$AP$189,28,0)</f>
        <v>0</v>
      </c>
      <c r="W14" s="739" t="s">
        <v>681</v>
      </c>
      <c r="X14" s="745">
        <v>281595000</v>
      </c>
      <c r="Y14" s="741" t="s">
        <v>682</v>
      </c>
    </row>
    <row r="15" spans="1:29" ht="9.1999999999999993" customHeight="1">
      <c r="A15" s="712">
        <v>9</v>
      </c>
      <c r="B15" s="713" t="s">
        <v>683</v>
      </c>
      <c r="C15" s="714">
        <f>VLOOKUP(C3,'Luong VP'!$B$10:$AP$189,15,0)</f>
        <v>2000</v>
      </c>
      <c r="D15" s="717"/>
      <c r="E15" s="710">
        <v>8</v>
      </c>
      <c r="F15" s="718" t="s">
        <v>238</v>
      </c>
      <c r="G15" s="718"/>
      <c r="H15" s="718"/>
      <c r="I15" s="729"/>
      <c r="J15" s="714">
        <f>VLOOKUP(C3,'Luong VP'!$B$10:$AP$189,33,0)</f>
        <v>0</v>
      </c>
      <c r="W15" s="739"/>
      <c r="X15" s="742">
        <v>159252611</v>
      </c>
      <c r="Y15" s="741" t="s">
        <v>684</v>
      </c>
      <c r="Z15" s="695">
        <v>178203977.523164</v>
      </c>
    </row>
    <row r="16" spans="1:29" ht="9.1999999999999993" customHeight="1">
      <c r="A16" s="712">
        <v>10</v>
      </c>
      <c r="B16" s="713" t="s">
        <v>685</v>
      </c>
      <c r="C16" s="714">
        <f>VLOOKUP(C3,'Luong VP'!$B$10:$AP$189,16,0)</f>
        <v>0</v>
      </c>
      <c r="D16" s="717"/>
      <c r="E16" s="710" t="s">
        <v>686</v>
      </c>
      <c r="F16" s="716" t="s">
        <v>687</v>
      </c>
      <c r="G16" s="719"/>
      <c r="H16" s="719"/>
      <c r="I16" s="729"/>
      <c r="J16" s="730"/>
      <c r="W16" s="739"/>
      <c r="X16" s="744">
        <f>SUM(X14:X15)</f>
        <v>440847611</v>
      </c>
      <c r="Y16" s="741"/>
    </row>
    <row r="17" spans="1:29" ht="9.1999999999999993" customHeight="1">
      <c r="A17" s="712">
        <v>11</v>
      </c>
      <c r="B17" s="713" t="s">
        <v>688</v>
      </c>
      <c r="C17" s="714">
        <f>VLOOKUP(C3,'Luong VP'!$B$10:$AP$189,17,0)</f>
        <v>0</v>
      </c>
      <c r="D17" s="717"/>
      <c r="E17" s="710">
        <v>1</v>
      </c>
      <c r="F17" s="716" t="s">
        <v>689</v>
      </c>
      <c r="G17" s="719"/>
      <c r="H17" s="719"/>
      <c r="I17" s="714">
        <f>VLOOKUP(C3,'Luong VP'!$B$10:$AP$189,30,0)</f>
        <v>0</v>
      </c>
      <c r="J17" s="714">
        <f>VLOOKUP(C3,'Luong VP'!$B$10:$AP$189,30,0)</f>
        <v>0</v>
      </c>
      <c r="V17" s="688"/>
      <c r="W17" s="688" t="s">
        <v>690</v>
      </c>
      <c r="X17" s="746" t="e">
        <f>X16+X13</f>
        <v>#REF!</v>
      </c>
      <c r="Y17" s="750"/>
      <c r="Z17" s="688"/>
      <c r="AA17" s="688"/>
      <c r="AB17" s="688"/>
      <c r="AC17" s="688"/>
    </row>
    <row r="18" spans="1:29" ht="9.1999999999999993" customHeight="1">
      <c r="A18" s="712">
        <v>12</v>
      </c>
      <c r="B18" s="713" t="s">
        <v>691</v>
      </c>
      <c r="C18" s="714">
        <f>VLOOKUP(C3,'Luong VP'!$B$10:$AP$189,18,0)</f>
        <v>0</v>
      </c>
      <c r="D18" s="717"/>
      <c r="E18" s="710">
        <v>2</v>
      </c>
      <c r="F18" s="718" t="s">
        <v>239</v>
      </c>
      <c r="G18" s="718"/>
      <c r="H18" s="718"/>
      <c r="I18" s="727"/>
      <c r="J18" s="728">
        <f>VLOOKUP(C3,'Luong VP'!$B$10:$AP$189,34,0)</f>
        <v>0</v>
      </c>
      <c r="K18" s="731"/>
      <c r="L18" s="715"/>
      <c r="Z18" s="747"/>
      <c r="AA18" s="751"/>
      <c r="AB18" s="752"/>
      <c r="AC18" s="753">
        <f>Z15-X15</f>
        <v>18951366.523164004</v>
      </c>
    </row>
    <row r="19" spans="1:29" ht="9.1999999999999993" customHeight="1">
      <c r="A19" s="712">
        <v>13</v>
      </c>
      <c r="B19" s="713" t="s">
        <v>692</v>
      </c>
      <c r="C19" s="714">
        <f>VLOOKUP(C3,'Luong VP'!$B$10:$AP$189,19,0)</f>
        <v>4000</v>
      </c>
      <c r="D19" s="717"/>
      <c r="E19" s="710">
        <v>3</v>
      </c>
      <c r="F19" s="716" t="s">
        <v>693</v>
      </c>
      <c r="G19" s="719"/>
      <c r="H19" s="719"/>
      <c r="I19" s="729"/>
      <c r="J19" s="714">
        <f>VLOOKUP(C3,'Luong VP'!$B$10:$AP$189,40,0)</f>
        <v>0</v>
      </c>
      <c r="K19" s="731"/>
      <c r="L19" s="715"/>
      <c r="W19" s="747"/>
      <c r="X19" s="748"/>
      <c r="Y19" s="754"/>
    </row>
    <row r="20" spans="1:29" ht="9.1999999999999993" customHeight="1">
      <c r="A20" s="712">
        <v>14</v>
      </c>
      <c r="B20" s="713" t="s">
        <v>694</v>
      </c>
      <c r="C20" s="714">
        <f>VLOOKUP(C3,'Luong VP'!$B$10:$AP$189,20,0)</f>
        <v>0</v>
      </c>
      <c r="D20" s="717"/>
      <c r="E20" s="710">
        <v>4</v>
      </c>
      <c r="F20" s="718" t="s">
        <v>695</v>
      </c>
      <c r="G20" s="719"/>
      <c r="H20" s="719"/>
      <c r="I20" s="729"/>
      <c r="J20" s="714">
        <f>VLOOKUP(C3,'Luong VP'!$B$10:$AP$189,35,0)</f>
        <v>0</v>
      </c>
      <c r="K20" s="732"/>
      <c r="L20" s="715"/>
      <c r="W20" s="749"/>
      <c r="X20" s="749"/>
      <c r="Y20" s="749"/>
    </row>
    <row r="21" spans="1:29" ht="9.1999999999999993" customHeight="1">
      <c r="A21" s="712"/>
      <c r="B21" s="707" t="s">
        <v>656</v>
      </c>
      <c r="C21" s="714">
        <f>SUM(C7:C20)</f>
        <v>134600</v>
      </c>
      <c r="D21" s="717"/>
      <c r="E21" s="710"/>
      <c r="F21" s="716" t="s">
        <v>241</v>
      </c>
      <c r="G21" s="719"/>
      <c r="H21" s="719"/>
      <c r="I21" s="729"/>
      <c r="J21" s="730">
        <f>SUM(J8:J20)+C15</f>
        <v>138600</v>
      </c>
      <c r="K21" s="731"/>
      <c r="L21" s="715"/>
    </row>
    <row r="22" spans="1:29" ht="9.1999999999999993" customHeight="1">
      <c r="B22" s="720"/>
      <c r="C22" s="717"/>
      <c r="D22" s="717"/>
      <c r="E22" s="710" t="s">
        <v>696</v>
      </c>
      <c r="F22" s="711" t="s">
        <v>697</v>
      </c>
      <c r="G22" s="710"/>
      <c r="H22" s="710"/>
      <c r="I22" s="729"/>
      <c r="J22" s="730">
        <f>SUM(J23:J25)</f>
        <v>0</v>
      </c>
      <c r="K22" s="732"/>
      <c r="L22" s="715"/>
      <c r="N22" s="688"/>
      <c r="O22" s="688"/>
      <c r="P22" s="688"/>
    </row>
    <row r="23" spans="1:29" s="688" customFormat="1" ht="9.1999999999999993" customHeight="1">
      <c r="A23" s="690"/>
      <c r="B23" s="720"/>
      <c r="C23" s="717"/>
      <c r="D23" s="717"/>
      <c r="E23" s="710">
        <v>1</v>
      </c>
      <c r="F23" s="718" t="s">
        <v>698</v>
      </c>
      <c r="G23" s="718"/>
      <c r="H23" s="718"/>
      <c r="I23" s="733"/>
      <c r="J23" s="714">
        <f>VLOOKUP(C3,'Luong VP'!$B$10:$AP$189,37,0)</f>
        <v>0</v>
      </c>
      <c r="K23" s="732"/>
      <c r="L23" s="715"/>
      <c r="M23" s="690"/>
      <c r="N23" s="695"/>
      <c r="O23" s="695"/>
      <c r="P23" s="695"/>
      <c r="Q23" s="688" t="s">
        <v>117</v>
      </c>
    </row>
    <row r="24" spans="1:29" ht="9.1999999999999993" customHeight="1">
      <c r="B24" s="720"/>
      <c r="C24" s="717"/>
      <c r="D24" s="717"/>
      <c r="E24" s="710">
        <v>2</v>
      </c>
      <c r="F24" s="718" t="s">
        <v>244</v>
      </c>
      <c r="G24" s="718"/>
      <c r="H24" s="718"/>
      <c r="I24" s="729"/>
      <c r="J24" s="714">
        <f>VLOOKUP(C3,'Luong VP'!$B$10:$AP$189,39,0)</f>
        <v>0</v>
      </c>
      <c r="K24" s="734"/>
      <c r="L24" s="735"/>
    </row>
    <row r="25" spans="1:29" ht="9.1999999999999993" customHeight="1">
      <c r="B25" s="720"/>
      <c r="C25" s="717"/>
      <c r="D25" s="717"/>
      <c r="E25" s="710"/>
      <c r="F25" s="718" t="s">
        <v>699</v>
      </c>
      <c r="G25" s="718"/>
      <c r="H25" s="718"/>
      <c r="I25" s="729"/>
      <c r="J25" s="714"/>
      <c r="K25" s="714"/>
      <c r="L25" s="736"/>
    </row>
    <row r="26" spans="1:29" ht="9.1999999999999993" customHeight="1">
      <c r="B26" s="720"/>
      <c r="C26" s="717"/>
      <c r="D26" s="717"/>
      <c r="E26" s="710" t="s">
        <v>700</v>
      </c>
      <c r="F26" s="710" t="s">
        <v>246</v>
      </c>
      <c r="G26" s="710"/>
      <c r="H26" s="710"/>
      <c r="I26" s="729"/>
      <c r="J26" s="728">
        <f>J21-J22</f>
        <v>138600</v>
      </c>
      <c r="K26" s="728">
        <f>ROUND(J26,-1)</f>
        <v>138600</v>
      </c>
      <c r="L26" s="710"/>
    </row>
    <row r="27" spans="1:29" ht="9.1999999999999993" customHeight="1">
      <c r="B27" s="720"/>
      <c r="C27" s="717"/>
      <c r="D27" s="717"/>
      <c r="E27" s="715"/>
      <c r="F27" s="715"/>
      <c r="G27" s="715"/>
      <c r="I27" s="715" t="s">
        <v>701</v>
      </c>
      <c r="J27" s="737"/>
      <c r="K27" s="737"/>
      <c r="L27" s="715"/>
    </row>
    <row r="33" spans="1:12" ht="9.1999999999999993" customHeight="1">
      <c r="C33" s="696"/>
      <c r="D33" s="696"/>
      <c r="E33" s="697" t="str">
        <f>$E$2</f>
        <v>THẺ LƯƠNG THÁNG 08/2019</v>
      </c>
      <c r="F33" s="698"/>
      <c r="G33" s="698"/>
      <c r="H33" s="698"/>
    </row>
    <row r="34" spans="1:12" ht="9.1999999999999993" customHeight="1">
      <c r="B34" s="699" t="s">
        <v>644</v>
      </c>
      <c r="C34" s="700" t="s">
        <v>266</v>
      </c>
      <c r="D34" s="701"/>
      <c r="F34" s="702" t="s">
        <v>645</v>
      </c>
      <c r="G34" s="689" t="str">
        <f>VLOOKUP(C34,'Luong VP'!$B$10:$AP$189,2,0)</f>
        <v xml:space="preserve"> Nguyễn Văn Thảo </v>
      </c>
    </row>
    <row r="35" spans="1:12" ht="9.1999999999999993" customHeight="1">
      <c r="B35" s="699" t="s">
        <v>646</v>
      </c>
      <c r="C35" s="689" t="str">
        <f>VLOOKUP(C34,'Luong VP'!$B$10:$AP$189,3,0)</f>
        <v>TỔNG GIÁM ĐỐC</v>
      </c>
      <c r="F35" s="702" t="s">
        <v>647</v>
      </c>
      <c r="G35" s="689">
        <f>VLOOKUP(C34,'Luong VP'!$B$10:$AP$189,5,0)</f>
        <v>2</v>
      </c>
    </row>
    <row r="36" spans="1:12" ht="9.1999999999999993" customHeight="1">
      <c r="B36" s="703"/>
      <c r="C36" s="704"/>
      <c r="D36" s="705"/>
      <c r="F36" s="706" t="s">
        <v>648</v>
      </c>
      <c r="G36" s="706"/>
      <c r="H36" s="706"/>
      <c r="I36" s="725"/>
      <c r="J36" s="726"/>
    </row>
    <row r="37" spans="1:12" ht="9.1999999999999993" customHeight="1">
      <c r="A37" s="707" t="s">
        <v>216</v>
      </c>
      <c r="B37" s="707" t="s">
        <v>649</v>
      </c>
      <c r="C37" s="708" t="s">
        <v>650</v>
      </c>
      <c r="D37" s="709"/>
      <c r="E37" s="710" t="s">
        <v>216</v>
      </c>
      <c r="F37" s="711" t="s">
        <v>649</v>
      </c>
      <c r="G37" s="710"/>
      <c r="H37" s="710" t="s">
        <v>651</v>
      </c>
      <c r="I37" s="727" t="s">
        <v>652</v>
      </c>
      <c r="J37" s="714"/>
      <c r="L37" s="694" t="s">
        <v>653</v>
      </c>
    </row>
    <row r="38" spans="1:12" ht="9.1999999999999993" customHeight="1">
      <c r="A38" s="712">
        <v>1</v>
      </c>
      <c r="B38" s="713" t="s">
        <v>654</v>
      </c>
      <c r="C38" s="714">
        <f>VLOOKUP(C34,'Luong VP'!$B$10:$AP$189,9,0)</f>
        <v>104000</v>
      </c>
      <c r="D38" s="715"/>
      <c r="E38" s="710" t="s">
        <v>655</v>
      </c>
      <c r="F38" s="716" t="s">
        <v>656</v>
      </c>
      <c r="G38" s="710"/>
      <c r="H38" s="710"/>
      <c r="I38" s="727"/>
      <c r="J38" s="714">
        <f>VLOOKUP(C34,'Luong VP'!$B$10:$AP$189,21,0)</f>
        <v>132680</v>
      </c>
    </row>
    <row r="39" spans="1:12" ht="9.1999999999999993" customHeight="1">
      <c r="A39" s="712">
        <v>2</v>
      </c>
      <c r="B39" s="713" t="s">
        <v>658</v>
      </c>
      <c r="C39" s="714"/>
      <c r="D39" s="717"/>
      <c r="E39" s="710">
        <v>1</v>
      </c>
      <c r="F39" s="718" t="s">
        <v>659</v>
      </c>
      <c r="G39" s="718"/>
      <c r="H39" s="710" t="s">
        <v>660</v>
      </c>
      <c r="I39" s="727">
        <f>VLOOKUP(C34,'Luong VP'!$B$10:$AP$189,22,0)</f>
        <v>26</v>
      </c>
      <c r="J39" s="728">
        <f>J38/'Cham cong'!$AS$3*I39</f>
        <v>132680</v>
      </c>
    </row>
    <row r="40" spans="1:12" ht="9.1999999999999993" customHeight="1">
      <c r="A40" s="712">
        <v>3</v>
      </c>
      <c r="B40" s="713" t="s">
        <v>661</v>
      </c>
      <c r="C40" s="714">
        <f>VLOOKUP(C34,'Luong VP'!$B$10:$AP$189,10,0)</f>
        <v>0</v>
      </c>
      <c r="D40" s="717"/>
      <c r="E40" s="710">
        <v>2</v>
      </c>
      <c r="F40" s="718" t="s">
        <v>662</v>
      </c>
      <c r="G40" s="718"/>
      <c r="H40" s="710" t="s">
        <v>660</v>
      </c>
      <c r="I40" s="727">
        <f>VLOOKUP(C34,'Luong VP'!$B$10:$AP$189,27,0)</f>
        <v>0</v>
      </c>
      <c r="J40" s="728">
        <f>J38/'Cham cong'!$AS$3*I40*3</f>
        <v>0</v>
      </c>
    </row>
    <row r="41" spans="1:12" ht="9.1999999999999993" customHeight="1">
      <c r="A41" s="712">
        <v>4</v>
      </c>
      <c r="B41" s="713" t="s">
        <v>666</v>
      </c>
      <c r="C41" s="714">
        <f>VLOOKUP(C34,'Luong VP'!$B$10:$AP$189,11,0)</f>
        <v>6000</v>
      </c>
      <c r="D41" s="717"/>
      <c r="E41" s="710">
        <v>3</v>
      </c>
      <c r="F41" s="718" t="s">
        <v>667</v>
      </c>
      <c r="G41" s="718"/>
      <c r="H41" s="710" t="s">
        <v>668</v>
      </c>
      <c r="I41" s="727">
        <f>VLOOKUP(C34,'Luong VP'!$B$10:$AP$189,26,0)</f>
        <v>0</v>
      </c>
      <c r="J41" s="728">
        <f>J38/'Cham cong'!$AS$3*I41/8*1.5</f>
        <v>0</v>
      </c>
    </row>
    <row r="42" spans="1:12" ht="9.1999999999999993" customHeight="1">
      <c r="A42" s="712">
        <v>5</v>
      </c>
      <c r="B42" s="713" t="s">
        <v>670</v>
      </c>
      <c r="C42" s="714">
        <f>VLOOKUP(C34,'Luong VP'!$B$10:$AP$189,12,0)</f>
        <v>17680</v>
      </c>
      <c r="D42" s="717"/>
      <c r="E42" s="710">
        <v>4</v>
      </c>
      <c r="F42" s="718" t="s">
        <v>671</v>
      </c>
      <c r="G42" s="718"/>
      <c r="H42" s="710" t="s">
        <v>668</v>
      </c>
      <c r="I42" s="727">
        <f>VLOOKUP(C34,'Luong VP'!$B$10:$AP$189,25,0)</f>
        <v>0</v>
      </c>
      <c r="J42" s="728">
        <f>J38/'Cham cong'!$AS$3*I42/8*2</f>
        <v>0</v>
      </c>
    </row>
    <row r="43" spans="1:12" ht="9.1999999999999993" customHeight="1">
      <c r="A43" s="712">
        <v>6</v>
      </c>
      <c r="B43" s="713" t="s">
        <v>673</v>
      </c>
      <c r="C43" s="714">
        <f>VLOOKUP(C34,'Luong VP'!$B$10:$AP$189,13,0)</f>
        <v>0</v>
      </c>
      <c r="D43" s="717"/>
      <c r="E43" s="710">
        <v>5</v>
      </c>
      <c r="F43" s="718" t="s">
        <v>674</v>
      </c>
      <c r="G43" s="718"/>
      <c r="H43" s="710" t="s">
        <v>660</v>
      </c>
      <c r="I43" s="727">
        <f>VLOOKUP(C34,'Luong VP'!$B$10:$AP$189,23,0)</f>
        <v>0</v>
      </c>
      <c r="J43" s="728">
        <f>C38/'Cham cong'!$AS$3*I43</f>
        <v>0</v>
      </c>
      <c r="L43" s="694" t="str">
        <f>G34</f>
        <v xml:space="preserve"> Nguyễn Văn Thảo </v>
      </c>
    </row>
    <row r="44" spans="1:12" ht="9.1999999999999993" customHeight="1">
      <c r="A44" s="712">
        <v>7</v>
      </c>
      <c r="B44" s="713" t="s">
        <v>676</v>
      </c>
      <c r="C44" s="714"/>
      <c r="D44" s="717"/>
      <c r="E44" s="710">
        <v>6</v>
      </c>
      <c r="F44" s="718" t="s">
        <v>677</v>
      </c>
      <c r="G44" s="718"/>
      <c r="H44" s="710" t="s">
        <v>660</v>
      </c>
      <c r="I44" s="727">
        <f>VLOOKUP(C34,'Luong VP'!$B$10:$AP$189,24,0)</f>
        <v>1</v>
      </c>
      <c r="J44" s="714">
        <f>C38/'Cham cong'!$AS$3*I44</f>
        <v>4000</v>
      </c>
    </row>
    <row r="45" spans="1:12" ht="9.1999999999999993" customHeight="1">
      <c r="A45" s="712">
        <v>8</v>
      </c>
      <c r="B45" s="713" t="s">
        <v>679</v>
      </c>
      <c r="C45" s="714">
        <f>VLOOKUP(C34,'Luong VP'!$B$10:$AP$189,14,0)</f>
        <v>1000</v>
      </c>
      <c r="D45" s="717"/>
      <c r="E45" s="710">
        <v>7</v>
      </c>
      <c r="F45" s="718" t="s">
        <v>680</v>
      </c>
      <c r="G45" s="718"/>
      <c r="H45" s="718"/>
      <c r="I45" s="729"/>
      <c r="J45" s="714">
        <f>VLOOKUP(C34,'Luong VP'!$B$10:$AP$189,28,0)</f>
        <v>0</v>
      </c>
    </row>
    <row r="46" spans="1:12" ht="9.1999999999999993" customHeight="1">
      <c r="A46" s="712">
        <v>9</v>
      </c>
      <c r="B46" s="713" t="s">
        <v>683</v>
      </c>
      <c r="C46" s="714">
        <f>VLOOKUP(C34,'Luong VP'!$B$10:$AP$189,15,0)</f>
        <v>2000</v>
      </c>
      <c r="D46" s="717"/>
      <c r="E46" s="710">
        <v>8</v>
      </c>
      <c r="F46" s="718" t="s">
        <v>238</v>
      </c>
      <c r="G46" s="718"/>
      <c r="H46" s="718"/>
      <c r="I46" s="729"/>
      <c r="J46" s="714">
        <f>VLOOKUP(C34,'Luong VP'!$B$10:$AP$189,33,0)</f>
        <v>0</v>
      </c>
    </row>
    <row r="47" spans="1:12" ht="9.1999999999999993" customHeight="1">
      <c r="A47" s="712">
        <v>10</v>
      </c>
      <c r="B47" s="713" t="s">
        <v>685</v>
      </c>
      <c r="C47" s="714">
        <f>VLOOKUP(C34,'Luong VP'!$B$10:$AP$189,16,0)</f>
        <v>0</v>
      </c>
      <c r="D47" s="717"/>
      <c r="E47" s="710" t="s">
        <v>686</v>
      </c>
      <c r="F47" s="716" t="s">
        <v>687</v>
      </c>
      <c r="G47" s="719"/>
      <c r="H47" s="719"/>
      <c r="I47" s="729"/>
      <c r="J47" s="730"/>
    </row>
    <row r="48" spans="1:12" ht="9.1999999999999993" customHeight="1">
      <c r="A48" s="712">
        <v>11</v>
      </c>
      <c r="B48" s="713" t="s">
        <v>688</v>
      </c>
      <c r="C48" s="714">
        <f>VLOOKUP(C34,'Luong VP'!$B$10:$AP$189,17,0)</f>
        <v>0</v>
      </c>
      <c r="D48" s="717"/>
      <c r="E48" s="710">
        <v>1</v>
      </c>
      <c r="F48" s="716" t="s">
        <v>689</v>
      </c>
      <c r="G48" s="719"/>
      <c r="H48" s="719"/>
      <c r="I48" s="714">
        <f>VLOOKUP(C34,'Luong VP'!$B$10:$AP$189,30,0)</f>
        <v>0</v>
      </c>
      <c r="J48" s="714">
        <f>VLOOKUP(C34,'Luong VP'!$B$10:$AP$189,30,0)</f>
        <v>0</v>
      </c>
    </row>
    <row r="49" spans="1:12" ht="9.1999999999999993" customHeight="1">
      <c r="A49" s="712">
        <v>12</v>
      </c>
      <c r="B49" s="713" t="s">
        <v>691</v>
      </c>
      <c r="C49" s="714">
        <f>VLOOKUP(C34,'Luong VP'!$B$10:$AP$189,18,0)</f>
        <v>0</v>
      </c>
      <c r="D49" s="717"/>
      <c r="E49" s="710">
        <v>2</v>
      </c>
      <c r="F49" s="718" t="s">
        <v>239</v>
      </c>
      <c r="G49" s="718"/>
      <c r="H49" s="718"/>
      <c r="I49" s="727"/>
      <c r="J49" s="728">
        <f>VLOOKUP(C34,'Luong VP'!$B$10:$AP$189,34,0)</f>
        <v>0</v>
      </c>
      <c r="K49" s="731"/>
      <c r="L49" s="715"/>
    </row>
    <row r="50" spans="1:12" ht="9.1999999999999993" customHeight="1">
      <c r="A50" s="712">
        <v>13</v>
      </c>
      <c r="B50" s="713" t="s">
        <v>692</v>
      </c>
      <c r="C50" s="714">
        <f>VLOOKUP(C34,'Luong VP'!$B$10:$AP$189,19,0)</f>
        <v>4000</v>
      </c>
      <c r="D50" s="717"/>
      <c r="E50" s="710">
        <v>3</v>
      </c>
      <c r="F50" s="716" t="s">
        <v>693</v>
      </c>
      <c r="G50" s="719"/>
      <c r="H50" s="719"/>
      <c r="I50" s="729"/>
      <c r="J50" s="714">
        <f>VLOOKUP(C34,'Luong VP'!$B$10:$AP$189,40,0)</f>
        <v>0</v>
      </c>
      <c r="K50" s="731"/>
      <c r="L50" s="715"/>
    </row>
    <row r="51" spans="1:12" ht="9.1999999999999993" customHeight="1">
      <c r="A51" s="712">
        <v>14</v>
      </c>
      <c r="B51" s="713" t="s">
        <v>694</v>
      </c>
      <c r="C51" s="714">
        <f>VLOOKUP(C34,'Luong VP'!$B$10:$AP$189,20,0)</f>
        <v>0</v>
      </c>
      <c r="D51" s="717"/>
      <c r="E51" s="710">
        <v>4</v>
      </c>
      <c r="F51" s="718" t="s">
        <v>695</v>
      </c>
      <c r="G51" s="719"/>
      <c r="H51" s="719"/>
      <c r="I51" s="729"/>
      <c r="J51" s="714">
        <f>VLOOKUP(C34,'Luong VP'!$B$10:$AP$189,35,0)</f>
        <v>0</v>
      </c>
      <c r="K51" s="732"/>
      <c r="L51" s="715"/>
    </row>
    <row r="52" spans="1:12" ht="9.1999999999999993" customHeight="1">
      <c r="A52" s="712"/>
      <c r="B52" s="707" t="s">
        <v>656</v>
      </c>
      <c r="C52" s="714">
        <f>SUM(C38:C51)</f>
        <v>134680</v>
      </c>
      <c r="D52" s="717"/>
      <c r="E52" s="710"/>
      <c r="F52" s="716" t="s">
        <v>241</v>
      </c>
      <c r="G52" s="719"/>
      <c r="H52" s="719"/>
      <c r="I52" s="729"/>
      <c r="J52" s="730">
        <f>SUM(J39:J51)+C46</f>
        <v>138680</v>
      </c>
      <c r="K52" s="731"/>
      <c r="L52" s="715"/>
    </row>
    <row r="53" spans="1:12" ht="9.1999999999999993" customHeight="1">
      <c r="B53" s="720"/>
      <c r="C53" s="717"/>
      <c r="D53" s="717"/>
      <c r="E53" s="710" t="s">
        <v>696</v>
      </c>
      <c r="F53" s="711" t="s">
        <v>697</v>
      </c>
      <c r="G53" s="710"/>
      <c r="H53" s="710"/>
      <c r="I53" s="729"/>
      <c r="J53" s="730">
        <f>SUM(J54:J56)</f>
        <v>1249.5</v>
      </c>
      <c r="K53" s="732"/>
      <c r="L53" s="715"/>
    </row>
    <row r="54" spans="1:12" ht="9.1999999999999993" customHeight="1">
      <c r="B54" s="720"/>
      <c r="C54" s="717"/>
      <c r="D54" s="717"/>
      <c r="E54" s="710">
        <v>1</v>
      </c>
      <c r="F54" s="718" t="s">
        <v>698</v>
      </c>
      <c r="G54" s="718"/>
      <c r="H54" s="718"/>
      <c r="I54" s="733"/>
      <c r="J54" s="714">
        <f>VLOOKUP(C34,'Luong VP'!$B$10:$AP$189,37,0)</f>
        <v>1249.5</v>
      </c>
      <c r="K54" s="732"/>
      <c r="L54" s="715"/>
    </row>
    <row r="55" spans="1:12" ht="9.1999999999999993" customHeight="1">
      <c r="B55" s="720"/>
      <c r="C55" s="717"/>
      <c r="D55" s="717"/>
      <c r="E55" s="710">
        <v>2</v>
      </c>
      <c r="F55" s="718" t="s">
        <v>244</v>
      </c>
      <c r="G55" s="718"/>
      <c r="H55" s="718"/>
      <c r="I55" s="729"/>
      <c r="J55" s="714">
        <f>VLOOKUP(C34,'Luong VP'!$B$10:$AP$189,39,0)</f>
        <v>0</v>
      </c>
      <c r="K55" s="734"/>
      <c r="L55" s="735"/>
    </row>
    <row r="56" spans="1:12" ht="9.1999999999999993" customHeight="1">
      <c r="B56" s="720"/>
      <c r="C56" s="717"/>
      <c r="D56" s="717"/>
      <c r="E56" s="710"/>
      <c r="F56" s="718" t="s">
        <v>699</v>
      </c>
      <c r="G56" s="718"/>
      <c r="H56" s="718"/>
      <c r="I56" s="729"/>
      <c r="J56" s="714"/>
      <c r="K56" s="714"/>
      <c r="L56" s="736"/>
    </row>
    <row r="57" spans="1:12" ht="9.1999999999999993" customHeight="1">
      <c r="B57" s="720"/>
      <c r="C57" s="717"/>
      <c r="D57" s="717"/>
      <c r="E57" s="710" t="s">
        <v>700</v>
      </c>
      <c r="F57" s="710" t="s">
        <v>246</v>
      </c>
      <c r="G57" s="710"/>
      <c r="H57" s="710"/>
      <c r="I57" s="729"/>
      <c r="J57" s="728">
        <f>J52-J53</f>
        <v>137430.5</v>
      </c>
      <c r="K57" s="728">
        <f>ROUND(J57,-1)</f>
        <v>137430</v>
      </c>
      <c r="L57" s="710"/>
    </row>
    <row r="58" spans="1:12" ht="9.1999999999999993" customHeight="1">
      <c r="B58" s="720"/>
      <c r="C58" s="717"/>
      <c r="D58" s="717"/>
      <c r="E58" s="715"/>
      <c r="F58" s="715"/>
      <c r="G58" s="715"/>
      <c r="I58" s="715" t="s">
        <v>701</v>
      </c>
      <c r="J58" s="737"/>
      <c r="K58" s="737"/>
      <c r="L58" s="715"/>
    </row>
    <row r="59" spans="1:12" ht="9.1999999999999993" customHeight="1">
      <c r="B59" s="720"/>
      <c r="C59" s="717"/>
      <c r="D59" s="717"/>
      <c r="E59" s="715"/>
      <c r="F59" s="715"/>
      <c r="G59" s="715"/>
      <c r="I59" s="715"/>
      <c r="J59" s="737"/>
      <c r="K59" s="737"/>
      <c r="L59" s="715"/>
    </row>
    <row r="60" spans="1:12" ht="9.1999999999999993" customHeight="1">
      <c r="B60" s="720"/>
      <c r="C60" s="717"/>
      <c r="D60" s="717"/>
      <c r="E60" s="715"/>
      <c r="F60" s="715"/>
      <c r="G60" s="715"/>
      <c r="I60" s="715"/>
      <c r="J60" s="737"/>
      <c r="K60" s="737"/>
      <c r="L60" s="715"/>
    </row>
    <row r="61" spans="1:12" ht="9.1999999999999993" customHeight="1">
      <c r="B61" s="720"/>
      <c r="C61" s="717"/>
      <c r="D61" s="717"/>
      <c r="E61" s="715"/>
      <c r="F61" s="715"/>
      <c r="G61" s="715"/>
      <c r="I61" s="715"/>
      <c r="J61" s="737"/>
      <c r="K61" s="737"/>
      <c r="L61" s="715"/>
    </row>
    <row r="62" spans="1:12" ht="9.1999999999999993" customHeight="1">
      <c r="B62" s="720"/>
      <c r="C62" s="717"/>
      <c r="D62" s="717"/>
      <c r="E62" s="715"/>
      <c r="F62" s="715"/>
      <c r="G62" s="715"/>
      <c r="I62" s="715"/>
      <c r="J62" s="737"/>
      <c r="K62" s="737"/>
      <c r="L62" s="715"/>
    </row>
    <row r="64" spans="1:12" ht="9.1999999999999993" customHeight="1">
      <c r="C64" s="696"/>
      <c r="D64" s="696"/>
      <c r="E64" s="697" t="str">
        <f>$E$2</f>
        <v>THẺ LƯƠNG THÁNG 08/2019</v>
      </c>
      <c r="F64" s="698"/>
      <c r="G64" s="698"/>
      <c r="H64" s="698"/>
    </row>
    <row r="65" spans="1:12" ht="9.1999999999999993" customHeight="1">
      <c r="B65" s="699" t="s">
        <v>644</v>
      </c>
      <c r="C65" s="700" t="s">
        <v>269</v>
      </c>
      <c r="D65" s="701"/>
      <c r="F65" s="702" t="s">
        <v>645</v>
      </c>
      <c r="G65" s="689" t="str">
        <f>VLOOKUP(C65,'Luong VP'!$B$10:$AP$189,2,0)</f>
        <v xml:space="preserve"> Nguyễn Đỗ Q. Phương </v>
      </c>
    </row>
    <row r="66" spans="1:12" ht="9.1999999999999993" customHeight="1">
      <c r="B66" s="699" t="s">
        <v>646</v>
      </c>
      <c r="C66" s="689" t="str">
        <f>VLOOKUP(C65,'Luong VP'!$B$10:$AP$189,3,0)</f>
        <v>GIÁM ĐỐC HCNS</v>
      </c>
      <c r="F66" s="702" t="s">
        <v>647</v>
      </c>
      <c r="G66" s="689">
        <f>VLOOKUP(C65,'Luong VP'!$B$10:$AP$189,5,0)</f>
        <v>1</v>
      </c>
    </row>
    <row r="67" spans="1:12" ht="9.1999999999999993" customHeight="1">
      <c r="B67" s="703"/>
      <c r="C67" s="704"/>
      <c r="D67" s="705"/>
      <c r="F67" s="706" t="s">
        <v>648</v>
      </c>
      <c r="G67" s="706"/>
      <c r="H67" s="706"/>
      <c r="I67" s="725"/>
      <c r="J67" s="726"/>
    </row>
    <row r="68" spans="1:12" ht="9.1999999999999993" customHeight="1">
      <c r="A68" s="707" t="s">
        <v>216</v>
      </c>
      <c r="B68" s="707" t="s">
        <v>649</v>
      </c>
      <c r="C68" s="708" t="s">
        <v>650</v>
      </c>
      <c r="D68" s="709"/>
      <c r="E68" s="710" t="s">
        <v>216</v>
      </c>
      <c r="F68" s="711" t="s">
        <v>649</v>
      </c>
      <c r="G68" s="710"/>
      <c r="H68" s="710" t="s">
        <v>651</v>
      </c>
      <c r="I68" s="727" t="s">
        <v>652</v>
      </c>
      <c r="J68" s="714"/>
      <c r="L68" s="694" t="s">
        <v>653</v>
      </c>
    </row>
    <row r="69" spans="1:12" ht="9.1999999999999993" customHeight="1">
      <c r="A69" s="712">
        <v>1</v>
      </c>
      <c r="B69" s="713" t="s">
        <v>654</v>
      </c>
      <c r="C69" s="714">
        <f>VLOOKUP(C65,'Luong VP'!$B$10:$AP$189,9,0)</f>
        <v>25120</v>
      </c>
      <c r="D69" s="715"/>
      <c r="E69" s="710" t="s">
        <v>655</v>
      </c>
      <c r="F69" s="716" t="s">
        <v>656</v>
      </c>
      <c r="G69" s="710"/>
      <c r="H69" s="710"/>
      <c r="I69" s="727"/>
      <c r="J69" s="714">
        <f>VLOOKUP(C65,'Luong VP'!$B$10:$AP$189,21,0)</f>
        <v>31632</v>
      </c>
    </row>
    <row r="70" spans="1:12" ht="9.1999999999999993" customHeight="1">
      <c r="A70" s="712">
        <v>2</v>
      </c>
      <c r="B70" s="713" t="s">
        <v>658</v>
      </c>
      <c r="C70" s="714"/>
      <c r="D70" s="717"/>
      <c r="E70" s="710">
        <v>1</v>
      </c>
      <c r="F70" s="718" t="s">
        <v>659</v>
      </c>
      <c r="G70" s="718"/>
      <c r="H70" s="710" t="s">
        <v>660</v>
      </c>
      <c r="I70" s="727">
        <f>VLOOKUP(C65,'Luong VP'!$B$10:$AP$189,22,0)</f>
        <v>26</v>
      </c>
      <c r="J70" s="728">
        <f>J69/'Cham cong'!$AS$3*I70</f>
        <v>31631.999999999996</v>
      </c>
    </row>
    <row r="71" spans="1:12" ht="9.1999999999999993" customHeight="1">
      <c r="A71" s="712">
        <v>3</v>
      </c>
      <c r="B71" s="713" t="s">
        <v>661</v>
      </c>
      <c r="C71" s="714">
        <f>VLOOKUP(C65,'Luong VP'!$B$10:$AP$189,10,0)</f>
        <v>0</v>
      </c>
      <c r="D71" s="717"/>
      <c r="E71" s="710">
        <v>2</v>
      </c>
      <c r="F71" s="718" t="s">
        <v>662</v>
      </c>
      <c r="G71" s="718"/>
      <c r="H71" s="710" t="s">
        <v>660</v>
      </c>
      <c r="I71" s="727">
        <f>VLOOKUP(C65,'Luong VP'!$B$10:$AP$189,27,0)</f>
        <v>0</v>
      </c>
      <c r="J71" s="728">
        <f>J69/'Cham cong'!$AS$3*I71*3</f>
        <v>0</v>
      </c>
    </row>
    <row r="72" spans="1:12" ht="9.1999999999999993" customHeight="1">
      <c r="A72" s="712">
        <v>4</v>
      </c>
      <c r="B72" s="713" t="s">
        <v>666</v>
      </c>
      <c r="C72" s="714">
        <f>VLOOKUP(C65,'Luong VP'!$B$10:$AP$189,11,0)</f>
        <v>3000</v>
      </c>
      <c r="D72" s="717"/>
      <c r="E72" s="710">
        <v>3</v>
      </c>
      <c r="F72" s="718" t="s">
        <v>667</v>
      </c>
      <c r="G72" s="718"/>
      <c r="H72" s="710" t="s">
        <v>668</v>
      </c>
      <c r="I72" s="727">
        <f>VLOOKUP(C65,'Luong VP'!$B$10:$AP$189,26,0)</f>
        <v>0</v>
      </c>
      <c r="J72" s="728">
        <f>J69/'Cham cong'!$AS$3*I72/8*1.5</f>
        <v>0</v>
      </c>
    </row>
    <row r="73" spans="1:12" ht="9.1999999999999993" customHeight="1">
      <c r="A73" s="712">
        <v>5</v>
      </c>
      <c r="B73" s="713" t="s">
        <v>670</v>
      </c>
      <c r="C73" s="714">
        <f>VLOOKUP(C65,'Luong VP'!$B$10:$AP$189,12,0)</f>
        <v>2512</v>
      </c>
      <c r="D73" s="717"/>
      <c r="E73" s="710">
        <v>4</v>
      </c>
      <c r="F73" s="718" t="s">
        <v>671</v>
      </c>
      <c r="G73" s="718"/>
      <c r="H73" s="710" t="s">
        <v>668</v>
      </c>
      <c r="I73" s="727">
        <f>VLOOKUP(C65,'Luong VP'!$B$10:$AP$189,25,0)</f>
        <v>0</v>
      </c>
      <c r="J73" s="728">
        <f>J69/'Cham cong'!$AS$3*I73/8*2</f>
        <v>0</v>
      </c>
    </row>
    <row r="74" spans="1:12" ht="9.1999999999999993" customHeight="1">
      <c r="A74" s="712">
        <v>6</v>
      </c>
      <c r="B74" s="713" t="s">
        <v>673</v>
      </c>
      <c r="C74" s="714">
        <f>VLOOKUP(C65,'Luong VP'!$B$10:$AP$189,13,0)</f>
        <v>0</v>
      </c>
      <c r="D74" s="717"/>
      <c r="E74" s="710">
        <v>5</v>
      </c>
      <c r="F74" s="718" t="s">
        <v>674</v>
      </c>
      <c r="G74" s="718"/>
      <c r="H74" s="710" t="s">
        <v>660</v>
      </c>
      <c r="I74" s="727">
        <f>VLOOKUP(C65,'Luong VP'!$B$10:$AP$189,23,0)</f>
        <v>0</v>
      </c>
      <c r="J74" s="728">
        <f>C69/'Cham cong'!$AS$3*I74</f>
        <v>0</v>
      </c>
      <c r="L74" s="694" t="str">
        <f>G65</f>
        <v xml:space="preserve"> Nguyễn Đỗ Q. Phương </v>
      </c>
    </row>
    <row r="75" spans="1:12" ht="9.1999999999999993" customHeight="1">
      <c r="A75" s="712">
        <v>7</v>
      </c>
      <c r="B75" s="713" t="s">
        <v>676</v>
      </c>
      <c r="C75" s="714"/>
      <c r="D75" s="717"/>
      <c r="E75" s="710">
        <v>6</v>
      </c>
      <c r="F75" s="718" t="s">
        <v>677</v>
      </c>
      <c r="G75" s="718"/>
      <c r="H75" s="710" t="s">
        <v>660</v>
      </c>
      <c r="I75" s="727">
        <f>VLOOKUP(C65,'Luong VP'!$B$10:$AP$189,24,0)</f>
        <v>1</v>
      </c>
      <c r="J75" s="714">
        <f>C69/'Cham cong'!$AS$3*I75</f>
        <v>966.15384615384619</v>
      </c>
    </row>
    <row r="76" spans="1:12" ht="9.1999999999999993" customHeight="1">
      <c r="A76" s="712">
        <v>8</v>
      </c>
      <c r="B76" s="713" t="s">
        <v>679</v>
      </c>
      <c r="C76" s="714">
        <f>VLOOKUP(C65,'Luong VP'!$B$10:$AP$189,14,0)</f>
        <v>1000</v>
      </c>
      <c r="D76" s="717"/>
      <c r="E76" s="710">
        <v>7</v>
      </c>
      <c r="F76" s="718" t="s">
        <v>680</v>
      </c>
      <c r="G76" s="718"/>
      <c r="H76" s="718"/>
      <c r="I76" s="729"/>
      <c r="J76" s="714">
        <f>VLOOKUP(C65,'Luong VP'!$B$10:$AP$189,28,0)</f>
        <v>0</v>
      </c>
    </row>
    <row r="77" spans="1:12" ht="9.1999999999999993" customHeight="1">
      <c r="A77" s="712">
        <v>9</v>
      </c>
      <c r="B77" s="713" t="s">
        <v>683</v>
      </c>
      <c r="C77" s="714">
        <f>VLOOKUP(C65,'Luong VP'!$B$10:$AP$189,15,0)</f>
        <v>1000</v>
      </c>
      <c r="D77" s="717"/>
      <c r="E77" s="710">
        <v>8</v>
      </c>
      <c r="F77" s="718" t="s">
        <v>238</v>
      </c>
      <c r="G77" s="718"/>
      <c r="H77" s="718"/>
      <c r="I77" s="729"/>
      <c r="J77" s="714">
        <f>VLOOKUP(C65,'Luong VP'!$B$10:$AP$189,33,0)</f>
        <v>0</v>
      </c>
    </row>
    <row r="78" spans="1:12" ht="9.1999999999999993" customHeight="1">
      <c r="A78" s="712">
        <v>10</v>
      </c>
      <c r="B78" s="713" t="s">
        <v>685</v>
      </c>
      <c r="C78" s="714">
        <f>VLOOKUP(C65,'Luong VP'!$B$10:$AP$189,16,0)</f>
        <v>0</v>
      </c>
      <c r="D78" s="717"/>
      <c r="E78" s="710" t="s">
        <v>686</v>
      </c>
      <c r="F78" s="716" t="s">
        <v>687</v>
      </c>
      <c r="G78" s="719"/>
      <c r="H78" s="719"/>
      <c r="I78" s="729"/>
      <c r="J78" s="730"/>
    </row>
    <row r="79" spans="1:12" ht="9.1999999999999993" customHeight="1">
      <c r="A79" s="712">
        <v>11</v>
      </c>
      <c r="B79" s="713" t="s">
        <v>688</v>
      </c>
      <c r="C79" s="714">
        <f>VLOOKUP(C65,'Luong VP'!$B$10:$AP$189,17,0)</f>
        <v>0</v>
      </c>
      <c r="D79" s="717"/>
      <c r="E79" s="710">
        <v>1</v>
      </c>
      <c r="F79" s="716" t="s">
        <v>689</v>
      </c>
      <c r="G79" s="719"/>
      <c r="H79" s="719"/>
      <c r="I79" s="714">
        <f>VLOOKUP(C65,'Luong VP'!$B$10:$AP$189,30,0)</f>
        <v>0</v>
      </c>
      <c r="J79" s="714">
        <f>VLOOKUP(C65,'Luong VP'!$B$10:$AP$189,30,0)</f>
        <v>0</v>
      </c>
    </row>
    <row r="80" spans="1:12" ht="9.1999999999999993" customHeight="1">
      <c r="A80" s="712">
        <v>12</v>
      </c>
      <c r="B80" s="713" t="s">
        <v>691</v>
      </c>
      <c r="C80" s="714">
        <f>VLOOKUP(C65,'Luong VP'!$B$10:$AP$189,18,0)</f>
        <v>0</v>
      </c>
      <c r="D80" s="717"/>
      <c r="E80" s="710">
        <v>2</v>
      </c>
      <c r="F80" s="718" t="s">
        <v>239</v>
      </c>
      <c r="G80" s="718"/>
      <c r="H80" s="718"/>
      <c r="I80" s="727"/>
      <c r="J80" s="728">
        <f>VLOOKUP(C65,'Luong VP'!$B$10:$AP$189,34,0)</f>
        <v>0</v>
      </c>
      <c r="K80" s="731"/>
      <c r="L80" s="715"/>
    </row>
    <row r="81" spans="1:12" ht="9.1999999999999993" customHeight="1">
      <c r="A81" s="712">
        <v>13</v>
      </c>
      <c r="B81" s="713" t="s">
        <v>692</v>
      </c>
      <c r="C81" s="714">
        <f>VLOOKUP(C65,'Luong VP'!$B$10:$AP$189,19,0)</f>
        <v>0</v>
      </c>
      <c r="D81" s="717"/>
      <c r="E81" s="710">
        <v>3</v>
      </c>
      <c r="F81" s="716" t="s">
        <v>693</v>
      </c>
      <c r="G81" s="719"/>
      <c r="H81" s="719"/>
      <c r="I81" s="729"/>
      <c r="J81" s="714">
        <f>VLOOKUP(C65,'Luong VP'!$B$10:$AP$189,40,0)</f>
        <v>0</v>
      </c>
      <c r="K81" s="731"/>
      <c r="L81" s="715"/>
    </row>
    <row r="82" spans="1:12" ht="9.1999999999999993" customHeight="1">
      <c r="A82" s="712">
        <v>14</v>
      </c>
      <c r="B82" s="713" t="s">
        <v>694</v>
      </c>
      <c r="C82" s="714">
        <f>VLOOKUP(C65,'Luong VP'!$B$10:$AP$189,20,0)</f>
        <v>0</v>
      </c>
      <c r="D82" s="717"/>
      <c r="E82" s="710">
        <v>4</v>
      </c>
      <c r="F82" s="718" t="s">
        <v>695</v>
      </c>
      <c r="G82" s="719"/>
      <c r="H82" s="719"/>
      <c r="I82" s="729"/>
      <c r="J82" s="714">
        <f>VLOOKUP(C65,'Luong VP'!$B$10:$AP$189,35,0)</f>
        <v>0</v>
      </c>
      <c r="K82" s="732"/>
      <c r="L82" s="715"/>
    </row>
    <row r="83" spans="1:12" ht="9.1999999999999993" customHeight="1">
      <c r="A83" s="712"/>
      <c r="B83" s="707" t="s">
        <v>656</v>
      </c>
      <c r="C83" s="714">
        <f>SUM(C69:C82)</f>
        <v>32632</v>
      </c>
      <c r="D83" s="717"/>
      <c r="E83" s="710"/>
      <c r="F83" s="716" t="s">
        <v>241</v>
      </c>
      <c r="G83" s="719"/>
      <c r="H83" s="719"/>
      <c r="I83" s="729"/>
      <c r="J83" s="730">
        <f>SUM(J70:J82)+C77</f>
        <v>33598.153846153844</v>
      </c>
      <c r="K83" s="731"/>
      <c r="L83" s="715"/>
    </row>
    <row r="84" spans="1:12" ht="9.1999999999999993" customHeight="1">
      <c r="B84" s="720"/>
      <c r="C84" s="717"/>
      <c r="D84" s="717"/>
      <c r="E84" s="710" t="s">
        <v>696</v>
      </c>
      <c r="F84" s="711" t="s">
        <v>697</v>
      </c>
      <c r="G84" s="710"/>
      <c r="H84" s="710"/>
      <c r="I84" s="729"/>
      <c r="J84" s="730">
        <f>SUM(J85:J87)</f>
        <v>871.5</v>
      </c>
      <c r="K84" s="732"/>
      <c r="L84" s="715"/>
    </row>
    <row r="85" spans="1:12" ht="9.1999999999999993" customHeight="1">
      <c r="B85" s="720"/>
      <c r="C85" s="717"/>
      <c r="D85" s="717"/>
      <c r="E85" s="710">
        <v>1</v>
      </c>
      <c r="F85" s="718" t="s">
        <v>698</v>
      </c>
      <c r="G85" s="718"/>
      <c r="H85" s="718"/>
      <c r="I85" s="733"/>
      <c r="J85" s="714">
        <f>VLOOKUP(C65,'Luong VP'!$B$10:$AP$189,37,0)</f>
        <v>871.5</v>
      </c>
      <c r="K85" s="732"/>
      <c r="L85" s="715"/>
    </row>
    <row r="86" spans="1:12" ht="9.1999999999999993" customHeight="1">
      <c r="B86" s="720"/>
      <c r="C86" s="717"/>
      <c r="D86" s="717"/>
      <c r="E86" s="710">
        <v>2</v>
      </c>
      <c r="F86" s="718" t="s">
        <v>244</v>
      </c>
      <c r="G86" s="718"/>
      <c r="H86" s="718"/>
      <c r="I86" s="729"/>
      <c r="J86" s="714">
        <f>VLOOKUP(C65,'Luong VP'!$B$10:$AP$189,39,0)</f>
        <v>0</v>
      </c>
      <c r="K86" s="734"/>
      <c r="L86" s="735"/>
    </row>
    <row r="87" spans="1:12" ht="9.1999999999999993" customHeight="1">
      <c r="B87" s="720"/>
      <c r="C87" s="717"/>
      <c r="D87" s="717"/>
      <c r="E87" s="710"/>
      <c r="F87" s="718" t="s">
        <v>699</v>
      </c>
      <c r="G87" s="718"/>
      <c r="H87" s="718"/>
      <c r="I87" s="729"/>
      <c r="J87" s="714"/>
      <c r="K87" s="714"/>
      <c r="L87" s="736"/>
    </row>
    <row r="88" spans="1:12" ht="9.1999999999999993" customHeight="1">
      <c r="B88" s="720"/>
      <c r="C88" s="717"/>
      <c r="D88" s="717"/>
      <c r="E88" s="710" t="s">
        <v>700</v>
      </c>
      <c r="F88" s="710" t="s">
        <v>246</v>
      </c>
      <c r="G88" s="710"/>
      <c r="H88" s="710"/>
      <c r="I88" s="729"/>
      <c r="J88" s="728">
        <f>J83-J84</f>
        <v>32726.653846153844</v>
      </c>
      <c r="K88" s="728">
        <f>ROUND(J88,-1)</f>
        <v>32730</v>
      </c>
      <c r="L88" s="710"/>
    </row>
    <row r="89" spans="1:12" ht="9.1999999999999993" customHeight="1">
      <c r="B89" s="720"/>
      <c r="C89" s="717"/>
      <c r="D89" s="717"/>
      <c r="E89" s="715"/>
      <c r="F89" s="715"/>
      <c r="G89" s="715"/>
      <c r="I89" s="715" t="s">
        <v>701</v>
      </c>
      <c r="J89" s="737"/>
      <c r="K89" s="737"/>
      <c r="L89" s="715"/>
    </row>
    <row r="90" spans="1:12" ht="9.1999999999999993" customHeight="1">
      <c r="B90" s="720"/>
      <c r="C90" s="717"/>
      <c r="D90" s="717"/>
      <c r="E90" s="715"/>
      <c r="F90" s="715"/>
      <c r="G90" s="715"/>
      <c r="I90" s="715"/>
      <c r="J90" s="737"/>
      <c r="K90" s="737"/>
      <c r="L90" s="715"/>
    </row>
    <row r="91" spans="1:12" ht="9.1999999999999993" customHeight="1">
      <c r="B91" s="720"/>
      <c r="C91" s="717"/>
      <c r="D91" s="717"/>
      <c r="E91" s="715"/>
      <c r="F91" s="715"/>
      <c r="G91" s="715"/>
      <c r="I91" s="715"/>
      <c r="J91" s="737"/>
      <c r="K91" s="737"/>
      <c r="L91" s="715"/>
    </row>
    <row r="92" spans="1:12" ht="9.1999999999999993" customHeight="1">
      <c r="B92" s="720"/>
      <c r="C92" s="717"/>
      <c r="D92" s="717"/>
      <c r="E92" s="715"/>
      <c r="F92" s="715"/>
      <c r="G92" s="715"/>
      <c r="I92" s="715"/>
      <c r="J92" s="737"/>
      <c r="K92" s="737"/>
      <c r="L92" s="715"/>
    </row>
    <row r="93" spans="1:12" ht="9.1999999999999993" customHeight="1">
      <c r="A93" s="755"/>
      <c r="B93" s="755"/>
      <c r="C93" s="756"/>
      <c r="D93" s="756"/>
      <c r="E93" s="757" t="str">
        <f>$E$2</f>
        <v>THẺ LƯƠNG THÁNG 08/2019</v>
      </c>
      <c r="F93" s="758"/>
      <c r="G93" s="758"/>
      <c r="H93" s="758"/>
      <c r="I93" s="762"/>
      <c r="J93" s="762"/>
      <c r="K93" s="762"/>
      <c r="L93" s="782"/>
    </row>
    <row r="94" spans="1:12" ht="9.1999999999999993" customHeight="1">
      <c r="A94" s="755"/>
      <c r="B94" s="759" t="s">
        <v>644</v>
      </c>
      <c r="C94" s="760" t="s">
        <v>271</v>
      </c>
      <c r="D94" s="761"/>
      <c r="E94" s="762"/>
      <c r="F94" s="763" t="s">
        <v>645</v>
      </c>
      <c r="G94" s="762" t="str">
        <f>VLOOKUP(C94,'Luong VP'!$B$10:$AP$189,2,0)</f>
        <v xml:space="preserve"> Lê Hoàng Tuấn </v>
      </c>
      <c r="H94" s="762"/>
      <c r="I94" s="762"/>
      <c r="J94" s="762"/>
      <c r="K94" s="762"/>
      <c r="L94" s="782"/>
    </row>
    <row r="95" spans="1:12" ht="9.1999999999999993" customHeight="1">
      <c r="A95" s="755"/>
      <c r="B95" s="759" t="s">
        <v>646</v>
      </c>
      <c r="C95" s="762" t="str">
        <f>VLOOKUP(C94,'Luong VP'!$B$10:$AP$189,3,0)</f>
        <v>Bảo vệ</v>
      </c>
      <c r="D95" s="762"/>
      <c r="E95" s="762"/>
      <c r="F95" s="763" t="s">
        <v>647</v>
      </c>
      <c r="G95" s="762">
        <f>VLOOKUP(C94,'Luong VP'!$B$10:$AP$189,5,0)</f>
        <v>2</v>
      </c>
      <c r="H95" s="762"/>
      <c r="I95" s="762"/>
      <c r="J95" s="762"/>
      <c r="K95" s="762"/>
      <c r="L95" s="782"/>
    </row>
    <row r="96" spans="1:12" ht="9.1999999999999993" customHeight="1">
      <c r="A96" s="755"/>
      <c r="B96" s="764"/>
      <c r="C96" s="765"/>
      <c r="D96" s="766"/>
      <c r="E96" s="762"/>
      <c r="F96" s="767" t="s">
        <v>648</v>
      </c>
      <c r="G96" s="767"/>
      <c r="H96" s="767"/>
      <c r="I96" s="783"/>
      <c r="J96" s="784"/>
      <c r="K96" s="762"/>
      <c r="L96" s="782"/>
    </row>
    <row r="97" spans="1:12" ht="9.1999999999999993" customHeight="1">
      <c r="A97" s="768" t="s">
        <v>216</v>
      </c>
      <c r="B97" s="768" t="s">
        <v>649</v>
      </c>
      <c r="C97" s="769" t="s">
        <v>650</v>
      </c>
      <c r="D97" s="770"/>
      <c r="E97" s="771" t="s">
        <v>216</v>
      </c>
      <c r="F97" s="772" t="s">
        <v>649</v>
      </c>
      <c r="G97" s="771"/>
      <c r="H97" s="771" t="s">
        <v>651</v>
      </c>
      <c r="I97" s="785" t="s">
        <v>652</v>
      </c>
      <c r="J97" s="775"/>
      <c r="K97" s="762"/>
      <c r="L97" s="782" t="s">
        <v>653</v>
      </c>
    </row>
    <row r="98" spans="1:12" ht="9.1999999999999993" customHeight="1">
      <c r="A98" s="773">
        <v>1</v>
      </c>
      <c r="B98" s="774" t="s">
        <v>654</v>
      </c>
      <c r="C98" s="775">
        <f>VLOOKUP(C94,'Luong VP'!$B$10:$AP$189,9,0)</f>
        <v>5870</v>
      </c>
      <c r="D98" s="776"/>
      <c r="E98" s="771" t="s">
        <v>655</v>
      </c>
      <c r="F98" s="777" t="s">
        <v>656</v>
      </c>
      <c r="G98" s="771"/>
      <c r="H98" s="771"/>
      <c r="I98" s="785"/>
      <c r="J98" s="775">
        <f>VLOOKUP(C94,'Luong VP'!$B$10:$AP$189,21,0)</f>
        <v>6363.5</v>
      </c>
      <c r="K98" s="762"/>
      <c r="L98" s="782"/>
    </row>
    <row r="99" spans="1:12" ht="9.1999999999999993" customHeight="1">
      <c r="A99" s="773">
        <v>2</v>
      </c>
      <c r="B99" s="774" t="s">
        <v>658</v>
      </c>
      <c r="C99" s="775"/>
      <c r="D99" s="778"/>
      <c r="E99" s="771">
        <v>1</v>
      </c>
      <c r="F99" s="779" t="s">
        <v>659</v>
      </c>
      <c r="G99" s="779"/>
      <c r="H99" s="771" t="s">
        <v>660</v>
      </c>
      <c r="I99" s="785">
        <f>VLOOKUP(C94,'Luong VP'!$B$10:$AP$189,22,0)</f>
        <v>30</v>
      </c>
      <c r="J99" s="786">
        <f>J98/'Cham cong'!$AT$3*I99</f>
        <v>6363.5</v>
      </c>
      <c r="K99" s="762"/>
      <c r="L99" s="782"/>
    </row>
    <row r="100" spans="1:12" ht="9.1999999999999993" customHeight="1">
      <c r="A100" s="773">
        <v>3</v>
      </c>
      <c r="B100" s="774" t="s">
        <v>661</v>
      </c>
      <c r="C100" s="775">
        <f>VLOOKUP(C94,'Luong VP'!$B$10:$AP$189,10,0)</f>
        <v>0</v>
      </c>
      <c r="D100" s="778"/>
      <c r="E100" s="771">
        <v>2</v>
      </c>
      <c r="F100" s="779" t="s">
        <v>662</v>
      </c>
      <c r="G100" s="779"/>
      <c r="H100" s="771" t="s">
        <v>660</v>
      </c>
      <c r="I100" s="785">
        <f>VLOOKUP(C94,'Luong VP'!$B$10:$AP$189,27,0)</f>
        <v>0</v>
      </c>
      <c r="J100" s="786">
        <f>J98/'Cham cong'!$AT$3*I100*3</f>
        <v>0</v>
      </c>
      <c r="K100" s="762"/>
      <c r="L100" s="782"/>
    </row>
    <row r="101" spans="1:12" ht="9.1999999999999993" customHeight="1">
      <c r="A101" s="773">
        <v>4</v>
      </c>
      <c r="B101" s="774" t="s">
        <v>666</v>
      </c>
      <c r="C101" s="775">
        <f>VLOOKUP(C94,'Luong VP'!$B$10:$AP$189,11,0)</f>
        <v>200</v>
      </c>
      <c r="D101" s="778"/>
      <c r="E101" s="771">
        <v>3</v>
      </c>
      <c r="F101" s="779" t="s">
        <v>667</v>
      </c>
      <c r="G101" s="779"/>
      <c r="H101" s="771" t="s">
        <v>668</v>
      </c>
      <c r="I101" s="785">
        <f>VLOOKUP(C94,'Luong VP'!$B$10:$AP$189,26,0)</f>
        <v>0</v>
      </c>
      <c r="J101" s="786">
        <f>J98/'Cham cong'!$AT$3*I101/8*1.5</f>
        <v>0</v>
      </c>
      <c r="K101" s="762"/>
      <c r="L101" s="782"/>
    </row>
    <row r="102" spans="1:12" ht="9.1999999999999993" customHeight="1">
      <c r="A102" s="773">
        <v>5</v>
      </c>
      <c r="B102" s="774" t="s">
        <v>670</v>
      </c>
      <c r="C102" s="775">
        <f>VLOOKUP(C94,'Luong VP'!$B$10:$AP$189,12,0)</f>
        <v>293.5</v>
      </c>
      <c r="D102" s="778"/>
      <c r="E102" s="771">
        <v>4</v>
      </c>
      <c r="F102" s="779" t="s">
        <v>671</v>
      </c>
      <c r="G102" s="779"/>
      <c r="H102" s="771" t="s">
        <v>668</v>
      </c>
      <c r="I102" s="785">
        <f>VLOOKUP(C94,'Luong VP'!$B$10:$AP$189,25,0)</f>
        <v>0</v>
      </c>
      <c r="J102" s="786">
        <f>J98/'Cham cong'!$AT$3*I102/8*2</f>
        <v>0</v>
      </c>
      <c r="K102" s="762"/>
      <c r="L102" s="782"/>
    </row>
    <row r="103" spans="1:12" ht="9.1999999999999993" customHeight="1">
      <c r="A103" s="773">
        <v>6</v>
      </c>
      <c r="B103" s="774" t="s">
        <v>673</v>
      </c>
      <c r="C103" s="775">
        <f>VLOOKUP(C94,'Luong VP'!$B$10:$AP$189,13,0)</f>
        <v>0</v>
      </c>
      <c r="D103" s="778"/>
      <c r="E103" s="771">
        <v>5</v>
      </c>
      <c r="F103" s="779" t="s">
        <v>674</v>
      </c>
      <c r="G103" s="779"/>
      <c r="H103" s="771" t="s">
        <v>660</v>
      </c>
      <c r="I103" s="785">
        <f>VLOOKUP(C94,'Luong VP'!$B$10:$AP$189,23,0)</f>
        <v>0</v>
      </c>
      <c r="J103" s="786">
        <f>C98/'Cham cong'!$AT$3*I103</f>
        <v>0</v>
      </c>
      <c r="K103" s="762"/>
      <c r="L103" s="782" t="str">
        <f>G94</f>
        <v xml:space="preserve"> Lê Hoàng Tuấn </v>
      </c>
    </row>
    <row r="104" spans="1:12" ht="9.1999999999999993" customHeight="1">
      <c r="A104" s="773">
        <v>7</v>
      </c>
      <c r="B104" s="774" t="s">
        <v>676</v>
      </c>
      <c r="C104" s="775"/>
      <c r="D104" s="778"/>
      <c r="E104" s="771">
        <v>6</v>
      </c>
      <c r="F104" s="779" t="s">
        <v>677</v>
      </c>
      <c r="G104" s="779"/>
      <c r="H104" s="771" t="s">
        <v>660</v>
      </c>
      <c r="I104" s="785">
        <f>VLOOKUP(C94,'Luong VP'!$B$10:$AP$189,24,0)</f>
        <v>1</v>
      </c>
      <c r="J104" s="775">
        <f>C98/'Cham cong'!$AT$3*I104</f>
        <v>195.66666666666666</v>
      </c>
      <c r="K104" s="762"/>
      <c r="L104" s="782"/>
    </row>
    <row r="105" spans="1:12" ht="9.1999999999999993" customHeight="1">
      <c r="A105" s="773">
        <v>8</v>
      </c>
      <c r="B105" s="774" t="s">
        <v>679</v>
      </c>
      <c r="C105" s="775">
        <f>VLOOKUP(C94,'Luong VP'!$B$10:$AP$189,14,0)</f>
        <v>0</v>
      </c>
      <c r="D105" s="778"/>
      <c r="E105" s="771">
        <v>7</v>
      </c>
      <c r="F105" s="779" t="s">
        <v>680</v>
      </c>
      <c r="G105" s="779"/>
      <c r="H105" s="779"/>
      <c r="I105" s="787"/>
      <c r="J105" s="775">
        <f>VLOOKUP(C94,'Luong VP'!$B$10:$AP$189,28,0)</f>
        <v>0</v>
      </c>
      <c r="K105" s="762"/>
      <c r="L105" s="782"/>
    </row>
    <row r="106" spans="1:12" ht="9.1999999999999993" customHeight="1">
      <c r="A106" s="773">
        <v>9</v>
      </c>
      <c r="B106" s="774" t="s">
        <v>683</v>
      </c>
      <c r="C106" s="775">
        <f>VLOOKUP(C94,'Luong VP'!$B$10:$AP$189,15,0)</f>
        <v>0</v>
      </c>
      <c r="D106" s="778"/>
      <c r="E106" s="771">
        <v>8</v>
      </c>
      <c r="F106" s="779" t="s">
        <v>238</v>
      </c>
      <c r="G106" s="779"/>
      <c r="H106" s="779"/>
      <c r="I106" s="787"/>
      <c r="J106" s="775">
        <f>VLOOKUP(C94,'Luong VP'!$B$10:$AP$189,33,0)</f>
        <v>0</v>
      </c>
      <c r="K106" s="762"/>
      <c r="L106" s="782"/>
    </row>
    <row r="107" spans="1:12" ht="9.1999999999999993" customHeight="1">
      <c r="A107" s="773">
        <v>10</v>
      </c>
      <c r="B107" s="774" t="s">
        <v>685</v>
      </c>
      <c r="C107" s="775">
        <f>VLOOKUP(C94,'Luong VP'!$B$10:$AP$189,16,0)</f>
        <v>0</v>
      </c>
      <c r="D107" s="778"/>
      <c r="E107" s="771" t="s">
        <v>686</v>
      </c>
      <c r="F107" s="777" t="s">
        <v>687</v>
      </c>
      <c r="G107" s="780"/>
      <c r="H107" s="780"/>
      <c r="I107" s="787"/>
      <c r="J107" s="788"/>
      <c r="K107" s="762"/>
      <c r="L107" s="782"/>
    </row>
    <row r="108" spans="1:12" ht="9.1999999999999993" customHeight="1">
      <c r="A108" s="773">
        <v>11</v>
      </c>
      <c r="B108" s="774" t="s">
        <v>688</v>
      </c>
      <c r="C108" s="775">
        <f>VLOOKUP(C94,'Luong VP'!$B$10:$AP$189,17,0)</f>
        <v>0</v>
      </c>
      <c r="D108" s="778"/>
      <c r="E108" s="771">
        <v>1</v>
      </c>
      <c r="F108" s="777" t="s">
        <v>689</v>
      </c>
      <c r="G108" s="780"/>
      <c r="H108" s="780"/>
      <c r="I108" s="787"/>
      <c r="J108" s="775">
        <f>VLOOKUP(C94,'Luong VP'!$B$10:$AP$189,30,0)</f>
        <v>0</v>
      </c>
      <c r="K108" s="762"/>
      <c r="L108" s="782"/>
    </row>
    <row r="109" spans="1:12" ht="9.1999999999999993" customHeight="1">
      <c r="A109" s="773">
        <v>12</v>
      </c>
      <c r="B109" s="774" t="s">
        <v>691</v>
      </c>
      <c r="C109" s="775">
        <f>VLOOKUP(C94,'Luong VP'!$B$10:$AP$189,18,0)</f>
        <v>0</v>
      </c>
      <c r="D109" s="778"/>
      <c r="E109" s="771">
        <v>2</v>
      </c>
      <c r="F109" s="779" t="s">
        <v>239</v>
      </c>
      <c r="G109" s="779"/>
      <c r="H109" s="779"/>
      <c r="I109" s="785"/>
      <c r="J109" s="786">
        <f>VLOOKUP(C94,'Luong VP'!$B$10:$AP$189,34,0)</f>
        <v>0</v>
      </c>
      <c r="K109" s="789"/>
      <c r="L109" s="776"/>
    </row>
    <row r="110" spans="1:12" ht="9.1999999999999993" customHeight="1">
      <c r="A110" s="773">
        <v>13</v>
      </c>
      <c r="B110" s="774" t="s">
        <v>692</v>
      </c>
      <c r="C110" s="775">
        <f>VLOOKUP(C94,'Luong VP'!$B$10:$AP$189,19,0)</f>
        <v>0</v>
      </c>
      <c r="D110" s="778"/>
      <c r="E110" s="771">
        <v>3</v>
      </c>
      <c r="F110" s="777" t="s">
        <v>693</v>
      </c>
      <c r="G110" s="780"/>
      <c r="H110" s="780"/>
      <c r="I110" s="787"/>
      <c r="J110" s="775">
        <f>VLOOKUP(C94,'Luong VP'!$B$10:$AP$189,40,0)</f>
        <v>0</v>
      </c>
      <c r="K110" s="789"/>
      <c r="L110" s="776"/>
    </row>
    <row r="111" spans="1:12" ht="9.1999999999999993" customHeight="1">
      <c r="A111" s="773">
        <v>14</v>
      </c>
      <c r="B111" s="774" t="s">
        <v>694</v>
      </c>
      <c r="C111" s="775">
        <f>VLOOKUP(C94,'Luong VP'!$B$10:$AP$189,20,0)</f>
        <v>0</v>
      </c>
      <c r="D111" s="778"/>
      <c r="E111" s="771">
        <v>4</v>
      </c>
      <c r="F111" s="779" t="s">
        <v>695</v>
      </c>
      <c r="G111" s="780"/>
      <c r="H111" s="780"/>
      <c r="I111" s="787"/>
      <c r="J111" s="775">
        <f>VLOOKUP(C94,'Luong VP'!$B$10:$AP$189,35,0)</f>
        <v>0</v>
      </c>
      <c r="K111" s="790"/>
      <c r="L111" s="776"/>
    </row>
    <row r="112" spans="1:12" ht="9.1999999999999993" customHeight="1">
      <c r="A112" s="773"/>
      <c r="B112" s="768" t="s">
        <v>656</v>
      </c>
      <c r="C112" s="775">
        <f>SUM(C98:C111)</f>
        <v>6363.5</v>
      </c>
      <c r="D112" s="778"/>
      <c r="E112" s="771"/>
      <c r="F112" s="777" t="s">
        <v>241</v>
      </c>
      <c r="G112" s="780"/>
      <c r="H112" s="780"/>
      <c r="I112" s="787"/>
      <c r="J112" s="788">
        <f>SUM(J99:J111)+C106</f>
        <v>6559.166666666667</v>
      </c>
      <c r="K112" s="789"/>
      <c r="L112" s="776"/>
    </row>
    <row r="113" spans="1:12" ht="9.1999999999999993" customHeight="1">
      <c r="A113" s="755"/>
      <c r="B113" s="781"/>
      <c r="C113" s="778"/>
      <c r="D113" s="778"/>
      <c r="E113" s="771" t="s">
        <v>696</v>
      </c>
      <c r="F113" s="772" t="s">
        <v>697</v>
      </c>
      <c r="G113" s="771"/>
      <c r="H113" s="771"/>
      <c r="I113" s="787"/>
      <c r="J113" s="788">
        <f>SUM(J114:J116)</f>
        <v>2480.585</v>
      </c>
      <c r="K113" s="790"/>
      <c r="L113" s="776"/>
    </row>
    <row r="114" spans="1:12" ht="9.1999999999999993" customHeight="1">
      <c r="A114" s="755"/>
      <c r="B114" s="781"/>
      <c r="C114" s="778"/>
      <c r="D114" s="778"/>
      <c r="E114" s="771">
        <v>1</v>
      </c>
      <c r="F114" s="779" t="s">
        <v>698</v>
      </c>
      <c r="G114" s="779"/>
      <c r="H114" s="779"/>
      <c r="I114" s="791"/>
      <c r="J114" s="775">
        <f>VLOOKUP(C94,'Luong VP'!$B$10:$AP$189,37,0)</f>
        <v>480.58499999999998</v>
      </c>
      <c r="K114" s="790"/>
      <c r="L114" s="776"/>
    </row>
    <row r="115" spans="1:12" ht="9.1999999999999993" customHeight="1">
      <c r="A115" s="755"/>
      <c r="B115" s="781"/>
      <c r="C115" s="778"/>
      <c r="D115" s="778"/>
      <c r="E115" s="771">
        <v>2</v>
      </c>
      <c r="F115" s="779" t="s">
        <v>244</v>
      </c>
      <c r="G115" s="779"/>
      <c r="H115" s="779"/>
      <c r="I115" s="787"/>
      <c r="J115" s="775">
        <f>VLOOKUP(C94,'Luong VP'!$B$10:$AP$189,39,0)</f>
        <v>2000</v>
      </c>
      <c r="K115" s="792"/>
      <c r="L115" s="793"/>
    </row>
    <row r="116" spans="1:12" ht="9.1999999999999993" customHeight="1">
      <c r="A116" s="755"/>
      <c r="B116" s="781"/>
      <c r="C116" s="778"/>
      <c r="D116" s="778"/>
      <c r="E116" s="771"/>
      <c r="F116" s="779" t="s">
        <v>699</v>
      </c>
      <c r="G116" s="779"/>
      <c r="H116" s="779"/>
      <c r="I116" s="787"/>
      <c r="J116" s="775"/>
      <c r="K116" s="775"/>
      <c r="L116" s="794"/>
    </row>
    <row r="117" spans="1:12" ht="9.1999999999999993" customHeight="1">
      <c r="A117" s="755"/>
      <c r="B117" s="781"/>
      <c r="C117" s="778"/>
      <c r="D117" s="778"/>
      <c r="E117" s="771" t="s">
        <v>700</v>
      </c>
      <c r="F117" s="771" t="s">
        <v>246</v>
      </c>
      <c r="G117" s="771"/>
      <c r="H117" s="771"/>
      <c r="I117" s="787"/>
      <c r="J117" s="786">
        <f>J112-J113</f>
        <v>4078.5816666666669</v>
      </c>
      <c r="K117" s="786">
        <f>ROUND(J117,-1)</f>
        <v>4080</v>
      </c>
      <c r="L117" s="771"/>
    </row>
    <row r="118" spans="1:12" ht="9.1999999999999993" customHeight="1">
      <c r="A118" s="755"/>
      <c r="B118" s="781"/>
      <c r="C118" s="778"/>
      <c r="D118" s="778"/>
      <c r="E118" s="776"/>
      <c r="F118" s="776"/>
      <c r="G118" s="776"/>
      <c r="H118" s="762"/>
      <c r="I118" s="776" t="s">
        <v>701</v>
      </c>
      <c r="J118" s="795"/>
      <c r="K118" s="795"/>
      <c r="L118" s="776"/>
    </row>
    <row r="119" spans="1:12" ht="9.1999999999999993" customHeight="1">
      <c r="B119" s="720"/>
      <c r="C119" s="717"/>
      <c r="D119" s="717"/>
      <c r="E119" s="715"/>
      <c r="F119" s="715"/>
      <c r="G119" s="715"/>
      <c r="I119" s="715"/>
      <c r="J119" s="737"/>
      <c r="K119" s="737"/>
      <c r="L119" s="715"/>
    </row>
    <row r="120" spans="1:12" ht="9.1999999999999993" customHeight="1">
      <c r="B120" s="720"/>
      <c r="C120" s="717"/>
      <c r="D120" s="717"/>
      <c r="E120" s="715"/>
      <c r="F120" s="715"/>
      <c r="G120" s="715"/>
      <c r="I120" s="715"/>
      <c r="J120" s="737"/>
      <c r="K120" s="737"/>
      <c r="L120" s="715"/>
    </row>
    <row r="121" spans="1:12" ht="9.1999999999999993" customHeight="1">
      <c r="B121" s="720"/>
      <c r="C121" s="717"/>
      <c r="D121" s="717"/>
      <c r="E121" s="715"/>
      <c r="F121" s="715"/>
      <c r="G121" s="715"/>
      <c r="I121" s="715"/>
      <c r="J121" s="737"/>
      <c r="K121" s="737"/>
      <c r="L121" s="715"/>
    </row>
    <row r="122" spans="1:12" ht="9.1999999999999993" customHeight="1">
      <c r="B122" s="720"/>
      <c r="C122" s="717"/>
      <c r="D122" s="717"/>
      <c r="E122" s="715"/>
      <c r="F122" s="715"/>
      <c r="G122" s="715"/>
      <c r="I122" s="715"/>
      <c r="J122" s="737"/>
      <c r="K122" s="737"/>
      <c r="L122" s="715"/>
    </row>
    <row r="124" spans="1:12" ht="9.1999999999999993" customHeight="1">
      <c r="C124" s="696"/>
      <c r="D124" s="696"/>
      <c r="E124" s="697" t="str">
        <f>$E$2</f>
        <v>THẺ LƯƠNG THÁNG 08/2019</v>
      </c>
      <c r="F124" s="698"/>
      <c r="G124" s="698"/>
      <c r="H124" s="698"/>
    </row>
    <row r="125" spans="1:12" ht="9.1999999999999993" customHeight="1">
      <c r="B125" s="699" t="s">
        <v>644</v>
      </c>
      <c r="C125" s="700" t="s">
        <v>273</v>
      </c>
      <c r="D125" s="701"/>
      <c r="F125" s="702" t="s">
        <v>645</v>
      </c>
      <c r="G125" s="689" t="str">
        <f>VLOOKUP(C125,'Luong VP'!$B$10:$AP$189,2,0)</f>
        <v xml:space="preserve"> Nguyễn T. Hồng Anh </v>
      </c>
    </row>
    <row r="126" spans="1:12" ht="9.1999999999999993" customHeight="1">
      <c r="B126" s="699" t="s">
        <v>646</v>
      </c>
      <c r="C126" s="689" t="str">
        <f>VLOOKUP(C125,'Luong VP'!$B$10:$AP$189,3,0)</f>
        <v>Nhân viên hành chính/ HCNS NM</v>
      </c>
      <c r="F126" s="702" t="s">
        <v>647</v>
      </c>
      <c r="G126" s="689">
        <f>VLOOKUP(C125,'Luong VP'!$B$10:$AP$189,5,0)</f>
        <v>2</v>
      </c>
    </row>
    <row r="127" spans="1:12" ht="9.1999999999999993" customHeight="1">
      <c r="B127" s="703"/>
      <c r="C127" s="704"/>
      <c r="D127" s="705"/>
      <c r="F127" s="706" t="s">
        <v>648</v>
      </c>
      <c r="G127" s="706"/>
      <c r="H127" s="706"/>
      <c r="I127" s="725"/>
      <c r="J127" s="726"/>
    </row>
    <row r="128" spans="1:12" ht="9.1999999999999993" customHeight="1">
      <c r="A128" s="707" t="s">
        <v>216</v>
      </c>
      <c r="B128" s="707" t="s">
        <v>649</v>
      </c>
      <c r="C128" s="708" t="s">
        <v>650</v>
      </c>
      <c r="D128" s="709"/>
      <c r="E128" s="710" t="s">
        <v>216</v>
      </c>
      <c r="F128" s="711" t="s">
        <v>649</v>
      </c>
      <c r="G128" s="710"/>
      <c r="H128" s="710" t="s">
        <v>651</v>
      </c>
      <c r="I128" s="727" t="s">
        <v>652</v>
      </c>
      <c r="J128" s="714"/>
      <c r="L128" s="694" t="s">
        <v>653</v>
      </c>
    </row>
    <row r="129" spans="1:12" ht="9.1999999999999993" customHeight="1">
      <c r="A129" s="712">
        <v>1</v>
      </c>
      <c r="B129" s="713" t="s">
        <v>654</v>
      </c>
      <c r="C129" s="714">
        <f>VLOOKUP(C125,'Luong VP'!$B$10:$AP$189,9,0)</f>
        <v>8540</v>
      </c>
      <c r="D129" s="715"/>
      <c r="E129" s="710" t="s">
        <v>655</v>
      </c>
      <c r="F129" s="716" t="s">
        <v>656</v>
      </c>
      <c r="G129" s="710"/>
      <c r="H129" s="710"/>
      <c r="I129" s="727"/>
      <c r="J129" s="714">
        <f>VLOOKUP(C125,'Luong VP'!$B$10:$AP$189,21,0)</f>
        <v>9394</v>
      </c>
    </row>
    <row r="130" spans="1:12" ht="9.1999999999999993" customHeight="1">
      <c r="A130" s="712">
        <v>2</v>
      </c>
      <c r="B130" s="713" t="s">
        <v>658</v>
      </c>
      <c r="C130" s="714"/>
      <c r="D130" s="717"/>
      <c r="E130" s="710">
        <v>1</v>
      </c>
      <c r="F130" s="718" t="s">
        <v>659</v>
      </c>
      <c r="G130" s="718"/>
      <c r="H130" s="710" t="s">
        <v>660</v>
      </c>
      <c r="I130" s="727">
        <f>VLOOKUP(C125,'Luong VP'!$B$10:$AP$189,22,0)</f>
        <v>26</v>
      </c>
      <c r="J130" s="728">
        <f>J129/'Cham cong'!$AS$3*I130</f>
        <v>9394</v>
      </c>
    </row>
    <row r="131" spans="1:12" ht="9.1999999999999993" customHeight="1">
      <c r="A131" s="712">
        <v>3</v>
      </c>
      <c r="B131" s="713" t="s">
        <v>661</v>
      </c>
      <c r="C131" s="714">
        <f>VLOOKUP(C125,'Luong VP'!$B$10:$AP$189,10,0)</f>
        <v>0</v>
      </c>
      <c r="D131" s="717"/>
      <c r="E131" s="710">
        <v>2</v>
      </c>
      <c r="F131" s="718" t="s">
        <v>662</v>
      </c>
      <c r="G131" s="718"/>
      <c r="H131" s="710" t="s">
        <v>660</v>
      </c>
      <c r="I131" s="727">
        <f>VLOOKUP(C125,'Luong VP'!$B$10:$AP$189,27,0)</f>
        <v>0</v>
      </c>
      <c r="J131" s="728">
        <f>J129/'Cham cong'!$AS$3*I131*3</f>
        <v>0</v>
      </c>
    </row>
    <row r="132" spans="1:12" ht="9.1999999999999993" customHeight="1">
      <c r="A132" s="712">
        <v>4</v>
      </c>
      <c r="B132" s="713" t="s">
        <v>666</v>
      </c>
      <c r="C132" s="714">
        <f>VLOOKUP(C125,'Luong VP'!$B$10:$AP$189,11,0)</f>
        <v>0</v>
      </c>
      <c r="D132" s="717"/>
      <c r="E132" s="710">
        <v>3</v>
      </c>
      <c r="F132" s="718" t="s">
        <v>667</v>
      </c>
      <c r="G132" s="718"/>
      <c r="H132" s="710" t="s">
        <v>668</v>
      </c>
      <c r="I132" s="727">
        <f>VLOOKUP(C125,'Luong VP'!$B$10:$AP$189,26,0)</f>
        <v>0</v>
      </c>
      <c r="J132" s="728">
        <f>J129/'Cham cong'!$AS$3*I132/8*1.5</f>
        <v>0</v>
      </c>
    </row>
    <row r="133" spans="1:12" ht="9.1999999999999993" customHeight="1">
      <c r="A133" s="712">
        <v>5</v>
      </c>
      <c r="B133" s="713" t="s">
        <v>670</v>
      </c>
      <c r="C133" s="714">
        <f>VLOOKUP(C125,'Luong VP'!$B$10:$AP$189,12,0)</f>
        <v>854</v>
      </c>
      <c r="D133" s="717"/>
      <c r="E133" s="710">
        <v>4</v>
      </c>
      <c r="F133" s="718" t="s">
        <v>671</v>
      </c>
      <c r="G133" s="718"/>
      <c r="H133" s="710" t="s">
        <v>668</v>
      </c>
      <c r="I133" s="727">
        <f>VLOOKUP(C125,'Luong VP'!$B$10:$AP$189,25,0)</f>
        <v>0</v>
      </c>
      <c r="J133" s="728">
        <f>J129/'Cham cong'!$AS$3*I133/8*2</f>
        <v>0</v>
      </c>
    </row>
    <row r="134" spans="1:12" ht="9.1999999999999993" customHeight="1">
      <c r="A134" s="712">
        <v>6</v>
      </c>
      <c r="B134" s="713" t="s">
        <v>673</v>
      </c>
      <c r="C134" s="714">
        <f>VLOOKUP(C125,'Luong VP'!$B$10:$AP$189,13,0)</f>
        <v>0</v>
      </c>
      <c r="D134" s="717"/>
      <c r="E134" s="710">
        <v>5</v>
      </c>
      <c r="F134" s="718" t="s">
        <v>674</v>
      </c>
      <c r="G134" s="718"/>
      <c r="H134" s="710" t="s">
        <v>660</v>
      </c>
      <c r="I134" s="727">
        <f>VLOOKUP(C125,'Luong VP'!$B$10:$AP$189,23,0)</f>
        <v>0</v>
      </c>
      <c r="J134" s="728">
        <f>C129/'Cham cong'!$AS$3*I134</f>
        <v>0</v>
      </c>
      <c r="L134" s="694" t="str">
        <f>G125</f>
        <v xml:space="preserve"> Nguyễn T. Hồng Anh </v>
      </c>
    </row>
    <row r="135" spans="1:12" ht="9.1999999999999993" customHeight="1">
      <c r="A135" s="712">
        <v>7</v>
      </c>
      <c r="B135" s="713" t="s">
        <v>676</v>
      </c>
      <c r="C135" s="714"/>
      <c r="D135" s="717"/>
      <c r="E135" s="710">
        <v>6</v>
      </c>
      <c r="F135" s="718" t="s">
        <v>677</v>
      </c>
      <c r="G135" s="718"/>
      <c r="H135" s="710" t="s">
        <v>660</v>
      </c>
      <c r="I135" s="727">
        <f>VLOOKUP(C125,'Luong VP'!$B$10:$AP$189,24,0)</f>
        <v>1</v>
      </c>
      <c r="J135" s="714">
        <f>C129/'Cham cong'!$AS$3*I135</f>
        <v>328.46153846153845</v>
      </c>
    </row>
    <row r="136" spans="1:12" ht="9.1999999999999993" customHeight="1">
      <c r="A136" s="712">
        <v>8</v>
      </c>
      <c r="B136" s="713" t="s">
        <v>679</v>
      </c>
      <c r="C136" s="714">
        <f>VLOOKUP(C125,'Luong VP'!$B$10:$AP$189,14,0)</f>
        <v>0</v>
      </c>
      <c r="D136" s="717"/>
      <c r="E136" s="710">
        <v>7</v>
      </c>
      <c r="F136" s="718" t="s">
        <v>680</v>
      </c>
      <c r="G136" s="718"/>
      <c r="H136" s="718"/>
      <c r="I136" s="729"/>
      <c r="J136" s="714">
        <f>VLOOKUP(C125,'Luong VP'!$B$10:$AP$189,28,0)</f>
        <v>0</v>
      </c>
    </row>
    <row r="137" spans="1:12" ht="9.1999999999999993" customHeight="1">
      <c r="A137" s="712">
        <v>9</v>
      </c>
      <c r="B137" s="713" t="s">
        <v>683</v>
      </c>
      <c r="C137" s="714">
        <f>VLOOKUP(C125,'Luong VP'!$B$10:$AP$189,15,0)</f>
        <v>0</v>
      </c>
      <c r="D137" s="717"/>
      <c r="E137" s="710">
        <v>8</v>
      </c>
      <c r="F137" s="718" t="s">
        <v>238</v>
      </c>
      <c r="G137" s="718"/>
      <c r="H137" s="718"/>
      <c r="I137" s="729"/>
      <c r="J137" s="714">
        <f>VLOOKUP(C125,'Luong VP'!$B$10:$AP$189,33,0)</f>
        <v>0</v>
      </c>
    </row>
    <row r="138" spans="1:12" ht="9.1999999999999993" customHeight="1">
      <c r="A138" s="712">
        <v>10</v>
      </c>
      <c r="B138" s="713" t="s">
        <v>685</v>
      </c>
      <c r="C138" s="714">
        <f>VLOOKUP(C125,'Luong VP'!$B$10:$AP$189,16,0)</f>
        <v>0</v>
      </c>
      <c r="D138" s="717"/>
      <c r="E138" s="710" t="s">
        <v>686</v>
      </c>
      <c r="F138" s="716" t="s">
        <v>687</v>
      </c>
      <c r="G138" s="719"/>
      <c r="H138" s="719"/>
      <c r="I138" s="729"/>
      <c r="J138" s="730"/>
    </row>
    <row r="139" spans="1:12" ht="9.1999999999999993" customHeight="1">
      <c r="A139" s="712">
        <v>11</v>
      </c>
      <c r="B139" s="713" t="s">
        <v>688</v>
      </c>
      <c r="C139" s="714">
        <f>VLOOKUP(C125,'Luong VP'!$B$10:$AP$189,17,0)</f>
        <v>0</v>
      </c>
      <c r="D139" s="717"/>
      <c r="E139" s="710">
        <v>1</v>
      </c>
      <c r="F139" s="716" t="s">
        <v>689</v>
      </c>
      <c r="G139" s="719"/>
      <c r="H139" s="719"/>
      <c r="I139" s="714">
        <f>VLOOKUP(C125,'Luong VP'!$B$10:$AP$189,30,0)</f>
        <v>0</v>
      </c>
      <c r="J139" s="714">
        <f>VLOOKUP(C125,'Luong VP'!$B$10:$AP$189,30,0)</f>
        <v>0</v>
      </c>
    </row>
    <row r="140" spans="1:12" ht="9.1999999999999993" customHeight="1">
      <c r="A140" s="712">
        <v>12</v>
      </c>
      <c r="B140" s="713" t="s">
        <v>691</v>
      </c>
      <c r="C140" s="714">
        <f>VLOOKUP(C125,'Luong VP'!$B$10:$AP$189,18,0)</f>
        <v>0</v>
      </c>
      <c r="D140" s="717"/>
      <c r="E140" s="710">
        <v>2</v>
      </c>
      <c r="F140" s="718" t="s">
        <v>239</v>
      </c>
      <c r="G140" s="718"/>
      <c r="H140" s="718"/>
      <c r="I140" s="727"/>
      <c r="J140" s="728">
        <f>VLOOKUP(C125,'Luong VP'!$B$10:$AP$189,34,0)</f>
        <v>0</v>
      </c>
      <c r="K140" s="731"/>
      <c r="L140" s="715"/>
    </row>
    <row r="141" spans="1:12" ht="9.1999999999999993" customHeight="1">
      <c r="A141" s="712">
        <v>13</v>
      </c>
      <c r="B141" s="713" t="s">
        <v>692</v>
      </c>
      <c r="C141" s="714">
        <f>VLOOKUP(C125,'Luong VP'!$B$10:$AP$189,19,0)</f>
        <v>0</v>
      </c>
      <c r="D141" s="717"/>
      <c r="E141" s="710">
        <v>3</v>
      </c>
      <c r="F141" s="716" t="s">
        <v>693</v>
      </c>
      <c r="G141" s="719"/>
      <c r="H141" s="719"/>
      <c r="I141" s="729"/>
      <c r="J141" s="714">
        <f>VLOOKUP(C125,'Luong VP'!$B$10:$AP$189,40,0)</f>
        <v>0</v>
      </c>
      <c r="K141" s="731"/>
      <c r="L141" s="715"/>
    </row>
    <row r="142" spans="1:12" ht="9.1999999999999993" customHeight="1">
      <c r="A142" s="712">
        <v>14</v>
      </c>
      <c r="B142" s="713" t="s">
        <v>694</v>
      </c>
      <c r="C142" s="714">
        <f>VLOOKUP(C125,'Luong VP'!$B$10:$AP$189,20,0)</f>
        <v>0</v>
      </c>
      <c r="D142" s="717"/>
      <c r="E142" s="710">
        <v>4</v>
      </c>
      <c r="F142" s="718" t="s">
        <v>695</v>
      </c>
      <c r="G142" s="719"/>
      <c r="H142" s="719"/>
      <c r="I142" s="729"/>
      <c r="J142" s="714">
        <f>VLOOKUP(C125,'Luong VP'!$B$10:$AP$189,35,0)</f>
        <v>0</v>
      </c>
      <c r="K142" s="732"/>
      <c r="L142" s="715"/>
    </row>
    <row r="143" spans="1:12" ht="9.1999999999999993" customHeight="1">
      <c r="A143" s="712"/>
      <c r="B143" s="707" t="s">
        <v>656</v>
      </c>
      <c r="C143" s="714">
        <f>SUM(C129:C142)</f>
        <v>9394</v>
      </c>
      <c r="D143" s="717"/>
      <c r="E143" s="710"/>
      <c r="F143" s="716" t="s">
        <v>241</v>
      </c>
      <c r="G143" s="719"/>
      <c r="H143" s="719"/>
      <c r="I143" s="729"/>
      <c r="J143" s="730">
        <f>SUM(J130:J142)+C137</f>
        <v>9722.461538461539</v>
      </c>
      <c r="K143" s="731"/>
      <c r="L143" s="715"/>
    </row>
    <row r="144" spans="1:12" ht="9.1999999999999993" customHeight="1">
      <c r="B144" s="720"/>
      <c r="C144" s="717"/>
      <c r="D144" s="717"/>
      <c r="E144" s="710" t="s">
        <v>696</v>
      </c>
      <c r="F144" s="711" t="s">
        <v>697</v>
      </c>
      <c r="G144" s="710"/>
      <c r="H144" s="710"/>
      <c r="I144" s="729"/>
      <c r="J144" s="730">
        <f>SUM(J145:J147)</f>
        <v>504</v>
      </c>
      <c r="K144" s="732"/>
      <c r="L144" s="715"/>
    </row>
    <row r="145" spans="1:12" ht="9.1999999999999993" customHeight="1">
      <c r="B145" s="720"/>
      <c r="C145" s="717"/>
      <c r="D145" s="717"/>
      <c r="E145" s="710">
        <v>1</v>
      </c>
      <c r="F145" s="718" t="s">
        <v>698</v>
      </c>
      <c r="G145" s="718"/>
      <c r="H145" s="718"/>
      <c r="I145" s="733"/>
      <c r="J145" s="714">
        <f>VLOOKUP(C125,'Luong VP'!$B$10:$AP$189,37,0)</f>
        <v>504</v>
      </c>
      <c r="K145" s="732"/>
      <c r="L145" s="715"/>
    </row>
    <row r="146" spans="1:12" ht="9.1999999999999993" customHeight="1">
      <c r="B146" s="720"/>
      <c r="C146" s="717"/>
      <c r="D146" s="717"/>
      <c r="E146" s="710">
        <v>2</v>
      </c>
      <c r="F146" s="718" t="s">
        <v>244</v>
      </c>
      <c r="G146" s="718"/>
      <c r="H146" s="718"/>
      <c r="I146" s="729"/>
      <c r="J146" s="714">
        <f>VLOOKUP(C125,'Luong VP'!$B$10:$AP$189,39,0)</f>
        <v>0</v>
      </c>
      <c r="K146" s="734"/>
      <c r="L146" s="735"/>
    </row>
    <row r="147" spans="1:12" ht="9.1999999999999993" customHeight="1">
      <c r="B147" s="720"/>
      <c r="C147" s="717"/>
      <c r="D147" s="717"/>
      <c r="E147" s="710"/>
      <c r="F147" s="718" t="s">
        <v>699</v>
      </c>
      <c r="G147" s="718"/>
      <c r="H147" s="718"/>
      <c r="I147" s="729"/>
      <c r="J147" s="714"/>
      <c r="K147" s="714"/>
      <c r="L147" s="736"/>
    </row>
    <row r="148" spans="1:12" ht="9.1999999999999993" customHeight="1">
      <c r="B148" s="720"/>
      <c r="C148" s="717"/>
      <c r="D148" s="717"/>
      <c r="E148" s="710" t="s">
        <v>700</v>
      </c>
      <c r="F148" s="710" t="s">
        <v>246</v>
      </c>
      <c r="G148" s="710"/>
      <c r="H148" s="710"/>
      <c r="I148" s="729"/>
      <c r="J148" s="728">
        <f>J143-J144</f>
        <v>9218.461538461539</v>
      </c>
      <c r="K148" s="728">
        <f>ROUND(J148,-1)</f>
        <v>9220</v>
      </c>
      <c r="L148" s="710"/>
    </row>
    <row r="149" spans="1:12" ht="9.1999999999999993" customHeight="1">
      <c r="B149" s="720"/>
      <c r="C149" s="717"/>
      <c r="D149" s="717"/>
      <c r="E149" s="715"/>
      <c r="F149" s="715"/>
      <c r="G149" s="715"/>
      <c r="I149" s="715" t="s">
        <v>701</v>
      </c>
      <c r="J149" s="737"/>
      <c r="K149" s="737"/>
      <c r="L149" s="715"/>
    </row>
    <row r="150" spans="1:12" ht="9.1999999999999993" customHeight="1">
      <c r="B150" s="720"/>
      <c r="C150" s="717"/>
      <c r="D150" s="717"/>
      <c r="E150" s="715"/>
      <c r="F150" s="715"/>
      <c r="G150" s="715"/>
      <c r="I150" s="715"/>
      <c r="J150" s="737"/>
      <c r="K150" s="737"/>
      <c r="L150" s="715"/>
    </row>
    <row r="151" spans="1:12" ht="9.1999999999999993" customHeight="1">
      <c r="B151" s="720"/>
      <c r="C151" s="717"/>
      <c r="D151" s="717"/>
      <c r="E151" s="715"/>
      <c r="F151" s="715"/>
      <c r="G151" s="715"/>
      <c r="I151" s="715"/>
      <c r="J151" s="737"/>
      <c r="K151" s="737"/>
      <c r="L151" s="715"/>
    </row>
    <row r="155" spans="1:12" ht="9.1999999999999993" customHeight="1">
      <c r="C155" s="696"/>
      <c r="D155" s="696"/>
      <c r="E155" s="697" t="str">
        <f>$E$2</f>
        <v>THẺ LƯƠNG THÁNG 08/2019</v>
      </c>
      <c r="F155" s="698"/>
      <c r="G155" s="698"/>
      <c r="H155" s="698"/>
    </row>
    <row r="156" spans="1:12" ht="9.1999999999999993" customHeight="1">
      <c r="B156" s="699" t="s">
        <v>644</v>
      </c>
      <c r="C156" s="700" t="s">
        <v>275</v>
      </c>
      <c r="D156" s="701"/>
      <c r="F156" s="702" t="s">
        <v>645</v>
      </c>
      <c r="G156" s="689" t="str">
        <f>VLOOKUP(C156,'Luong VP'!$B$10:$AP$189,2,0)</f>
        <v xml:space="preserve"> Đỗ Ngọc Thiên Thanh </v>
      </c>
    </row>
    <row r="157" spans="1:12" ht="9.1999999999999993" customHeight="1">
      <c r="B157" s="699" t="s">
        <v>646</v>
      </c>
      <c r="C157" s="689" t="str">
        <f>VLOOKUP(C156,'Luong VP'!$B$10:$AP$189,3,0)</f>
        <v>Nhân viên hành chính/ HCNS NM</v>
      </c>
      <c r="F157" s="702" t="s">
        <v>647</v>
      </c>
      <c r="G157" s="689">
        <f>VLOOKUP(C156,'Luong VP'!$B$10:$AP$189,5,0)</f>
        <v>2</v>
      </c>
    </row>
    <row r="158" spans="1:12" ht="9.1999999999999993" customHeight="1">
      <c r="B158" s="703"/>
      <c r="C158" s="704"/>
      <c r="D158" s="705"/>
      <c r="F158" s="706" t="s">
        <v>648</v>
      </c>
      <c r="G158" s="706"/>
      <c r="H158" s="706"/>
      <c r="I158" s="725"/>
      <c r="J158" s="726"/>
    </row>
    <row r="159" spans="1:12" ht="9.1999999999999993" customHeight="1">
      <c r="A159" s="707" t="s">
        <v>216</v>
      </c>
      <c r="B159" s="707" t="s">
        <v>649</v>
      </c>
      <c r="C159" s="708" t="s">
        <v>650</v>
      </c>
      <c r="D159" s="709"/>
      <c r="E159" s="710" t="s">
        <v>216</v>
      </c>
      <c r="F159" s="711" t="s">
        <v>649</v>
      </c>
      <c r="G159" s="710"/>
      <c r="H159" s="710" t="s">
        <v>651</v>
      </c>
      <c r="I159" s="727" t="s">
        <v>652</v>
      </c>
      <c r="J159" s="714"/>
      <c r="L159" s="694" t="s">
        <v>653</v>
      </c>
    </row>
    <row r="160" spans="1:12" ht="9.1999999999999993" customHeight="1">
      <c r="A160" s="712">
        <v>1</v>
      </c>
      <c r="B160" s="713" t="s">
        <v>654</v>
      </c>
      <c r="C160" s="714">
        <f>VLOOKUP(C156,'Luong VP'!$B$10:$AP$189,9,0)</f>
        <v>8540</v>
      </c>
      <c r="D160" s="715"/>
      <c r="E160" s="710" t="s">
        <v>655</v>
      </c>
      <c r="F160" s="716" t="s">
        <v>656</v>
      </c>
      <c r="G160" s="710"/>
      <c r="H160" s="710"/>
      <c r="I160" s="727"/>
      <c r="J160" s="714">
        <f>VLOOKUP(C156,'Luong VP'!$B$10:$AP$189,21,0)</f>
        <v>8540</v>
      </c>
    </row>
    <row r="161" spans="1:12" ht="9.1999999999999993" customHeight="1">
      <c r="A161" s="712">
        <v>2</v>
      </c>
      <c r="B161" s="713" t="s">
        <v>658</v>
      </c>
      <c r="C161" s="714"/>
      <c r="D161" s="717"/>
      <c r="E161" s="710">
        <v>1</v>
      </c>
      <c r="F161" s="718" t="s">
        <v>659</v>
      </c>
      <c r="G161" s="718"/>
      <c r="H161" s="710" t="s">
        <v>660</v>
      </c>
      <c r="I161" s="727">
        <f>VLOOKUP(C156,'Luong VP'!$B$10:$AP$189,22,0)</f>
        <v>26</v>
      </c>
      <c r="J161" s="728">
        <f>J160/'Cham cong'!$AS$3*I161</f>
        <v>8540</v>
      </c>
    </row>
    <row r="162" spans="1:12" ht="9.1999999999999993" customHeight="1">
      <c r="A162" s="712">
        <v>3</v>
      </c>
      <c r="B162" s="713" t="s">
        <v>661</v>
      </c>
      <c r="C162" s="714">
        <f>VLOOKUP(C156,'Luong VP'!$B$10:$AP$189,10,0)</f>
        <v>0</v>
      </c>
      <c r="D162" s="717"/>
      <c r="E162" s="710">
        <v>2</v>
      </c>
      <c r="F162" s="718" t="s">
        <v>662</v>
      </c>
      <c r="G162" s="718"/>
      <c r="H162" s="710" t="s">
        <v>660</v>
      </c>
      <c r="I162" s="727">
        <f>VLOOKUP(C156,'Luong VP'!$B$10:$AP$189,27,0)</f>
        <v>0</v>
      </c>
      <c r="J162" s="728">
        <f>J160/'Cham cong'!$AS$3*I162*3</f>
        <v>0</v>
      </c>
    </row>
    <row r="163" spans="1:12" ht="9.1999999999999993" customHeight="1">
      <c r="A163" s="712">
        <v>4</v>
      </c>
      <c r="B163" s="713" t="s">
        <v>666</v>
      </c>
      <c r="C163" s="714">
        <f>VLOOKUP(C156,'Luong VP'!$B$10:$AP$189,11,0)</f>
        <v>0</v>
      </c>
      <c r="D163" s="717"/>
      <c r="E163" s="710">
        <v>3</v>
      </c>
      <c r="F163" s="718" t="s">
        <v>667</v>
      </c>
      <c r="G163" s="718"/>
      <c r="H163" s="710" t="s">
        <v>668</v>
      </c>
      <c r="I163" s="727">
        <f>VLOOKUP(C156,'Luong VP'!$B$10:$AP$189,26,0)</f>
        <v>0</v>
      </c>
      <c r="J163" s="728">
        <f>J160/'Cham cong'!$AS$3*I163/8*1.5</f>
        <v>0</v>
      </c>
    </row>
    <row r="164" spans="1:12" ht="9.1999999999999993" customHeight="1">
      <c r="A164" s="712">
        <v>5</v>
      </c>
      <c r="B164" s="713" t="s">
        <v>670</v>
      </c>
      <c r="C164" s="714">
        <f>VLOOKUP(C156,'Luong VP'!$B$10:$AP$189,12,0)</f>
        <v>0</v>
      </c>
      <c r="D164" s="717"/>
      <c r="E164" s="710">
        <v>4</v>
      </c>
      <c r="F164" s="718" t="s">
        <v>671</v>
      </c>
      <c r="G164" s="718"/>
      <c r="H164" s="710" t="s">
        <v>668</v>
      </c>
      <c r="I164" s="727">
        <f>VLOOKUP(C156,'Luong VP'!$B$10:$AP$189,25,0)</f>
        <v>0</v>
      </c>
      <c r="J164" s="728">
        <f>J160/'Cham cong'!$AS$3*I164/8*2</f>
        <v>0</v>
      </c>
    </row>
    <row r="165" spans="1:12" ht="9.1999999999999993" customHeight="1">
      <c r="A165" s="712">
        <v>6</v>
      </c>
      <c r="B165" s="713" t="s">
        <v>673</v>
      </c>
      <c r="C165" s="714">
        <f>VLOOKUP(C156,'Luong VP'!$B$10:$AP$189,13,0)</f>
        <v>0</v>
      </c>
      <c r="D165" s="717"/>
      <c r="E165" s="710">
        <v>5</v>
      </c>
      <c r="F165" s="718" t="s">
        <v>674</v>
      </c>
      <c r="G165" s="718"/>
      <c r="H165" s="710" t="s">
        <v>660</v>
      </c>
      <c r="I165" s="727">
        <f>VLOOKUP(C156,'Luong VP'!$B$10:$AP$189,23,0)</f>
        <v>0</v>
      </c>
      <c r="J165" s="728">
        <f>C160/'Cham cong'!$AS$3*I165</f>
        <v>0</v>
      </c>
      <c r="L165" s="694" t="str">
        <f>G156</f>
        <v xml:space="preserve"> Đỗ Ngọc Thiên Thanh </v>
      </c>
    </row>
    <row r="166" spans="1:12" ht="9.1999999999999993" customHeight="1">
      <c r="A166" s="712">
        <v>7</v>
      </c>
      <c r="B166" s="713" t="s">
        <v>676</v>
      </c>
      <c r="C166" s="714"/>
      <c r="D166" s="717"/>
      <c r="E166" s="710">
        <v>6</v>
      </c>
      <c r="F166" s="718" t="s">
        <v>677</v>
      </c>
      <c r="G166" s="718"/>
      <c r="H166" s="710" t="s">
        <v>660</v>
      </c>
      <c r="I166" s="727">
        <f>VLOOKUP(C156,'Luong VP'!$B$10:$AP$189,24,0)</f>
        <v>1</v>
      </c>
      <c r="J166" s="714">
        <f>C160/'Cham cong'!$AS$3*I166</f>
        <v>328.46153846153845</v>
      </c>
    </row>
    <row r="167" spans="1:12" ht="9.1999999999999993" customHeight="1">
      <c r="A167" s="712">
        <v>8</v>
      </c>
      <c r="B167" s="713" t="s">
        <v>679</v>
      </c>
      <c r="C167" s="714">
        <f>VLOOKUP(C156,'Luong VP'!$B$10:$AP$189,14,0)</f>
        <v>0</v>
      </c>
      <c r="D167" s="717"/>
      <c r="E167" s="710">
        <v>7</v>
      </c>
      <c r="F167" s="718" t="s">
        <v>680</v>
      </c>
      <c r="G167" s="718"/>
      <c r="H167" s="718"/>
      <c r="I167" s="729"/>
      <c r="J167" s="714">
        <f>VLOOKUP(C156,'Luong VP'!$B$10:$AP$189,28,0)</f>
        <v>0</v>
      </c>
    </row>
    <row r="168" spans="1:12" ht="9.1999999999999993" customHeight="1">
      <c r="A168" s="712">
        <v>9</v>
      </c>
      <c r="B168" s="713" t="s">
        <v>683</v>
      </c>
      <c r="C168" s="714">
        <f>VLOOKUP(C156,'Luong VP'!$B$10:$AP$189,15,0)</f>
        <v>0</v>
      </c>
      <c r="D168" s="717"/>
      <c r="E168" s="710">
        <v>8</v>
      </c>
      <c r="F168" s="718" t="s">
        <v>238</v>
      </c>
      <c r="G168" s="718"/>
      <c r="H168" s="718"/>
      <c r="I168" s="729"/>
      <c r="J168" s="714">
        <f>VLOOKUP(C156,'Luong VP'!$B$10:$AP$189,33,0)</f>
        <v>0</v>
      </c>
    </row>
    <row r="169" spans="1:12" ht="9.1999999999999993" customHeight="1">
      <c r="A169" s="712">
        <v>10</v>
      </c>
      <c r="B169" s="713" t="s">
        <v>685</v>
      </c>
      <c r="C169" s="714">
        <f>VLOOKUP(C156,'Luong VP'!$B$10:$AP$189,16,0)</f>
        <v>0</v>
      </c>
      <c r="D169" s="717"/>
      <c r="E169" s="710" t="s">
        <v>686</v>
      </c>
      <c r="F169" s="716" t="s">
        <v>687</v>
      </c>
      <c r="G169" s="719"/>
      <c r="H169" s="719"/>
      <c r="I169" s="729"/>
      <c r="J169" s="730"/>
    </row>
    <row r="170" spans="1:12" ht="9.1999999999999993" customHeight="1">
      <c r="A170" s="712">
        <v>11</v>
      </c>
      <c r="B170" s="713" t="s">
        <v>688</v>
      </c>
      <c r="C170" s="714">
        <f>VLOOKUP(C156,'Luong VP'!$B$10:$AP$189,17,0)</f>
        <v>0</v>
      </c>
      <c r="D170" s="717"/>
      <c r="E170" s="710">
        <v>1</v>
      </c>
      <c r="F170" s="716" t="s">
        <v>689</v>
      </c>
      <c r="G170" s="719"/>
      <c r="H170" s="719"/>
      <c r="I170" s="714">
        <f>VLOOKUP(C156,'Luong VP'!$B$10:$AP$189,30,0)</f>
        <v>0</v>
      </c>
      <c r="J170" s="714">
        <f>VLOOKUP(C156,'Luong VP'!$B$10:$AP$189,30,0)</f>
        <v>0</v>
      </c>
    </row>
    <row r="171" spans="1:12" ht="9.1999999999999993" customHeight="1">
      <c r="A171" s="712">
        <v>12</v>
      </c>
      <c r="B171" s="713" t="s">
        <v>691</v>
      </c>
      <c r="C171" s="714">
        <f>VLOOKUP(C156,'Luong VP'!$B$10:$AP$189,18,0)</f>
        <v>0</v>
      </c>
      <c r="D171" s="717"/>
      <c r="E171" s="710">
        <v>2</v>
      </c>
      <c r="F171" s="718" t="s">
        <v>239</v>
      </c>
      <c r="G171" s="718"/>
      <c r="H171" s="718"/>
      <c r="I171" s="727"/>
      <c r="J171" s="728">
        <f>VLOOKUP(C156,'Luong VP'!$B$10:$AP$189,34,0)</f>
        <v>0</v>
      </c>
      <c r="K171" s="731"/>
      <c r="L171" s="715"/>
    </row>
    <row r="172" spans="1:12" ht="9.1999999999999993" customHeight="1">
      <c r="A172" s="712">
        <v>13</v>
      </c>
      <c r="B172" s="713" t="s">
        <v>692</v>
      </c>
      <c r="C172" s="714">
        <f>VLOOKUP(C156,'Luong VP'!$B$10:$AP$189,19,0)</f>
        <v>0</v>
      </c>
      <c r="D172" s="717"/>
      <c r="E172" s="710">
        <v>3</v>
      </c>
      <c r="F172" s="716" t="s">
        <v>693</v>
      </c>
      <c r="G172" s="719"/>
      <c r="H172" s="719"/>
      <c r="I172" s="729"/>
      <c r="J172" s="714">
        <f>VLOOKUP(C156,'Luong VP'!$B$10:$AP$189,40,0)</f>
        <v>0</v>
      </c>
      <c r="K172" s="731"/>
      <c r="L172" s="715"/>
    </row>
    <row r="173" spans="1:12" ht="9.1999999999999993" customHeight="1">
      <c r="A173" s="712">
        <v>14</v>
      </c>
      <c r="B173" s="713" t="s">
        <v>694</v>
      </c>
      <c r="C173" s="714">
        <f>VLOOKUP(C156,'Luong VP'!$B$10:$AP$189,20,0)</f>
        <v>0</v>
      </c>
      <c r="D173" s="717"/>
      <c r="E173" s="710">
        <v>4</v>
      </c>
      <c r="F173" s="718" t="s">
        <v>695</v>
      </c>
      <c r="G173" s="719"/>
      <c r="H173" s="719"/>
      <c r="I173" s="729"/>
      <c r="J173" s="714">
        <f>VLOOKUP(C156,'Luong VP'!$B$10:$AP$189,35,0)</f>
        <v>0</v>
      </c>
      <c r="K173" s="732"/>
      <c r="L173" s="715"/>
    </row>
    <row r="174" spans="1:12" ht="9.1999999999999993" customHeight="1">
      <c r="A174" s="712"/>
      <c r="B174" s="707" t="s">
        <v>656</v>
      </c>
      <c r="C174" s="714">
        <f>SUM(C160:C173)</f>
        <v>8540</v>
      </c>
      <c r="D174" s="717"/>
      <c r="E174" s="710"/>
      <c r="F174" s="716" t="s">
        <v>241</v>
      </c>
      <c r="G174" s="719"/>
      <c r="H174" s="719"/>
      <c r="I174" s="729"/>
      <c r="J174" s="730">
        <f>SUM(J161:J173)+C168</f>
        <v>8868.461538461539</v>
      </c>
      <c r="K174" s="731"/>
      <c r="L174" s="715"/>
    </row>
    <row r="175" spans="1:12" ht="9.1999999999999993" customHeight="1">
      <c r="B175" s="720"/>
      <c r="C175" s="717"/>
      <c r="D175" s="717"/>
      <c r="E175" s="710" t="s">
        <v>696</v>
      </c>
      <c r="F175" s="711" t="s">
        <v>697</v>
      </c>
      <c r="G175" s="710"/>
      <c r="H175" s="710"/>
      <c r="I175" s="729"/>
      <c r="J175" s="730">
        <f>SUM(J176:J178)</f>
        <v>504</v>
      </c>
      <c r="K175" s="732"/>
      <c r="L175" s="715"/>
    </row>
    <row r="176" spans="1:12" ht="9.1999999999999993" customHeight="1">
      <c r="B176" s="720"/>
      <c r="C176" s="717"/>
      <c r="D176" s="717"/>
      <c r="E176" s="710">
        <v>1</v>
      </c>
      <c r="F176" s="718" t="s">
        <v>698</v>
      </c>
      <c r="G176" s="718"/>
      <c r="H176" s="718"/>
      <c r="I176" s="733"/>
      <c r="J176" s="714">
        <f>VLOOKUP(C156,'Luong VP'!$B$10:$AP$189,37,0)</f>
        <v>504</v>
      </c>
      <c r="K176" s="732"/>
      <c r="L176" s="715"/>
    </row>
    <row r="177" spans="1:12" ht="9.1999999999999993" customHeight="1">
      <c r="B177" s="720"/>
      <c r="C177" s="717"/>
      <c r="D177" s="717"/>
      <c r="E177" s="710">
        <v>2</v>
      </c>
      <c r="F177" s="718" t="s">
        <v>244</v>
      </c>
      <c r="G177" s="718"/>
      <c r="H177" s="718"/>
      <c r="I177" s="729"/>
      <c r="J177" s="714">
        <f>VLOOKUP(C156,'Luong VP'!$B$10:$AP$189,39,0)</f>
        <v>0</v>
      </c>
      <c r="K177" s="734"/>
      <c r="L177" s="735"/>
    </row>
    <row r="178" spans="1:12" ht="9.1999999999999993" customHeight="1">
      <c r="B178" s="720"/>
      <c r="C178" s="717"/>
      <c r="D178" s="717"/>
      <c r="E178" s="710"/>
      <c r="F178" s="718" t="s">
        <v>699</v>
      </c>
      <c r="G178" s="718"/>
      <c r="H178" s="718"/>
      <c r="I178" s="729"/>
      <c r="J178" s="714"/>
      <c r="K178" s="714"/>
      <c r="L178" s="736"/>
    </row>
    <row r="179" spans="1:12" ht="9.1999999999999993" customHeight="1">
      <c r="B179" s="720"/>
      <c r="C179" s="717"/>
      <c r="D179" s="717"/>
      <c r="E179" s="710" t="s">
        <v>700</v>
      </c>
      <c r="F179" s="710" t="s">
        <v>246</v>
      </c>
      <c r="G179" s="710"/>
      <c r="H179" s="710"/>
      <c r="I179" s="729"/>
      <c r="J179" s="728">
        <f>J174-J175</f>
        <v>8364.461538461539</v>
      </c>
      <c r="K179" s="728">
        <f>ROUND(J179,-1)</f>
        <v>8360</v>
      </c>
      <c r="L179" s="710"/>
    </row>
    <row r="180" spans="1:12" ht="9.1999999999999993" customHeight="1">
      <c r="B180" s="720"/>
      <c r="C180" s="717"/>
      <c r="D180" s="717"/>
      <c r="E180" s="715"/>
      <c r="F180" s="715"/>
      <c r="G180" s="715"/>
      <c r="I180" s="715" t="s">
        <v>701</v>
      </c>
      <c r="J180" s="737"/>
      <c r="K180" s="737"/>
      <c r="L180" s="715"/>
    </row>
    <row r="181" spans="1:12" ht="9.1999999999999993" customHeight="1">
      <c r="B181" s="720"/>
      <c r="C181" s="717"/>
      <c r="D181" s="717"/>
      <c r="E181" s="715"/>
      <c r="F181" s="715"/>
      <c r="G181" s="715"/>
      <c r="I181" s="715"/>
      <c r="J181" s="737"/>
      <c r="K181" s="737"/>
      <c r="L181" s="715"/>
    </row>
    <row r="182" spans="1:12" ht="9.1999999999999993" customHeight="1">
      <c r="B182" s="720"/>
      <c r="C182" s="717"/>
      <c r="D182" s="717"/>
      <c r="E182" s="715"/>
      <c r="F182" s="715"/>
      <c r="G182" s="715"/>
      <c r="I182" s="715"/>
      <c r="J182" s="737"/>
      <c r="K182" s="737"/>
      <c r="L182" s="715"/>
    </row>
    <row r="183" spans="1:12" ht="9.1999999999999993" customHeight="1">
      <c r="B183" s="720"/>
      <c r="C183" s="717"/>
      <c r="D183" s="717"/>
      <c r="E183" s="715"/>
      <c r="F183" s="715"/>
      <c r="G183" s="715"/>
      <c r="I183" s="715"/>
      <c r="J183" s="737"/>
      <c r="K183" s="737"/>
      <c r="L183" s="715"/>
    </row>
    <row r="184" spans="1:12" ht="9.1999999999999993" customHeight="1">
      <c r="C184" s="696"/>
      <c r="D184" s="696"/>
      <c r="E184" s="697" t="str">
        <f>$E$2</f>
        <v>THẺ LƯƠNG THÁNG 08/2019</v>
      </c>
      <c r="F184" s="698"/>
      <c r="G184" s="698"/>
      <c r="H184" s="698"/>
    </row>
    <row r="185" spans="1:12" ht="9.1999999999999993" customHeight="1">
      <c r="B185" s="699" t="s">
        <v>644</v>
      </c>
      <c r="C185" s="700" t="s">
        <v>277</v>
      </c>
      <c r="D185" s="701"/>
      <c r="F185" s="702" t="s">
        <v>645</v>
      </c>
      <c r="G185" s="689" t="str">
        <f>VLOOKUP(C185,'Luong VP'!$B$10:$AP$189,2,0)</f>
        <v xml:space="preserve"> Nguyễn Chu Thy </v>
      </c>
    </row>
    <row r="186" spans="1:12" ht="9.1999999999999993" customHeight="1">
      <c r="B186" s="699" t="s">
        <v>646</v>
      </c>
      <c r="C186" s="689" t="str">
        <f>VLOOKUP(C185,'Luong VP'!$B$10:$AP$189,3,0)</f>
        <v>Chuyên viên IT</v>
      </c>
      <c r="F186" s="702" t="s">
        <v>647</v>
      </c>
      <c r="G186" s="689">
        <f>VLOOKUP(C185,'Luong VP'!$B$10:$AP$189,5,0)</f>
        <v>3</v>
      </c>
    </row>
    <row r="187" spans="1:12" ht="9.1999999999999993" customHeight="1">
      <c r="B187" s="703"/>
      <c r="C187" s="704"/>
      <c r="D187" s="705"/>
      <c r="F187" s="706" t="s">
        <v>648</v>
      </c>
      <c r="G187" s="706"/>
      <c r="H187" s="706"/>
      <c r="I187" s="725"/>
      <c r="J187" s="726"/>
    </row>
    <row r="188" spans="1:12" ht="9.1999999999999993" customHeight="1">
      <c r="A188" s="707" t="s">
        <v>216</v>
      </c>
      <c r="B188" s="707" t="s">
        <v>649</v>
      </c>
      <c r="C188" s="708" t="s">
        <v>650</v>
      </c>
      <c r="D188" s="709"/>
      <c r="E188" s="710" t="s">
        <v>216</v>
      </c>
      <c r="F188" s="711" t="s">
        <v>649</v>
      </c>
      <c r="G188" s="710"/>
      <c r="H188" s="710" t="s">
        <v>651</v>
      </c>
      <c r="I188" s="727" t="s">
        <v>652</v>
      </c>
      <c r="J188" s="714"/>
      <c r="L188" s="694" t="s">
        <v>653</v>
      </c>
    </row>
    <row r="189" spans="1:12" ht="9.1999999999999993" customHeight="1">
      <c r="A189" s="712">
        <v>1</v>
      </c>
      <c r="B189" s="713" t="s">
        <v>654</v>
      </c>
      <c r="C189" s="714">
        <f>VLOOKUP(C185,'Luong VP'!$B$10:$AP$189,9,0)</f>
        <v>15890</v>
      </c>
      <c r="D189" s="715"/>
      <c r="E189" s="710" t="s">
        <v>655</v>
      </c>
      <c r="F189" s="716" t="s">
        <v>656</v>
      </c>
      <c r="G189" s="710"/>
      <c r="H189" s="710"/>
      <c r="I189" s="727"/>
      <c r="J189" s="714">
        <f>VLOOKUP(C185,'Luong VP'!$B$10:$AP$189,21,0)</f>
        <v>17090</v>
      </c>
    </row>
    <row r="190" spans="1:12" ht="9.1999999999999993" customHeight="1">
      <c r="A190" s="712">
        <v>2</v>
      </c>
      <c r="B190" s="713" t="s">
        <v>658</v>
      </c>
      <c r="C190" s="714"/>
      <c r="D190" s="717"/>
      <c r="E190" s="710">
        <v>1</v>
      </c>
      <c r="F190" s="718" t="s">
        <v>659</v>
      </c>
      <c r="G190" s="718"/>
      <c r="H190" s="710" t="s">
        <v>660</v>
      </c>
      <c r="I190" s="727">
        <f>VLOOKUP(C185,'Luong VP'!$B$10:$AP$189,22,0)</f>
        <v>26</v>
      </c>
      <c r="J190" s="728">
        <f>J189/'Cham cong'!$AS$3*I190</f>
        <v>17090</v>
      </c>
    </row>
    <row r="191" spans="1:12" ht="9.1999999999999993" customHeight="1">
      <c r="A191" s="712">
        <v>3</v>
      </c>
      <c r="B191" s="713" t="s">
        <v>661</v>
      </c>
      <c r="C191" s="714">
        <f>VLOOKUP(C185,'Luong VP'!$B$10:$AP$189,10,0)</f>
        <v>0</v>
      </c>
      <c r="D191" s="717"/>
      <c r="E191" s="710">
        <v>2</v>
      </c>
      <c r="F191" s="718" t="s">
        <v>662</v>
      </c>
      <c r="G191" s="718"/>
      <c r="H191" s="710" t="s">
        <v>660</v>
      </c>
      <c r="I191" s="727">
        <f>VLOOKUP(C185,'Luong VP'!$B$10:$AP$189,27,0)</f>
        <v>0</v>
      </c>
      <c r="J191" s="728">
        <f>J189/'Cham cong'!$AS$3*I191*3</f>
        <v>0</v>
      </c>
    </row>
    <row r="192" spans="1:12" ht="9.1999999999999993" customHeight="1">
      <c r="A192" s="712">
        <v>4</v>
      </c>
      <c r="B192" s="713" t="s">
        <v>666</v>
      </c>
      <c r="C192" s="714">
        <f>VLOOKUP(C185,'Luong VP'!$B$10:$AP$189,11,0)</f>
        <v>1000</v>
      </c>
      <c r="D192" s="717"/>
      <c r="E192" s="710">
        <v>3</v>
      </c>
      <c r="F192" s="718" t="s">
        <v>667</v>
      </c>
      <c r="G192" s="718"/>
      <c r="H192" s="710" t="s">
        <v>668</v>
      </c>
      <c r="I192" s="727">
        <f>VLOOKUP(C185,'Luong VP'!$B$10:$AP$189,26,0)</f>
        <v>0</v>
      </c>
      <c r="J192" s="728">
        <f>J189/'Cham cong'!$AS$3*I192/8*1.5</f>
        <v>0</v>
      </c>
    </row>
    <row r="193" spans="1:12" ht="9.1999999999999993" customHeight="1">
      <c r="A193" s="712">
        <v>5</v>
      </c>
      <c r="B193" s="713" t="s">
        <v>670</v>
      </c>
      <c r="C193" s="714">
        <f>VLOOKUP(C185,'Luong VP'!$B$10:$AP$189,12,0)</f>
        <v>0</v>
      </c>
      <c r="D193" s="717"/>
      <c r="E193" s="710">
        <v>4</v>
      </c>
      <c r="F193" s="718" t="s">
        <v>671</v>
      </c>
      <c r="G193" s="718"/>
      <c r="H193" s="710" t="s">
        <v>668</v>
      </c>
      <c r="I193" s="727">
        <f>VLOOKUP(C185,'Luong VP'!$B$10:$AP$189,25,0)</f>
        <v>0</v>
      </c>
      <c r="J193" s="728">
        <f>J189/'Cham cong'!$AS$3*I193/8*2</f>
        <v>0</v>
      </c>
    </row>
    <row r="194" spans="1:12" ht="9.1999999999999993" customHeight="1">
      <c r="A194" s="712">
        <v>6</v>
      </c>
      <c r="B194" s="713" t="s">
        <v>673</v>
      </c>
      <c r="C194" s="714">
        <f>VLOOKUP(C185,'Luong VP'!$B$10:$AP$189,13,0)</f>
        <v>0</v>
      </c>
      <c r="D194" s="717"/>
      <c r="E194" s="710">
        <v>5</v>
      </c>
      <c r="F194" s="718" t="s">
        <v>674</v>
      </c>
      <c r="G194" s="718"/>
      <c r="H194" s="710" t="s">
        <v>660</v>
      </c>
      <c r="I194" s="727">
        <f>VLOOKUP(C185,'Luong VP'!$B$10:$AP$189,23,0)</f>
        <v>0</v>
      </c>
      <c r="J194" s="728">
        <f>C189/'Cham cong'!$AS$3*I194</f>
        <v>0</v>
      </c>
      <c r="L194" s="694" t="str">
        <f>G185</f>
        <v xml:space="preserve"> Nguyễn Chu Thy </v>
      </c>
    </row>
    <row r="195" spans="1:12" ht="9.1999999999999993" customHeight="1">
      <c r="A195" s="712">
        <v>7</v>
      </c>
      <c r="B195" s="713" t="s">
        <v>676</v>
      </c>
      <c r="C195" s="714"/>
      <c r="D195" s="717"/>
      <c r="E195" s="710">
        <v>6</v>
      </c>
      <c r="F195" s="718" t="s">
        <v>677</v>
      </c>
      <c r="G195" s="718"/>
      <c r="H195" s="710" t="s">
        <v>660</v>
      </c>
      <c r="I195" s="727">
        <f>VLOOKUP(C185,'Luong VP'!$B$10:$AP$189,24,0)</f>
        <v>1</v>
      </c>
      <c r="J195" s="714">
        <f>C189/'Cham cong'!$AS$3*I195</f>
        <v>611.15384615384619</v>
      </c>
    </row>
    <row r="196" spans="1:12" ht="9.1999999999999993" customHeight="1">
      <c r="A196" s="712">
        <v>8</v>
      </c>
      <c r="B196" s="713" t="s">
        <v>679</v>
      </c>
      <c r="C196" s="714">
        <f>VLOOKUP(C185,'Luong VP'!$B$10:$AP$189,14,0)</f>
        <v>200</v>
      </c>
      <c r="D196" s="717"/>
      <c r="E196" s="710">
        <v>7</v>
      </c>
      <c r="F196" s="718" t="s">
        <v>680</v>
      </c>
      <c r="G196" s="718"/>
      <c r="H196" s="718"/>
      <c r="I196" s="729"/>
      <c r="J196" s="714">
        <f>VLOOKUP(C185,'Luong VP'!$B$10:$AP$189,28,0)</f>
        <v>0</v>
      </c>
    </row>
    <row r="197" spans="1:12" ht="9.1999999999999993" customHeight="1">
      <c r="A197" s="712">
        <v>9</v>
      </c>
      <c r="B197" s="713" t="s">
        <v>683</v>
      </c>
      <c r="C197" s="714">
        <f>VLOOKUP(C185,'Luong VP'!$B$10:$AP$189,15,0)</f>
        <v>200</v>
      </c>
      <c r="D197" s="717"/>
      <c r="E197" s="710">
        <v>8</v>
      </c>
      <c r="F197" s="718" t="s">
        <v>238</v>
      </c>
      <c r="G197" s="718"/>
      <c r="H197" s="718"/>
      <c r="I197" s="729"/>
      <c r="J197" s="714">
        <f>VLOOKUP(C185,'Luong VP'!$B$10:$AP$189,33,0)</f>
        <v>0</v>
      </c>
    </row>
    <row r="198" spans="1:12" ht="9.1999999999999993" customHeight="1">
      <c r="A198" s="712">
        <v>10</v>
      </c>
      <c r="B198" s="713" t="s">
        <v>685</v>
      </c>
      <c r="C198" s="714">
        <f>VLOOKUP(C185,'Luong VP'!$B$10:$AP$189,16,0)</f>
        <v>0</v>
      </c>
      <c r="D198" s="717"/>
      <c r="E198" s="710" t="s">
        <v>686</v>
      </c>
      <c r="F198" s="716" t="s">
        <v>687</v>
      </c>
      <c r="G198" s="719"/>
      <c r="H198" s="719"/>
      <c r="I198" s="729"/>
      <c r="J198" s="730"/>
    </row>
    <row r="199" spans="1:12" ht="9.1999999999999993" customHeight="1">
      <c r="A199" s="712">
        <v>11</v>
      </c>
      <c r="B199" s="713" t="s">
        <v>688</v>
      </c>
      <c r="C199" s="714">
        <f>VLOOKUP(C185,'Luong VP'!$B$10:$AP$189,17,0)</f>
        <v>0</v>
      </c>
      <c r="D199" s="717"/>
      <c r="E199" s="710">
        <v>1</v>
      </c>
      <c r="F199" s="716" t="s">
        <v>689</v>
      </c>
      <c r="G199" s="719"/>
      <c r="H199" s="719"/>
      <c r="I199" s="714">
        <f>VLOOKUP(C185,'Luong VP'!$B$10:$AP$189,30,0)</f>
        <v>0</v>
      </c>
      <c r="J199" s="714">
        <f>VLOOKUP(C185,'Luong VP'!$B$10:$AP$189,30,0)</f>
        <v>0</v>
      </c>
    </row>
    <row r="200" spans="1:12" ht="9.1999999999999993" customHeight="1">
      <c r="A200" s="712">
        <v>12</v>
      </c>
      <c r="B200" s="713" t="s">
        <v>691</v>
      </c>
      <c r="C200" s="714">
        <f>VLOOKUP(C185,'Luong VP'!$B$10:$AP$189,18,0)</f>
        <v>0</v>
      </c>
      <c r="D200" s="717"/>
      <c r="E200" s="710">
        <v>2</v>
      </c>
      <c r="F200" s="718" t="s">
        <v>239</v>
      </c>
      <c r="G200" s="718"/>
      <c r="H200" s="718"/>
      <c r="I200" s="727"/>
      <c r="J200" s="728">
        <f>VLOOKUP(C185,'Luong VP'!$B$10:$AP$189,34,0)</f>
        <v>0</v>
      </c>
      <c r="K200" s="731"/>
      <c r="L200" s="715"/>
    </row>
    <row r="201" spans="1:12" ht="9.1999999999999993" customHeight="1">
      <c r="A201" s="712">
        <v>13</v>
      </c>
      <c r="B201" s="713" t="s">
        <v>692</v>
      </c>
      <c r="C201" s="714">
        <f>VLOOKUP(C185,'Luong VP'!$B$10:$AP$189,19,0)</f>
        <v>0</v>
      </c>
      <c r="D201" s="717"/>
      <c r="E201" s="710">
        <v>3</v>
      </c>
      <c r="F201" s="716" t="s">
        <v>693</v>
      </c>
      <c r="G201" s="719"/>
      <c r="H201" s="719"/>
      <c r="I201" s="729"/>
      <c r="J201" s="714">
        <f>VLOOKUP(C185,'Luong VP'!$B$10:$AP$189,40,0)</f>
        <v>0</v>
      </c>
      <c r="K201" s="731"/>
      <c r="L201" s="715"/>
    </row>
    <row r="202" spans="1:12" ht="9.1999999999999993" customHeight="1">
      <c r="A202" s="712">
        <v>14</v>
      </c>
      <c r="B202" s="713" t="s">
        <v>694</v>
      </c>
      <c r="C202" s="714">
        <f>VLOOKUP(C185,'Luong VP'!$B$10:$AP$189,20,0)</f>
        <v>0</v>
      </c>
      <c r="D202" s="717"/>
      <c r="E202" s="710">
        <v>4</v>
      </c>
      <c r="F202" s="718" t="s">
        <v>695</v>
      </c>
      <c r="G202" s="719"/>
      <c r="H202" s="719"/>
      <c r="I202" s="729"/>
      <c r="J202" s="714">
        <f>VLOOKUP(C185,'Luong VP'!$B$10:$AP$189,35,0)</f>
        <v>0</v>
      </c>
      <c r="K202" s="732"/>
      <c r="L202" s="715"/>
    </row>
    <row r="203" spans="1:12" ht="9.1999999999999993" customHeight="1">
      <c r="A203" s="712"/>
      <c r="B203" s="707" t="s">
        <v>656</v>
      </c>
      <c r="C203" s="714">
        <f>SUM(C189:C202)</f>
        <v>17290</v>
      </c>
      <c r="D203" s="717"/>
      <c r="E203" s="710"/>
      <c r="F203" s="716" t="s">
        <v>241</v>
      </c>
      <c r="G203" s="719"/>
      <c r="H203" s="719"/>
      <c r="I203" s="729"/>
      <c r="J203" s="730">
        <f>SUM(J190:J202)+C197</f>
        <v>17901.153846153848</v>
      </c>
      <c r="K203" s="731"/>
      <c r="L203" s="715"/>
    </row>
    <row r="204" spans="1:12" ht="9.1999999999999993" customHeight="1">
      <c r="B204" s="720"/>
      <c r="C204" s="717"/>
      <c r="D204" s="717"/>
      <c r="E204" s="710" t="s">
        <v>696</v>
      </c>
      <c r="F204" s="711" t="s">
        <v>697</v>
      </c>
      <c r="G204" s="710"/>
      <c r="H204" s="710"/>
      <c r="I204" s="729"/>
      <c r="J204" s="730">
        <f>SUM(J205:J207)</f>
        <v>525</v>
      </c>
      <c r="K204" s="732"/>
      <c r="L204" s="715"/>
    </row>
    <row r="205" spans="1:12" ht="9.1999999999999993" customHeight="1">
      <c r="B205" s="720"/>
      <c r="C205" s="717"/>
      <c r="D205" s="717"/>
      <c r="E205" s="710">
        <v>1</v>
      </c>
      <c r="F205" s="718" t="s">
        <v>698</v>
      </c>
      <c r="G205" s="718"/>
      <c r="H205" s="718"/>
      <c r="I205" s="733"/>
      <c r="J205" s="714">
        <f>VLOOKUP(C185,'Luong VP'!$B$10:$AP$189,37,0)</f>
        <v>525</v>
      </c>
      <c r="K205" s="732"/>
      <c r="L205" s="715"/>
    </row>
    <row r="206" spans="1:12" ht="9.1999999999999993" customHeight="1">
      <c r="B206" s="720"/>
      <c r="C206" s="717"/>
      <c r="D206" s="717"/>
      <c r="E206" s="710">
        <v>2</v>
      </c>
      <c r="F206" s="718" t="s">
        <v>244</v>
      </c>
      <c r="G206" s="718"/>
      <c r="H206" s="718"/>
      <c r="I206" s="729"/>
      <c r="J206" s="714">
        <f>VLOOKUP(C185,'Luong VP'!$B$10:$AP$189,39,0)</f>
        <v>0</v>
      </c>
      <c r="K206" s="734"/>
      <c r="L206" s="735"/>
    </row>
    <row r="207" spans="1:12" ht="9.1999999999999993" customHeight="1">
      <c r="B207" s="720"/>
      <c r="C207" s="717"/>
      <c r="D207" s="717"/>
      <c r="E207" s="710"/>
      <c r="F207" s="718" t="s">
        <v>699</v>
      </c>
      <c r="G207" s="718"/>
      <c r="H207" s="718"/>
      <c r="I207" s="729"/>
      <c r="J207" s="714"/>
      <c r="K207" s="714"/>
      <c r="L207" s="736"/>
    </row>
    <row r="208" spans="1:12" ht="9.1999999999999993" customHeight="1">
      <c r="B208" s="720"/>
      <c r="C208" s="717"/>
      <c r="D208" s="717"/>
      <c r="E208" s="710" t="s">
        <v>700</v>
      </c>
      <c r="F208" s="710" t="s">
        <v>246</v>
      </c>
      <c r="G208" s="710"/>
      <c r="H208" s="710"/>
      <c r="I208" s="729"/>
      <c r="J208" s="728">
        <f>J203-J204</f>
        <v>17376.153846153848</v>
      </c>
      <c r="K208" s="728">
        <f>ROUND(J208,-1)</f>
        <v>17380</v>
      </c>
      <c r="L208" s="710"/>
    </row>
    <row r="209" spans="1:12" ht="9.1999999999999993" customHeight="1">
      <c r="B209" s="720"/>
      <c r="C209" s="717"/>
      <c r="D209" s="717"/>
      <c r="E209" s="715"/>
      <c r="F209" s="715"/>
      <c r="G209" s="715"/>
      <c r="I209" s="715" t="s">
        <v>701</v>
      </c>
      <c r="J209" s="737"/>
      <c r="K209" s="737"/>
      <c r="L209" s="715"/>
    </row>
    <row r="210" spans="1:12" ht="9.1999999999999993" customHeight="1">
      <c r="B210" s="720"/>
      <c r="C210" s="717"/>
      <c r="D210" s="717"/>
      <c r="E210" s="715"/>
      <c r="F210" s="715"/>
      <c r="G210" s="715"/>
      <c r="I210" s="715"/>
      <c r="J210" s="737"/>
      <c r="K210" s="737"/>
      <c r="L210" s="715"/>
    </row>
    <row r="211" spans="1:12" ht="9.1999999999999993" customHeight="1">
      <c r="B211" s="720"/>
      <c r="C211" s="717"/>
      <c r="D211" s="717"/>
      <c r="E211" s="715"/>
      <c r="F211" s="715"/>
      <c r="G211" s="715"/>
      <c r="I211" s="715"/>
      <c r="J211" s="737"/>
      <c r="K211" s="737"/>
      <c r="L211" s="715"/>
    </row>
    <row r="212" spans="1:12" ht="9.1999999999999993" customHeight="1">
      <c r="B212" s="720"/>
      <c r="C212" s="717"/>
      <c r="D212" s="717"/>
      <c r="E212" s="715"/>
      <c r="F212" s="715"/>
      <c r="G212" s="715"/>
      <c r="I212" s="715"/>
      <c r="J212" s="737"/>
      <c r="K212" s="737"/>
      <c r="L212" s="715"/>
    </row>
    <row r="213" spans="1:12" ht="9.1999999999999993" customHeight="1">
      <c r="B213" s="720"/>
      <c r="C213" s="717"/>
      <c r="D213" s="717"/>
      <c r="E213" s="715"/>
      <c r="F213" s="715"/>
      <c r="G213" s="715"/>
      <c r="I213" s="715"/>
      <c r="J213" s="737"/>
      <c r="K213" s="737"/>
      <c r="L213" s="715"/>
    </row>
    <row r="214" spans="1:12" ht="9.1999999999999993" customHeight="1">
      <c r="C214" s="696"/>
      <c r="D214" s="696"/>
      <c r="E214" s="697" t="str">
        <f>$E$2</f>
        <v>THẺ LƯƠNG THÁNG 08/2019</v>
      </c>
      <c r="F214" s="698"/>
      <c r="G214" s="698"/>
      <c r="H214" s="698"/>
    </row>
    <row r="215" spans="1:12" ht="9.1999999999999993" customHeight="1">
      <c r="B215" s="699" t="s">
        <v>644</v>
      </c>
      <c r="C215" s="700" t="s">
        <v>279</v>
      </c>
      <c r="D215" s="701"/>
      <c r="F215" s="702" t="s">
        <v>645</v>
      </c>
      <c r="G215" s="689" t="str">
        <f>VLOOKUP(C215,'Luong VP'!$B$10:$AP$189,2,0)</f>
        <v>Trần Minh Xuân</v>
      </c>
    </row>
    <row r="216" spans="1:12" ht="9.1999999999999993" customHeight="1">
      <c r="B216" s="699" t="s">
        <v>646</v>
      </c>
      <c r="C216" s="689" t="str">
        <f>VLOOKUP(C215,'Luong VP'!$B$10:$AP$189,3,0)</f>
        <v>Chuyên viên IT</v>
      </c>
      <c r="F216" s="702" t="s">
        <v>647</v>
      </c>
      <c r="G216" s="689">
        <f>VLOOKUP(C215,'Luong VP'!$B$10:$AP$189,5,0)</f>
        <v>6</v>
      </c>
    </row>
    <row r="217" spans="1:12" ht="9.1999999999999993" customHeight="1">
      <c r="B217" s="703"/>
      <c r="C217" s="704"/>
      <c r="D217" s="705"/>
      <c r="F217" s="706" t="s">
        <v>648</v>
      </c>
      <c r="G217" s="706"/>
      <c r="H217" s="706"/>
      <c r="I217" s="725"/>
      <c r="J217" s="726"/>
    </row>
    <row r="218" spans="1:12" ht="9.1999999999999993" customHeight="1">
      <c r="A218" s="707" t="s">
        <v>216</v>
      </c>
      <c r="B218" s="707" t="s">
        <v>649</v>
      </c>
      <c r="C218" s="708" t="s">
        <v>650</v>
      </c>
      <c r="D218" s="709"/>
      <c r="E218" s="710" t="s">
        <v>216</v>
      </c>
      <c r="F218" s="711" t="s">
        <v>649</v>
      </c>
      <c r="G218" s="710"/>
      <c r="H218" s="710" t="s">
        <v>651</v>
      </c>
      <c r="I218" s="727" t="s">
        <v>652</v>
      </c>
      <c r="J218" s="714"/>
      <c r="L218" s="694" t="s">
        <v>653</v>
      </c>
    </row>
    <row r="219" spans="1:12" ht="9.1999999999999993" customHeight="1">
      <c r="A219" s="712">
        <v>1</v>
      </c>
      <c r="B219" s="713" t="s">
        <v>654</v>
      </c>
      <c r="C219" s="714">
        <f>VLOOKUP(C215,'Luong VP'!$B$10:$AP$189,9,0)</f>
        <v>22330</v>
      </c>
      <c r="D219" s="715"/>
      <c r="E219" s="710" t="s">
        <v>655</v>
      </c>
      <c r="F219" s="716" t="s">
        <v>656</v>
      </c>
      <c r="G219" s="710"/>
      <c r="H219" s="710"/>
      <c r="I219" s="727"/>
      <c r="J219" s="714">
        <f>VLOOKUP(C215,'Luong VP'!$B$10:$AP$189,21,0)</f>
        <v>29730</v>
      </c>
    </row>
    <row r="220" spans="1:12" ht="9.1999999999999993" customHeight="1">
      <c r="A220" s="712">
        <v>2</v>
      </c>
      <c r="B220" s="713" t="s">
        <v>658</v>
      </c>
      <c r="C220" s="714"/>
      <c r="D220" s="717"/>
      <c r="E220" s="710">
        <v>1</v>
      </c>
      <c r="F220" s="718" t="s">
        <v>659</v>
      </c>
      <c r="G220" s="718"/>
      <c r="H220" s="710" t="s">
        <v>660</v>
      </c>
      <c r="I220" s="727">
        <f>VLOOKUP(C215,'Luong VP'!$B$10:$AP$189,22,0)</f>
        <v>26</v>
      </c>
      <c r="J220" s="728">
        <f>J219/'Cham cong'!$AS$3*I220</f>
        <v>29730.000000000004</v>
      </c>
    </row>
    <row r="221" spans="1:12" ht="9.1999999999999993" customHeight="1">
      <c r="A221" s="712">
        <v>3</v>
      </c>
      <c r="B221" s="713" t="s">
        <v>661</v>
      </c>
      <c r="C221" s="714">
        <f>VLOOKUP(C215,'Luong VP'!$B$10:$AP$189,10,0)</f>
        <v>0</v>
      </c>
      <c r="D221" s="717"/>
      <c r="E221" s="710">
        <v>2</v>
      </c>
      <c r="F221" s="718" t="s">
        <v>662</v>
      </c>
      <c r="G221" s="718"/>
      <c r="H221" s="710" t="s">
        <v>660</v>
      </c>
      <c r="I221" s="727">
        <f>VLOOKUP(C215,'Luong VP'!$B$10:$AP$189,27,0)</f>
        <v>0</v>
      </c>
      <c r="J221" s="728">
        <f>J219/'Cham cong'!$AS$3*I221*3</f>
        <v>0</v>
      </c>
    </row>
    <row r="222" spans="1:12" ht="9.1999999999999993" customHeight="1">
      <c r="A222" s="712">
        <v>4</v>
      </c>
      <c r="B222" s="713" t="s">
        <v>666</v>
      </c>
      <c r="C222" s="714">
        <f>VLOOKUP(C215,'Luong VP'!$B$10:$AP$189,11,0)</f>
        <v>1000</v>
      </c>
      <c r="D222" s="717"/>
      <c r="E222" s="710">
        <v>3</v>
      </c>
      <c r="F222" s="718" t="s">
        <v>667</v>
      </c>
      <c r="G222" s="718"/>
      <c r="H222" s="710" t="s">
        <v>668</v>
      </c>
      <c r="I222" s="727">
        <f>VLOOKUP(C215,'Luong VP'!$B$10:$AP$189,26,0)</f>
        <v>0</v>
      </c>
      <c r="J222" s="728">
        <f>J219/'Cham cong'!$AS$3*I222/8*1.5</f>
        <v>0</v>
      </c>
    </row>
    <row r="223" spans="1:12" ht="9.1999999999999993" customHeight="1">
      <c r="A223" s="712">
        <v>5</v>
      </c>
      <c r="B223" s="713" t="s">
        <v>670</v>
      </c>
      <c r="C223" s="714">
        <f>VLOOKUP(C215,'Luong VP'!$B$10:$AP$189,12,0)</f>
        <v>0</v>
      </c>
      <c r="D223" s="717"/>
      <c r="E223" s="710">
        <v>4</v>
      </c>
      <c r="F223" s="718" t="s">
        <v>671</v>
      </c>
      <c r="G223" s="718"/>
      <c r="H223" s="710" t="s">
        <v>668</v>
      </c>
      <c r="I223" s="727">
        <f>VLOOKUP(C215,'Luong VP'!$B$10:$AP$189,25,0)</f>
        <v>0</v>
      </c>
      <c r="J223" s="728">
        <f>J219/'Cham cong'!$AS$3*I223/8*2</f>
        <v>0</v>
      </c>
    </row>
    <row r="224" spans="1:12" ht="9.1999999999999993" customHeight="1">
      <c r="A224" s="712">
        <v>6</v>
      </c>
      <c r="B224" s="713" t="s">
        <v>673</v>
      </c>
      <c r="C224" s="714">
        <f>VLOOKUP(C215,'Luong VP'!$B$10:$AP$189,13,0)</f>
        <v>0</v>
      </c>
      <c r="D224" s="717"/>
      <c r="E224" s="710">
        <v>5</v>
      </c>
      <c r="F224" s="718" t="s">
        <v>674</v>
      </c>
      <c r="G224" s="718"/>
      <c r="H224" s="710" t="s">
        <v>660</v>
      </c>
      <c r="I224" s="727">
        <f>VLOOKUP(C215,'Luong VP'!$B$10:$AP$189,23,0)</f>
        <v>0</v>
      </c>
      <c r="J224" s="728">
        <f>C219/'Cham cong'!$AS$3*I224</f>
        <v>0</v>
      </c>
      <c r="L224" s="694" t="str">
        <f>G215</f>
        <v>Trần Minh Xuân</v>
      </c>
    </row>
    <row r="225" spans="1:12" ht="9.1999999999999993" customHeight="1">
      <c r="A225" s="712">
        <v>7</v>
      </c>
      <c r="B225" s="713" t="s">
        <v>676</v>
      </c>
      <c r="C225" s="714"/>
      <c r="D225" s="717"/>
      <c r="E225" s="710">
        <v>6</v>
      </c>
      <c r="F225" s="718" t="s">
        <v>677</v>
      </c>
      <c r="G225" s="718"/>
      <c r="H225" s="710" t="s">
        <v>660</v>
      </c>
      <c r="I225" s="727">
        <f>VLOOKUP(C215,'Luong VP'!$B$10:$AP$189,24,0)</f>
        <v>1</v>
      </c>
      <c r="J225" s="714">
        <f>C219/'Cham cong'!$AS$3*I225</f>
        <v>858.84615384615381</v>
      </c>
    </row>
    <row r="226" spans="1:12" ht="9.1999999999999993" customHeight="1">
      <c r="A226" s="712">
        <v>8</v>
      </c>
      <c r="B226" s="713" t="s">
        <v>679</v>
      </c>
      <c r="C226" s="714">
        <f>VLOOKUP(C215,'Luong VP'!$B$10:$AP$189,14,0)</f>
        <v>200</v>
      </c>
      <c r="D226" s="717"/>
      <c r="E226" s="710">
        <v>7</v>
      </c>
      <c r="F226" s="718" t="s">
        <v>680</v>
      </c>
      <c r="G226" s="718"/>
      <c r="H226" s="718"/>
      <c r="I226" s="729"/>
      <c r="J226" s="714">
        <f>VLOOKUP(C215,'Luong VP'!$B$10:$AP$189,28,0)</f>
        <v>0</v>
      </c>
    </row>
    <row r="227" spans="1:12" ht="9.1999999999999993" customHeight="1">
      <c r="A227" s="712">
        <v>9</v>
      </c>
      <c r="B227" s="713" t="s">
        <v>683</v>
      </c>
      <c r="C227" s="714">
        <f>VLOOKUP(C215,'Luong VP'!$B$10:$AP$189,15,0)</f>
        <v>200</v>
      </c>
      <c r="D227" s="717"/>
      <c r="E227" s="710">
        <v>8</v>
      </c>
      <c r="F227" s="718" t="s">
        <v>238</v>
      </c>
      <c r="G227" s="718"/>
      <c r="H227" s="718"/>
      <c r="I227" s="729"/>
      <c r="J227" s="714">
        <f>VLOOKUP(C215,'Luong VP'!$B$10:$AP$189,33,0)</f>
        <v>0</v>
      </c>
    </row>
    <row r="228" spans="1:12" ht="9.1999999999999993" customHeight="1">
      <c r="A228" s="712">
        <v>10</v>
      </c>
      <c r="B228" s="713" t="s">
        <v>685</v>
      </c>
      <c r="C228" s="714">
        <f>VLOOKUP(C215,'Luong VP'!$B$10:$AP$189,16,0)</f>
        <v>0</v>
      </c>
      <c r="D228" s="717"/>
      <c r="E228" s="710" t="s">
        <v>686</v>
      </c>
      <c r="F228" s="716" t="s">
        <v>687</v>
      </c>
      <c r="G228" s="719"/>
      <c r="H228" s="719"/>
      <c r="I228" s="729"/>
      <c r="J228" s="730"/>
    </row>
    <row r="229" spans="1:12" ht="9.1999999999999993" customHeight="1">
      <c r="A229" s="712">
        <v>11</v>
      </c>
      <c r="B229" s="713" t="s">
        <v>688</v>
      </c>
      <c r="C229" s="714">
        <f>VLOOKUP(C215,'Luong VP'!$B$10:$AP$189,17,0)</f>
        <v>0</v>
      </c>
      <c r="D229" s="717"/>
      <c r="E229" s="710">
        <v>1</v>
      </c>
      <c r="F229" s="716" t="s">
        <v>689</v>
      </c>
      <c r="G229" s="719"/>
      <c r="H229" s="719"/>
      <c r="I229" s="714">
        <f>VLOOKUP(C215,'Luong VP'!$B$10:$AP$189,30,0)</f>
        <v>0</v>
      </c>
      <c r="J229" s="714">
        <f>VLOOKUP(C215,'Luong VP'!$B$10:$AP$189,30,0)</f>
        <v>0</v>
      </c>
    </row>
    <row r="230" spans="1:12" ht="9.1999999999999993" customHeight="1">
      <c r="A230" s="712">
        <v>12</v>
      </c>
      <c r="B230" s="713" t="s">
        <v>691</v>
      </c>
      <c r="C230" s="714">
        <f>VLOOKUP(C215,'Luong VP'!$B$10:$AP$189,18,0)</f>
        <v>0</v>
      </c>
      <c r="D230" s="717"/>
      <c r="E230" s="710">
        <v>2</v>
      </c>
      <c r="F230" s="718" t="s">
        <v>239</v>
      </c>
      <c r="G230" s="718"/>
      <c r="H230" s="718"/>
      <c r="I230" s="727"/>
      <c r="J230" s="728">
        <f>VLOOKUP(C215,'Luong VP'!$B$10:$AP$189,34,0)</f>
        <v>0</v>
      </c>
      <c r="K230" s="731"/>
      <c r="L230" s="715"/>
    </row>
    <row r="231" spans="1:12" ht="9.1999999999999993" customHeight="1">
      <c r="A231" s="712">
        <v>13</v>
      </c>
      <c r="B231" s="713" t="s">
        <v>692</v>
      </c>
      <c r="C231" s="714">
        <f>VLOOKUP(C215,'Luong VP'!$B$10:$AP$189,19,0)</f>
        <v>0</v>
      </c>
      <c r="D231" s="717"/>
      <c r="E231" s="710">
        <v>3</v>
      </c>
      <c r="F231" s="716" t="s">
        <v>693</v>
      </c>
      <c r="G231" s="719"/>
      <c r="H231" s="719"/>
      <c r="I231" s="729"/>
      <c r="J231" s="714">
        <f>VLOOKUP(C215,'Luong VP'!$B$10:$AP$189,40,0)</f>
        <v>0</v>
      </c>
      <c r="K231" s="731"/>
      <c r="L231" s="715"/>
    </row>
    <row r="232" spans="1:12" ht="9.1999999999999993" customHeight="1">
      <c r="A232" s="712">
        <v>14</v>
      </c>
      <c r="B232" s="713" t="s">
        <v>694</v>
      </c>
      <c r="C232" s="714">
        <f>VLOOKUP(C215,'Luong VP'!$B$10:$AP$189,20,0)</f>
        <v>6200</v>
      </c>
      <c r="D232" s="717"/>
      <c r="E232" s="710">
        <v>4</v>
      </c>
      <c r="F232" s="718" t="s">
        <v>695</v>
      </c>
      <c r="G232" s="719"/>
      <c r="H232" s="719"/>
      <c r="I232" s="729"/>
      <c r="J232" s="714">
        <f>VLOOKUP(C215,'Luong VP'!$B$10:$AP$189,35,0)</f>
        <v>0</v>
      </c>
      <c r="K232" s="732"/>
      <c r="L232" s="715"/>
    </row>
    <row r="233" spans="1:12" ht="9.1999999999999993" customHeight="1">
      <c r="A233" s="712"/>
      <c r="B233" s="707" t="s">
        <v>656</v>
      </c>
      <c r="C233" s="714">
        <f>SUM(C219:C232)</f>
        <v>29930</v>
      </c>
      <c r="D233" s="717"/>
      <c r="E233" s="710"/>
      <c r="F233" s="716" t="s">
        <v>241</v>
      </c>
      <c r="G233" s="719"/>
      <c r="H233" s="719"/>
      <c r="I233" s="729"/>
      <c r="J233" s="730">
        <f>SUM(J220:J232)+C227</f>
        <v>30788.846153846156</v>
      </c>
      <c r="K233" s="731"/>
      <c r="L233" s="715"/>
    </row>
    <row r="234" spans="1:12" ht="9.1999999999999993" customHeight="1">
      <c r="B234" s="720"/>
      <c r="C234" s="717"/>
      <c r="D234" s="717"/>
      <c r="E234" s="710" t="s">
        <v>696</v>
      </c>
      <c r="F234" s="711" t="s">
        <v>697</v>
      </c>
      <c r="G234" s="710"/>
      <c r="H234" s="710"/>
      <c r="I234" s="729"/>
      <c r="J234" s="730">
        <f>SUM(J235:J237)</f>
        <v>525</v>
      </c>
      <c r="K234" s="732"/>
      <c r="L234" s="715"/>
    </row>
    <row r="235" spans="1:12" ht="9.1999999999999993" customHeight="1">
      <c r="B235" s="720"/>
      <c r="C235" s="717"/>
      <c r="D235" s="717"/>
      <c r="E235" s="710">
        <v>1</v>
      </c>
      <c r="F235" s="718" t="s">
        <v>698</v>
      </c>
      <c r="G235" s="718"/>
      <c r="H235" s="718"/>
      <c r="I235" s="733"/>
      <c r="J235" s="714">
        <f>VLOOKUP(C215,'Luong VP'!$B$10:$AP$189,37,0)</f>
        <v>525</v>
      </c>
      <c r="K235" s="732"/>
      <c r="L235" s="715"/>
    </row>
    <row r="236" spans="1:12" ht="9.1999999999999993" customHeight="1">
      <c r="B236" s="720"/>
      <c r="C236" s="717"/>
      <c r="D236" s="717"/>
      <c r="E236" s="710">
        <v>2</v>
      </c>
      <c r="F236" s="718" t="s">
        <v>244</v>
      </c>
      <c r="G236" s="718"/>
      <c r="H236" s="718"/>
      <c r="I236" s="729"/>
      <c r="J236" s="714">
        <f>VLOOKUP(C215,'Luong VP'!$B$10:$AP$189,39,0)</f>
        <v>0</v>
      </c>
      <c r="K236" s="734"/>
      <c r="L236" s="735"/>
    </row>
    <row r="237" spans="1:12" ht="9.1999999999999993" customHeight="1">
      <c r="B237" s="720"/>
      <c r="C237" s="717"/>
      <c r="D237" s="717"/>
      <c r="E237" s="710"/>
      <c r="F237" s="718" t="s">
        <v>699</v>
      </c>
      <c r="G237" s="718"/>
      <c r="H237" s="718"/>
      <c r="I237" s="729"/>
      <c r="J237" s="714"/>
      <c r="K237" s="714"/>
      <c r="L237" s="736"/>
    </row>
    <row r="238" spans="1:12" ht="9.1999999999999993" customHeight="1">
      <c r="B238" s="720"/>
      <c r="C238" s="717"/>
      <c r="D238" s="717"/>
      <c r="E238" s="710" t="s">
        <v>700</v>
      </c>
      <c r="F238" s="710" t="s">
        <v>246</v>
      </c>
      <c r="G238" s="710"/>
      <c r="H238" s="710"/>
      <c r="I238" s="729"/>
      <c r="J238" s="728">
        <f>J233-J234</f>
        <v>30263.846153846156</v>
      </c>
      <c r="K238" s="728">
        <f>ROUND(J238,-1)</f>
        <v>30260</v>
      </c>
      <c r="L238" s="710"/>
    </row>
    <row r="239" spans="1:12" ht="9.1999999999999993" customHeight="1">
      <c r="B239" s="720"/>
      <c r="C239" s="717"/>
      <c r="D239" s="717"/>
      <c r="E239" s="715"/>
      <c r="F239" s="715"/>
      <c r="G239" s="715"/>
      <c r="I239" s="715" t="s">
        <v>701</v>
      </c>
      <c r="J239" s="737"/>
      <c r="K239" s="737"/>
      <c r="L239" s="715"/>
    </row>
    <row r="240" spans="1:12" ht="9.1999999999999993" customHeight="1">
      <c r="B240" s="720"/>
      <c r="C240" s="717"/>
      <c r="D240" s="717"/>
      <c r="E240" s="715"/>
      <c r="F240" s="715"/>
      <c r="G240" s="715"/>
      <c r="I240" s="715"/>
      <c r="J240" s="737"/>
      <c r="K240" s="737"/>
      <c r="L240" s="715"/>
    </row>
    <row r="241" spans="1:12" ht="9.1999999999999993" customHeight="1">
      <c r="B241" s="720"/>
      <c r="C241" s="717"/>
      <c r="D241" s="717"/>
      <c r="E241" s="715"/>
      <c r="F241" s="715"/>
      <c r="G241" s="715"/>
      <c r="I241" s="715"/>
      <c r="J241" s="737"/>
      <c r="K241" s="737"/>
      <c r="L241" s="715"/>
    </row>
    <row r="242" spans="1:12" ht="9.1999999999999993" customHeight="1">
      <c r="B242" s="720"/>
      <c r="C242" s="717"/>
      <c r="D242" s="717"/>
      <c r="E242" s="715"/>
      <c r="F242" s="715"/>
      <c r="G242" s="715"/>
      <c r="I242" s="715"/>
      <c r="J242" s="737"/>
      <c r="K242" s="737"/>
      <c r="L242" s="715"/>
    </row>
    <row r="245" spans="1:12" ht="9.1999999999999993" customHeight="1">
      <c r="C245" s="696"/>
      <c r="D245" s="696"/>
      <c r="E245" s="697" t="str">
        <f>$E$2</f>
        <v>THẺ LƯƠNG THÁNG 08/2019</v>
      </c>
      <c r="F245" s="698"/>
      <c r="G245" s="698"/>
      <c r="H245" s="698"/>
    </row>
    <row r="246" spans="1:12" ht="9.1999999999999993" customHeight="1">
      <c r="B246" s="699" t="s">
        <v>644</v>
      </c>
      <c r="C246" s="700" t="s">
        <v>281</v>
      </c>
      <c r="D246" s="701"/>
      <c r="F246" s="702" t="s">
        <v>645</v>
      </c>
      <c r="G246" s="689" t="str">
        <f>VLOOKUP(C246,'Luong VP'!$B$10:$AP$189,2,0)</f>
        <v>Nguyễn Đức Cường</v>
      </c>
    </row>
    <row r="247" spans="1:12" ht="9.1999999999999993" customHeight="1">
      <c r="B247" s="699" t="s">
        <v>646</v>
      </c>
      <c r="C247" s="689" t="str">
        <f>VLOOKUP(C246,'Luong VP'!$B$10:$AP$189,3,0)</f>
        <v>Tài xế</v>
      </c>
      <c r="F247" s="702" t="s">
        <v>647</v>
      </c>
      <c r="G247" s="689">
        <f>VLOOKUP(C246,'Luong VP'!$B$10:$AP$189,5,0)</f>
        <v>5</v>
      </c>
    </row>
    <row r="248" spans="1:12" ht="9.1999999999999993" customHeight="1">
      <c r="B248" s="703"/>
      <c r="C248" s="704"/>
      <c r="D248" s="705"/>
      <c r="F248" s="706" t="s">
        <v>648</v>
      </c>
      <c r="G248" s="706"/>
      <c r="H248" s="706"/>
      <c r="I248" s="725"/>
      <c r="J248" s="726"/>
    </row>
    <row r="249" spans="1:12" ht="9.1999999999999993" customHeight="1">
      <c r="A249" s="707" t="s">
        <v>216</v>
      </c>
      <c r="B249" s="707" t="s">
        <v>649</v>
      </c>
      <c r="C249" s="708" t="s">
        <v>650</v>
      </c>
      <c r="D249" s="709"/>
      <c r="E249" s="710" t="s">
        <v>216</v>
      </c>
      <c r="F249" s="711" t="s">
        <v>649</v>
      </c>
      <c r="G249" s="710"/>
      <c r="H249" s="710" t="s">
        <v>651</v>
      </c>
      <c r="I249" s="727" t="s">
        <v>652</v>
      </c>
      <c r="J249" s="714"/>
      <c r="L249" s="694" t="s">
        <v>653</v>
      </c>
    </row>
    <row r="250" spans="1:12" ht="9.1999999999999993" customHeight="1">
      <c r="A250" s="712">
        <v>1</v>
      </c>
      <c r="B250" s="713" t="s">
        <v>654</v>
      </c>
      <c r="C250" s="714">
        <f>VLOOKUP(C246,'Luong VP'!$B$10:$AP$189,9,0)</f>
        <v>6340</v>
      </c>
      <c r="D250" s="715"/>
      <c r="E250" s="710" t="s">
        <v>655</v>
      </c>
      <c r="F250" s="716" t="s">
        <v>656</v>
      </c>
      <c r="G250" s="710"/>
      <c r="H250" s="710"/>
      <c r="I250" s="727"/>
      <c r="J250" s="714">
        <f>VLOOKUP(C246,'Luong VP'!$B$10:$AP$189,21,0)</f>
        <v>9000</v>
      </c>
    </row>
    <row r="251" spans="1:12" ht="9.1999999999999993" customHeight="1">
      <c r="A251" s="712">
        <v>2</v>
      </c>
      <c r="B251" s="713" t="s">
        <v>658</v>
      </c>
      <c r="C251" s="714"/>
      <c r="D251" s="717"/>
      <c r="E251" s="710">
        <v>1</v>
      </c>
      <c r="F251" s="718" t="s">
        <v>659</v>
      </c>
      <c r="G251" s="718"/>
      <c r="H251" s="710" t="s">
        <v>660</v>
      </c>
      <c r="I251" s="727">
        <f>VLOOKUP(C246,'Luong VP'!$B$10:$AP$189,22,0)</f>
        <v>26</v>
      </c>
      <c r="J251" s="728">
        <f>J250/'Cham cong'!$AS$3*I251</f>
        <v>9000</v>
      </c>
    </row>
    <row r="252" spans="1:12" ht="9.1999999999999993" customHeight="1">
      <c r="A252" s="712">
        <v>3</v>
      </c>
      <c r="B252" s="713" t="s">
        <v>661</v>
      </c>
      <c r="C252" s="714">
        <f>VLOOKUP(C246,'Luong VP'!$B$10:$AP$189,10,0)</f>
        <v>0</v>
      </c>
      <c r="D252" s="717"/>
      <c r="E252" s="710">
        <v>2</v>
      </c>
      <c r="F252" s="718" t="s">
        <v>662</v>
      </c>
      <c r="G252" s="718"/>
      <c r="H252" s="710" t="s">
        <v>660</v>
      </c>
      <c r="I252" s="727">
        <f>VLOOKUP(C246,'Luong VP'!$B$10:$AP$189,27,0)</f>
        <v>0</v>
      </c>
      <c r="J252" s="728">
        <f>J250/'Cham cong'!$AS$3*I252*3</f>
        <v>0</v>
      </c>
    </row>
    <row r="253" spans="1:12" ht="9.1999999999999993" customHeight="1">
      <c r="A253" s="712">
        <v>4</v>
      </c>
      <c r="B253" s="713" t="s">
        <v>666</v>
      </c>
      <c r="C253" s="714">
        <f>VLOOKUP(C246,'Luong VP'!$B$10:$AP$189,11,0)</f>
        <v>0</v>
      </c>
      <c r="D253" s="717"/>
      <c r="E253" s="710">
        <v>3</v>
      </c>
      <c r="F253" s="718" t="s">
        <v>667</v>
      </c>
      <c r="G253" s="718"/>
      <c r="H253" s="710" t="s">
        <v>668</v>
      </c>
      <c r="I253" s="727">
        <f>VLOOKUP(C246,'Luong VP'!$B$10:$AP$189,26,0)</f>
        <v>0</v>
      </c>
      <c r="J253" s="728">
        <f>J250/'Cham cong'!$AS$3*I253/8*1.5</f>
        <v>0</v>
      </c>
    </row>
    <row r="254" spans="1:12" ht="9.1999999999999993" customHeight="1">
      <c r="A254" s="712">
        <v>5</v>
      </c>
      <c r="B254" s="713" t="s">
        <v>670</v>
      </c>
      <c r="C254" s="714">
        <f>VLOOKUP(C246,'Luong VP'!$B$10:$AP$189,12,0)</f>
        <v>0</v>
      </c>
      <c r="D254" s="717"/>
      <c r="E254" s="710">
        <v>4</v>
      </c>
      <c r="F254" s="718" t="s">
        <v>671</v>
      </c>
      <c r="G254" s="718"/>
      <c r="H254" s="710" t="s">
        <v>668</v>
      </c>
      <c r="I254" s="727">
        <f>VLOOKUP(C246,'Luong VP'!$B$10:$AP$189,25,0)</f>
        <v>0</v>
      </c>
      <c r="J254" s="728">
        <f>J250/'Cham cong'!$AS$3*I254/8*2</f>
        <v>0</v>
      </c>
    </row>
    <row r="255" spans="1:12" ht="9.1999999999999993" customHeight="1">
      <c r="A255" s="712">
        <v>6</v>
      </c>
      <c r="B255" s="713" t="s">
        <v>673</v>
      </c>
      <c r="C255" s="714">
        <f>VLOOKUP(C246,'Luong VP'!$B$10:$AP$189,13,0)</f>
        <v>0</v>
      </c>
      <c r="D255" s="717"/>
      <c r="E255" s="710">
        <v>5</v>
      </c>
      <c r="F255" s="718" t="s">
        <v>674</v>
      </c>
      <c r="G255" s="718"/>
      <c r="H255" s="710" t="s">
        <v>660</v>
      </c>
      <c r="I255" s="727">
        <f>VLOOKUP(C246,'Luong VP'!$B$10:$AP$189,23,0)</f>
        <v>0</v>
      </c>
      <c r="J255" s="728">
        <f>C250/'Cham cong'!$AS$3*I255</f>
        <v>0</v>
      </c>
      <c r="L255" s="694" t="str">
        <f>G246</f>
        <v>Nguyễn Đức Cường</v>
      </c>
    </row>
    <row r="256" spans="1:12" ht="9.1999999999999993" customHeight="1">
      <c r="A256" s="712">
        <v>7</v>
      </c>
      <c r="B256" s="713" t="s">
        <v>676</v>
      </c>
      <c r="C256" s="714"/>
      <c r="D256" s="717"/>
      <c r="E256" s="710">
        <v>6</v>
      </c>
      <c r="F256" s="718" t="s">
        <v>677</v>
      </c>
      <c r="G256" s="718"/>
      <c r="H256" s="710" t="s">
        <v>660</v>
      </c>
      <c r="I256" s="727">
        <f>VLOOKUP(C246,'Luong VP'!$B$10:$AP$189,24,0)</f>
        <v>1</v>
      </c>
      <c r="J256" s="714">
        <f>C250/'Cham cong'!$AS$3*I256</f>
        <v>243.84615384615384</v>
      </c>
    </row>
    <row r="257" spans="1:12" ht="9.1999999999999993" customHeight="1">
      <c r="A257" s="712">
        <v>8</v>
      </c>
      <c r="B257" s="713" t="s">
        <v>679</v>
      </c>
      <c r="C257" s="714">
        <f>VLOOKUP(C246,'Luong VP'!$B$10:$AP$189,14,0)</f>
        <v>0</v>
      </c>
      <c r="D257" s="717"/>
      <c r="E257" s="710">
        <v>7</v>
      </c>
      <c r="F257" s="718" t="s">
        <v>680</v>
      </c>
      <c r="G257" s="718"/>
      <c r="H257" s="718"/>
      <c r="I257" s="729"/>
      <c r="J257" s="714">
        <f>VLOOKUP(C246,'Luong VP'!$B$10:$AP$189,28,0)</f>
        <v>0</v>
      </c>
    </row>
    <row r="258" spans="1:12" ht="9.1999999999999993" customHeight="1">
      <c r="A258" s="712">
        <v>9</v>
      </c>
      <c r="B258" s="713" t="s">
        <v>683</v>
      </c>
      <c r="C258" s="714">
        <f>VLOOKUP(C246,'Luong VP'!$B$10:$AP$189,15,0)</f>
        <v>0</v>
      </c>
      <c r="D258" s="717"/>
      <c r="E258" s="710">
        <v>8</v>
      </c>
      <c r="F258" s="718" t="s">
        <v>238</v>
      </c>
      <c r="G258" s="718"/>
      <c r="H258" s="718"/>
      <c r="I258" s="729"/>
      <c r="J258" s="714">
        <f>VLOOKUP(C246,'Luong VP'!$B$10:$AP$189,33,0)</f>
        <v>0</v>
      </c>
    </row>
    <row r="259" spans="1:12" ht="9.1999999999999993" customHeight="1">
      <c r="A259" s="712">
        <v>10</v>
      </c>
      <c r="B259" s="713" t="s">
        <v>685</v>
      </c>
      <c r="C259" s="714">
        <f>VLOOKUP(C246,'Luong VP'!$B$10:$AP$189,16,0)</f>
        <v>0</v>
      </c>
      <c r="D259" s="717"/>
      <c r="E259" s="710" t="s">
        <v>686</v>
      </c>
      <c r="F259" s="716" t="s">
        <v>687</v>
      </c>
      <c r="G259" s="719"/>
      <c r="H259" s="719"/>
      <c r="I259" s="729"/>
      <c r="J259" s="730"/>
    </row>
    <row r="260" spans="1:12" ht="9.1999999999999993" customHeight="1">
      <c r="A260" s="712">
        <v>11</v>
      </c>
      <c r="B260" s="713" t="s">
        <v>688</v>
      </c>
      <c r="C260" s="714">
        <f>VLOOKUP(C246,'Luong VP'!$B$10:$AP$189,17,0)</f>
        <v>0</v>
      </c>
      <c r="D260" s="717"/>
      <c r="E260" s="710">
        <v>1</v>
      </c>
      <c r="F260" s="716" t="s">
        <v>689</v>
      </c>
      <c r="G260" s="719"/>
      <c r="H260" s="719"/>
      <c r="I260" s="714">
        <f>VLOOKUP(C246,'Luong VP'!$B$10:$AP$189,30,0)</f>
        <v>0</v>
      </c>
      <c r="J260" s="714">
        <f>VLOOKUP(C246,'Luong VP'!$B$10:$AP$189,30,0)</f>
        <v>0</v>
      </c>
    </row>
    <row r="261" spans="1:12" ht="9.1999999999999993" customHeight="1">
      <c r="A261" s="712">
        <v>12</v>
      </c>
      <c r="B261" s="713" t="s">
        <v>691</v>
      </c>
      <c r="C261" s="714">
        <f>VLOOKUP(C246,'Luong VP'!$B$10:$AP$189,18,0)</f>
        <v>0</v>
      </c>
      <c r="D261" s="717"/>
      <c r="E261" s="710">
        <v>2</v>
      </c>
      <c r="F261" s="718" t="s">
        <v>239</v>
      </c>
      <c r="G261" s="718"/>
      <c r="H261" s="718"/>
      <c r="I261" s="727"/>
      <c r="J261" s="728">
        <f>VLOOKUP(C246,'Luong VP'!$B$10:$AP$189,34,0)</f>
        <v>0</v>
      </c>
      <c r="K261" s="731"/>
      <c r="L261" s="715"/>
    </row>
    <row r="262" spans="1:12" ht="9.1999999999999993" customHeight="1">
      <c r="A262" s="712">
        <v>13</v>
      </c>
      <c r="B262" s="713" t="s">
        <v>692</v>
      </c>
      <c r="C262" s="714">
        <f>VLOOKUP(C246,'Luong VP'!$B$10:$AP$189,19,0)</f>
        <v>0</v>
      </c>
      <c r="D262" s="717"/>
      <c r="E262" s="710">
        <v>3</v>
      </c>
      <c r="F262" s="716" t="s">
        <v>693</v>
      </c>
      <c r="G262" s="719"/>
      <c r="H262" s="719"/>
      <c r="I262" s="729"/>
      <c r="J262" s="714">
        <f>VLOOKUP(C246,'Luong VP'!$B$10:$AP$189,40,0)</f>
        <v>0</v>
      </c>
      <c r="K262" s="731"/>
      <c r="L262" s="715"/>
    </row>
    <row r="263" spans="1:12" ht="9.1999999999999993" customHeight="1">
      <c r="A263" s="712">
        <v>14</v>
      </c>
      <c r="B263" s="713" t="s">
        <v>694</v>
      </c>
      <c r="C263" s="714">
        <f>VLOOKUP(C246,'Luong VP'!$B$10:$AP$189,20,0)</f>
        <v>2660</v>
      </c>
      <c r="D263" s="717"/>
      <c r="E263" s="710">
        <v>4</v>
      </c>
      <c r="F263" s="718" t="s">
        <v>695</v>
      </c>
      <c r="G263" s="719"/>
      <c r="H263" s="719"/>
      <c r="I263" s="729"/>
      <c r="J263" s="714">
        <f>VLOOKUP(C246,'Luong VP'!$B$10:$AP$189,35,0)</f>
        <v>1000</v>
      </c>
      <c r="K263" s="732"/>
      <c r="L263" s="715"/>
    </row>
    <row r="264" spans="1:12" ht="9.1999999999999993" customHeight="1">
      <c r="A264" s="712"/>
      <c r="B264" s="707" t="s">
        <v>656</v>
      </c>
      <c r="C264" s="714">
        <f>SUM(C250:C263)</f>
        <v>9000</v>
      </c>
      <c r="D264" s="717"/>
      <c r="E264" s="710"/>
      <c r="F264" s="716" t="s">
        <v>241</v>
      </c>
      <c r="G264" s="719"/>
      <c r="H264" s="719"/>
      <c r="I264" s="729"/>
      <c r="J264" s="730">
        <f>SUM(J251:J263)+C258</f>
        <v>10243.846153846154</v>
      </c>
      <c r="K264" s="731"/>
      <c r="L264" s="715"/>
    </row>
    <row r="265" spans="1:12" ht="9.1999999999999993" customHeight="1">
      <c r="B265" s="720"/>
      <c r="C265" s="717"/>
      <c r="D265" s="717"/>
      <c r="E265" s="710" t="s">
        <v>696</v>
      </c>
      <c r="F265" s="711" t="s">
        <v>697</v>
      </c>
      <c r="G265" s="710"/>
      <c r="H265" s="710"/>
      <c r="I265" s="729"/>
      <c r="J265" s="730">
        <f>SUM(J266:J268)</f>
        <v>4504</v>
      </c>
      <c r="K265" s="732"/>
      <c r="L265" s="715"/>
    </row>
    <row r="266" spans="1:12" ht="9.1999999999999993" customHeight="1">
      <c r="B266" s="720"/>
      <c r="C266" s="717"/>
      <c r="D266" s="717"/>
      <c r="E266" s="710">
        <v>1</v>
      </c>
      <c r="F266" s="718" t="s">
        <v>698</v>
      </c>
      <c r="G266" s="718"/>
      <c r="H266" s="718"/>
      <c r="I266" s="733"/>
      <c r="J266" s="714">
        <f>VLOOKUP(C246,'Luong VP'!$B$10:$AP$189,37,0)</f>
        <v>504</v>
      </c>
      <c r="K266" s="732"/>
      <c r="L266" s="715"/>
    </row>
    <row r="267" spans="1:12" ht="9.1999999999999993" customHeight="1">
      <c r="B267" s="720"/>
      <c r="C267" s="717"/>
      <c r="D267" s="717"/>
      <c r="E267" s="710">
        <v>2</v>
      </c>
      <c r="F267" s="718" t="s">
        <v>244</v>
      </c>
      <c r="G267" s="718"/>
      <c r="H267" s="718"/>
      <c r="I267" s="729"/>
      <c r="J267" s="714">
        <f>VLOOKUP(C246,'Luong VP'!$B$10:$AP$189,39,0)</f>
        <v>4000</v>
      </c>
      <c r="K267" s="734"/>
      <c r="L267" s="735"/>
    </row>
    <row r="268" spans="1:12" ht="9.1999999999999993" customHeight="1">
      <c r="B268" s="720"/>
      <c r="C268" s="717"/>
      <c r="D268" s="717"/>
      <c r="E268" s="710"/>
      <c r="F268" s="718" t="s">
        <v>699</v>
      </c>
      <c r="G268" s="718"/>
      <c r="H268" s="718"/>
      <c r="I268" s="729"/>
      <c r="J268" s="714"/>
      <c r="K268" s="714"/>
      <c r="L268" s="736"/>
    </row>
    <row r="269" spans="1:12" ht="9.1999999999999993" customHeight="1">
      <c r="B269" s="720"/>
      <c r="C269" s="717"/>
      <c r="D269" s="717"/>
      <c r="E269" s="710" t="s">
        <v>700</v>
      </c>
      <c r="F269" s="710" t="s">
        <v>246</v>
      </c>
      <c r="G269" s="710"/>
      <c r="H269" s="710"/>
      <c r="I269" s="729"/>
      <c r="J269" s="728">
        <f>J264-J265</f>
        <v>5739.8461538461543</v>
      </c>
      <c r="K269" s="728">
        <f>ROUND(J269,-1)</f>
        <v>5740</v>
      </c>
      <c r="L269" s="710"/>
    </row>
    <row r="270" spans="1:12" ht="9.1999999999999993" customHeight="1">
      <c r="B270" s="720"/>
      <c r="C270" s="717"/>
      <c r="D270" s="717"/>
      <c r="E270" s="715"/>
      <c r="F270" s="715"/>
      <c r="G270" s="715"/>
      <c r="I270" s="715" t="s">
        <v>701</v>
      </c>
      <c r="J270" s="737"/>
      <c r="K270" s="737"/>
      <c r="L270" s="715"/>
    </row>
    <row r="271" spans="1:12" ht="9.1999999999999993" customHeight="1">
      <c r="B271" s="720"/>
      <c r="C271" s="717"/>
      <c r="D271" s="717"/>
      <c r="E271" s="715"/>
      <c r="F271" s="715"/>
      <c r="G271" s="715"/>
      <c r="I271" s="715"/>
      <c r="J271" s="737"/>
      <c r="K271" s="737"/>
      <c r="L271" s="715"/>
    </row>
    <row r="272" spans="1:12" ht="9.1999999999999993" customHeight="1">
      <c r="B272" s="720"/>
      <c r="C272" s="717"/>
      <c r="D272" s="717"/>
      <c r="E272" s="715"/>
      <c r="F272" s="715"/>
      <c r="G272" s="715"/>
      <c r="I272" s="715"/>
      <c r="J272" s="737"/>
      <c r="K272" s="737"/>
      <c r="L272" s="715"/>
    </row>
    <row r="273" spans="1:12" ht="9.1999999999999993" customHeight="1">
      <c r="B273" s="720"/>
      <c r="C273" s="717"/>
      <c r="D273" s="717"/>
      <c r="E273" s="715"/>
      <c r="F273" s="715"/>
      <c r="G273" s="715"/>
      <c r="I273" s="715"/>
      <c r="J273" s="737"/>
      <c r="K273" s="737"/>
      <c r="L273" s="715"/>
    </row>
    <row r="274" spans="1:12" ht="9.1999999999999993" customHeight="1">
      <c r="C274" s="696"/>
      <c r="D274" s="696"/>
      <c r="E274" s="697" t="str">
        <f>$E$2</f>
        <v>THẺ LƯƠNG THÁNG 08/2019</v>
      </c>
      <c r="F274" s="698"/>
      <c r="G274" s="698"/>
      <c r="H274" s="698"/>
    </row>
    <row r="275" spans="1:12" ht="9.1999999999999993" customHeight="1">
      <c r="B275" s="699" t="s">
        <v>644</v>
      </c>
      <c r="C275" s="796" t="s">
        <v>285</v>
      </c>
      <c r="D275" s="701"/>
      <c r="F275" s="702" t="s">
        <v>645</v>
      </c>
      <c r="G275" s="689" t="str">
        <f>VLOOKUP(C275,'Luong VP'!$B$10:$AP$189,2,0)</f>
        <v>Lê Viết Thuật</v>
      </c>
    </row>
    <row r="276" spans="1:12" ht="9.1999999999999993" customHeight="1">
      <c r="B276" s="699" t="s">
        <v>646</v>
      </c>
      <c r="C276" s="689" t="str">
        <f>VLOOKUP(C275,'Luong VP'!$B$10:$AP$189,3,0)</f>
        <v>Tài xế</v>
      </c>
      <c r="F276" s="702" t="s">
        <v>647</v>
      </c>
      <c r="G276" s="689">
        <f>VLOOKUP(C275,'Luong VP'!$B$10:$AP$189,5,0)</f>
        <v>5</v>
      </c>
    </row>
    <row r="277" spans="1:12" ht="9.1999999999999993" customHeight="1">
      <c r="B277" s="703"/>
      <c r="C277" s="704"/>
      <c r="D277" s="705"/>
      <c r="F277" s="706" t="s">
        <v>648</v>
      </c>
      <c r="G277" s="706"/>
      <c r="H277" s="706"/>
      <c r="I277" s="725"/>
      <c r="J277" s="726"/>
    </row>
    <row r="278" spans="1:12" ht="9.1999999999999993" customHeight="1">
      <c r="A278" s="707" t="s">
        <v>216</v>
      </c>
      <c r="B278" s="707" t="s">
        <v>649</v>
      </c>
      <c r="C278" s="708" t="s">
        <v>650</v>
      </c>
      <c r="D278" s="709"/>
      <c r="E278" s="710" t="s">
        <v>216</v>
      </c>
      <c r="F278" s="711" t="s">
        <v>649</v>
      </c>
      <c r="G278" s="710"/>
      <c r="H278" s="710" t="s">
        <v>651</v>
      </c>
      <c r="I278" s="727" t="s">
        <v>652</v>
      </c>
      <c r="J278" s="714"/>
      <c r="L278" s="694" t="s">
        <v>653</v>
      </c>
    </row>
    <row r="279" spans="1:12" ht="9.1999999999999993" customHeight="1">
      <c r="A279" s="712">
        <v>1</v>
      </c>
      <c r="B279" s="713" t="s">
        <v>654</v>
      </c>
      <c r="C279" s="714">
        <f>VLOOKUP(C275,'Luong VP'!$B$10:$AP$189,9,0)</f>
        <v>6340</v>
      </c>
      <c r="D279" s="715"/>
      <c r="E279" s="710" t="s">
        <v>655</v>
      </c>
      <c r="F279" s="716" t="s">
        <v>656</v>
      </c>
      <c r="G279" s="710"/>
      <c r="H279" s="710"/>
      <c r="I279" s="727"/>
      <c r="J279" s="714">
        <f>VLOOKUP(C275,'Luong VP'!$B$10:$AP$189,21,0)</f>
        <v>9000</v>
      </c>
    </row>
    <row r="280" spans="1:12" ht="9.1999999999999993" customHeight="1">
      <c r="A280" s="712">
        <v>2</v>
      </c>
      <c r="B280" s="713" t="s">
        <v>658</v>
      </c>
      <c r="C280" s="714"/>
      <c r="D280" s="717"/>
      <c r="E280" s="710">
        <v>1</v>
      </c>
      <c r="F280" s="718" t="s">
        <v>659</v>
      </c>
      <c r="G280" s="718"/>
      <c r="H280" s="710" t="s">
        <v>660</v>
      </c>
      <c r="I280" s="727">
        <f>VLOOKUP(C275,'Luong VP'!$B$10:$AP$189,22,0)</f>
        <v>26</v>
      </c>
      <c r="J280" s="728">
        <f>J279/'Cham cong'!$AS$3*I280</f>
        <v>9000</v>
      </c>
    </row>
    <row r="281" spans="1:12" ht="9.1999999999999993" customHeight="1">
      <c r="A281" s="712">
        <v>3</v>
      </c>
      <c r="B281" s="713" t="s">
        <v>661</v>
      </c>
      <c r="C281" s="714">
        <f>VLOOKUP(C275,'Luong VP'!$B$10:$AP$189,10,0)</f>
        <v>0</v>
      </c>
      <c r="D281" s="717"/>
      <c r="E281" s="710">
        <v>2</v>
      </c>
      <c r="F281" s="718" t="s">
        <v>662</v>
      </c>
      <c r="G281" s="718"/>
      <c r="H281" s="710" t="s">
        <v>660</v>
      </c>
      <c r="I281" s="727">
        <f>VLOOKUP(C275,'Luong VP'!$B$10:$AP$189,27,0)</f>
        <v>0</v>
      </c>
      <c r="J281" s="728">
        <f>J279/'Cham cong'!$AS$3*I281*3</f>
        <v>0</v>
      </c>
    </row>
    <row r="282" spans="1:12" ht="9.1999999999999993" customHeight="1">
      <c r="A282" s="712">
        <v>4</v>
      </c>
      <c r="B282" s="713" t="s">
        <v>666</v>
      </c>
      <c r="C282" s="714">
        <f>VLOOKUP(C275,'Luong VP'!$B$10:$AP$189,11,0)</f>
        <v>0</v>
      </c>
      <c r="D282" s="717"/>
      <c r="E282" s="710">
        <v>3</v>
      </c>
      <c r="F282" s="718" t="s">
        <v>667</v>
      </c>
      <c r="G282" s="718"/>
      <c r="H282" s="710" t="s">
        <v>668</v>
      </c>
      <c r="I282" s="727">
        <f>VLOOKUP(C275,'Luong VP'!$B$10:$AP$189,26,0)</f>
        <v>0</v>
      </c>
      <c r="J282" s="728">
        <f>J279/'Cham cong'!$AS$3*I282/8*1.5</f>
        <v>0</v>
      </c>
    </row>
    <row r="283" spans="1:12" ht="9.1999999999999993" customHeight="1">
      <c r="A283" s="712">
        <v>5</v>
      </c>
      <c r="B283" s="713" t="s">
        <v>670</v>
      </c>
      <c r="C283" s="714">
        <f>VLOOKUP(C275,'Luong VP'!$B$10:$AP$189,12,0)</f>
        <v>0</v>
      </c>
      <c r="D283" s="717"/>
      <c r="E283" s="710">
        <v>4</v>
      </c>
      <c r="F283" s="718" t="s">
        <v>671</v>
      </c>
      <c r="G283" s="718"/>
      <c r="H283" s="710" t="s">
        <v>668</v>
      </c>
      <c r="I283" s="727">
        <f>VLOOKUP(C275,'Luong VP'!$B$10:$AP$189,25,0)</f>
        <v>0</v>
      </c>
      <c r="J283" s="728">
        <f>J279/'Cham cong'!$AS$3*I283/8*2</f>
        <v>0</v>
      </c>
    </row>
    <row r="284" spans="1:12" ht="9.1999999999999993" customHeight="1">
      <c r="A284" s="712">
        <v>6</v>
      </c>
      <c r="B284" s="713" t="s">
        <v>673</v>
      </c>
      <c r="C284" s="714">
        <f>VLOOKUP(C275,'Luong VP'!$B$10:$AP$189,13,0)</f>
        <v>0</v>
      </c>
      <c r="D284" s="717"/>
      <c r="E284" s="710">
        <v>5</v>
      </c>
      <c r="F284" s="718" t="s">
        <v>674</v>
      </c>
      <c r="G284" s="718"/>
      <c r="H284" s="710" t="s">
        <v>660</v>
      </c>
      <c r="I284" s="727">
        <f>VLOOKUP(C275,'Luong VP'!$B$10:$AP$189,23,0)</f>
        <v>0</v>
      </c>
      <c r="J284" s="728">
        <f>C279/'Cham cong'!$AS$3*I284</f>
        <v>0</v>
      </c>
      <c r="L284" s="694" t="str">
        <f>G275</f>
        <v>Lê Viết Thuật</v>
      </c>
    </row>
    <row r="285" spans="1:12" ht="9.1999999999999993" customHeight="1">
      <c r="A285" s="712">
        <v>7</v>
      </c>
      <c r="B285" s="713" t="s">
        <v>676</v>
      </c>
      <c r="C285" s="714"/>
      <c r="D285" s="717"/>
      <c r="E285" s="710">
        <v>6</v>
      </c>
      <c r="F285" s="718" t="s">
        <v>677</v>
      </c>
      <c r="G285" s="718"/>
      <c r="H285" s="710" t="s">
        <v>660</v>
      </c>
      <c r="I285" s="727">
        <f>VLOOKUP(C275,'Luong VP'!$B$10:$AP$189,24,0)</f>
        <v>1</v>
      </c>
      <c r="J285" s="714">
        <f>C279/'Cham cong'!$AS$3*I285</f>
        <v>243.84615384615384</v>
      </c>
    </row>
    <row r="286" spans="1:12" ht="9.1999999999999993" customHeight="1">
      <c r="A286" s="712">
        <v>8</v>
      </c>
      <c r="B286" s="713" t="s">
        <v>679</v>
      </c>
      <c r="C286" s="714">
        <f>VLOOKUP(C275,'Luong VP'!$B$10:$AP$189,14,0)</f>
        <v>0</v>
      </c>
      <c r="D286" s="717"/>
      <c r="E286" s="710">
        <v>7</v>
      </c>
      <c r="F286" s="718" t="s">
        <v>680</v>
      </c>
      <c r="G286" s="718"/>
      <c r="H286" s="718"/>
      <c r="I286" s="729"/>
      <c r="J286" s="714">
        <f>VLOOKUP(C275,'Luong VP'!$B$10:$AP$189,28,0)</f>
        <v>0</v>
      </c>
    </row>
    <row r="287" spans="1:12" ht="9.1999999999999993" customHeight="1">
      <c r="A287" s="712">
        <v>9</v>
      </c>
      <c r="B287" s="713" t="s">
        <v>683</v>
      </c>
      <c r="C287" s="714">
        <f>VLOOKUP(C275,'Luong VP'!$B$10:$AP$189,15,0)</f>
        <v>0</v>
      </c>
      <c r="D287" s="717"/>
      <c r="E287" s="710">
        <v>8</v>
      </c>
      <c r="F287" s="718" t="s">
        <v>238</v>
      </c>
      <c r="G287" s="718"/>
      <c r="H287" s="771" t="s">
        <v>660</v>
      </c>
      <c r="I287" s="787"/>
      <c r="J287" s="775"/>
    </row>
    <row r="288" spans="1:12" ht="9.1999999999999993" customHeight="1">
      <c r="A288" s="712">
        <v>10</v>
      </c>
      <c r="B288" s="713" t="s">
        <v>685</v>
      </c>
      <c r="C288" s="714">
        <f>VLOOKUP(C275,'Luong VP'!$B$10:$AP$189,16,0)</f>
        <v>0</v>
      </c>
      <c r="D288" s="717"/>
      <c r="E288" s="710" t="s">
        <v>686</v>
      </c>
      <c r="F288" s="716" t="s">
        <v>687</v>
      </c>
      <c r="G288" s="719"/>
      <c r="H288" s="719"/>
      <c r="I288" s="729"/>
      <c r="J288" s="730"/>
    </row>
    <row r="289" spans="1:12" ht="9.1999999999999993" customHeight="1">
      <c r="A289" s="712">
        <v>11</v>
      </c>
      <c r="B289" s="713" t="s">
        <v>688</v>
      </c>
      <c r="C289" s="714">
        <f>VLOOKUP(C275,'Luong VP'!$B$10:$AP$189,17,0)</f>
        <v>0</v>
      </c>
      <c r="D289" s="717"/>
      <c r="E289" s="710">
        <v>1</v>
      </c>
      <c r="F289" s="716" t="s">
        <v>689</v>
      </c>
      <c r="G289" s="719"/>
      <c r="H289" s="719"/>
      <c r="I289" s="714">
        <f>VLOOKUP(C275,'Luong VP'!$B$10:$AP$189,30,0)</f>
        <v>0</v>
      </c>
      <c r="J289" s="714">
        <f>VLOOKUP(C275,'Luong VP'!$B$10:$AP$189,30,0)</f>
        <v>0</v>
      </c>
    </row>
    <row r="290" spans="1:12" ht="9.1999999999999993" customHeight="1">
      <c r="A290" s="712">
        <v>12</v>
      </c>
      <c r="B290" s="713" t="s">
        <v>691</v>
      </c>
      <c r="C290" s="714">
        <f>VLOOKUP(C275,'Luong VP'!$B$10:$AP$189,18,0)</f>
        <v>0</v>
      </c>
      <c r="D290" s="717"/>
      <c r="E290" s="710">
        <v>2</v>
      </c>
      <c r="F290" s="718" t="s">
        <v>239</v>
      </c>
      <c r="G290" s="718"/>
      <c r="H290" s="718"/>
      <c r="I290" s="727"/>
      <c r="J290" s="728">
        <f>VLOOKUP(C275,'Luong VP'!$B$10:$AP$189,34,0)</f>
        <v>0</v>
      </c>
      <c r="K290" s="731"/>
      <c r="L290" s="715"/>
    </row>
    <row r="291" spans="1:12" ht="9.1999999999999993" customHeight="1">
      <c r="A291" s="712">
        <v>13</v>
      </c>
      <c r="B291" s="713" t="s">
        <v>692</v>
      </c>
      <c r="C291" s="714">
        <f>VLOOKUP(C275,'Luong VP'!$B$10:$AP$189,19,0)</f>
        <v>0</v>
      </c>
      <c r="D291" s="717"/>
      <c r="E291" s="710">
        <v>3</v>
      </c>
      <c r="F291" s="716" t="s">
        <v>693</v>
      </c>
      <c r="G291" s="719"/>
      <c r="H291" s="719"/>
      <c r="I291" s="729"/>
      <c r="J291" s="714">
        <f>VLOOKUP(C275,'Luong VP'!$B$10:$AP$189,40,0)</f>
        <v>0</v>
      </c>
      <c r="K291" s="731"/>
      <c r="L291" s="715"/>
    </row>
    <row r="292" spans="1:12" ht="9.1999999999999993" customHeight="1">
      <c r="A292" s="712">
        <v>14</v>
      </c>
      <c r="B292" s="713" t="s">
        <v>694</v>
      </c>
      <c r="C292" s="714">
        <f>VLOOKUP(C275,'Luong VP'!$B$10:$AP$189,20,0)</f>
        <v>2660</v>
      </c>
      <c r="D292" s="717"/>
      <c r="E292" s="710">
        <v>4</v>
      </c>
      <c r="F292" s="718" t="s">
        <v>695</v>
      </c>
      <c r="G292" s="719"/>
      <c r="H292" s="719"/>
      <c r="I292" s="729"/>
      <c r="J292" s="714">
        <f>VLOOKUP(C275,'Luong VP'!$B$10:$AP$189,35,0)</f>
        <v>0</v>
      </c>
      <c r="K292" s="732"/>
      <c r="L292" s="715"/>
    </row>
    <row r="293" spans="1:12" ht="9.1999999999999993" customHeight="1">
      <c r="A293" s="712"/>
      <c r="B293" s="707" t="s">
        <v>656</v>
      </c>
      <c r="C293" s="714">
        <f>SUM(C279:C292)</f>
        <v>9000</v>
      </c>
      <c r="D293" s="717"/>
      <c r="E293" s="710"/>
      <c r="F293" s="716" t="s">
        <v>241</v>
      </c>
      <c r="G293" s="719"/>
      <c r="H293" s="719"/>
      <c r="I293" s="729"/>
      <c r="J293" s="730">
        <f>SUM(J280:J292)+C287</f>
        <v>9243.8461538461543</v>
      </c>
      <c r="K293" s="731"/>
      <c r="L293" s="715"/>
    </row>
    <row r="294" spans="1:12" ht="9.1999999999999993" customHeight="1">
      <c r="B294" s="720"/>
      <c r="C294" s="717"/>
      <c r="D294" s="717"/>
      <c r="E294" s="710" t="s">
        <v>696</v>
      </c>
      <c r="F294" s="711" t="s">
        <v>697</v>
      </c>
      <c r="G294" s="710"/>
      <c r="H294" s="710"/>
      <c r="I294" s="729"/>
      <c r="J294" s="730">
        <f>SUM(J295:J297)</f>
        <v>4000</v>
      </c>
      <c r="K294" s="732"/>
      <c r="L294" s="715"/>
    </row>
    <row r="295" spans="1:12" ht="9.1999999999999993" customHeight="1">
      <c r="B295" s="720"/>
      <c r="C295" s="717"/>
      <c r="D295" s="717"/>
      <c r="E295" s="710">
        <v>1</v>
      </c>
      <c r="F295" s="718" t="s">
        <v>698</v>
      </c>
      <c r="G295" s="718"/>
      <c r="H295" s="718"/>
      <c r="I295" s="733"/>
      <c r="J295" s="714">
        <f>VLOOKUP(C275,'Luong VP'!$B$10:$AP$189,37,0)</f>
        <v>0</v>
      </c>
      <c r="K295" s="732"/>
      <c r="L295" s="715"/>
    </row>
    <row r="296" spans="1:12" ht="9.1999999999999993" customHeight="1">
      <c r="B296" s="720"/>
      <c r="C296" s="717"/>
      <c r="D296" s="717"/>
      <c r="E296" s="710">
        <v>2</v>
      </c>
      <c r="F296" s="718" t="s">
        <v>244</v>
      </c>
      <c r="G296" s="718"/>
      <c r="H296" s="718"/>
      <c r="I296" s="729"/>
      <c r="J296" s="714">
        <f>VLOOKUP(C275,'Luong VP'!$B$10:$AP$189,39,0)</f>
        <v>4000</v>
      </c>
      <c r="K296" s="734"/>
      <c r="L296" s="735"/>
    </row>
    <row r="297" spans="1:12" ht="9.1999999999999993" customHeight="1">
      <c r="B297" s="720"/>
      <c r="C297" s="717"/>
      <c r="D297" s="717"/>
      <c r="E297" s="710"/>
      <c r="F297" s="718" t="s">
        <v>699</v>
      </c>
      <c r="G297" s="718"/>
      <c r="H297" s="718"/>
      <c r="I297" s="729"/>
      <c r="J297" s="714"/>
      <c r="K297" s="714"/>
      <c r="L297" s="736"/>
    </row>
    <row r="298" spans="1:12" ht="9.1999999999999993" customHeight="1">
      <c r="B298" s="720"/>
      <c r="C298" s="717"/>
      <c r="D298" s="717"/>
      <c r="E298" s="710" t="s">
        <v>700</v>
      </c>
      <c r="F298" s="710" t="s">
        <v>246</v>
      </c>
      <c r="G298" s="710"/>
      <c r="H298" s="710"/>
      <c r="I298" s="729"/>
      <c r="J298" s="728">
        <f>J293-J294</f>
        <v>5243.8461538461543</v>
      </c>
      <c r="K298" s="728">
        <f>ROUND(J298,-1)</f>
        <v>5240</v>
      </c>
      <c r="L298" s="710"/>
    </row>
    <row r="299" spans="1:12" ht="9.1999999999999993" customHeight="1">
      <c r="B299" s="720"/>
      <c r="C299" s="717"/>
      <c r="D299" s="717"/>
      <c r="E299" s="715"/>
      <c r="F299" s="715"/>
      <c r="G299" s="715"/>
      <c r="I299" s="715" t="s">
        <v>701</v>
      </c>
      <c r="J299" s="737"/>
      <c r="K299" s="737"/>
      <c r="L299" s="715"/>
    </row>
    <row r="300" spans="1:12" ht="9.1999999999999993" customHeight="1">
      <c r="B300" s="720"/>
      <c r="C300" s="717"/>
      <c r="D300" s="717"/>
      <c r="E300" s="715"/>
      <c r="F300" s="715"/>
      <c r="G300" s="715"/>
      <c r="I300" s="715"/>
      <c r="J300" s="737"/>
      <c r="K300" s="737"/>
      <c r="L300" s="715"/>
    </row>
    <row r="301" spans="1:12" ht="9.1999999999999993" customHeight="1">
      <c r="B301" s="720"/>
      <c r="C301" s="717"/>
      <c r="D301" s="717"/>
      <c r="E301" s="715"/>
      <c r="F301" s="715"/>
      <c r="G301" s="715"/>
      <c r="I301" s="715"/>
      <c r="J301" s="737"/>
      <c r="K301" s="737"/>
      <c r="L301" s="715"/>
    </row>
    <row r="302" spans="1:12" ht="9.1999999999999993" customHeight="1">
      <c r="B302" s="720"/>
      <c r="C302" s="717"/>
      <c r="D302" s="717"/>
      <c r="E302" s="715"/>
      <c r="F302" s="715"/>
      <c r="G302" s="715"/>
      <c r="I302" s="715"/>
      <c r="J302" s="737"/>
      <c r="K302" s="737"/>
      <c r="L302" s="715"/>
    </row>
    <row r="303" spans="1:12" ht="9.1999999999999993" customHeight="1">
      <c r="B303" s="720"/>
      <c r="C303" s="717"/>
      <c r="D303" s="717"/>
      <c r="E303" s="715"/>
      <c r="F303" s="715"/>
      <c r="G303" s="715"/>
      <c r="I303" s="715"/>
      <c r="J303" s="737"/>
      <c r="K303" s="737"/>
      <c r="L303" s="715"/>
    </row>
    <row r="304" spans="1:12" ht="9.1999999999999993" customHeight="1">
      <c r="B304" s="720"/>
      <c r="C304" s="717"/>
      <c r="D304" s="717"/>
      <c r="E304" s="715"/>
      <c r="F304" s="715"/>
      <c r="G304" s="715"/>
      <c r="I304" s="715"/>
      <c r="J304" s="737"/>
      <c r="K304" s="737"/>
      <c r="L304" s="715"/>
    </row>
    <row r="305" spans="1:12" ht="9.1999999999999993" customHeight="1">
      <c r="C305" s="696"/>
      <c r="D305" s="696"/>
      <c r="E305" s="697" t="str">
        <f>$E$2</f>
        <v>THẺ LƯƠNG THÁNG 08/2019</v>
      </c>
      <c r="F305" s="698"/>
      <c r="G305" s="698"/>
      <c r="H305" s="698"/>
    </row>
    <row r="306" spans="1:12" ht="9.1999999999999993" customHeight="1">
      <c r="B306" s="699" t="s">
        <v>644</v>
      </c>
      <c r="C306" s="700" t="s">
        <v>289</v>
      </c>
      <c r="D306" s="701"/>
      <c r="F306" s="702" t="s">
        <v>645</v>
      </c>
      <c r="G306" s="689" t="str">
        <f>VLOOKUP(C306,'Luong VP'!$B$10:$AP$189,2,0)</f>
        <v>Cao Thị Minh Thoa</v>
      </c>
    </row>
    <row r="307" spans="1:12" ht="9.1999999999999993" customHeight="1">
      <c r="B307" s="699" t="s">
        <v>646</v>
      </c>
      <c r="C307" s="689" t="str">
        <f>VLOOKUP(C306,'Luong VP'!$B$10:$AP$189,3,0)</f>
        <v>Nhân viên hành chính/ HCNS NM</v>
      </c>
      <c r="F307" s="702" t="s">
        <v>647</v>
      </c>
      <c r="G307" s="689">
        <f>VLOOKUP(C306,'Luong VP'!$B$10:$AP$189,5,0)</f>
        <v>2</v>
      </c>
    </row>
    <row r="308" spans="1:12" ht="9.1999999999999993" customHeight="1">
      <c r="B308" s="703"/>
      <c r="C308" s="704"/>
      <c r="D308" s="705"/>
      <c r="F308" s="706" t="s">
        <v>648</v>
      </c>
      <c r="G308" s="706"/>
      <c r="H308" s="706"/>
      <c r="I308" s="725"/>
      <c r="J308" s="726"/>
    </row>
    <row r="309" spans="1:12" ht="9.1999999999999993" customHeight="1">
      <c r="A309" s="707" t="s">
        <v>216</v>
      </c>
      <c r="B309" s="707" t="s">
        <v>649</v>
      </c>
      <c r="C309" s="708" t="s">
        <v>650</v>
      </c>
      <c r="D309" s="709"/>
      <c r="E309" s="710" t="s">
        <v>216</v>
      </c>
      <c r="F309" s="711" t="s">
        <v>649</v>
      </c>
      <c r="G309" s="710"/>
      <c r="H309" s="710" t="s">
        <v>651</v>
      </c>
      <c r="I309" s="727" t="s">
        <v>652</v>
      </c>
      <c r="J309" s="714"/>
      <c r="L309" s="694" t="s">
        <v>653</v>
      </c>
    </row>
    <row r="310" spans="1:12" ht="9.1999999999999993" customHeight="1">
      <c r="A310" s="712">
        <v>1</v>
      </c>
      <c r="B310" s="713" t="s">
        <v>654</v>
      </c>
      <c r="C310" s="714">
        <f>VLOOKUP(C306,'Luong VP'!$B$10:$AP$189,9,0)</f>
        <v>8540</v>
      </c>
      <c r="D310" s="715"/>
      <c r="E310" s="710" t="s">
        <v>655</v>
      </c>
      <c r="F310" s="716" t="s">
        <v>656</v>
      </c>
      <c r="G310" s="710"/>
      <c r="H310" s="710"/>
      <c r="I310" s="727"/>
      <c r="J310" s="714">
        <f>VLOOKUP(C306,'Luong VP'!$B$10:$AP$189,21,0)</f>
        <v>8540</v>
      </c>
    </row>
    <row r="311" spans="1:12" ht="9.1999999999999993" customHeight="1">
      <c r="A311" s="712">
        <v>2</v>
      </c>
      <c r="B311" s="713" t="s">
        <v>658</v>
      </c>
      <c r="C311" s="714"/>
      <c r="D311" s="717"/>
      <c r="E311" s="710">
        <v>1</v>
      </c>
      <c r="F311" s="718" t="s">
        <v>659</v>
      </c>
      <c r="G311" s="718"/>
      <c r="H311" s="710" t="s">
        <v>660</v>
      </c>
      <c r="I311" s="727">
        <f>VLOOKUP(C306,'Luong VP'!$B$10:$AP$189,22,0)</f>
        <v>26</v>
      </c>
      <c r="J311" s="728">
        <f>J310/'Cham cong'!$AS$3*I311</f>
        <v>8540</v>
      </c>
    </row>
    <row r="312" spans="1:12" ht="9.1999999999999993" customHeight="1">
      <c r="A312" s="712">
        <v>3</v>
      </c>
      <c r="B312" s="713" t="s">
        <v>661</v>
      </c>
      <c r="C312" s="714">
        <f>VLOOKUP(C306,'Luong VP'!$B$10:$AP$189,10,0)</f>
        <v>0</v>
      </c>
      <c r="D312" s="717"/>
      <c r="E312" s="710">
        <v>2</v>
      </c>
      <c r="F312" s="718" t="s">
        <v>662</v>
      </c>
      <c r="G312" s="718"/>
      <c r="H312" s="710" t="s">
        <v>660</v>
      </c>
      <c r="I312" s="727">
        <f>VLOOKUP(C306,'Luong VP'!$B$10:$AP$189,27,0)</f>
        <v>0</v>
      </c>
      <c r="J312" s="728">
        <f>J310/'Cham cong'!$AS$3*I312*3</f>
        <v>0</v>
      </c>
    </row>
    <row r="313" spans="1:12" ht="9.1999999999999993" customHeight="1">
      <c r="A313" s="712">
        <v>4</v>
      </c>
      <c r="B313" s="713" t="s">
        <v>666</v>
      </c>
      <c r="C313" s="714">
        <f>VLOOKUP(C306,'Luong VP'!$B$10:$AP$189,11,0)</f>
        <v>0</v>
      </c>
      <c r="D313" s="717"/>
      <c r="E313" s="710">
        <v>3</v>
      </c>
      <c r="F313" s="718" t="s">
        <v>667</v>
      </c>
      <c r="G313" s="718"/>
      <c r="H313" s="710" t="s">
        <v>668</v>
      </c>
      <c r="I313" s="727">
        <f>VLOOKUP(C306,'Luong VP'!$B$10:$AP$189,26,0)</f>
        <v>0</v>
      </c>
      <c r="J313" s="728">
        <f>J310/'Cham cong'!$AS$3*I313/8*1.5</f>
        <v>0</v>
      </c>
    </row>
    <row r="314" spans="1:12" ht="9.1999999999999993" customHeight="1">
      <c r="A314" s="712">
        <v>5</v>
      </c>
      <c r="B314" s="713" t="s">
        <v>670</v>
      </c>
      <c r="C314" s="714">
        <f>VLOOKUP(C306,'Luong VP'!$B$10:$AP$189,12,0)</f>
        <v>0</v>
      </c>
      <c r="D314" s="717"/>
      <c r="E314" s="710">
        <v>4</v>
      </c>
      <c r="F314" s="718" t="s">
        <v>671</v>
      </c>
      <c r="G314" s="718"/>
      <c r="H314" s="710" t="s">
        <v>668</v>
      </c>
      <c r="I314" s="727">
        <f>VLOOKUP(C306,'Luong VP'!$B$10:$AP$189,25,0)</f>
        <v>0</v>
      </c>
      <c r="J314" s="728">
        <f>J310/'Cham cong'!$AS$3*I314/8*2</f>
        <v>0</v>
      </c>
    </row>
    <row r="315" spans="1:12" ht="9.1999999999999993" customHeight="1">
      <c r="A315" s="712">
        <v>6</v>
      </c>
      <c r="B315" s="713" t="s">
        <v>673</v>
      </c>
      <c r="C315" s="714">
        <f>VLOOKUP(C306,'Luong VP'!$B$10:$AP$189,13,0)</f>
        <v>0</v>
      </c>
      <c r="D315" s="717"/>
      <c r="E315" s="710">
        <v>5</v>
      </c>
      <c r="F315" s="718" t="s">
        <v>674</v>
      </c>
      <c r="G315" s="718"/>
      <c r="H315" s="710" t="s">
        <v>660</v>
      </c>
      <c r="I315" s="727">
        <f>VLOOKUP(C306,'Luong VP'!$B$10:$AP$189,23,0)</f>
        <v>0</v>
      </c>
      <c r="J315" s="728">
        <f>C310/'Cham cong'!$AS$3*I315</f>
        <v>0</v>
      </c>
      <c r="L315" s="694" t="str">
        <f>G306</f>
        <v>Cao Thị Minh Thoa</v>
      </c>
    </row>
    <row r="316" spans="1:12" ht="9.1999999999999993" customHeight="1">
      <c r="A316" s="712">
        <v>7</v>
      </c>
      <c r="B316" s="713" t="s">
        <v>676</v>
      </c>
      <c r="C316" s="714"/>
      <c r="D316" s="717"/>
      <c r="E316" s="710">
        <v>6</v>
      </c>
      <c r="F316" s="718" t="s">
        <v>677</v>
      </c>
      <c r="G316" s="718"/>
      <c r="H316" s="710" t="s">
        <v>660</v>
      </c>
      <c r="I316" s="727">
        <f>VLOOKUP(C306,'Luong VP'!$B$10:$AP$189,24,0)</f>
        <v>1</v>
      </c>
      <c r="J316" s="714">
        <f>C310/'Cham cong'!$AS$3*I316</f>
        <v>328.46153846153845</v>
      </c>
    </row>
    <row r="317" spans="1:12" ht="9.1999999999999993" customHeight="1">
      <c r="A317" s="712">
        <v>8</v>
      </c>
      <c r="B317" s="713" t="s">
        <v>679</v>
      </c>
      <c r="C317" s="714">
        <f>VLOOKUP(C306,'Luong VP'!$B$10:$AP$189,14,0)</f>
        <v>0</v>
      </c>
      <c r="D317" s="717"/>
      <c r="E317" s="710">
        <v>7</v>
      </c>
      <c r="F317" s="718" t="s">
        <v>680</v>
      </c>
      <c r="G317" s="718"/>
      <c r="H317" s="718"/>
      <c r="I317" s="729"/>
      <c r="J317" s="714">
        <f>VLOOKUP(C306,'Luong VP'!$B$10:$AP$189,28,0)</f>
        <v>0</v>
      </c>
    </row>
    <row r="318" spans="1:12" ht="9.1999999999999993" customHeight="1">
      <c r="A318" s="712">
        <v>9</v>
      </c>
      <c r="B318" s="713" t="s">
        <v>683</v>
      </c>
      <c r="C318" s="714">
        <f>VLOOKUP(C306,'Luong VP'!$B$10:$AP$189,15,0)</f>
        <v>0</v>
      </c>
      <c r="D318" s="717"/>
      <c r="E318" s="710">
        <v>8</v>
      </c>
      <c r="F318" s="718" t="s">
        <v>238</v>
      </c>
      <c r="G318" s="718"/>
      <c r="H318" s="718"/>
      <c r="I318" s="729"/>
      <c r="J318" s="714">
        <f>VLOOKUP(C306,'Luong VP'!$B$10:$AP$189,33,0)</f>
        <v>0</v>
      </c>
    </row>
    <row r="319" spans="1:12" ht="9.1999999999999993" customHeight="1">
      <c r="A319" s="712">
        <v>10</v>
      </c>
      <c r="B319" s="713" t="s">
        <v>685</v>
      </c>
      <c r="C319" s="714">
        <f>VLOOKUP(C306,'Luong VP'!$B$10:$AP$189,16,0)</f>
        <v>0</v>
      </c>
      <c r="D319" s="717"/>
      <c r="E319" s="710" t="s">
        <v>686</v>
      </c>
      <c r="F319" s="716" t="s">
        <v>687</v>
      </c>
      <c r="G319" s="719"/>
      <c r="H319" s="719"/>
      <c r="I319" s="729"/>
      <c r="J319" s="730"/>
    </row>
    <row r="320" spans="1:12" ht="9.1999999999999993" customHeight="1">
      <c r="A320" s="712">
        <v>11</v>
      </c>
      <c r="B320" s="713" t="s">
        <v>688</v>
      </c>
      <c r="C320" s="714">
        <f>VLOOKUP(C306,'Luong VP'!$B$10:$AP$189,17,0)</f>
        <v>0</v>
      </c>
      <c r="D320" s="717"/>
      <c r="E320" s="710">
        <v>1</v>
      </c>
      <c r="F320" s="716" t="s">
        <v>689</v>
      </c>
      <c r="G320" s="719"/>
      <c r="H320" s="719"/>
      <c r="I320" s="714">
        <f>VLOOKUP(C306,'Luong VP'!$B$10:$AP$189,30,0)</f>
        <v>0</v>
      </c>
      <c r="J320" s="714">
        <f>VLOOKUP(C306,'Luong VP'!$B$10:$AP$189,30,0)</f>
        <v>0</v>
      </c>
    </row>
    <row r="321" spans="1:12" ht="9.1999999999999993" customHeight="1">
      <c r="A321" s="712">
        <v>12</v>
      </c>
      <c r="B321" s="713" t="s">
        <v>691</v>
      </c>
      <c r="C321" s="714">
        <f>VLOOKUP(C306,'Luong VP'!$B$10:$AP$189,18,0)</f>
        <v>0</v>
      </c>
      <c r="D321" s="717"/>
      <c r="E321" s="710">
        <v>2</v>
      </c>
      <c r="F321" s="718" t="s">
        <v>239</v>
      </c>
      <c r="G321" s="718"/>
      <c r="H321" s="718"/>
      <c r="I321" s="727"/>
      <c r="J321" s="728">
        <f>VLOOKUP(C306,'Luong VP'!$B$10:$AP$189,34,0)</f>
        <v>0</v>
      </c>
      <c r="K321" s="731"/>
      <c r="L321" s="715"/>
    </row>
    <row r="322" spans="1:12" ht="9.1999999999999993" customHeight="1">
      <c r="A322" s="712">
        <v>13</v>
      </c>
      <c r="B322" s="713" t="s">
        <v>692</v>
      </c>
      <c r="C322" s="714">
        <f>VLOOKUP(C306,'Luong VP'!$B$10:$AP$189,19,0)</f>
        <v>0</v>
      </c>
      <c r="D322" s="717"/>
      <c r="E322" s="710">
        <v>3</v>
      </c>
      <c r="F322" s="716" t="s">
        <v>693</v>
      </c>
      <c r="G322" s="719"/>
      <c r="H322" s="719"/>
      <c r="I322" s="729"/>
      <c r="J322" s="714">
        <f>VLOOKUP(C306,'Luong VP'!$B$10:$AP$189,40,0)</f>
        <v>0</v>
      </c>
      <c r="K322" s="731"/>
      <c r="L322" s="715"/>
    </row>
    <row r="323" spans="1:12" ht="9.1999999999999993" customHeight="1">
      <c r="A323" s="712">
        <v>14</v>
      </c>
      <c r="B323" s="713" t="s">
        <v>694</v>
      </c>
      <c r="C323" s="714">
        <f>VLOOKUP(C306,'Luong VP'!$B$10:$AP$189,20,0)</f>
        <v>0</v>
      </c>
      <c r="D323" s="717"/>
      <c r="E323" s="710">
        <v>4</v>
      </c>
      <c r="F323" s="718" t="s">
        <v>695</v>
      </c>
      <c r="G323" s="719"/>
      <c r="H323" s="719"/>
      <c r="I323" s="729"/>
      <c r="J323" s="714">
        <f>VLOOKUP(C306,'Luong VP'!$B$10:$AP$189,35,0)</f>
        <v>0</v>
      </c>
      <c r="K323" s="732"/>
      <c r="L323" s="715"/>
    </row>
    <row r="324" spans="1:12" ht="9.1999999999999993" customHeight="1">
      <c r="A324" s="712"/>
      <c r="B324" s="707" t="s">
        <v>656</v>
      </c>
      <c r="C324" s="714">
        <f>SUM(C310:C323)</f>
        <v>8540</v>
      </c>
      <c r="D324" s="717"/>
      <c r="E324" s="710"/>
      <c r="F324" s="716" t="s">
        <v>241</v>
      </c>
      <c r="G324" s="719"/>
      <c r="H324" s="719"/>
      <c r="I324" s="729"/>
      <c r="J324" s="730">
        <f>SUM(J311:J323)+C318</f>
        <v>8868.461538461539</v>
      </c>
      <c r="K324" s="731"/>
      <c r="L324" s="715"/>
    </row>
    <row r="325" spans="1:12" ht="9.1999999999999993" customHeight="1">
      <c r="B325" s="720"/>
      <c r="C325" s="717"/>
      <c r="D325" s="717"/>
      <c r="E325" s="710" t="s">
        <v>696</v>
      </c>
      <c r="F325" s="711" t="s">
        <v>697</v>
      </c>
      <c r="G325" s="710"/>
      <c r="H325" s="710"/>
      <c r="I325" s="729"/>
      <c r="J325" s="730">
        <f>SUM(J326:J328)</f>
        <v>3504</v>
      </c>
      <c r="K325" s="732"/>
      <c r="L325" s="715"/>
    </row>
    <row r="326" spans="1:12" ht="9.1999999999999993" customHeight="1">
      <c r="B326" s="720"/>
      <c r="C326" s="717"/>
      <c r="D326" s="717"/>
      <c r="E326" s="710">
        <v>1</v>
      </c>
      <c r="F326" s="718" t="s">
        <v>698</v>
      </c>
      <c r="G326" s="718"/>
      <c r="H326" s="718"/>
      <c r="I326" s="733"/>
      <c r="J326" s="714">
        <f>VLOOKUP(C306,'Luong VP'!$B$10:$AP$189,37,0)</f>
        <v>504</v>
      </c>
      <c r="K326" s="732"/>
      <c r="L326" s="715"/>
    </row>
    <row r="327" spans="1:12" ht="9.1999999999999993" customHeight="1">
      <c r="B327" s="720"/>
      <c r="C327" s="717"/>
      <c r="D327" s="717"/>
      <c r="E327" s="710">
        <v>2</v>
      </c>
      <c r="F327" s="718" t="s">
        <v>244</v>
      </c>
      <c r="G327" s="718"/>
      <c r="H327" s="718"/>
      <c r="I327" s="729"/>
      <c r="J327" s="714">
        <f>VLOOKUP(C306,'Luong VP'!$B$10:$AP$189,39,0)</f>
        <v>3000</v>
      </c>
      <c r="K327" s="734"/>
      <c r="L327" s="735"/>
    </row>
    <row r="328" spans="1:12" ht="9.1999999999999993" customHeight="1">
      <c r="B328" s="720"/>
      <c r="C328" s="717"/>
      <c r="D328" s="717"/>
      <c r="E328" s="710"/>
      <c r="F328" s="718" t="s">
        <v>699</v>
      </c>
      <c r="G328" s="718"/>
      <c r="H328" s="718"/>
      <c r="I328" s="729"/>
      <c r="J328" s="714"/>
      <c r="K328" s="714"/>
      <c r="L328" s="736"/>
    </row>
    <row r="329" spans="1:12" ht="9.1999999999999993" customHeight="1">
      <c r="B329" s="720"/>
      <c r="C329" s="717"/>
      <c r="D329" s="717"/>
      <c r="E329" s="710" t="s">
        <v>700</v>
      </c>
      <c r="F329" s="710" t="s">
        <v>246</v>
      </c>
      <c r="G329" s="710"/>
      <c r="H329" s="710"/>
      <c r="I329" s="729"/>
      <c r="J329" s="728">
        <f>J324-J325</f>
        <v>5364.461538461539</v>
      </c>
      <c r="K329" s="728">
        <f>ROUND(J329,-1)</f>
        <v>5360</v>
      </c>
      <c r="L329" s="710"/>
    </row>
    <row r="330" spans="1:12" ht="9.1999999999999993" customHeight="1">
      <c r="B330" s="720"/>
      <c r="C330" s="717"/>
      <c r="D330" s="717"/>
      <c r="E330" s="715"/>
      <c r="F330" s="715"/>
      <c r="G330" s="715"/>
      <c r="I330" s="715" t="s">
        <v>701</v>
      </c>
      <c r="J330" s="737"/>
      <c r="K330" s="737"/>
      <c r="L330" s="715"/>
    </row>
    <row r="331" spans="1:12" ht="9.1999999999999993" customHeight="1">
      <c r="B331" s="720"/>
      <c r="C331" s="717"/>
      <c r="D331" s="717"/>
      <c r="E331" s="715"/>
      <c r="F331" s="715"/>
      <c r="G331" s="715"/>
      <c r="I331" s="715"/>
      <c r="J331" s="737"/>
      <c r="K331" s="737"/>
      <c r="L331" s="715"/>
    </row>
    <row r="332" spans="1:12" ht="9.1999999999999993" customHeight="1">
      <c r="B332" s="720"/>
      <c r="C332" s="717"/>
      <c r="D332" s="717"/>
      <c r="E332" s="715"/>
      <c r="F332" s="715"/>
      <c r="G332" s="715"/>
      <c r="I332" s="715"/>
      <c r="J332" s="737"/>
      <c r="K332" s="737"/>
      <c r="L332" s="715"/>
    </row>
    <row r="333" spans="1:12" ht="9.1999999999999993" customHeight="1">
      <c r="B333" s="720"/>
      <c r="C333" s="717"/>
      <c r="D333" s="717"/>
      <c r="E333" s="715"/>
      <c r="F333" s="715"/>
      <c r="G333" s="715"/>
      <c r="I333" s="715"/>
      <c r="J333" s="737"/>
      <c r="K333" s="737"/>
      <c r="L333" s="715"/>
    </row>
    <row r="334" spans="1:12" ht="9.1999999999999993" customHeight="1">
      <c r="B334" s="720"/>
      <c r="C334" s="717"/>
      <c r="D334" s="717"/>
      <c r="E334" s="715"/>
      <c r="F334" s="715"/>
      <c r="G334" s="715"/>
      <c r="I334" s="715"/>
      <c r="J334" s="737"/>
      <c r="K334" s="737"/>
      <c r="L334" s="715"/>
    </row>
    <row r="336" spans="1:12" ht="9.1999999999999993" customHeight="1">
      <c r="C336" s="696"/>
      <c r="D336" s="696"/>
      <c r="E336" s="697" t="str">
        <f>$E$2</f>
        <v>THẺ LƯƠNG THÁNG 08/2019</v>
      </c>
      <c r="F336" s="698"/>
      <c r="G336" s="698"/>
      <c r="H336" s="698"/>
    </row>
    <row r="337" spans="1:12" ht="9.1999999999999993" customHeight="1">
      <c r="B337" s="699" t="s">
        <v>644</v>
      </c>
      <c r="C337" s="700" t="s">
        <v>283</v>
      </c>
      <c r="D337" s="701"/>
      <c r="F337" s="702" t="s">
        <v>645</v>
      </c>
      <c r="G337" s="689" t="str">
        <f>VLOOKUP(C337,'Luong VP'!$B$10:$AP$189,2,0)</f>
        <v>Lê Hà</v>
      </c>
    </row>
    <row r="338" spans="1:12" ht="9.1999999999999993" customHeight="1">
      <c r="B338" s="699" t="s">
        <v>646</v>
      </c>
      <c r="C338" s="689" t="str">
        <f>VLOOKUP(C337,'Luong VP'!$B$10:$AP$189,3,0)</f>
        <v>Tài xế</v>
      </c>
      <c r="F338" s="702" t="s">
        <v>647</v>
      </c>
      <c r="G338" s="689">
        <f>VLOOKUP(C337,'Luong VP'!$B$10:$AP$189,5,0)</f>
        <v>5</v>
      </c>
    </row>
    <row r="339" spans="1:12" ht="9.1999999999999993" customHeight="1">
      <c r="B339" s="703"/>
      <c r="C339" s="704"/>
      <c r="D339" s="705"/>
      <c r="F339" s="706" t="s">
        <v>648</v>
      </c>
      <c r="G339" s="706"/>
      <c r="H339" s="706"/>
      <c r="I339" s="725"/>
      <c r="J339" s="726"/>
    </row>
    <row r="340" spans="1:12" ht="9.1999999999999993" customHeight="1">
      <c r="A340" s="707" t="s">
        <v>216</v>
      </c>
      <c r="B340" s="707" t="s">
        <v>649</v>
      </c>
      <c r="C340" s="708" t="s">
        <v>650</v>
      </c>
      <c r="D340" s="709"/>
      <c r="E340" s="710" t="s">
        <v>216</v>
      </c>
      <c r="F340" s="711" t="s">
        <v>649</v>
      </c>
      <c r="G340" s="710"/>
      <c r="H340" s="710" t="s">
        <v>651</v>
      </c>
      <c r="I340" s="727" t="s">
        <v>652</v>
      </c>
      <c r="J340" s="714"/>
      <c r="L340" s="694" t="s">
        <v>653</v>
      </c>
    </row>
    <row r="341" spans="1:12" ht="9.1999999999999993" customHeight="1">
      <c r="A341" s="712">
        <v>1</v>
      </c>
      <c r="B341" s="713" t="s">
        <v>654</v>
      </c>
      <c r="C341" s="714">
        <f>VLOOKUP(C337,'Luong VP'!$B$10:$AP$189,9,0)</f>
        <v>6340</v>
      </c>
      <c r="D341" s="715"/>
      <c r="E341" s="710" t="s">
        <v>655</v>
      </c>
      <c r="F341" s="716" t="s">
        <v>656</v>
      </c>
      <c r="G341" s="710"/>
      <c r="H341" s="710"/>
      <c r="I341" s="727"/>
      <c r="J341" s="714">
        <f>VLOOKUP(C337,'Luong VP'!$B$10:$AP$189,21,0)</f>
        <v>9000</v>
      </c>
    </row>
    <row r="342" spans="1:12" ht="9.1999999999999993" customHeight="1">
      <c r="A342" s="712">
        <v>2</v>
      </c>
      <c r="B342" s="713" t="s">
        <v>658</v>
      </c>
      <c r="C342" s="714"/>
      <c r="D342" s="717"/>
      <c r="E342" s="710">
        <v>1</v>
      </c>
      <c r="F342" s="718" t="s">
        <v>659</v>
      </c>
      <c r="G342" s="718"/>
      <c r="H342" s="710" t="s">
        <v>660</v>
      </c>
      <c r="I342" s="727">
        <f>VLOOKUP(C337,'Luong VP'!$B$10:$AP$189,22,0)</f>
        <v>26</v>
      </c>
      <c r="J342" s="728">
        <f>J341/'Cham cong'!$AS$3*I342</f>
        <v>9000</v>
      </c>
    </row>
    <row r="343" spans="1:12" ht="9.1999999999999993" customHeight="1">
      <c r="A343" s="712">
        <v>3</v>
      </c>
      <c r="B343" s="713" t="s">
        <v>661</v>
      </c>
      <c r="C343" s="714">
        <f>VLOOKUP(C337,'Luong VP'!$B$10:$AP$189,10,0)</f>
        <v>0</v>
      </c>
      <c r="D343" s="717"/>
      <c r="E343" s="710">
        <v>2</v>
      </c>
      <c r="F343" s="718" t="s">
        <v>662</v>
      </c>
      <c r="G343" s="718"/>
      <c r="H343" s="710" t="s">
        <v>660</v>
      </c>
      <c r="I343" s="727">
        <f>VLOOKUP(C337,'Luong VP'!$B$10:$AP$189,27,0)</f>
        <v>0</v>
      </c>
      <c r="J343" s="728">
        <f>J341/'Cham cong'!$AS$3*I343*3</f>
        <v>0</v>
      </c>
    </row>
    <row r="344" spans="1:12" ht="9.1999999999999993" customHeight="1">
      <c r="A344" s="712">
        <v>4</v>
      </c>
      <c r="B344" s="713" t="s">
        <v>666</v>
      </c>
      <c r="C344" s="714">
        <f>VLOOKUP(C337,'Luong VP'!$B$10:$AP$189,11,0)</f>
        <v>0</v>
      </c>
      <c r="D344" s="717"/>
      <c r="E344" s="710">
        <v>3</v>
      </c>
      <c r="F344" s="718" t="s">
        <v>667</v>
      </c>
      <c r="G344" s="718"/>
      <c r="H344" s="710" t="s">
        <v>668</v>
      </c>
      <c r="I344" s="727">
        <f>VLOOKUP(C337,'Luong VP'!$B$10:$AP$189,26,0)</f>
        <v>0</v>
      </c>
      <c r="J344" s="728">
        <f>J341/'Cham cong'!$AS$3*I344/8*1.5</f>
        <v>0</v>
      </c>
    </row>
    <row r="345" spans="1:12" ht="9.1999999999999993" customHeight="1">
      <c r="A345" s="712">
        <v>5</v>
      </c>
      <c r="B345" s="713" t="s">
        <v>670</v>
      </c>
      <c r="C345" s="714">
        <f>VLOOKUP(C337,'Luong VP'!$B$10:$AP$189,12,0)</f>
        <v>0</v>
      </c>
      <c r="D345" s="717"/>
      <c r="E345" s="710">
        <v>4</v>
      </c>
      <c r="F345" s="718" t="s">
        <v>671</v>
      </c>
      <c r="G345" s="718"/>
      <c r="H345" s="710" t="s">
        <v>668</v>
      </c>
      <c r="I345" s="727">
        <f>VLOOKUP(C337,'Luong VP'!$B$10:$AP$189,25,0)</f>
        <v>0</v>
      </c>
      <c r="J345" s="728">
        <f>J341/'Cham cong'!$AS$3*I345/8*2</f>
        <v>0</v>
      </c>
    </row>
    <row r="346" spans="1:12" ht="9.1999999999999993" customHeight="1">
      <c r="A346" s="712">
        <v>6</v>
      </c>
      <c r="B346" s="713" t="s">
        <v>673</v>
      </c>
      <c r="C346" s="714">
        <f>VLOOKUP(C337,'Luong VP'!$B$10:$AP$189,13,0)</f>
        <v>0</v>
      </c>
      <c r="D346" s="717"/>
      <c r="E346" s="710">
        <v>5</v>
      </c>
      <c r="F346" s="718" t="s">
        <v>674</v>
      </c>
      <c r="G346" s="718"/>
      <c r="H346" s="710" t="s">
        <v>660</v>
      </c>
      <c r="I346" s="727">
        <f>VLOOKUP(C337,'Luong VP'!$B$10:$AP$189,23,0)</f>
        <v>0</v>
      </c>
      <c r="J346" s="728">
        <f>C341/'Cham cong'!$AS$3*I346</f>
        <v>0</v>
      </c>
      <c r="L346" s="694" t="str">
        <f>G337</f>
        <v>Lê Hà</v>
      </c>
    </row>
    <row r="347" spans="1:12" ht="9.1999999999999993" customHeight="1">
      <c r="A347" s="712">
        <v>7</v>
      </c>
      <c r="B347" s="713" t="s">
        <v>676</v>
      </c>
      <c r="C347" s="714"/>
      <c r="D347" s="717"/>
      <c r="E347" s="710">
        <v>6</v>
      </c>
      <c r="F347" s="718" t="s">
        <v>677</v>
      </c>
      <c r="G347" s="718"/>
      <c r="H347" s="710" t="s">
        <v>660</v>
      </c>
      <c r="I347" s="727">
        <f>VLOOKUP(C337,'Luong VP'!$B$10:$AP$189,24,0)</f>
        <v>1</v>
      </c>
      <c r="J347" s="714">
        <f>C341/'Cham cong'!$AS$3*I347</f>
        <v>243.84615384615384</v>
      </c>
    </row>
    <row r="348" spans="1:12" ht="9.1999999999999993" customHeight="1">
      <c r="A348" s="712">
        <v>8</v>
      </c>
      <c r="B348" s="713" t="s">
        <v>679</v>
      </c>
      <c r="C348" s="714">
        <f>VLOOKUP(C337,'Luong VP'!$B$10:$AP$189,14,0)</f>
        <v>0</v>
      </c>
      <c r="D348" s="717"/>
      <c r="E348" s="710">
        <v>7</v>
      </c>
      <c r="F348" s="718" t="s">
        <v>680</v>
      </c>
      <c r="G348" s="718"/>
      <c r="H348" s="718"/>
      <c r="I348" s="729"/>
      <c r="J348" s="714">
        <f>VLOOKUP(C337,'Luong VP'!$B$10:$AP$189,28,0)</f>
        <v>0</v>
      </c>
    </row>
    <row r="349" spans="1:12" ht="9.1999999999999993" customHeight="1">
      <c r="A349" s="712">
        <v>9</v>
      </c>
      <c r="B349" s="713" t="s">
        <v>683</v>
      </c>
      <c r="C349" s="714">
        <f>VLOOKUP(C337,'Luong VP'!$B$10:$AP$189,15,0)</f>
        <v>0</v>
      </c>
      <c r="D349" s="717"/>
      <c r="E349" s="710">
        <v>8</v>
      </c>
      <c r="F349" s="718" t="s">
        <v>238</v>
      </c>
      <c r="G349" s="718"/>
      <c r="H349" s="710"/>
      <c r="I349" s="729"/>
      <c r="J349" s="714">
        <f>VLOOKUP(C337,'Luong VP'!$B$10:$AP$189,33,0)</f>
        <v>0</v>
      </c>
    </row>
    <row r="350" spans="1:12" ht="9.1999999999999993" customHeight="1">
      <c r="A350" s="712">
        <v>10</v>
      </c>
      <c r="B350" s="713" t="s">
        <v>685</v>
      </c>
      <c r="C350" s="714">
        <f>VLOOKUP(C337,'Luong VP'!$B$10:$AP$189,16,0)</f>
        <v>0</v>
      </c>
      <c r="D350" s="717"/>
      <c r="E350" s="710" t="s">
        <v>686</v>
      </c>
      <c r="F350" s="716" t="s">
        <v>687</v>
      </c>
      <c r="G350" s="719"/>
      <c r="H350" s="719"/>
      <c r="I350" s="729"/>
      <c r="J350" s="730"/>
    </row>
    <row r="351" spans="1:12" ht="9.1999999999999993" customHeight="1">
      <c r="A351" s="712">
        <v>11</v>
      </c>
      <c r="B351" s="713" t="s">
        <v>688</v>
      </c>
      <c r="C351" s="714">
        <f>VLOOKUP(C337,'Luong VP'!$B$10:$AP$189,17,0)</f>
        <v>0</v>
      </c>
      <c r="D351" s="717"/>
      <c r="E351" s="710">
        <v>1</v>
      </c>
      <c r="F351" s="716" t="s">
        <v>689</v>
      </c>
      <c r="G351" s="719"/>
      <c r="H351" s="719"/>
      <c r="I351" s="714">
        <f>VLOOKUP(C337,'Luong VP'!$B$10:$AP$189,30,0)</f>
        <v>0</v>
      </c>
      <c r="J351" s="714">
        <f>VLOOKUP(C337,'Luong VP'!$B$10:$AP$189,30,0)</f>
        <v>0</v>
      </c>
    </row>
    <row r="352" spans="1:12" ht="9.1999999999999993" customHeight="1">
      <c r="A352" s="712">
        <v>12</v>
      </c>
      <c r="B352" s="713" t="s">
        <v>691</v>
      </c>
      <c r="C352" s="714">
        <f>VLOOKUP(C337,'Luong VP'!$B$10:$AP$189,18,0)</f>
        <v>0</v>
      </c>
      <c r="D352" s="717"/>
      <c r="E352" s="710">
        <v>2</v>
      </c>
      <c r="F352" s="718" t="s">
        <v>239</v>
      </c>
      <c r="G352" s="718"/>
      <c r="H352" s="718"/>
      <c r="I352" s="727"/>
      <c r="J352" s="728">
        <f>VLOOKUP(C337,'Luong VP'!$B$10:$AP$189,34,0)</f>
        <v>0</v>
      </c>
      <c r="K352" s="731"/>
      <c r="L352" s="715"/>
    </row>
    <row r="353" spans="1:12" ht="9.1999999999999993" customHeight="1">
      <c r="A353" s="712">
        <v>13</v>
      </c>
      <c r="B353" s="713" t="s">
        <v>692</v>
      </c>
      <c r="C353" s="714">
        <f>VLOOKUP(C337,'Luong VP'!$B$10:$AP$189,19,0)</f>
        <v>0</v>
      </c>
      <c r="D353" s="717"/>
      <c r="E353" s="710">
        <v>3</v>
      </c>
      <c r="F353" s="716" t="s">
        <v>693</v>
      </c>
      <c r="G353" s="719"/>
      <c r="H353" s="719"/>
      <c r="I353" s="729"/>
      <c r="J353" s="714">
        <f>VLOOKUP(C337,'Luong VP'!$B$10:$AP$189,40,0)</f>
        <v>0</v>
      </c>
      <c r="K353" s="731"/>
      <c r="L353" s="715"/>
    </row>
    <row r="354" spans="1:12" ht="9.1999999999999993" customHeight="1">
      <c r="A354" s="712">
        <v>14</v>
      </c>
      <c r="B354" s="713" t="s">
        <v>694</v>
      </c>
      <c r="C354" s="714">
        <f>VLOOKUP(C337,'Luong VP'!$B$10:$AP$189,20,0)</f>
        <v>2660</v>
      </c>
      <c r="D354" s="717"/>
      <c r="E354" s="710">
        <v>4</v>
      </c>
      <c r="F354" s="718" t="s">
        <v>695</v>
      </c>
      <c r="G354" s="719"/>
      <c r="H354" s="719"/>
      <c r="I354" s="729"/>
      <c r="J354" s="714">
        <f>VLOOKUP(C337,'Luong VP'!$B$10:$AP$189,35,0)</f>
        <v>0</v>
      </c>
      <c r="K354" s="732"/>
      <c r="L354" s="715"/>
    </row>
    <row r="355" spans="1:12" ht="9.1999999999999993" customHeight="1">
      <c r="A355" s="712"/>
      <c r="B355" s="707" t="s">
        <v>656</v>
      </c>
      <c r="C355" s="714">
        <f>SUM(C341:C354)</f>
        <v>9000</v>
      </c>
      <c r="D355" s="717"/>
      <c r="E355" s="710"/>
      <c r="F355" s="716" t="s">
        <v>241</v>
      </c>
      <c r="G355" s="719"/>
      <c r="H355" s="719"/>
      <c r="I355" s="729"/>
      <c r="J355" s="730">
        <f>SUM(J342:J354)+C349</f>
        <v>9243.8461538461543</v>
      </c>
      <c r="K355" s="731"/>
      <c r="L355" s="715"/>
    </row>
    <row r="356" spans="1:12" ht="9.1999999999999993" customHeight="1">
      <c r="B356" s="720"/>
      <c r="C356" s="717"/>
      <c r="D356" s="717"/>
      <c r="E356" s="710" t="s">
        <v>696</v>
      </c>
      <c r="F356" s="711" t="s">
        <v>697</v>
      </c>
      <c r="G356" s="710"/>
      <c r="H356" s="710"/>
      <c r="I356" s="729"/>
      <c r="J356" s="730">
        <f>SUM(J357:J359)</f>
        <v>504</v>
      </c>
      <c r="K356" s="732"/>
      <c r="L356" s="715"/>
    </row>
    <row r="357" spans="1:12" ht="9.1999999999999993" customHeight="1">
      <c r="B357" s="720"/>
      <c r="C357" s="717"/>
      <c r="D357" s="717"/>
      <c r="E357" s="710">
        <v>1</v>
      </c>
      <c r="F357" s="718" t="s">
        <v>698</v>
      </c>
      <c r="G357" s="718"/>
      <c r="H357" s="718"/>
      <c r="I357" s="733"/>
      <c r="J357" s="714">
        <f>VLOOKUP(C337,'Luong VP'!$B$10:$AP$189,37,0)</f>
        <v>504</v>
      </c>
      <c r="K357" s="732"/>
      <c r="L357" s="715"/>
    </row>
    <row r="358" spans="1:12" ht="9.1999999999999993" customHeight="1">
      <c r="B358" s="720"/>
      <c r="C358" s="717"/>
      <c r="D358" s="717"/>
      <c r="E358" s="710">
        <v>2</v>
      </c>
      <c r="F358" s="718" t="s">
        <v>244</v>
      </c>
      <c r="G358" s="718"/>
      <c r="H358" s="718"/>
      <c r="I358" s="729"/>
      <c r="J358" s="714">
        <f>VLOOKUP(C337,'Luong VP'!$B$10:$AP$189,39,0)</f>
        <v>0</v>
      </c>
      <c r="K358" s="734"/>
      <c r="L358" s="735"/>
    </row>
    <row r="359" spans="1:12" ht="9.1999999999999993" customHeight="1">
      <c r="B359" s="720"/>
      <c r="C359" s="717"/>
      <c r="D359" s="717"/>
      <c r="E359" s="710"/>
      <c r="F359" s="718" t="s">
        <v>699</v>
      </c>
      <c r="G359" s="718"/>
      <c r="H359" s="718"/>
      <c r="I359" s="729"/>
      <c r="J359" s="714"/>
      <c r="K359" s="714"/>
      <c r="L359" s="736"/>
    </row>
    <row r="360" spans="1:12" ht="9.1999999999999993" customHeight="1">
      <c r="B360" s="720"/>
      <c r="C360" s="717"/>
      <c r="D360" s="717"/>
      <c r="E360" s="710" t="s">
        <v>700</v>
      </c>
      <c r="F360" s="710" t="s">
        <v>246</v>
      </c>
      <c r="G360" s="710"/>
      <c r="H360" s="710"/>
      <c r="I360" s="729"/>
      <c r="J360" s="728">
        <f>J355-J356</f>
        <v>8739.8461538461543</v>
      </c>
      <c r="K360" s="728">
        <f>ROUND(J360,-1)</f>
        <v>8740</v>
      </c>
      <c r="L360" s="710"/>
    </row>
    <row r="361" spans="1:12" ht="9.1999999999999993" customHeight="1">
      <c r="B361" s="720"/>
      <c r="C361" s="717"/>
      <c r="D361" s="717"/>
      <c r="E361" s="715"/>
      <c r="F361" s="715"/>
      <c r="G361" s="715"/>
      <c r="I361" s="715" t="s">
        <v>701</v>
      </c>
      <c r="J361" s="737"/>
      <c r="K361" s="737"/>
      <c r="L361" s="715"/>
    </row>
    <row r="362" spans="1:12" ht="9.1999999999999993" customHeight="1">
      <c r="B362" s="720"/>
      <c r="C362" s="717"/>
      <c r="D362" s="717"/>
      <c r="E362" s="715"/>
      <c r="F362" s="715"/>
      <c r="G362" s="715"/>
      <c r="I362" s="715"/>
      <c r="J362" s="737"/>
      <c r="K362" s="737"/>
      <c r="L362" s="715"/>
    </row>
    <row r="363" spans="1:12" ht="9.1999999999999993" customHeight="1">
      <c r="B363" s="720"/>
      <c r="C363" s="717"/>
      <c r="D363" s="717"/>
      <c r="E363" s="715"/>
      <c r="F363" s="715"/>
      <c r="G363" s="715"/>
      <c r="I363" s="715"/>
      <c r="J363" s="737"/>
      <c r="K363" s="737"/>
      <c r="L363" s="715"/>
    </row>
    <row r="364" spans="1:12" ht="9.1999999999999993" customHeight="1">
      <c r="B364" s="720"/>
      <c r="C364" s="717"/>
      <c r="D364" s="717"/>
      <c r="E364" s="715"/>
      <c r="F364" s="715"/>
      <c r="G364" s="715"/>
      <c r="I364" s="715"/>
      <c r="J364" s="737"/>
      <c r="K364" s="737"/>
      <c r="L364" s="715"/>
    </row>
    <row r="365" spans="1:12" ht="9.1999999999999993" customHeight="1">
      <c r="B365" s="720"/>
      <c r="C365" s="717"/>
      <c r="D365" s="717"/>
      <c r="E365" s="715"/>
      <c r="F365" s="715"/>
      <c r="G365" s="715"/>
      <c r="I365" s="715"/>
      <c r="J365" s="737"/>
      <c r="K365" s="737"/>
      <c r="L365" s="715"/>
    </row>
    <row r="366" spans="1:12" ht="9.1999999999999993" customHeight="1">
      <c r="B366" s="720"/>
      <c r="C366" s="717"/>
      <c r="D366" s="717"/>
      <c r="E366" s="715"/>
      <c r="F366" s="715"/>
      <c r="G366" s="715"/>
      <c r="I366" s="715"/>
      <c r="J366" s="737"/>
      <c r="K366" s="737"/>
      <c r="L366" s="715"/>
    </row>
    <row r="367" spans="1:12" ht="9.1999999999999993" customHeight="1">
      <c r="B367" s="720"/>
      <c r="C367" s="717"/>
      <c r="D367" s="717"/>
      <c r="E367" s="715"/>
      <c r="F367" s="715"/>
      <c r="G367" s="715"/>
      <c r="I367" s="715"/>
      <c r="J367" s="737"/>
      <c r="K367" s="737"/>
      <c r="L367" s="715"/>
    </row>
    <row r="368" spans="1:12" ht="9.1999999999999993" customHeight="1">
      <c r="C368" s="696"/>
      <c r="D368" s="696"/>
      <c r="E368" s="697" t="str">
        <f>$E$2</f>
        <v>THẺ LƯƠNG THÁNG 08/2019</v>
      </c>
      <c r="F368" s="698"/>
      <c r="G368" s="698"/>
      <c r="H368" s="698"/>
    </row>
    <row r="369" spans="1:12" ht="9.1999999999999993" customHeight="1">
      <c r="B369" s="699" t="s">
        <v>644</v>
      </c>
      <c r="C369" s="700" t="s">
        <v>287</v>
      </c>
      <c r="D369" s="701"/>
      <c r="F369" s="702" t="s">
        <v>645</v>
      </c>
      <c r="G369" s="689" t="str">
        <f>VLOOKUP(C369,'Luong VP'!$B$10:$AP$189,2,0)</f>
        <v>Nguyễn Trung Kiên</v>
      </c>
    </row>
    <row r="370" spans="1:12" ht="9.1999999999999993" customHeight="1">
      <c r="B370" s="699" t="s">
        <v>646</v>
      </c>
      <c r="C370" s="689" t="str">
        <f>VLOOKUP(C369,'Luong VP'!$B$10:$AP$189,3,0)</f>
        <v>Tài xế</v>
      </c>
      <c r="F370" s="702" t="s">
        <v>647</v>
      </c>
      <c r="G370" s="689">
        <f>VLOOKUP(C369,'Luong VP'!$B$10:$AP$189,5,0)</f>
        <v>5</v>
      </c>
    </row>
    <row r="371" spans="1:12" ht="9.1999999999999993" customHeight="1">
      <c r="B371" s="703"/>
      <c r="C371" s="704"/>
      <c r="D371" s="705"/>
      <c r="F371" s="706" t="s">
        <v>648</v>
      </c>
      <c r="G371" s="706"/>
      <c r="H371" s="706"/>
      <c r="I371" s="725"/>
      <c r="J371" s="726"/>
    </row>
    <row r="372" spans="1:12" ht="9.1999999999999993" customHeight="1">
      <c r="A372" s="707" t="s">
        <v>216</v>
      </c>
      <c r="B372" s="707" t="s">
        <v>649</v>
      </c>
      <c r="C372" s="708" t="s">
        <v>650</v>
      </c>
      <c r="D372" s="709"/>
      <c r="E372" s="710" t="s">
        <v>216</v>
      </c>
      <c r="F372" s="711" t="s">
        <v>649</v>
      </c>
      <c r="G372" s="710"/>
      <c r="H372" s="710" t="s">
        <v>651</v>
      </c>
      <c r="I372" s="727" t="s">
        <v>652</v>
      </c>
      <c r="J372" s="714"/>
      <c r="L372" s="694" t="s">
        <v>653</v>
      </c>
    </row>
    <row r="373" spans="1:12" ht="9.1999999999999993" customHeight="1">
      <c r="A373" s="712">
        <v>1</v>
      </c>
      <c r="B373" s="713" t="s">
        <v>654</v>
      </c>
      <c r="C373" s="714">
        <f>VLOOKUP(C369,'Luong VP'!$B$10:$AP$189,9,0)</f>
        <v>6340</v>
      </c>
      <c r="D373" s="715"/>
      <c r="E373" s="710" t="s">
        <v>655</v>
      </c>
      <c r="F373" s="716" t="s">
        <v>656</v>
      </c>
      <c r="G373" s="710"/>
      <c r="H373" s="710"/>
      <c r="I373" s="727"/>
      <c r="J373" s="714">
        <f>VLOOKUP(C369,'Luong VP'!$B$10:$AP$189,21,0)</f>
        <v>9000</v>
      </c>
    </row>
    <row r="374" spans="1:12" ht="9.1999999999999993" customHeight="1">
      <c r="A374" s="712">
        <v>2</v>
      </c>
      <c r="B374" s="713" t="s">
        <v>658</v>
      </c>
      <c r="C374" s="714"/>
      <c r="D374" s="717"/>
      <c r="E374" s="710">
        <v>1</v>
      </c>
      <c r="F374" s="718" t="s">
        <v>659</v>
      </c>
      <c r="G374" s="718"/>
      <c r="H374" s="710" t="s">
        <v>660</v>
      </c>
      <c r="I374" s="727">
        <f>VLOOKUP(C369,'Luong VP'!$B$10:$AP$189,22,0)</f>
        <v>26</v>
      </c>
      <c r="J374" s="728">
        <f>J373/'Cham cong'!$AS$3*I374</f>
        <v>9000</v>
      </c>
    </row>
    <row r="375" spans="1:12" ht="9.1999999999999993" customHeight="1">
      <c r="A375" s="712">
        <v>3</v>
      </c>
      <c r="B375" s="713" t="s">
        <v>661</v>
      </c>
      <c r="C375" s="714">
        <f>VLOOKUP(C369,'Luong VP'!$B$10:$AP$189,10,0)</f>
        <v>0</v>
      </c>
      <c r="D375" s="717"/>
      <c r="E375" s="710">
        <v>2</v>
      </c>
      <c r="F375" s="718" t="s">
        <v>662</v>
      </c>
      <c r="G375" s="718"/>
      <c r="H375" s="710" t="s">
        <v>660</v>
      </c>
      <c r="I375" s="727">
        <f>VLOOKUP(C369,'Luong VP'!$B$10:$AP$189,27,0)</f>
        <v>0</v>
      </c>
      <c r="J375" s="728">
        <f>J373/'Cham cong'!$AS$3*I375*3</f>
        <v>0</v>
      </c>
    </row>
    <row r="376" spans="1:12" ht="9.1999999999999993" customHeight="1">
      <c r="A376" s="712">
        <v>4</v>
      </c>
      <c r="B376" s="713" t="s">
        <v>666</v>
      </c>
      <c r="C376" s="714">
        <f>VLOOKUP(C369,'Luong VP'!$B$10:$AP$189,11,0)</f>
        <v>0</v>
      </c>
      <c r="D376" s="717"/>
      <c r="E376" s="710">
        <v>3</v>
      </c>
      <c r="F376" s="718" t="s">
        <v>667</v>
      </c>
      <c r="G376" s="718"/>
      <c r="H376" s="710" t="s">
        <v>668</v>
      </c>
      <c r="I376" s="727">
        <f>VLOOKUP(C369,'Luong VP'!$B$10:$AP$189,26,0)</f>
        <v>0</v>
      </c>
      <c r="J376" s="728">
        <f>J373/'Cham cong'!$AS$3*I376/8*1.5</f>
        <v>0</v>
      </c>
    </row>
    <row r="377" spans="1:12" ht="9.1999999999999993" customHeight="1">
      <c r="A377" s="712">
        <v>5</v>
      </c>
      <c r="B377" s="713" t="s">
        <v>670</v>
      </c>
      <c r="C377" s="714">
        <f>VLOOKUP(C369,'Luong VP'!$B$10:$AP$189,12,0)</f>
        <v>0</v>
      </c>
      <c r="D377" s="717"/>
      <c r="E377" s="710">
        <v>4</v>
      </c>
      <c r="F377" s="718" t="s">
        <v>671</v>
      </c>
      <c r="G377" s="718"/>
      <c r="H377" s="710" t="s">
        <v>668</v>
      </c>
      <c r="I377" s="727">
        <f>VLOOKUP(C369,'Luong VP'!$B$10:$AP$189,25,0)</f>
        <v>0</v>
      </c>
      <c r="J377" s="728">
        <f>J373/'Cham cong'!$AS$3*I377/8*2</f>
        <v>0</v>
      </c>
    </row>
    <row r="378" spans="1:12" ht="9.1999999999999993" customHeight="1">
      <c r="A378" s="712">
        <v>6</v>
      </c>
      <c r="B378" s="713" t="s">
        <v>673</v>
      </c>
      <c r="C378" s="714">
        <f>VLOOKUP(C369,'Luong VP'!$B$10:$AP$189,13,0)</f>
        <v>0</v>
      </c>
      <c r="D378" s="717"/>
      <c r="E378" s="710">
        <v>5</v>
      </c>
      <c r="F378" s="718" t="s">
        <v>674</v>
      </c>
      <c r="G378" s="718"/>
      <c r="H378" s="710" t="s">
        <v>660</v>
      </c>
      <c r="I378" s="727">
        <f>VLOOKUP(C369,'Luong VP'!$B$10:$AP$189,23,0)</f>
        <v>0</v>
      </c>
      <c r="J378" s="728">
        <f>C373/'Cham cong'!$AS$3*I378</f>
        <v>0</v>
      </c>
      <c r="L378" s="694" t="str">
        <f>G369</f>
        <v>Nguyễn Trung Kiên</v>
      </c>
    </row>
    <row r="379" spans="1:12" ht="9.1999999999999993" customHeight="1">
      <c r="A379" s="712">
        <v>7</v>
      </c>
      <c r="B379" s="713" t="s">
        <v>676</v>
      </c>
      <c r="C379" s="714"/>
      <c r="D379" s="717"/>
      <c r="E379" s="710">
        <v>6</v>
      </c>
      <c r="F379" s="718" t="s">
        <v>677</v>
      </c>
      <c r="G379" s="718"/>
      <c r="H379" s="710" t="s">
        <v>660</v>
      </c>
      <c r="I379" s="727">
        <f>VLOOKUP(C369,'Luong VP'!$B$10:$AP$189,24,0)</f>
        <v>0</v>
      </c>
      <c r="J379" s="714">
        <f>C373/'Cham cong'!$AS$3*I379</f>
        <v>0</v>
      </c>
    </row>
    <row r="380" spans="1:12" ht="9.1999999999999993" customHeight="1">
      <c r="A380" s="712">
        <v>8</v>
      </c>
      <c r="B380" s="713" t="s">
        <v>679</v>
      </c>
      <c r="C380" s="714">
        <f>VLOOKUP(C369,'Luong VP'!$B$10:$AP$189,14,0)</f>
        <v>0</v>
      </c>
      <c r="D380" s="717"/>
      <c r="E380" s="710">
        <v>7</v>
      </c>
      <c r="F380" s="718" t="s">
        <v>680</v>
      </c>
      <c r="G380" s="718"/>
      <c r="H380" s="718"/>
      <c r="I380" s="729"/>
      <c r="J380" s="714">
        <f>VLOOKUP(C369,'Luong VP'!$B$10:$AP$189,28,0)</f>
        <v>0</v>
      </c>
    </row>
    <row r="381" spans="1:12" ht="9.1999999999999993" customHeight="1">
      <c r="A381" s="712">
        <v>9</v>
      </c>
      <c r="B381" s="713" t="s">
        <v>683</v>
      </c>
      <c r="C381" s="714">
        <f>VLOOKUP(C369,'Luong VP'!$B$10:$AP$189,15,0)</f>
        <v>0</v>
      </c>
      <c r="D381" s="717"/>
      <c r="E381" s="710">
        <v>8</v>
      </c>
      <c r="F381" s="718" t="s">
        <v>238</v>
      </c>
      <c r="G381" s="718"/>
      <c r="H381" s="828"/>
      <c r="I381" s="729"/>
      <c r="J381" s="714">
        <f>VLOOKUP(C369,'Luong VP'!$B$10:$AP$189,33,0)</f>
        <v>0</v>
      </c>
    </row>
    <row r="382" spans="1:12" ht="9.1999999999999993" customHeight="1">
      <c r="A382" s="712">
        <v>10</v>
      </c>
      <c r="B382" s="713" t="s">
        <v>685</v>
      </c>
      <c r="C382" s="714">
        <f>VLOOKUP(C369,'Luong VP'!$B$10:$AP$189,16,0)</f>
        <v>0</v>
      </c>
      <c r="D382" s="717"/>
      <c r="E382" s="710" t="s">
        <v>686</v>
      </c>
      <c r="F382" s="716" t="s">
        <v>687</v>
      </c>
      <c r="G382" s="719"/>
      <c r="H382" s="719"/>
      <c r="I382" s="729"/>
      <c r="J382" s="730"/>
    </row>
    <row r="383" spans="1:12" ht="9.1999999999999993" customHeight="1">
      <c r="A383" s="712">
        <v>11</v>
      </c>
      <c r="B383" s="713" t="s">
        <v>688</v>
      </c>
      <c r="C383" s="714">
        <f>VLOOKUP(C369,'Luong VP'!$B$10:$AP$189,17,0)</f>
        <v>0</v>
      </c>
      <c r="D383" s="717"/>
      <c r="E383" s="710">
        <v>1</v>
      </c>
      <c r="F383" s="716" t="s">
        <v>689</v>
      </c>
      <c r="G383" s="719"/>
      <c r="H383" s="719"/>
      <c r="I383" s="714">
        <f>VLOOKUP(C369,'Luong VP'!$B$10:$AP$189,30,0)</f>
        <v>0</v>
      </c>
      <c r="J383" s="714">
        <f>VLOOKUP(C369,'Luong VP'!$B$10:$AP$189,30,0)</f>
        <v>0</v>
      </c>
    </row>
    <row r="384" spans="1:12" ht="9.1999999999999993" customHeight="1">
      <c r="A384" s="712">
        <v>12</v>
      </c>
      <c r="B384" s="713" t="s">
        <v>691</v>
      </c>
      <c r="C384" s="714">
        <f>VLOOKUP(C369,'Luong VP'!$B$10:$AP$189,18,0)</f>
        <v>0</v>
      </c>
      <c r="D384" s="717"/>
      <c r="E384" s="710">
        <v>2</v>
      </c>
      <c r="F384" s="718" t="s">
        <v>239</v>
      </c>
      <c r="G384" s="718"/>
      <c r="H384" s="718"/>
      <c r="I384" s="727"/>
      <c r="J384" s="728">
        <f>VLOOKUP(C369,'Luong VP'!$B$10:$AP$189,34,0)</f>
        <v>0</v>
      </c>
      <c r="K384" s="731"/>
      <c r="L384" s="715"/>
    </row>
    <row r="385" spans="1:12" ht="9.1999999999999993" customHeight="1">
      <c r="A385" s="712">
        <v>13</v>
      </c>
      <c r="B385" s="713" t="s">
        <v>692</v>
      </c>
      <c r="C385" s="714">
        <f>VLOOKUP(C369,'Luong VP'!$B$10:$AP$189,19,0)</f>
        <v>0</v>
      </c>
      <c r="D385" s="717"/>
      <c r="E385" s="710">
        <v>3</v>
      </c>
      <c r="F385" s="716" t="s">
        <v>693</v>
      </c>
      <c r="G385" s="719"/>
      <c r="H385" s="719"/>
      <c r="I385" s="729"/>
      <c r="J385" s="714">
        <f>VLOOKUP(C369,'Luong VP'!$B$10:$AP$189,40,0)</f>
        <v>0</v>
      </c>
      <c r="K385" s="731"/>
      <c r="L385" s="715"/>
    </row>
    <row r="386" spans="1:12" ht="9.1999999999999993" customHeight="1">
      <c r="A386" s="712">
        <v>14</v>
      </c>
      <c r="B386" s="713" t="s">
        <v>694</v>
      </c>
      <c r="C386" s="714">
        <f>VLOOKUP(C369,'Luong VP'!$B$10:$AP$189,20,0)</f>
        <v>2660</v>
      </c>
      <c r="D386" s="717"/>
      <c r="E386" s="710">
        <v>4</v>
      </c>
      <c r="F386" s="718" t="s">
        <v>695</v>
      </c>
      <c r="G386" s="719"/>
      <c r="H386" s="719"/>
      <c r="I386" s="729"/>
      <c r="J386" s="714">
        <f>VLOOKUP(C369,'Luong VP'!$B$10:$AP$189,35,0)</f>
        <v>1000</v>
      </c>
      <c r="K386" s="732"/>
      <c r="L386" s="715"/>
    </row>
    <row r="387" spans="1:12" ht="9.1999999999999993" customHeight="1">
      <c r="A387" s="712"/>
      <c r="B387" s="707" t="s">
        <v>656</v>
      </c>
      <c r="C387" s="714">
        <f>SUM(C373:C386)</f>
        <v>9000</v>
      </c>
      <c r="D387" s="717"/>
      <c r="E387" s="710"/>
      <c r="F387" s="716" t="s">
        <v>241</v>
      </c>
      <c r="G387" s="719"/>
      <c r="H387" s="719"/>
      <c r="I387" s="729"/>
      <c r="J387" s="730">
        <f>SUM(J374:J386)+C381</f>
        <v>10000</v>
      </c>
      <c r="K387" s="731"/>
      <c r="L387" s="715"/>
    </row>
    <row r="388" spans="1:12" ht="9.1999999999999993" customHeight="1">
      <c r="B388" s="720"/>
      <c r="C388" s="717"/>
      <c r="D388" s="717"/>
      <c r="E388" s="710" t="s">
        <v>696</v>
      </c>
      <c r="F388" s="711" t="s">
        <v>697</v>
      </c>
      <c r="G388" s="710"/>
      <c r="H388" s="710"/>
      <c r="I388" s="729"/>
      <c r="J388" s="730">
        <f>SUM(J389:J391)</f>
        <v>0</v>
      </c>
      <c r="K388" s="732"/>
      <c r="L388" s="715"/>
    </row>
    <row r="389" spans="1:12" ht="9.1999999999999993" customHeight="1">
      <c r="B389" s="720"/>
      <c r="C389" s="717"/>
      <c r="D389" s="717"/>
      <c r="E389" s="710">
        <v>1</v>
      </c>
      <c r="F389" s="718" t="s">
        <v>698</v>
      </c>
      <c r="G389" s="718"/>
      <c r="H389" s="718"/>
      <c r="I389" s="733"/>
      <c r="J389" s="714">
        <f>VLOOKUP(C369,'Luong VP'!$B$10:$AP$189,37,0)</f>
        <v>0</v>
      </c>
      <c r="K389" s="732"/>
      <c r="L389" s="715"/>
    </row>
    <row r="390" spans="1:12" ht="9.1999999999999993" customHeight="1">
      <c r="B390" s="720"/>
      <c r="C390" s="717"/>
      <c r="D390" s="717"/>
      <c r="E390" s="710">
        <v>2</v>
      </c>
      <c r="F390" s="718" t="s">
        <v>244</v>
      </c>
      <c r="G390" s="718"/>
      <c r="H390" s="718"/>
      <c r="I390" s="729"/>
      <c r="J390" s="714">
        <f>VLOOKUP(C369,'Luong VP'!$B$10:$AP$189,39,0)</f>
        <v>0</v>
      </c>
      <c r="K390" s="734"/>
      <c r="L390" s="735"/>
    </row>
    <row r="391" spans="1:12" ht="9.1999999999999993" customHeight="1">
      <c r="B391" s="720"/>
      <c r="C391" s="717"/>
      <c r="D391" s="717"/>
      <c r="E391" s="710"/>
      <c r="F391" s="718" t="s">
        <v>699</v>
      </c>
      <c r="G391" s="718"/>
      <c r="H391" s="718"/>
      <c r="I391" s="729"/>
      <c r="J391" s="714"/>
      <c r="K391" s="714"/>
      <c r="L391" s="736"/>
    </row>
    <row r="392" spans="1:12" ht="9.1999999999999993" customHeight="1">
      <c r="B392" s="720"/>
      <c r="C392" s="717"/>
      <c r="D392" s="717"/>
      <c r="E392" s="710" t="s">
        <v>700</v>
      </c>
      <c r="F392" s="710" t="s">
        <v>246</v>
      </c>
      <c r="G392" s="710"/>
      <c r="H392" s="710"/>
      <c r="I392" s="729"/>
      <c r="J392" s="728">
        <f>J387-J388</f>
        <v>10000</v>
      </c>
      <c r="K392" s="728">
        <f>ROUND(J392,-1)</f>
        <v>10000</v>
      </c>
      <c r="L392" s="710"/>
    </row>
    <row r="393" spans="1:12" ht="9.1999999999999993" customHeight="1">
      <c r="B393" s="720"/>
      <c r="C393" s="717"/>
      <c r="D393" s="717"/>
      <c r="E393" s="715"/>
      <c r="F393" s="715"/>
      <c r="G393" s="715"/>
      <c r="I393" s="715" t="s">
        <v>701</v>
      </c>
      <c r="J393" s="737"/>
      <c r="K393" s="737"/>
      <c r="L393" s="715"/>
    </row>
    <row r="394" spans="1:12" ht="9.1999999999999993" customHeight="1">
      <c r="B394" s="720"/>
      <c r="C394" s="717"/>
      <c r="D394" s="717"/>
      <c r="E394" s="715"/>
      <c r="F394" s="715"/>
      <c r="G394" s="715"/>
      <c r="I394" s="715"/>
      <c r="J394" s="737"/>
      <c r="K394" s="737"/>
      <c r="L394" s="715"/>
    </row>
    <row r="395" spans="1:12" ht="9.1999999999999993" customHeight="1">
      <c r="B395" s="720"/>
      <c r="C395" s="717"/>
      <c r="D395" s="717"/>
      <c r="E395" s="715"/>
      <c r="F395" s="715"/>
      <c r="G395" s="715"/>
      <c r="I395" s="1598"/>
      <c r="J395" s="1598"/>
      <c r="K395" s="737"/>
      <c r="L395" s="715"/>
    </row>
    <row r="396" spans="1:12" ht="9.1999999999999993" customHeight="1">
      <c r="B396" s="720"/>
      <c r="C396" s="717"/>
      <c r="D396" s="717"/>
      <c r="E396" s="715"/>
      <c r="F396" s="715"/>
      <c r="G396" s="715"/>
      <c r="I396" s="715"/>
      <c r="J396" s="737"/>
      <c r="K396" s="737"/>
      <c r="L396" s="715"/>
    </row>
    <row r="397" spans="1:12" ht="9.1999999999999993" customHeight="1">
      <c r="B397" s="720"/>
      <c r="C397" s="717"/>
      <c r="D397" s="717"/>
      <c r="E397" s="715"/>
      <c r="F397" s="715"/>
      <c r="G397" s="715"/>
      <c r="I397" s="715"/>
      <c r="J397" s="737"/>
      <c r="K397" s="737"/>
      <c r="L397" s="715"/>
    </row>
    <row r="398" spans="1:12" ht="9.1999999999999993" customHeight="1">
      <c r="B398" s="720"/>
      <c r="C398" s="717"/>
      <c r="D398" s="717"/>
      <c r="E398" s="715"/>
      <c r="F398" s="715"/>
      <c r="G398" s="715"/>
      <c r="I398" s="715"/>
      <c r="J398" s="737"/>
      <c r="K398" s="737"/>
      <c r="L398" s="715"/>
    </row>
    <row r="399" spans="1:12" ht="9.1999999999999993" customHeight="1">
      <c r="B399" s="720"/>
      <c r="C399" s="717"/>
      <c r="D399" s="717"/>
      <c r="E399" s="715"/>
      <c r="F399" s="715"/>
      <c r="G399" s="715"/>
      <c r="I399" s="715"/>
      <c r="J399" s="737"/>
      <c r="K399" s="737"/>
      <c r="L399" s="715"/>
    </row>
    <row r="400" spans="1:12" ht="9.1999999999999993" customHeight="1">
      <c r="C400" s="696"/>
      <c r="D400" s="696"/>
      <c r="E400" s="697" t="str">
        <f>$E$2</f>
        <v>THẺ LƯƠNG THÁNG 08/2019</v>
      </c>
      <c r="F400" s="698"/>
      <c r="G400" s="698"/>
      <c r="H400" s="698"/>
    </row>
    <row r="401" spans="1:12" ht="9.1999999999999993" customHeight="1">
      <c r="B401" s="699" t="s">
        <v>644</v>
      </c>
      <c r="C401" s="700" t="s">
        <v>294</v>
      </c>
      <c r="D401" s="701"/>
      <c r="F401" s="702" t="s">
        <v>645</v>
      </c>
      <c r="G401" s="689" t="str">
        <f>VLOOKUP(C401,'Luong VP'!$B$10:$AP$189,2,0)</f>
        <v xml:space="preserve"> Nguyễn Trinh Nguyên </v>
      </c>
    </row>
    <row r="402" spans="1:12" ht="9.1999999999999993" customHeight="1">
      <c r="B402" s="699" t="s">
        <v>646</v>
      </c>
      <c r="C402" s="689" t="str">
        <f>VLOOKUP(C401,'Luong VP'!$B$10:$AP$189,3,0)</f>
        <v>Chuyên viên pháp chế</v>
      </c>
      <c r="F402" s="702" t="s">
        <v>647</v>
      </c>
      <c r="G402" s="689">
        <f>VLOOKUP(C401,'Luong VP'!$B$10:$AP$189,5,0)</f>
        <v>1</v>
      </c>
    </row>
    <row r="403" spans="1:12" ht="9.1999999999999993" customHeight="1">
      <c r="B403" s="703"/>
      <c r="C403" s="704"/>
      <c r="D403" s="705"/>
      <c r="F403" s="706" t="s">
        <v>648</v>
      </c>
      <c r="G403" s="706"/>
      <c r="H403" s="706"/>
      <c r="I403" s="725"/>
      <c r="J403" s="726"/>
    </row>
    <row r="404" spans="1:12" ht="9.1999999999999993" customHeight="1">
      <c r="A404" s="707" t="s">
        <v>216</v>
      </c>
      <c r="B404" s="707" t="s">
        <v>649</v>
      </c>
      <c r="C404" s="708" t="s">
        <v>650</v>
      </c>
      <c r="D404" s="709"/>
      <c r="E404" s="710" t="s">
        <v>216</v>
      </c>
      <c r="F404" s="711" t="s">
        <v>649</v>
      </c>
      <c r="G404" s="710"/>
      <c r="H404" s="710" t="s">
        <v>651</v>
      </c>
      <c r="I404" s="727" t="s">
        <v>652</v>
      </c>
      <c r="J404" s="714"/>
      <c r="L404" s="694" t="s">
        <v>653</v>
      </c>
    </row>
    <row r="405" spans="1:12" ht="9.1999999999999993" customHeight="1">
      <c r="A405" s="712">
        <v>1</v>
      </c>
      <c r="B405" s="713" t="s">
        <v>654</v>
      </c>
      <c r="C405" s="714">
        <f>VLOOKUP(C401,'Luong VP'!$B$10:$AP$189,9,0)</f>
        <v>11430</v>
      </c>
      <c r="D405" s="715"/>
      <c r="E405" s="710" t="s">
        <v>655</v>
      </c>
      <c r="F405" s="716" t="s">
        <v>656</v>
      </c>
      <c r="G405" s="710"/>
      <c r="H405" s="710"/>
      <c r="I405" s="727"/>
      <c r="J405" s="714">
        <f>VLOOKUP(C401,'Luong VP'!$B$10:$AP$189,21,0)</f>
        <v>11772.9</v>
      </c>
    </row>
    <row r="406" spans="1:12" ht="9.1999999999999993" customHeight="1">
      <c r="A406" s="712">
        <v>2</v>
      </c>
      <c r="B406" s="713" t="s">
        <v>658</v>
      </c>
      <c r="C406" s="714"/>
      <c r="D406" s="717"/>
      <c r="E406" s="710">
        <v>1</v>
      </c>
      <c r="F406" s="718" t="s">
        <v>659</v>
      </c>
      <c r="G406" s="718"/>
      <c r="H406" s="710" t="s">
        <v>660</v>
      </c>
      <c r="I406" s="727">
        <f>VLOOKUP(C401,'Luong VP'!$B$10:$AP$189,22,0)</f>
        <v>26</v>
      </c>
      <c r="J406" s="728">
        <f>J405/'Cham cong'!$AS$3*I406</f>
        <v>11772.9</v>
      </c>
    </row>
    <row r="407" spans="1:12" ht="9.1999999999999993" customHeight="1">
      <c r="A407" s="712">
        <v>3</v>
      </c>
      <c r="B407" s="713" t="s">
        <v>661</v>
      </c>
      <c r="C407" s="714">
        <f>VLOOKUP(C401,'Luong VP'!$B$10:$AP$189,10,0)</f>
        <v>0</v>
      </c>
      <c r="D407" s="717"/>
      <c r="E407" s="710">
        <v>2</v>
      </c>
      <c r="F407" s="718" t="s">
        <v>662</v>
      </c>
      <c r="G407" s="718"/>
      <c r="H407" s="710" t="s">
        <v>660</v>
      </c>
      <c r="I407" s="727">
        <f>VLOOKUP(C401,'Luong VP'!$B$10:$AP$189,27,0)</f>
        <v>0</v>
      </c>
      <c r="J407" s="728">
        <f>J405/'Cham cong'!$AS$3*I407*3</f>
        <v>0</v>
      </c>
    </row>
    <row r="408" spans="1:12" ht="9.1999999999999993" customHeight="1">
      <c r="A408" s="712">
        <v>4</v>
      </c>
      <c r="B408" s="713" t="s">
        <v>666</v>
      </c>
      <c r="C408" s="714">
        <f>VLOOKUP(C401,'Luong VP'!$B$10:$AP$189,11,0)</f>
        <v>0</v>
      </c>
      <c r="D408" s="717"/>
      <c r="E408" s="710">
        <v>3</v>
      </c>
      <c r="F408" s="718" t="s">
        <v>667</v>
      </c>
      <c r="G408" s="718"/>
      <c r="H408" s="710" t="s">
        <v>668</v>
      </c>
      <c r="I408" s="727">
        <f>VLOOKUP(C401,'Luong VP'!$B$10:$AP$189,26,0)</f>
        <v>0</v>
      </c>
      <c r="J408" s="728">
        <f>J405/'Cham cong'!$AS$3*I408/8*1.5</f>
        <v>0</v>
      </c>
    </row>
    <row r="409" spans="1:12" ht="9.1999999999999993" customHeight="1">
      <c r="A409" s="712">
        <v>5</v>
      </c>
      <c r="B409" s="713" t="s">
        <v>670</v>
      </c>
      <c r="C409" s="714">
        <f>VLOOKUP(C401,'Luong VP'!$B$10:$AP$189,12,0)</f>
        <v>342.9</v>
      </c>
      <c r="D409" s="717"/>
      <c r="E409" s="710">
        <v>4</v>
      </c>
      <c r="F409" s="718" t="s">
        <v>671</v>
      </c>
      <c r="G409" s="718"/>
      <c r="H409" s="710" t="s">
        <v>668</v>
      </c>
      <c r="I409" s="727">
        <f>VLOOKUP(C401,'Luong VP'!$B$10:$AP$189,25,0)</f>
        <v>0</v>
      </c>
      <c r="J409" s="728">
        <f>J405/'Cham cong'!$AS$3*I409/8*2</f>
        <v>0</v>
      </c>
    </row>
    <row r="410" spans="1:12" ht="9.1999999999999993" customHeight="1">
      <c r="A410" s="712">
        <v>6</v>
      </c>
      <c r="B410" s="713" t="s">
        <v>673</v>
      </c>
      <c r="C410" s="714">
        <f>VLOOKUP(C401,'Luong VP'!$B$10:$AP$189,13,0)</f>
        <v>0</v>
      </c>
      <c r="D410" s="717"/>
      <c r="E410" s="710">
        <v>5</v>
      </c>
      <c r="F410" s="718" t="s">
        <v>674</v>
      </c>
      <c r="G410" s="718"/>
      <c r="H410" s="710" t="s">
        <v>660</v>
      </c>
      <c r="I410" s="727">
        <f>VLOOKUP(C401,'Luong VP'!$B$10:$AP$189,23,0)</f>
        <v>0</v>
      </c>
      <c r="J410" s="728">
        <f>C405/'Cham cong'!$AS$3*I410</f>
        <v>0</v>
      </c>
      <c r="L410" s="694" t="str">
        <f>G401</f>
        <v xml:space="preserve"> Nguyễn Trinh Nguyên </v>
      </c>
    </row>
    <row r="411" spans="1:12" ht="9.1999999999999993" customHeight="1">
      <c r="A411" s="712">
        <v>7</v>
      </c>
      <c r="B411" s="713" t="s">
        <v>676</v>
      </c>
      <c r="C411" s="714"/>
      <c r="D411" s="717"/>
      <c r="E411" s="710">
        <v>6</v>
      </c>
      <c r="F411" s="718" t="s">
        <v>677</v>
      </c>
      <c r="G411" s="718"/>
      <c r="H411" s="710" t="s">
        <v>660</v>
      </c>
      <c r="I411" s="727">
        <f>VLOOKUP(C401,'Luong VP'!$B$10:$AP$189,24,0)</f>
        <v>1</v>
      </c>
      <c r="J411" s="714">
        <f>C405/'Cham cong'!$AS$3*I411</f>
        <v>439.61538461538464</v>
      </c>
    </row>
    <row r="412" spans="1:12" ht="9.1999999999999993" customHeight="1">
      <c r="A412" s="712">
        <v>8</v>
      </c>
      <c r="B412" s="713" t="s">
        <v>679</v>
      </c>
      <c r="C412" s="714">
        <f>VLOOKUP(C401,'Luong VP'!$B$10:$AP$189,14,0)</f>
        <v>0</v>
      </c>
      <c r="D412" s="717"/>
      <c r="E412" s="710">
        <v>7</v>
      </c>
      <c r="F412" s="718" t="s">
        <v>680</v>
      </c>
      <c r="G412" s="718"/>
      <c r="H412" s="718"/>
      <c r="I412" s="729"/>
      <c r="J412" s="714">
        <f>VLOOKUP(C401,'Luong VP'!$B$10:$AP$189,28,0)</f>
        <v>0</v>
      </c>
    </row>
    <row r="413" spans="1:12" ht="9.1999999999999993" customHeight="1">
      <c r="A413" s="712">
        <v>9</v>
      </c>
      <c r="B413" s="713" t="s">
        <v>683</v>
      </c>
      <c r="C413" s="714">
        <f>VLOOKUP(C401,'Luong VP'!$B$10:$AP$189,15,0)</f>
        <v>100</v>
      </c>
      <c r="D413" s="717"/>
      <c r="E413" s="710">
        <v>8</v>
      </c>
      <c r="F413" s="718" t="s">
        <v>238</v>
      </c>
      <c r="G413" s="718"/>
      <c r="H413" s="718"/>
      <c r="I413" s="729"/>
      <c r="J413" s="714">
        <f>VLOOKUP(C401,'Luong VP'!$B$10:$AP$189,33,0)</f>
        <v>0</v>
      </c>
    </row>
    <row r="414" spans="1:12" ht="9.1999999999999993" customHeight="1">
      <c r="A414" s="712">
        <v>10</v>
      </c>
      <c r="B414" s="713" t="s">
        <v>685</v>
      </c>
      <c r="C414" s="714">
        <f>VLOOKUP(C401,'Luong VP'!$B$10:$AP$189,16,0)</f>
        <v>0</v>
      </c>
      <c r="D414" s="717"/>
      <c r="E414" s="710" t="s">
        <v>686</v>
      </c>
      <c r="F414" s="716" t="s">
        <v>687</v>
      </c>
      <c r="G414" s="719"/>
      <c r="H414" s="719"/>
      <c r="I414" s="729"/>
      <c r="J414" s="730"/>
    </row>
    <row r="415" spans="1:12" ht="9.1999999999999993" customHeight="1">
      <c r="A415" s="712">
        <v>11</v>
      </c>
      <c r="B415" s="713" t="s">
        <v>688</v>
      </c>
      <c r="C415" s="714">
        <f>VLOOKUP(C401,'Luong VP'!$B$10:$AP$189,17,0)</f>
        <v>0</v>
      </c>
      <c r="D415" s="717"/>
      <c r="E415" s="710">
        <v>1</v>
      </c>
      <c r="F415" s="716" t="s">
        <v>689</v>
      </c>
      <c r="G415" s="719"/>
      <c r="H415" s="719"/>
      <c r="I415" s="714">
        <f>VLOOKUP(C401,'Luong VP'!$B$10:$AP$189,30,0)</f>
        <v>0</v>
      </c>
      <c r="J415" s="714">
        <f>VLOOKUP(C401,'Luong VP'!$B$10:$AP$189,30,0)</f>
        <v>0</v>
      </c>
    </row>
    <row r="416" spans="1:12" ht="9.1999999999999993" customHeight="1">
      <c r="A416" s="712">
        <v>12</v>
      </c>
      <c r="B416" s="713" t="s">
        <v>691</v>
      </c>
      <c r="C416" s="714">
        <f>VLOOKUP(C401,'Luong VP'!$B$10:$AP$189,18,0)</f>
        <v>0</v>
      </c>
      <c r="D416" s="717"/>
      <c r="E416" s="710">
        <v>2</v>
      </c>
      <c r="F416" s="718" t="s">
        <v>239</v>
      </c>
      <c r="G416" s="718"/>
      <c r="H416" s="718"/>
      <c r="I416" s="727"/>
      <c r="J416" s="728">
        <f>VLOOKUP(C401,'Luong VP'!$B$10:$AP$189,34,0)</f>
        <v>0</v>
      </c>
      <c r="K416" s="731"/>
      <c r="L416" s="715"/>
    </row>
    <row r="417" spans="1:12" ht="9.1999999999999993" customHeight="1">
      <c r="A417" s="712">
        <v>13</v>
      </c>
      <c r="B417" s="713" t="s">
        <v>692</v>
      </c>
      <c r="C417" s="714">
        <f>VLOOKUP(C401,'Luong VP'!$B$10:$AP$189,19,0)</f>
        <v>0</v>
      </c>
      <c r="D417" s="717"/>
      <c r="E417" s="710">
        <v>3</v>
      </c>
      <c r="F417" s="716" t="s">
        <v>693</v>
      </c>
      <c r="G417" s="719"/>
      <c r="H417" s="719"/>
      <c r="I417" s="729"/>
      <c r="J417" s="714">
        <f>VLOOKUP(C401,'Luong VP'!$B$10:$AP$189,40,0)</f>
        <v>0</v>
      </c>
      <c r="K417" s="731"/>
      <c r="L417" s="715"/>
    </row>
    <row r="418" spans="1:12" ht="9.1999999999999993" customHeight="1">
      <c r="A418" s="712">
        <v>14</v>
      </c>
      <c r="B418" s="713" t="s">
        <v>694</v>
      </c>
      <c r="C418" s="714">
        <f>VLOOKUP(C401,'Luong VP'!$B$10:$AP$189,20,0)</f>
        <v>0</v>
      </c>
      <c r="D418" s="717"/>
      <c r="E418" s="710">
        <v>4</v>
      </c>
      <c r="F418" s="718" t="s">
        <v>695</v>
      </c>
      <c r="G418" s="719"/>
      <c r="H418" s="719"/>
      <c r="I418" s="729"/>
      <c r="J418" s="714">
        <f>VLOOKUP(C401,'Luong VP'!$B$10:$AP$189,35,0)</f>
        <v>0</v>
      </c>
      <c r="K418" s="732"/>
      <c r="L418" s="715"/>
    </row>
    <row r="419" spans="1:12" ht="9.1999999999999993" customHeight="1">
      <c r="A419" s="712"/>
      <c r="B419" s="707" t="s">
        <v>656</v>
      </c>
      <c r="C419" s="714">
        <f>SUM(C405:C418)</f>
        <v>11872.9</v>
      </c>
      <c r="D419" s="717"/>
      <c r="E419" s="710"/>
      <c r="F419" s="716" t="s">
        <v>241</v>
      </c>
      <c r="G419" s="719"/>
      <c r="H419" s="719"/>
      <c r="I419" s="729"/>
      <c r="J419" s="730">
        <f>SUM(J406:J418)+C413</f>
        <v>12312.515384615384</v>
      </c>
      <c r="K419" s="731"/>
      <c r="L419" s="715"/>
    </row>
    <row r="420" spans="1:12" ht="9.1999999999999993" customHeight="1">
      <c r="B420" s="720"/>
      <c r="C420" s="717"/>
      <c r="D420" s="717"/>
      <c r="E420" s="710" t="s">
        <v>696</v>
      </c>
      <c r="F420" s="711" t="s">
        <v>697</v>
      </c>
      <c r="G420" s="710"/>
      <c r="H420" s="710"/>
      <c r="I420" s="729"/>
      <c r="J420" s="730">
        <f>SUM(J421:J423)</f>
        <v>525</v>
      </c>
      <c r="K420" s="732"/>
      <c r="L420" s="715"/>
    </row>
    <row r="421" spans="1:12" ht="9.1999999999999993" customHeight="1">
      <c r="B421" s="720"/>
      <c r="C421" s="717"/>
      <c r="D421" s="717"/>
      <c r="E421" s="710">
        <v>1</v>
      </c>
      <c r="F421" s="718" t="s">
        <v>698</v>
      </c>
      <c r="G421" s="718"/>
      <c r="H421" s="718"/>
      <c r="I421" s="733"/>
      <c r="J421" s="714">
        <f>VLOOKUP(C401,'Luong VP'!$B$10:$AP$189,37,0)</f>
        <v>525</v>
      </c>
      <c r="K421" s="732"/>
      <c r="L421" s="715"/>
    </row>
    <row r="422" spans="1:12" ht="9.1999999999999993" customHeight="1">
      <c r="B422" s="720"/>
      <c r="C422" s="717"/>
      <c r="D422" s="717"/>
      <c r="E422" s="710">
        <v>2</v>
      </c>
      <c r="F422" s="718" t="s">
        <v>244</v>
      </c>
      <c r="G422" s="718"/>
      <c r="H422" s="718"/>
      <c r="I422" s="729"/>
      <c r="J422" s="714">
        <f>VLOOKUP(C401,'Luong VP'!$B$10:$AP$189,39,0)</f>
        <v>0</v>
      </c>
      <c r="K422" s="734"/>
      <c r="L422" s="735"/>
    </row>
    <row r="423" spans="1:12" ht="9.1999999999999993" customHeight="1">
      <c r="B423" s="720"/>
      <c r="C423" s="717"/>
      <c r="D423" s="717"/>
      <c r="E423" s="710"/>
      <c r="F423" s="718" t="s">
        <v>699</v>
      </c>
      <c r="G423" s="718"/>
      <c r="H423" s="718"/>
      <c r="I423" s="729"/>
      <c r="J423" s="714"/>
      <c r="K423" s="714"/>
      <c r="L423" s="736"/>
    </row>
    <row r="424" spans="1:12" ht="9.1999999999999993" customHeight="1">
      <c r="B424" s="720"/>
      <c r="C424" s="717"/>
      <c r="D424" s="717"/>
      <c r="E424" s="710" t="s">
        <v>700</v>
      </c>
      <c r="F424" s="710" t="s">
        <v>246</v>
      </c>
      <c r="G424" s="710"/>
      <c r="H424" s="710"/>
      <c r="I424" s="729"/>
      <c r="J424" s="728">
        <f>J419-J420</f>
        <v>11787.515384615384</v>
      </c>
      <c r="K424" s="728">
        <f>ROUND(J424,-1)</f>
        <v>11790</v>
      </c>
      <c r="L424" s="710"/>
    </row>
    <row r="425" spans="1:12" ht="9.1999999999999993" customHeight="1">
      <c r="B425" s="720"/>
      <c r="C425" s="717"/>
      <c r="D425" s="717"/>
      <c r="E425" s="715"/>
      <c r="F425" s="715"/>
      <c r="G425" s="715"/>
      <c r="I425" s="715" t="s">
        <v>701</v>
      </c>
      <c r="J425" s="737"/>
      <c r="K425" s="737"/>
      <c r="L425" s="715"/>
    </row>
    <row r="426" spans="1:12" ht="9.1999999999999993" customHeight="1">
      <c r="B426" s="720"/>
      <c r="C426" s="717"/>
      <c r="D426" s="717"/>
      <c r="E426" s="715"/>
      <c r="F426" s="715"/>
      <c r="G426" s="715"/>
      <c r="I426" s="715"/>
      <c r="J426" s="737"/>
      <c r="K426" s="737"/>
      <c r="L426" s="715"/>
    </row>
    <row r="427" spans="1:12" ht="9.1999999999999993" customHeight="1">
      <c r="B427" s="720"/>
      <c r="C427" s="717"/>
      <c r="D427" s="717"/>
      <c r="E427" s="715"/>
      <c r="F427" s="715"/>
      <c r="G427" s="715"/>
      <c r="I427" s="715"/>
      <c r="J427" s="737"/>
      <c r="K427" s="737"/>
      <c r="L427" s="715"/>
    </row>
    <row r="428" spans="1:12" ht="9.1999999999999993" customHeight="1">
      <c r="B428" s="720"/>
      <c r="C428" s="717"/>
      <c r="D428" s="717"/>
      <c r="E428" s="715"/>
      <c r="F428" s="715"/>
      <c r="G428" s="715"/>
      <c r="I428" s="715"/>
      <c r="J428" s="737"/>
      <c r="K428" s="737"/>
      <c r="L428" s="715"/>
    </row>
    <row r="429" spans="1:12" ht="9.1999999999999993" customHeight="1">
      <c r="B429" s="720"/>
      <c r="C429" s="717"/>
      <c r="D429" s="717"/>
      <c r="E429" s="715"/>
      <c r="F429" s="715"/>
      <c r="G429" s="715"/>
      <c r="I429" s="715"/>
      <c r="J429" s="737"/>
      <c r="K429" s="737"/>
      <c r="L429" s="715"/>
    </row>
    <row r="430" spans="1:12" ht="9.1999999999999993" customHeight="1">
      <c r="B430" s="720"/>
      <c r="C430" s="717"/>
      <c r="D430" s="717"/>
      <c r="E430" s="715"/>
      <c r="F430" s="715"/>
      <c r="G430" s="715"/>
      <c r="I430" s="715"/>
      <c r="J430" s="737"/>
      <c r="K430" s="737"/>
      <c r="L430" s="715"/>
    </row>
    <row r="431" spans="1:12" ht="9.1999999999999993" customHeight="1">
      <c r="C431" s="696"/>
      <c r="D431" s="696"/>
      <c r="E431" s="697" t="str">
        <f>$E$2</f>
        <v>THẺ LƯƠNG THÁNG 08/2019</v>
      </c>
      <c r="F431" s="698"/>
      <c r="G431" s="698"/>
      <c r="H431" s="698"/>
    </row>
    <row r="432" spans="1:12" ht="9.1999999999999993" customHeight="1">
      <c r="B432" s="699" t="s">
        <v>644</v>
      </c>
      <c r="C432" s="797" t="s">
        <v>297</v>
      </c>
      <c r="D432" s="701"/>
      <c r="F432" s="702" t="s">
        <v>645</v>
      </c>
      <c r="G432" s="689" t="str">
        <f>VLOOKUP(C432,'Luong VP'!$B$10:$AP$189,2,0)</f>
        <v>Hoàng Giáng Sinh</v>
      </c>
    </row>
    <row r="433" spans="1:12" ht="9.1999999999999993" customHeight="1">
      <c r="B433" s="699" t="s">
        <v>646</v>
      </c>
      <c r="C433" s="689" t="str">
        <f>VLOOKUP(C432,'Luong VP'!$B$10:$AP$189,3,0)</f>
        <v>GĐ Cơ cấu &amp; Chiến lược</v>
      </c>
      <c r="F433" s="702" t="s">
        <v>647</v>
      </c>
      <c r="G433" s="689">
        <f>VLOOKUP(C432,'Luong VP'!$B$10:$AP$189,5,0)</f>
        <v>3</v>
      </c>
    </row>
    <row r="434" spans="1:12" ht="9.1999999999999993" customHeight="1">
      <c r="B434" s="703"/>
      <c r="C434" s="704"/>
      <c r="D434" s="705"/>
      <c r="F434" s="706" t="s">
        <v>648</v>
      </c>
      <c r="G434" s="706"/>
      <c r="H434" s="706"/>
      <c r="I434" s="725"/>
      <c r="J434" s="726"/>
    </row>
    <row r="435" spans="1:12" ht="9.1999999999999993" customHeight="1">
      <c r="A435" s="707" t="s">
        <v>216</v>
      </c>
      <c r="B435" s="707" t="s">
        <v>649</v>
      </c>
      <c r="C435" s="708" t="s">
        <v>650</v>
      </c>
      <c r="D435" s="709"/>
      <c r="E435" s="710" t="s">
        <v>216</v>
      </c>
      <c r="F435" s="711" t="s">
        <v>649</v>
      </c>
      <c r="G435" s="710"/>
      <c r="H435" s="710" t="s">
        <v>651</v>
      </c>
      <c r="I435" s="727" t="s">
        <v>652</v>
      </c>
      <c r="J435" s="714"/>
      <c r="L435" s="694" t="s">
        <v>653</v>
      </c>
    </row>
    <row r="436" spans="1:12" ht="9.1999999999999993" customHeight="1">
      <c r="A436" s="712">
        <v>1</v>
      </c>
      <c r="B436" s="713" t="s">
        <v>654</v>
      </c>
      <c r="C436" s="714">
        <f>VLOOKUP(C432,'Luong VP'!$B$10:$AP$189,9,0)</f>
        <v>36170</v>
      </c>
      <c r="D436" s="715"/>
      <c r="E436" s="710" t="s">
        <v>655</v>
      </c>
      <c r="F436" s="716" t="s">
        <v>656</v>
      </c>
      <c r="G436" s="710"/>
      <c r="H436" s="710"/>
      <c r="I436" s="727"/>
      <c r="J436" s="714">
        <f>VLOOKUP(C432,'Luong VP'!$B$10:$AP$189,21,0)</f>
        <v>46521</v>
      </c>
    </row>
    <row r="437" spans="1:12" ht="9.1999999999999993" customHeight="1">
      <c r="A437" s="712">
        <v>2</v>
      </c>
      <c r="B437" s="713" t="s">
        <v>658</v>
      </c>
      <c r="C437" s="714"/>
      <c r="D437" s="717"/>
      <c r="E437" s="710">
        <v>1</v>
      </c>
      <c r="F437" s="718" t="s">
        <v>659</v>
      </c>
      <c r="G437" s="718"/>
      <c r="H437" s="710" t="s">
        <v>660</v>
      </c>
      <c r="I437" s="727">
        <f>VLOOKUP(C432,'Luong VP'!$B$10:$AP$189,22,0)</f>
        <v>26</v>
      </c>
      <c r="J437" s="728">
        <f>J436/'Cham cong'!$AS$3*I437</f>
        <v>46521</v>
      </c>
    </row>
    <row r="438" spans="1:12" ht="9.1999999999999993" customHeight="1">
      <c r="A438" s="712">
        <v>3</v>
      </c>
      <c r="B438" s="713" t="s">
        <v>661</v>
      </c>
      <c r="C438" s="714">
        <f>VLOOKUP(C432,'Luong VP'!$B$10:$AP$189,10,0)</f>
        <v>0</v>
      </c>
      <c r="D438" s="717"/>
      <c r="E438" s="710">
        <v>2</v>
      </c>
      <c r="F438" s="718" t="s">
        <v>662</v>
      </c>
      <c r="G438" s="718"/>
      <c r="H438" s="710" t="s">
        <v>660</v>
      </c>
      <c r="I438" s="727">
        <f>VLOOKUP(C432,'Luong VP'!$B$10:$AP$189,27,0)</f>
        <v>0</v>
      </c>
      <c r="J438" s="728">
        <f>J436/'Cham cong'!$AS$3*I438*3</f>
        <v>0</v>
      </c>
    </row>
    <row r="439" spans="1:12" ht="9.1999999999999993" customHeight="1">
      <c r="A439" s="712">
        <v>4</v>
      </c>
      <c r="B439" s="713" t="s">
        <v>666</v>
      </c>
      <c r="C439" s="714">
        <f>VLOOKUP(C432,'Luong VP'!$B$10:$AP$189,11,0)</f>
        <v>3000</v>
      </c>
      <c r="D439" s="717"/>
      <c r="E439" s="710">
        <v>3</v>
      </c>
      <c r="F439" s="718" t="s">
        <v>667</v>
      </c>
      <c r="G439" s="718"/>
      <c r="H439" s="710" t="s">
        <v>668</v>
      </c>
      <c r="I439" s="727">
        <f>VLOOKUP(C432,'Luong VP'!$B$10:$AP$189,26,0)</f>
        <v>0</v>
      </c>
      <c r="J439" s="728">
        <f>J436/'Cham cong'!$AS$3*I439/8*1.5</f>
        <v>0</v>
      </c>
    </row>
    <row r="440" spans="1:12" ht="9.1999999999999993" customHeight="1">
      <c r="A440" s="712">
        <v>5</v>
      </c>
      <c r="B440" s="713" t="s">
        <v>670</v>
      </c>
      <c r="C440" s="714">
        <f>VLOOKUP(C432,'Luong VP'!$B$10:$AP$189,12,0)</f>
        <v>0</v>
      </c>
      <c r="D440" s="717"/>
      <c r="E440" s="710">
        <v>4</v>
      </c>
      <c r="F440" s="718" t="s">
        <v>671</v>
      </c>
      <c r="G440" s="718"/>
      <c r="H440" s="710" t="s">
        <v>668</v>
      </c>
      <c r="I440" s="727">
        <f>VLOOKUP(C432,'Luong VP'!$B$10:$AP$189,25,0)</f>
        <v>0</v>
      </c>
      <c r="J440" s="728">
        <f>J436/'Cham cong'!$AS$3*I440/8*2</f>
        <v>0</v>
      </c>
    </row>
    <row r="441" spans="1:12" ht="9.1999999999999993" customHeight="1">
      <c r="A441" s="712">
        <v>6</v>
      </c>
      <c r="B441" s="713" t="s">
        <v>673</v>
      </c>
      <c r="C441" s="714">
        <f>VLOOKUP(C432,'Luong VP'!$B$10:$AP$189,13,0)</f>
        <v>0</v>
      </c>
      <c r="D441" s="717"/>
      <c r="E441" s="710">
        <v>5</v>
      </c>
      <c r="F441" s="718" t="s">
        <v>674</v>
      </c>
      <c r="G441" s="718"/>
      <c r="H441" s="710" t="s">
        <v>660</v>
      </c>
      <c r="I441" s="727">
        <f>VLOOKUP(C432,'Luong VP'!$B$10:$AP$189,23,0)</f>
        <v>0</v>
      </c>
      <c r="J441" s="728">
        <f>C436/'Cham cong'!$AS$3*I441</f>
        <v>0</v>
      </c>
      <c r="L441" s="694" t="str">
        <f>G432</f>
        <v>Hoàng Giáng Sinh</v>
      </c>
    </row>
    <row r="442" spans="1:12" ht="9.1999999999999993" customHeight="1">
      <c r="A442" s="712">
        <v>7</v>
      </c>
      <c r="B442" s="713" t="s">
        <v>676</v>
      </c>
      <c r="C442" s="714"/>
      <c r="D442" s="717"/>
      <c r="E442" s="710">
        <v>6</v>
      </c>
      <c r="F442" s="718" t="s">
        <v>677</v>
      </c>
      <c r="G442" s="718"/>
      <c r="H442" s="710" t="s">
        <v>660</v>
      </c>
      <c r="I442" s="727">
        <f>VLOOKUP(C432,'Luong VP'!$B$10:$AP$189,24,0)</f>
        <v>1</v>
      </c>
      <c r="J442" s="714">
        <f>C436/'Cham cong'!$AS$3*I442</f>
        <v>1391.1538461538462</v>
      </c>
    </row>
    <row r="443" spans="1:12" ht="9.1999999999999993" customHeight="1">
      <c r="A443" s="712">
        <v>8</v>
      </c>
      <c r="B443" s="713" t="s">
        <v>679</v>
      </c>
      <c r="C443" s="714">
        <f>VLOOKUP(C432,'Luong VP'!$B$10:$AP$189,14,0)</f>
        <v>1000</v>
      </c>
      <c r="D443" s="717"/>
      <c r="E443" s="710">
        <v>7</v>
      </c>
      <c r="F443" s="718" t="s">
        <v>680</v>
      </c>
      <c r="G443" s="718"/>
      <c r="H443" s="718"/>
      <c r="I443" s="729"/>
      <c r="J443" s="714">
        <f>VLOOKUP(C432,'Luong VP'!$B$10:$AP$189,28,0)</f>
        <v>0</v>
      </c>
    </row>
    <row r="444" spans="1:12" ht="9.1999999999999993" customHeight="1">
      <c r="A444" s="712">
        <v>9</v>
      </c>
      <c r="B444" s="713" t="s">
        <v>683</v>
      </c>
      <c r="C444" s="714">
        <f>VLOOKUP(C432,'Luong VP'!$B$10:$AP$189,15,0)</f>
        <v>1000</v>
      </c>
      <c r="D444" s="717"/>
      <c r="E444" s="710">
        <v>8</v>
      </c>
      <c r="F444" s="718" t="s">
        <v>238</v>
      </c>
      <c r="G444" s="718"/>
      <c r="H444" s="718"/>
      <c r="I444" s="729"/>
      <c r="J444" s="714">
        <f>VLOOKUP(C432,'Luong VP'!$B$10:$AP$189,33,0)</f>
        <v>0</v>
      </c>
    </row>
    <row r="445" spans="1:12" ht="9.1999999999999993" customHeight="1">
      <c r="A445" s="712">
        <v>10</v>
      </c>
      <c r="B445" s="713" t="s">
        <v>685</v>
      </c>
      <c r="C445" s="714">
        <f>VLOOKUP(C432,'Luong VP'!$B$10:$AP$189,16,0)</f>
        <v>0</v>
      </c>
      <c r="D445" s="717"/>
      <c r="E445" s="710" t="s">
        <v>686</v>
      </c>
      <c r="F445" s="716" t="s">
        <v>687</v>
      </c>
      <c r="G445" s="719"/>
      <c r="H445" s="719"/>
      <c r="I445" s="729"/>
      <c r="J445" s="730"/>
    </row>
    <row r="446" spans="1:12" ht="9.1999999999999993" customHeight="1">
      <c r="A446" s="712">
        <v>11</v>
      </c>
      <c r="B446" s="713" t="s">
        <v>688</v>
      </c>
      <c r="C446" s="714">
        <f>VLOOKUP(C432,'Luong VP'!$B$10:$AP$189,17,0)</f>
        <v>6351</v>
      </c>
      <c r="D446" s="717"/>
      <c r="E446" s="710">
        <v>1</v>
      </c>
      <c r="F446" s="716" t="s">
        <v>689</v>
      </c>
      <c r="G446" s="719"/>
      <c r="H446" s="719"/>
      <c r="I446" s="714">
        <f>VLOOKUP(C432,'Luong VP'!$B$10:$AP$189,30,0)</f>
        <v>0</v>
      </c>
      <c r="J446" s="714">
        <f>VLOOKUP(C432,'Luong VP'!$B$10:$AP$189,30,0)</f>
        <v>0</v>
      </c>
    </row>
    <row r="447" spans="1:12" ht="9.1999999999999993" customHeight="1">
      <c r="A447" s="712">
        <v>12</v>
      </c>
      <c r="B447" s="713" t="s">
        <v>691</v>
      </c>
      <c r="C447" s="714">
        <f>VLOOKUP(C432,'Luong VP'!$B$10:$AP$189,18,0)</f>
        <v>0</v>
      </c>
      <c r="D447" s="717"/>
      <c r="E447" s="710">
        <v>2</v>
      </c>
      <c r="F447" s="718" t="s">
        <v>239</v>
      </c>
      <c r="G447" s="718"/>
      <c r="H447" s="718"/>
      <c r="I447" s="727"/>
      <c r="J447" s="728">
        <f>VLOOKUP(C432,'Luong VP'!$B$10:$AP$189,34,0)</f>
        <v>0</v>
      </c>
      <c r="K447" s="731"/>
      <c r="L447" s="715"/>
    </row>
    <row r="448" spans="1:12" ht="9.1999999999999993" customHeight="1">
      <c r="A448" s="712">
        <v>13</v>
      </c>
      <c r="B448" s="713" t="s">
        <v>692</v>
      </c>
      <c r="C448" s="714">
        <f>VLOOKUP(C432,'Luong VP'!$B$10:$AP$189,19,0)</f>
        <v>0</v>
      </c>
      <c r="D448" s="717"/>
      <c r="E448" s="710">
        <v>3</v>
      </c>
      <c r="F448" s="716" t="s">
        <v>693</v>
      </c>
      <c r="G448" s="719"/>
      <c r="H448" s="719"/>
      <c r="I448" s="729"/>
      <c r="J448" s="714">
        <f>VLOOKUP(C432,'Luong VP'!$B$10:$AP$189,40,0)</f>
        <v>0</v>
      </c>
      <c r="K448" s="731"/>
      <c r="L448" s="715"/>
    </row>
    <row r="449" spans="1:12" ht="9.1999999999999993" customHeight="1">
      <c r="A449" s="712">
        <v>14</v>
      </c>
      <c r="B449" s="713" t="s">
        <v>694</v>
      </c>
      <c r="C449" s="714">
        <f>VLOOKUP(C432,'Luong VP'!$B$10:$AP$189,20,0)</f>
        <v>0</v>
      </c>
      <c r="D449" s="717"/>
      <c r="E449" s="710">
        <v>4</v>
      </c>
      <c r="F449" s="718" t="s">
        <v>695</v>
      </c>
      <c r="G449" s="719"/>
      <c r="H449" s="719"/>
      <c r="I449" s="729"/>
      <c r="J449" s="714">
        <f>VLOOKUP(C432,'Luong VP'!$B$10:$AP$189,35,0)</f>
        <v>15000</v>
      </c>
      <c r="K449" s="732"/>
      <c r="L449" s="715"/>
    </row>
    <row r="450" spans="1:12" ht="9.1999999999999993" customHeight="1">
      <c r="A450" s="712"/>
      <c r="B450" s="707" t="s">
        <v>656</v>
      </c>
      <c r="C450" s="714">
        <f>SUM(C436:C449)</f>
        <v>47521</v>
      </c>
      <c r="D450" s="717"/>
      <c r="E450" s="710"/>
      <c r="F450" s="716" t="s">
        <v>241</v>
      </c>
      <c r="G450" s="719"/>
      <c r="H450" s="719"/>
      <c r="I450" s="729"/>
      <c r="J450" s="730">
        <f>SUM(J437:J449)+C444</f>
        <v>63912.153846153844</v>
      </c>
      <c r="K450" s="731"/>
      <c r="L450" s="715"/>
    </row>
    <row r="451" spans="1:12" ht="9.1999999999999993" customHeight="1">
      <c r="B451" s="720"/>
      <c r="C451" s="717"/>
      <c r="D451" s="717"/>
      <c r="E451" s="710" t="s">
        <v>696</v>
      </c>
      <c r="F451" s="711" t="s">
        <v>697</v>
      </c>
      <c r="G451" s="710"/>
      <c r="H451" s="710"/>
      <c r="I451" s="729"/>
      <c r="J451" s="730">
        <f>SUM(J452:J454)</f>
        <v>871.5</v>
      </c>
      <c r="K451" s="732"/>
      <c r="L451" s="715"/>
    </row>
    <row r="452" spans="1:12" ht="9.1999999999999993" customHeight="1">
      <c r="B452" s="720"/>
      <c r="C452" s="717"/>
      <c r="D452" s="717"/>
      <c r="E452" s="710">
        <v>1</v>
      </c>
      <c r="F452" s="718" t="s">
        <v>698</v>
      </c>
      <c r="G452" s="718"/>
      <c r="H452" s="718"/>
      <c r="I452" s="733"/>
      <c r="J452" s="714">
        <f>VLOOKUP(C432,'Luong VP'!$B$10:$AP$189,37,0)</f>
        <v>871.5</v>
      </c>
      <c r="K452" s="732"/>
      <c r="L452" s="715"/>
    </row>
    <row r="453" spans="1:12" ht="9.1999999999999993" customHeight="1">
      <c r="B453" s="720"/>
      <c r="C453" s="717"/>
      <c r="D453" s="717"/>
      <c r="E453" s="710">
        <v>2</v>
      </c>
      <c r="F453" s="718" t="s">
        <v>244</v>
      </c>
      <c r="G453" s="718"/>
      <c r="H453" s="718"/>
      <c r="I453" s="729"/>
      <c r="J453" s="714">
        <f>VLOOKUP(C432,'Luong VP'!$B$10:$AP$189,39,0)</f>
        <v>0</v>
      </c>
      <c r="K453" s="734"/>
      <c r="L453" s="735"/>
    </row>
    <row r="454" spans="1:12" ht="9.1999999999999993" customHeight="1">
      <c r="B454" s="720"/>
      <c r="C454" s="717"/>
      <c r="D454" s="717"/>
      <c r="E454" s="710"/>
      <c r="F454" s="718" t="s">
        <v>699</v>
      </c>
      <c r="G454" s="718"/>
      <c r="H454" s="718"/>
      <c r="I454" s="729"/>
      <c r="J454" s="714"/>
      <c r="K454" s="714"/>
      <c r="L454" s="736"/>
    </row>
    <row r="455" spans="1:12" ht="9.1999999999999993" customHeight="1">
      <c r="B455" s="720"/>
      <c r="C455" s="717"/>
      <c r="D455" s="717"/>
      <c r="E455" s="710" t="s">
        <v>700</v>
      </c>
      <c r="F455" s="710" t="s">
        <v>246</v>
      </c>
      <c r="G455" s="710"/>
      <c r="H455" s="710"/>
      <c r="I455" s="729"/>
      <c r="J455" s="728">
        <f>J450-J451</f>
        <v>63040.653846153844</v>
      </c>
      <c r="K455" s="728">
        <f>ROUND(J455,-1)</f>
        <v>63040</v>
      </c>
      <c r="L455" s="710"/>
    </row>
    <row r="456" spans="1:12" ht="9.1999999999999993" customHeight="1">
      <c r="B456" s="720"/>
      <c r="C456" s="717"/>
      <c r="D456" s="717"/>
      <c r="E456" s="715"/>
      <c r="F456" s="715"/>
      <c r="G456" s="715"/>
      <c r="I456" s="715" t="s">
        <v>701</v>
      </c>
      <c r="J456" s="737"/>
      <c r="K456" s="737"/>
      <c r="L456" s="715"/>
    </row>
    <row r="457" spans="1:12" ht="9.1999999999999993" customHeight="1">
      <c r="B457" s="720"/>
      <c r="C457" s="717"/>
      <c r="D457" s="717"/>
      <c r="E457" s="715"/>
      <c r="F457" s="715"/>
      <c r="G457" s="715"/>
      <c r="I457" s="715"/>
      <c r="J457" s="737"/>
      <c r="K457" s="737"/>
      <c r="L457" s="715"/>
    </row>
    <row r="458" spans="1:12" ht="9.1999999999999993" customHeight="1">
      <c r="B458" s="720"/>
      <c r="C458" s="717"/>
      <c r="D458" s="717"/>
      <c r="E458" s="715"/>
      <c r="F458" s="715"/>
      <c r="G458" s="715"/>
      <c r="I458" s="715"/>
      <c r="J458" s="737"/>
      <c r="K458" s="737"/>
      <c r="L458" s="715"/>
    </row>
    <row r="459" spans="1:12" ht="9.1999999999999993" customHeight="1">
      <c r="B459" s="720"/>
      <c r="C459" s="717"/>
      <c r="D459" s="717"/>
      <c r="E459" s="715"/>
      <c r="F459" s="715"/>
      <c r="G459" s="715"/>
      <c r="I459" s="715"/>
      <c r="J459" s="737"/>
      <c r="K459" s="737"/>
      <c r="L459" s="715"/>
    </row>
    <row r="460" spans="1:12" ht="9.1999999999999993" customHeight="1">
      <c r="B460" s="720"/>
      <c r="C460" s="717"/>
      <c r="D460" s="717"/>
      <c r="E460" s="715"/>
      <c r="F460" s="715"/>
      <c r="G460" s="715"/>
      <c r="I460" s="715"/>
      <c r="J460" s="737"/>
      <c r="K460" s="737"/>
      <c r="L460" s="715"/>
    </row>
    <row r="461" spans="1:12" ht="9.1999999999999993" customHeight="1">
      <c r="B461" s="720"/>
      <c r="C461" s="717"/>
      <c r="D461" s="717"/>
      <c r="E461" s="715"/>
      <c r="F461" s="715"/>
      <c r="G461" s="715"/>
      <c r="I461" s="715"/>
      <c r="J461" s="737"/>
      <c r="K461" s="737"/>
      <c r="L461" s="715"/>
    </row>
    <row r="462" spans="1:12" ht="9.1999999999999993" customHeight="1">
      <c r="C462" s="696"/>
      <c r="D462" s="696"/>
      <c r="E462" s="697" t="str">
        <f>$E$2</f>
        <v>THẺ LƯƠNG THÁNG 08/2019</v>
      </c>
      <c r="F462" s="698"/>
      <c r="G462" s="698"/>
      <c r="H462" s="698"/>
    </row>
    <row r="463" spans="1:12" ht="9.1999999999999993" customHeight="1">
      <c r="B463" s="699" t="s">
        <v>644</v>
      </c>
      <c r="C463" s="700" t="s">
        <v>291</v>
      </c>
      <c r="D463" s="701"/>
      <c r="F463" s="702" t="s">
        <v>645</v>
      </c>
      <c r="G463" s="689" t="str">
        <f>VLOOKUP(C463,'Luong VP'!$B$10:$AP$189,2,0)</f>
        <v>Ngô Thị Minh Tâm</v>
      </c>
    </row>
    <row r="464" spans="1:12" ht="9.1999999999999993" customHeight="1">
      <c r="B464" s="699" t="s">
        <v>646</v>
      </c>
      <c r="C464" s="689" t="str">
        <f>VLOOKUP(C463,'Luong VP'!$B$10:$AP$189,3,0)</f>
        <v>Thư ký Chủ tịch</v>
      </c>
      <c r="F464" s="702" t="s">
        <v>647</v>
      </c>
      <c r="G464" s="689">
        <f>VLOOKUP(C463,'Luong VP'!$B$10:$AP$189,5,0)</f>
        <v>2</v>
      </c>
    </row>
    <row r="465" spans="1:12" ht="9.1999999999999993" customHeight="1">
      <c r="B465" s="703"/>
      <c r="C465" s="704"/>
      <c r="D465" s="705"/>
      <c r="F465" s="706" t="s">
        <v>648</v>
      </c>
      <c r="G465" s="706"/>
      <c r="H465" s="706"/>
      <c r="I465" s="725"/>
      <c r="J465" s="726"/>
    </row>
    <row r="466" spans="1:12" ht="9.1999999999999993" customHeight="1">
      <c r="A466" s="707" t="s">
        <v>216</v>
      </c>
      <c r="B466" s="707" t="s">
        <v>649</v>
      </c>
      <c r="C466" s="708" t="s">
        <v>650</v>
      </c>
      <c r="D466" s="709"/>
      <c r="E466" s="710" t="s">
        <v>216</v>
      </c>
      <c r="F466" s="711" t="s">
        <v>649</v>
      </c>
      <c r="G466" s="710"/>
      <c r="H466" s="710" t="s">
        <v>651</v>
      </c>
      <c r="I466" s="727" t="s">
        <v>652</v>
      </c>
      <c r="J466" s="714"/>
      <c r="L466" s="694" t="s">
        <v>653</v>
      </c>
    </row>
    <row r="467" spans="1:12" ht="9.1999999999999993" customHeight="1">
      <c r="A467" s="712">
        <v>1</v>
      </c>
      <c r="B467" s="713" t="s">
        <v>654</v>
      </c>
      <c r="C467" s="714">
        <f>VLOOKUP(C463,'Luong VP'!$B$10:$AP$189,9,0)</f>
        <v>14360</v>
      </c>
      <c r="D467" s="715"/>
      <c r="E467" s="710" t="s">
        <v>655</v>
      </c>
      <c r="F467" s="716" t="s">
        <v>656</v>
      </c>
      <c r="G467" s="710"/>
      <c r="H467" s="710"/>
      <c r="I467" s="727"/>
      <c r="J467" s="714">
        <f>VLOOKUP(C463,'Luong VP'!$B$10:$AP$189,21,0)</f>
        <v>16860</v>
      </c>
    </row>
    <row r="468" spans="1:12" ht="9.1999999999999993" customHeight="1">
      <c r="A468" s="712">
        <v>2</v>
      </c>
      <c r="B468" s="713" t="s">
        <v>658</v>
      </c>
      <c r="C468" s="714"/>
      <c r="D468" s="717"/>
      <c r="E468" s="710">
        <v>1</v>
      </c>
      <c r="F468" s="718" t="s">
        <v>659</v>
      </c>
      <c r="G468" s="718"/>
      <c r="H468" s="710" t="s">
        <v>660</v>
      </c>
      <c r="I468" s="727">
        <f>VLOOKUP(C463,'Luong VP'!$B$10:$AP$189,22,0)</f>
        <v>26</v>
      </c>
      <c r="J468" s="728">
        <f>J467/'Cham cong'!$AS$3*I468</f>
        <v>16860</v>
      </c>
    </row>
    <row r="469" spans="1:12" ht="9.1999999999999993" customHeight="1">
      <c r="A469" s="712">
        <v>3</v>
      </c>
      <c r="B469" s="713" t="s">
        <v>661</v>
      </c>
      <c r="C469" s="714">
        <f>VLOOKUP(C463,'Luong VP'!$B$10:$AP$189,10,0)</f>
        <v>0</v>
      </c>
      <c r="D469" s="717"/>
      <c r="E469" s="710">
        <v>2</v>
      </c>
      <c r="F469" s="718" t="s">
        <v>662</v>
      </c>
      <c r="G469" s="718"/>
      <c r="H469" s="710" t="s">
        <v>660</v>
      </c>
      <c r="I469" s="727">
        <f>VLOOKUP(C463,'Luong VP'!$B$10:$AP$189,27,0)</f>
        <v>0</v>
      </c>
      <c r="J469" s="728">
        <f>J467/'Cham cong'!$AS$3*I469*3</f>
        <v>0</v>
      </c>
    </row>
    <row r="470" spans="1:12" ht="9.1999999999999993" customHeight="1">
      <c r="A470" s="712">
        <v>4</v>
      </c>
      <c r="B470" s="713" t="s">
        <v>666</v>
      </c>
      <c r="C470" s="714">
        <f>VLOOKUP(C463,'Luong VP'!$B$10:$AP$189,11,0)</f>
        <v>2000</v>
      </c>
      <c r="D470" s="717"/>
      <c r="E470" s="710">
        <v>3</v>
      </c>
      <c r="F470" s="718" t="s">
        <v>667</v>
      </c>
      <c r="G470" s="718"/>
      <c r="H470" s="710" t="s">
        <v>668</v>
      </c>
      <c r="I470" s="727">
        <f>VLOOKUP(C463,'Luong VP'!$B$10:$AP$189,26,0)</f>
        <v>0</v>
      </c>
      <c r="J470" s="728">
        <f>J467/'Cham cong'!$AS$3*I470/8*1.5</f>
        <v>0</v>
      </c>
    </row>
    <row r="471" spans="1:12" ht="9.1999999999999993" customHeight="1">
      <c r="A471" s="712">
        <v>5</v>
      </c>
      <c r="B471" s="713" t="s">
        <v>670</v>
      </c>
      <c r="C471" s="714">
        <f>VLOOKUP(C463,'Luong VP'!$B$10:$AP$189,12,0)</f>
        <v>0</v>
      </c>
      <c r="D471" s="717"/>
      <c r="E471" s="710">
        <v>4</v>
      </c>
      <c r="F471" s="718" t="s">
        <v>671</v>
      </c>
      <c r="G471" s="718"/>
      <c r="H471" s="710" t="s">
        <v>668</v>
      </c>
      <c r="I471" s="727">
        <f>VLOOKUP(C463,'Luong VP'!$B$10:$AP$189,25,0)</f>
        <v>0</v>
      </c>
      <c r="J471" s="728">
        <f>J467/'Cham cong'!$AS$3*I471/8*2</f>
        <v>0</v>
      </c>
    </row>
    <row r="472" spans="1:12" ht="9.1999999999999993" customHeight="1">
      <c r="A472" s="712">
        <v>6</v>
      </c>
      <c r="B472" s="713" t="s">
        <v>673</v>
      </c>
      <c r="C472" s="714">
        <f>VLOOKUP(C463,'Luong VP'!$B$10:$AP$189,13,0)</f>
        <v>0</v>
      </c>
      <c r="D472" s="717"/>
      <c r="E472" s="710">
        <v>5</v>
      </c>
      <c r="F472" s="718" t="s">
        <v>674</v>
      </c>
      <c r="G472" s="718"/>
      <c r="H472" s="710" t="s">
        <v>660</v>
      </c>
      <c r="I472" s="727">
        <f>VLOOKUP(C463,'Luong VP'!$B$10:$AP$189,23,0)</f>
        <v>0</v>
      </c>
      <c r="J472" s="728">
        <f>C467/'Cham cong'!$AS$3*I472</f>
        <v>0</v>
      </c>
      <c r="L472" s="694" t="str">
        <f>G463</f>
        <v>Ngô Thị Minh Tâm</v>
      </c>
    </row>
    <row r="473" spans="1:12" ht="9.1999999999999993" customHeight="1">
      <c r="A473" s="712">
        <v>7</v>
      </c>
      <c r="B473" s="713" t="s">
        <v>676</v>
      </c>
      <c r="C473" s="714"/>
      <c r="D473" s="717"/>
      <c r="E473" s="710">
        <v>6</v>
      </c>
      <c r="F473" s="718" t="s">
        <v>677</v>
      </c>
      <c r="G473" s="718"/>
      <c r="H473" s="710" t="s">
        <v>660</v>
      </c>
      <c r="I473" s="727">
        <f>VLOOKUP(C463,'Luong VP'!$B$10:$AP$189,24,0)</f>
        <v>1</v>
      </c>
      <c r="J473" s="714">
        <f>C467/'Cham cong'!$AS$3*I473</f>
        <v>552.30769230769226</v>
      </c>
    </row>
    <row r="474" spans="1:12" ht="9.1999999999999993" customHeight="1">
      <c r="A474" s="712">
        <v>8</v>
      </c>
      <c r="B474" s="713" t="s">
        <v>679</v>
      </c>
      <c r="C474" s="714">
        <f>VLOOKUP(C463,'Luong VP'!$B$10:$AP$189,14,0)</f>
        <v>500</v>
      </c>
      <c r="D474" s="717"/>
      <c r="E474" s="710">
        <v>7</v>
      </c>
      <c r="F474" s="718" t="s">
        <v>680</v>
      </c>
      <c r="G474" s="718"/>
      <c r="H474" s="718"/>
      <c r="I474" s="729"/>
      <c r="J474" s="714">
        <f>VLOOKUP(C463,'Luong VP'!$B$10:$AP$189,28,0)</f>
        <v>0</v>
      </c>
    </row>
    <row r="475" spans="1:12" ht="9.1999999999999993" customHeight="1">
      <c r="A475" s="712">
        <v>9</v>
      </c>
      <c r="B475" s="713" t="s">
        <v>683</v>
      </c>
      <c r="C475" s="714">
        <f>VLOOKUP(C463,'Luong VP'!$B$10:$AP$189,15,0)</f>
        <v>500</v>
      </c>
      <c r="D475" s="717"/>
      <c r="E475" s="710">
        <v>8</v>
      </c>
      <c r="F475" s="718" t="s">
        <v>238</v>
      </c>
      <c r="G475" s="718"/>
      <c r="H475" s="719"/>
      <c r="I475" s="729"/>
      <c r="J475" s="730"/>
    </row>
    <row r="476" spans="1:12" ht="9.1999999999999993" customHeight="1">
      <c r="A476" s="712">
        <v>10</v>
      </c>
      <c r="B476" s="713" t="s">
        <v>685</v>
      </c>
      <c r="C476" s="714">
        <f>VLOOKUP(C463,'Luong VP'!$B$10:$AP$189,16,0)</f>
        <v>0</v>
      </c>
      <c r="D476" s="717"/>
      <c r="E476" s="710" t="s">
        <v>686</v>
      </c>
      <c r="F476" s="716" t="s">
        <v>687</v>
      </c>
      <c r="G476" s="719"/>
      <c r="H476" s="719"/>
      <c r="I476" s="729"/>
      <c r="J476" s="730"/>
    </row>
    <row r="477" spans="1:12" ht="9.1999999999999993" customHeight="1">
      <c r="A477" s="712">
        <v>11</v>
      </c>
      <c r="B477" s="713" t="s">
        <v>688</v>
      </c>
      <c r="C477" s="714">
        <f>VLOOKUP(C463,'Luong VP'!$B$10:$AP$189,17,0)</f>
        <v>0</v>
      </c>
      <c r="D477" s="717"/>
      <c r="E477" s="710">
        <v>1</v>
      </c>
      <c r="F477" s="716" t="s">
        <v>689</v>
      </c>
      <c r="G477" s="719"/>
      <c r="H477" s="719"/>
      <c r="I477" s="714">
        <f>VLOOKUP(C463,'Luong VP'!$B$10:$AP$189,30,0)</f>
        <v>0</v>
      </c>
      <c r="J477" s="714">
        <f>VLOOKUP(C463,'Luong VP'!$B$10:$AP$189,30,0)</f>
        <v>0</v>
      </c>
    </row>
    <row r="478" spans="1:12" ht="9.1999999999999993" customHeight="1">
      <c r="A478" s="712">
        <v>12</v>
      </c>
      <c r="B478" s="713" t="s">
        <v>691</v>
      </c>
      <c r="C478" s="714">
        <f>VLOOKUP(C463,'Luong VP'!$B$10:$AP$189,18,0)</f>
        <v>0</v>
      </c>
      <c r="D478" s="717"/>
      <c r="E478" s="710">
        <v>2</v>
      </c>
      <c r="F478" s="718" t="s">
        <v>239</v>
      </c>
      <c r="G478" s="718"/>
      <c r="H478" s="718"/>
      <c r="I478" s="727"/>
      <c r="J478" s="728">
        <f>VLOOKUP(C463,'Luong VP'!$B$10:$AP$189,34,0)</f>
        <v>0</v>
      </c>
      <c r="K478" s="731"/>
      <c r="L478" s="715"/>
    </row>
    <row r="479" spans="1:12" ht="9.1999999999999993" customHeight="1">
      <c r="A479" s="712">
        <v>13</v>
      </c>
      <c r="B479" s="713" t="s">
        <v>692</v>
      </c>
      <c r="C479" s="714">
        <f>VLOOKUP(C463,'Luong VP'!$B$10:$AP$189,19,0)</f>
        <v>0</v>
      </c>
      <c r="D479" s="717"/>
      <c r="E479" s="710">
        <v>3</v>
      </c>
      <c r="F479" s="716" t="s">
        <v>693</v>
      </c>
      <c r="G479" s="719"/>
      <c r="H479" s="719"/>
      <c r="I479" s="729"/>
      <c r="J479" s="714">
        <f>VLOOKUP(C463,'Luong VP'!$B$10:$AP$189,40,0)</f>
        <v>0</v>
      </c>
      <c r="K479" s="731"/>
      <c r="L479" s="715"/>
    </row>
    <row r="480" spans="1:12" ht="9.1999999999999993" customHeight="1">
      <c r="A480" s="712">
        <v>14</v>
      </c>
      <c r="B480" s="713" t="s">
        <v>694</v>
      </c>
      <c r="C480" s="714">
        <f>VLOOKUP(C463,'Luong VP'!$B$10:$AP$189,20,0)</f>
        <v>0</v>
      </c>
      <c r="D480" s="717"/>
      <c r="E480" s="710">
        <v>4</v>
      </c>
      <c r="F480" s="718" t="s">
        <v>695</v>
      </c>
      <c r="G480" s="719"/>
      <c r="H480" s="719"/>
      <c r="I480" s="729"/>
      <c r="J480" s="714">
        <f>VLOOKUP(C463,'Luong VP'!$B$10:$AP$189,35,0)</f>
        <v>0</v>
      </c>
      <c r="K480" s="732"/>
      <c r="L480" s="715"/>
    </row>
    <row r="481" spans="1:12" ht="9.1999999999999993" customHeight="1">
      <c r="A481" s="712"/>
      <c r="B481" s="707" t="s">
        <v>656</v>
      </c>
      <c r="C481" s="714">
        <f>SUM(C467:C480)</f>
        <v>17360</v>
      </c>
      <c r="D481" s="717"/>
      <c r="E481" s="710"/>
      <c r="F481" s="716" t="s">
        <v>241</v>
      </c>
      <c r="G481" s="719"/>
      <c r="H481" s="719"/>
      <c r="I481" s="729"/>
      <c r="J481" s="730">
        <f>SUM(J468:J480)+C475</f>
        <v>17912.307692307691</v>
      </c>
      <c r="K481" s="731"/>
      <c r="L481" s="715"/>
    </row>
    <row r="482" spans="1:12" ht="9.1999999999999993" customHeight="1">
      <c r="B482" s="720"/>
      <c r="C482" s="717"/>
      <c r="D482" s="717"/>
      <c r="E482" s="710" t="s">
        <v>696</v>
      </c>
      <c r="F482" s="711" t="s">
        <v>697</v>
      </c>
      <c r="G482" s="710"/>
      <c r="H482" s="710"/>
      <c r="I482" s="729"/>
      <c r="J482" s="730">
        <f>SUM(J483:J485)</f>
        <v>504</v>
      </c>
      <c r="K482" s="732"/>
      <c r="L482" s="715"/>
    </row>
    <row r="483" spans="1:12" ht="9.1999999999999993" customHeight="1">
      <c r="B483" s="720"/>
      <c r="C483" s="717"/>
      <c r="D483" s="717"/>
      <c r="E483" s="710">
        <v>1</v>
      </c>
      <c r="F483" s="718" t="s">
        <v>698</v>
      </c>
      <c r="G483" s="718"/>
      <c r="H483" s="718"/>
      <c r="I483" s="733"/>
      <c r="J483" s="714">
        <f>VLOOKUP(C463,'Luong VP'!$B$10:$AP$189,37,0)</f>
        <v>504</v>
      </c>
      <c r="K483" s="732"/>
      <c r="L483" s="715"/>
    </row>
    <row r="484" spans="1:12" ht="9.1999999999999993" customHeight="1">
      <c r="B484" s="720"/>
      <c r="C484" s="717"/>
      <c r="D484" s="717"/>
      <c r="E484" s="710">
        <v>2</v>
      </c>
      <c r="F484" s="718" t="s">
        <v>244</v>
      </c>
      <c r="G484" s="718"/>
      <c r="H484" s="718"/>
      <c r="I484" s="729"/>
      <c r="J484" s="714">
        <f>VLOOKUP(C463,'Luong VP'!$B$10:$AP$189,39,0)</f>
        <v>0</v>
      </c>
      <c r="K484" s="734"/>
      <c r="L484" s="735"/>
    </row>
    <row r="485" spans="1:12" ht="9.1999999999999993" customHeight="1">
      <c r="B485" s="720"/>
      <c r="C485" s="717"/>
      <c r="D485" s="717"/>
      <c r="E485" s="710"/>
      <c r="F485" s="718" t="s">
        <v>699</v>
      </c>
      <c r="G485" s="718"/>
      <c r="H485" s="718"/>
      <c r="I485" s="729"/>
      <c r="J485" s="714"/>
      <c r="K485" s="714"/>
      <c r="L485" s="736"/>
    </row>
    <row r="486" spans="1:12" ht="9.1999999999999993" customHeight="1">
      <c r="B486" s="720"/>
      <c r="C486" s="717"/>
      <c r="D486" s="717"/>
      <c r="E486" s="710" t="s">
        <v>700</v>
      </c>
      <c r="F486" s="710" t="s">
        <v>246</v>
      </c>
      <c r="G486" s="710"/>
      <c r="H486" s="710"/>
      <c r="I486" s="729"/>
      <c r="J486" s="728">
        <f>J481-J482</f>
        <v>17408.307692307691</v>
      </c>
      <c r="K486" s="728">
        <f>ROUND(J486,-1)</f>
        <v>17410</v>
      </c>
      <c r="L486" s="710"/>
    </row>
    <row r="487" spans="1:12" ht="9.1999999999999993" customHeight="1">
      <c r="B487" s="720"/>
      <c r="C487" s="717"/>
      <c r="D487" s="717"/>
      <c r="E487" s="715"/>
      <c r="F487" s="715"/>
      <c r="G487" s="715"/>
      <c r="I487" s="715" t="s">
        <v>701</v>
      </c>
      <c r="J487" s="737"/>
      <c r="K487" s="737"/>
      <c r="L487" s="715"/>
    </row>
    <row r="488" spans="1:12" ht="9.1999999999999993" customHeight="1">
      <c r="B488" s="720"/>
      <c r="C488" s="717"/>
      <c r="D488" s="717"/>
      <c r="E488" s="715"/>
      <c r="F488" s="715"/>
      <c r="G488" s="715"/>
      <c r="I488" s="715"/>
      <c r="J488" s="737"/>
      <c r="K488" s="737"/>
      <c r="L488" s="715"/>
    </row>
    <row r="489" spans="1:12" ht="9.1999999999999993" customHeight="1">
      <c r="B489" s="720"/>
      <c r="C489" s="717"/>
      <c r="D489" s="717"/>
      <c r="E489" s="715"/>
      <c r="F489" s="715"/>
      <c r="G489" s="715"/>
      <c r="I489" s="715"/>
      <c r="J489" s="737"/>
      <c r="K489" s="737"/>
      <c r="L489" s="715"/>
    </row>
    <row r="490" spans="1:12" ht="9.1999999999999993" customHeight="1">
      <c r="B490" s="720"/>
      <c r="C490" s="717"/>
      <c r="D490" s="717"/>
      <c r="E490" s="715"/>
      <c r="F490" s="715"/>
      <c r="G490" s="715"/>
      <c r="I490" s="715"/>
      <c r="J490" s="737"/>
      <c r="K490" s="737"/>
      <c r="L490" s="715"/>
    </row>
    <row r="491" spans="1:12" ht="9.1999999999999993" customHeight="1">
      <c r="B491" s="720"/>
      <c r="C491" s="717"/>
      <c r="D491" s="717"/>
      <c r="E491" s="715"/>
      <c r="F491" s="715"/>
      <c r="G491" s="715"/>
      <c r="I491" s="715"/>
      <c r="J491" s="737"/>
      <c r="K491" s="737"/>
      <c r="L491" s="715"/>
    </row>
    <row r="493" spans="1:12" ht="9.1999999999999993" customHeight="1">
      <c r="C493" s="696"/>
      <c r="D493" s="696"/>
      <c r="E493" s="697" t="str">
        <f>$E$2</f>
        <v>THẺ LƯƠNG THÁNG 08/2019</v>
      </c>
      <c r="F493" s="698"/>
      <c r="G493" s="698"/>
      <c r="H493" s="698"/>
    </row>
    <row r="494" spans="1:12" ht="9.1999999999999993" customHeight="1">
      <c r="B494" s="699" t="s">
        <v>644</v>
      </c>
      <c r="C494" s="700" t="s">
        <v>301</v>
      </c>
      <c r="D494" s="701"/>
      <c r="F494" s="702" t="s">
        <v>645</v>
      </c>
      <c r="G494" s="689" t="str">
        <f>VLOOKUP(C494,'Luong VP'!$B$10:$AP$189,2,0)</f>
        <v xml:space="preserve"> Nguyễn Văn Bảy </v>
      </c>
    </row>
    <row r="495" spans="1:12" ht="9.1999999999999993" customHeight="1">
      <c r="B495" s="699" t="s">
        <v>646</v>
      </c>
      <c r="C495" s="689" t="str">
        <f>VLOOKUP(C494,'Luong VP'!$B$10:$AP$189,3,0)</f>
        <v>GIÁM ĐỐC TCKT</v>
      </c>
      <c r="F495" s="702" t="s">
        <v>647</v>
      </c>
      <c r="G495" s="689">
        <f>VLOOKUP(C494,'Luong VP'!$B$10:$AP$189,5,0)</f>
        <v>3</v>
      </c>
    </row>
    <row r="496" spans="1:12" ht="9.1999999999999993" customHeight="1">
      <c r="B496" s="703"/>
      <c r="C496" s="704"/>
      <c r="D496" s="705"/>
      <c r="F496" s="706" t="s">
        <v>648</v>
      </c>
      <c r="G496" s="706"/>
      <c r="H496" s="706"/>
      <c r="I496" s="725"/>
      <c r="J496" s="726"/>
    </row>
    <row r="497" spans="1:12" ht="9.1999999999999993" customHeight="1">
      <c r="A497" s="707" t="s">
        <v>216</v>
      </c>
      <c r="B497" s="707" t="s">
        <v>649</v>
      </c>
      <c r="C497" s="708" t="s">
        <v>650</v>
      </c>
      <c r="D497" s="709"/>
      <c r="E497" s="710" t="s">
        <v>216</v>
      </c>
      <c r="F497" s="711" t="s">
        <v>649</v>
      </c>
      <c r="G497" s="710"/>
      <c r="H497" s="710" t="s">
        <v>651</v>
      </c>
      <c r="I497" s="727" t="s">
        <v>652</v>
      </c>
      <c r="J497" s="714"/>
      <c r="L497" s="694" t="s">
        <v>653</v>
      </c>
    </row>
    <row r="498" spans="1:12" ht="9.1999999999999993" customHeight="1">
      <c r="A498" s="712">
        <v>1</v>
      </c>
      <c r="B498" s="713" t="s">
        <v>654</v>
      </c>
      <c r="C498" s="714">
        <f>VLOOKUP(C494,'Luong VP'!$B$10:$AP$189,9,0)</f>
        <v>36680</v>
      </c>
      <c r="D498" s="715"/>
      <c r="E498" s="710" t="s">
        <v>655</v>
      </c>
      <c r="F498" s="716" t="s">
        <v>656</v>
      </c>
      <c r="G498" s="710"/>
      <c r="H498" s="710"/>
      <c r="I498" s="727"/>
      <c r="J498" s="714">
        <f>VLOOKUP(C494,'Luong VP'!$B$10:$AP$189,21,0)</f>
        <v>42514</v>
      </c>
    </row>
    <row r="499" spans="1:12" ht="9.1999999999999993" customHeight="1">
      <c r="A499" s="712">
        <v>2</v>
      </c>
      <c r="B499" s="713" t="s">
        <v>658</v>
      </c>
      <c r="C499" s="714"/>
      <c r="D499" s="717"/>
      <c r="E499" s="710">
        <v>1</v>
      </c>
      <c r="F499" s="718" t="s">
        <v>659</v>
      </c>
      <c r="G499" s="718"/>
      <c r="H499" s="710" t="s">
        <v>660</v>
      </c>
      <c r="I499" s="727">
        <f>VLOOKUP(C494,'Luong VP'!$B$10:$AP$189,22,0)</f>
        <v>26</v>
      </c>
      <c r="J499" s="728">
        <f>J498/'Cham cong'!$AS$3*I499</f>
        <v>42514</v>
      </c>
    </row>
    <row r="500" spans="1:12" ht="9.1999999999999993" customHeight="1">
      <c r="A500" s="712">
        <v>3</v>
      </c>
      <c r="B500" s="713" t="s">
        <v>661</v>
      </c>
      <c r="C500" s="714">
        <f>VLOOKUP(C494,'Luong VP'!$B$10:$AP$189,10,0)</f>
        <v>0</v>
      </c>
      <c r="D500" s="717"/>
      <c r="E500" s="710">
        <v>2</v>
      </c>
      <c r="F500" s="718" t="s">
        <v>662</v>
      </c>
      <c r="G500" s="718"/>
      <c r="H500" s="710" t="s">
        <v>660</v>
      </c>
      <c r="I500" s="727">
        <f>VLOOKUP(C494,'Luong VP'!$B$10:$AP$189,27,0)</f>
        <v>0</v>
      </c>
      <c r="J500" s="728">
        <f>J498/'Cham cong'!$AS$3*I500*3</f>
        <v>0</v>
      </c>
    </row>
    <row r="501" spans="1:12" ht="9.1999999999999993" customHeight="1">
      <c r="A501" s="712">
        <v>4</v>
      </c>
      <c r="B501" s="713" t="s">
        <v>666</v>
      </c>
      <c r="C501" s="714">
        <f>VLOOKUP(C494,'Luong VP'!$B$10:$AP$189,11,0)</f>
        <v>3000</v>
      </c>
      <c r="D501" s="717"/>
      <c r="E501" s="710">
        <v>3</v>
      </c>
      <c r="F501" s="718" t="s">
        <v>667</v>
      </c>
      <c r="G501" s="718"/>
      <c r="H501" s="710" t="s">
        <v>668</v>
      </c>
      <c r="I501" s="727">
        <f>VLOOKUP(C494,'Luong VP'!$B$10:$AP$189,26,0)</f>
        <v>0</v>
      </c>
      <c r="J501" s="728">
        <f>J498/'Cham cong'!$AS$3*I501/8*1.5</f>
        <v>0</v>
      </c>
    </row>
    <row r="502" spans="1:12" ht="9.1999999999999993" customHeight="1">
      <c r="A502" s="712">
        <v>5</v>
      </c>
      <c r="B502" s="713" t="s">
        <v>670</v>
      </c>
      <c r="C502" s="714">
        <f>VLOOKUP(C494,'Luong VP'!$B$10:$AP$189,12,0)</f>
        <v>1834</v>
      </c>
      <c r="D502" s="717"/>
      <c r="E502" s="710">
        <v>4</v>
      </c>
      <c r="F502" s="718" t="s">
        <v>671</v>
      </c>
      <c r="G502" s="718"/>
      <c r="H502" s="710" t="s">
        <v>668</v>
      </c>
      <c r="I502" s="727">
        <f>VLOOKUP(C494,'Luong VP'!$B$10:$AP$189,25,0)</f>
        <v>0</v>
      </c>
      <c r="J502" s="728">
        <f>J498/'Cham cong'!$AS$3*I502/8*2</f>
        <v>0</v>
      </c>
    </row>
    <row r="503" spans="1:12" ht="9.1999999999999993" customHeight="1">
      <c r="A503" s="712">
        <v>6</v>
      </c>
      <c r="B503" s="713" t="s">
        <v>673</v>
      </c>
      <c r="C503" s="714">
        <f>VLOOKUP(C494,'Luong VP'!$B$10:$AP$189,13,0)</f>
        <v>0</v>
      </c>
      <c r="D503" s="717"/>
      <c r="E503" s="710">
        <v>5</v>
      </c>
      <c r="F503" s="718" t="s">
        <v>674</v>
      </c>
      <c r="G503" s="718"/>
      <c r="H503" s="710" t="s">
        <v>660</v>
      </c>
      <c r="I503" s="727">
        <f>VLOOKUP(C494,'Luong VP'!$B$10:$AP$189,23,0)</f>
        <v>0</v>
      </c>
      <c r="J503" s="728">
        <f>C498/'Cham cong'!$AS$3*I503</f>
        <v>0</v>
      </c>
      <c r="L503" s="694" t="str">
        <f>G494</f>
        <v xml:space="preserve"> Nguyễn Văn Bảy </v>
      </c>
    </row>
    <row r="504" spans="1:12" ht="9.1999999999999993" customHeight="1">
      <c r="A504" s="712">
        <v>7</v>
      </c>
      <c r="B504" s="713" t="s">
        <v>676</v>
      </c>
      <c r="C504" s="714"/>
      <c r="D504" s="717"/>
      <c r="E504" s="710">
        <v>6</v>
      </c>
      <c r="F504" s="718" t="s">
        <v>677</v>
      </c>
      <c r="G504" s="718"/>
      <c r="H504" s="710" t="s">
        <v>660</v>
      </c>
      <c r="I504" s="727">
        <f>VLOOKUP(C494,'Luong VP'!$B$10:$AP$189,24,0)</f>
        <v>1</v>
      </c>
      <c r="J504" s="714">
        <f>C498/'Cham cong'!$AS$3*I504</f>
        <v>1410.7692307692307</v>
      </c>
    </row>
    <row r="505" spans="1:12" ht="9.1999999999999993" customHeight="1">
      <c r="A505" s="712">
        <v>8</v>
      </c>
      <c r="B505" s="713" t="s">
        <v>679</v>
      </c>
      <c r="C505" s="714">
        <f>VLOOKUP(C494,'Luong VP'!$B$10:$AP$189,14,0)</f>
        <v>1000</v>
      </c>
      <c r="D505" s="717"/>
      <c r="E505" s="710">
        <v>7</v>
      </c>
      <c r="F505" s="718" t="s">
        <v>680</v>
      </c>
      <c r="G505" s="718"/>
      <c r="H505" s="718"/>
      <c r="I505" s="729"/>
      <c r="J505" s="714">
        <f>VLOOKUP(C494,'Luong VP'!$B$10:$AP$189,28,0)</f>
        <v>0</v>
      </c>
    </row>
    <row r="506" spans="1:12" ht="9.1999999999999993" customHeight="1">
      <c r="A506" s="712">
        <v>9</v>
      </c>
      <c r="B506" s="713" t="s">
        <v>683</v>
      </c>
      <c r="C506" s="714">
        <f>VLOOKUP(C494,'Luong VP'!$B$10:$AP$189,15,0)</f>
        <v>1000</v>
      </c>
      <c r="D506" s="717"/>
      <c r="E506" s="710">
        <v>8</v>
      </c>
      <c r="F506" s="718" t="s">
        <v>238</v>
      </c>
      <c r="G506" s="718"/>
      <c r="H506" s="718"/>
      <c r="I506" s="729"/>
      <c r="J506" s="714">
        <f>VLOOKUP(C494,'Luong VP'!$B$10:$AP$189,33,0)</f>
        <v>0</v>
      </c>
    </row>
    <row r="507" spans="1:12" ht="9.1999999999999993" customHeight="1">
      <c r="A507" s="712">
        <v>10</v>
      </c>
      <c r="B507" s="713" t="s">
        <v>685</v>
      </c>
      <c r="C507" s="714">
        <f>VLOOKUP(C494,'Luong VP'!$B$10:$AP$189,16,0)</f>
        <v>0</v>
      </c>
      <c r="D507" s="717"/>
      <c r="E507" s="710" t="s">
        <v>686</v>
      </c>
      <c r="F507" s="716" t="s">
        <v>687</v>
      </c>
      <c r="G507" s="719"/>
      <c r="H507" s="719"/>
      <c r="I507" s="729"/>
      <c r="J507" s="730"/>
    </row>
    <row r="508" spans="1:12" ht="9.1999999999999993" customHeight="1">
      <c r="A508" s="712">
        <v>11</v>
      </c>
      <c r="B508" s="713" t="s">
        <v>688</v>
      </c>
      <c r="C508" s="714">
        <f>VLOOKUP(C494,'Luong VP'!$B$10:$AP$189,17,0)</f>
        <v>0</v>
      </c>
      <c r="D508" s="717"/>
      <c r="E508" s="710">
        <v>1</v>
      </c>
      <c r="F508" s="716" t="s">
        <v>689</v>
      </c>
      <c r="G508" s="719"/>
      <c r="H508" s="719"/>
      <c r="I508" s="714">
        <f>VLOOKUP(C494,'Luong VP'!$B$10:$AP$189,30,0)</f>
        <v>0</v>
      </c>
      <c r="J508" s="714">
        <f>VLOOKUP(C494,'Luong VP'!$B$10:$AP$189,30,0)</f>
        <v>0</v>
      </c>
    </row>
    <row r="509" spans="1:12" ht="9.1999999999999993" customHeight="1">
      <c r="A509" s="712">
        <v>12</v>
      </c>
      <c r="B509" s="713" t="s">
        <v>691</v>
      </c>
      <c r="C509" s="714">
        <f>VLOOKUP(C494,'Luong VP'!$B$10:$AP$189,18,0)</f>
        <v>0</v>
      </c>
      <c r="D509" s="717"/>
      <c r="E509" s="710">
        <v>2</v>
      </c>
      <c r="F509" s="718" t="s">
        <v>239</v>
      </c>
      <c r="G509" s="718"/>
      <c r="H509" s="718"/>
      <c r="I509" s="727"/>
      <c r="J509" s="728">
        <f>VLOOKUP(C494,'Luong VP'!$B$10:$AP$189,34,0)</f>
        <v>0</v>
      </c>
      <c r="K509" s="731"/>
      <c r="L509" s="715"/>
    </row>
    <row r="510" spans="1:12" ht="9.1999999999999993" customHeight="1">
      <c r="A510" s="712">
        <v>13</v>
      </c>
      <c r="B510" s="713" t="s">
        <v>692</v>
      </c>
      <c r="C510" s="714">
        <f>VLOOKUP(C494,'Luong VP'!$B$10:$AP$189,19,0)</f>
        <v>0</v>
      </c>
      <c r="D510" s="717"/>
      <c r="E510" s="710">
        <v>3</v>
      </c>
      <c r="F510" s="716" t="s">
        <v>693</v>
      </c>
      <c r="G510" s="719"/>
      <c r="H510" s="719"/>
      <c r="I510" s="729"/>
      <c r="J510" s="714">
        <f>VLOOKUP(C494,'Luong VP'!$B$10:$AP$189,40,0)</f>
        <v>0</v>
      </c>
      <c r="K510" s="731"/>
      <c r="L510" s="715"/>
    </row>
    <row r="511" spans="1:12" ht="9.1999999999999993" customHeight="1">
      <c r="A511" s="712">
        <v>14</v>
      </c>
      <c r="B511" s="713" t="s">
        <v>694</v>
      </c>
      <c r="C511" s="714">
        <f>VLOOKUP(C494,'Luong VP'!$B$10:$AP$189,20,0)</f>
        <v>0</v>
      </c>
      <c r="D511" s="717"/>
      <c r="E511" s="710">
        <v>4</v>
      </c>
      <c r="F511" s="718" t="s">
        <v>695</v>
      </c>
      <c r="G511" s="719"/>
      <c r="H511" s="719"/>
      <c r="I511" s="729"/>
      <c r="J511" s="714">
        <f>VLOOKUP(C494,'Luong VP'!$B$10:$AP$189,35,0)</f>
        <v>30000</v>
      </c>
      <c r="K511" s="732"/>
      <c r="L511" s="715"/>
    </row>
    <row r="512" spans="1:12" ht="9.1999999999999993" customHeight="1">
      <c r="A512" s="712"/>
      <c r="B512" s="707" t="s">
        <v>656</v>
      </c>
      <c r="C512" s="714">
        <f>SUM(C498:C511)</f>
        <v>43514</v>
      </c>
      <c r="D512" s="717"/>
      <c r="E512" s="710"/>
      <c r="F512" s="716" t="s">
        <v>241</v>
      </c>
      <c r="G512" s="719"/>
      <c r="H512" s="719"/>
      <c r="I512" s="729"/>
      <c r="J512" s="730">
        <f>SUM(J499:J511)+C506</f>
        <v>74924.769230769234</v>
      </c>
      <c r="K512" s="731"/>
      <c r="L512" s="715"/>
    </row>
    <row r="513" spans="1:12" ht="9.1999999999999993" customHeight="1">
      <c r="B513" s="720"/>
      <c r="C513" s="717"/>
      <c r="D513" s="717"/>
      <c r="E513" s="710" t="s">
        <v>696</v>
      </c>
      <c r="F513" s="711" t="s">
        <v>697</v>
      </c>
      <c r="G513" s="710"/>
      <c r="H513" s="710"/>
      <c r="I513" s="729"/>
      <c r="J513" s="730">
        <f>SUM(J514:J516)</f>
        <v>0</v>
      </c>
      <c r="K513" s="732"/>
      <c r="L513" s="715"/>
    </row>
    <row r="514" spans="1:12" ht="9.1999999999999993" customHeight="1">
      <c r="B514" s="720"/>
      <c r="C514" s="717"/>
      <c r="D514" s="717"/>
      <c r="E514" s="710">
        <v>1</v>
      </c>
      <c r="F514" s="718" t="s">
        <v>698</v>
      </c>
      <c r="G514" s="718"/>
      <c r="H514" s="718"/>
      <c r="I514" s="733"/>
      <c r="J514" s="714">
        <f>VLOOKUP(C494,'Luong VP'!$B$10:$AP$189,37,0)</f>
        <v>0</v>
      </c>
      <c r="K514" s="732"/>
      <c r="L514" s="715"/>
    </row>
    <row r="515" spans="1:12" ht="9.1999999999999993" customHeight="1">
      <c r="B515" s="720"/>
      <c r="C515" s="717"/>
      <c r="D515" s="717"/>
      <c r="E515" s="710">
        <v>2</v>
      </c>
      <c r="F515" s="718" t="s">
        <v>244</v>
      </c>
      <c r="G515" s="718"/>
      <c r="H515" s="718"/>
      <c r="I515" s="729"/>
      <c r="J515" s="714">
        <f>VLOOKUP(C494,'Luong VP'!$B$10:$AP$189,39,0)</f>
        <v>0</v>
      </c>
      <c r="K515" s="734"/>
      <c r="L515" s="735"/>
    </row>
    <row r="516" spans="1:12" ht="9.1999999999999993" customHeight="1">
      <c r="B516" s="720"/>
      <c r="C516" s="717"/>
      <c r="D516" s="717"/>
      <c r="E516" s="710"/>
      <c r="F516" s="718" t="s">
        <v>699</v>
      </c>
      <c r="G516" s="718"/>
      <c r="H516" s="718"/>
      <c r="I516" s="729"/>
      <c r="J516" s="714"/>
      <c r="K516" s="714"/>
      <c r="L516" s="736"/>
    </row>
    <row r="517" spans="1:12" ht="9.1999999999999993" customHeight="1">
      <c r="B517" s="720"/>
      <c r="C517" s="717"/>
      <c r="D517" s="717"/>
      <c r="E517" s="710" t="s">
        <v>700</v>
      </c>
      <c r="F517" s="710" t="s">
        <v>246</v>
      </c>
      <c r="G517" s="710"/>
      <c r="H517" s="710"/>
      <c r="I517" s="729"/>
      <c r="J517" s="728">
        <f>J512-J513</f>
        <v>74924.769230769234</v>
      </c>
      <c r="K517" s="728">
        <f>ROUND(J517,-1)</f>
        <v>74920</v>
      </c>
      <c r="L517" s="710"/>
    </row>
    <row r="518" spans="1:12" ht="9.1999999999999993" customHeight="1">
      <c r="B518" s="720"/>
      <c r="C518" s="717"/>
      <c r="D518" s="717"/>
      <c r="E518" s="715"/>
      <c r="F518" s="715"/>
      <c r="G518" s="715"/>
      <c r="I518" s="715" t="s">
        <v>701</v>
      </c>
      <c r="J518" s="737"/>
      <c r="K518" s="737"/>
      <c r="L518" s="715"/>
    </row>
    <row r="519" spans="1:12" ht="9.1999999999999993" customHeight="1">
      <c r="B519" s="720"/>
      <c r="C519" s="717"/>
      <c r="D519" s="717"/>
      <c r="E519" s="715"/>
      <c r="F519" s="715"/>
      <c r="G519" s="715"/>
      <c r="I519" s="715"/>
      <c r="J519" s="737"/>
      <c r="K519" s="737"/>
      <c r="L519" s="715"/>
    </row>
    <row r="523" spans="1:12" ht="9.1999999999999993" customHeight="1">
      <c r="C523" s="696"/>
      <c r="D523" s="696"/>
      <c r="E523" s="697" t="str">
        <f>$E$2</f>
        <v>THẺ LƯƠNG THÁNG 08/2019</v>
      </c>
      <c r="F523" s="698"/>
      <c r="G523" s="698"/>
      <c r="H523" s="698"/>
    </row>
    <row r="524" spans="1:12" ht="9.1999999999999993" customHeight="1">
      <c r="B524" s="699" t="s">
        <v>644</v>
      </c>
      <c r="C524" s="700" t="s">
        <v>303</v>
      </c>
      <c r="D524" s="701"/>
      <c r="F524" s="702" t="s">
        <v>645</v>
      </c>
      <c r="G524" s="689" t="str">
        <f>VLOOKUP(C524,'Luong VP'!$B$10:$AP$189,2,0)</f>
        <v xml:space="preserve"> Ninh Phương Hạnh </v>
      </c>
    </row>
    <row r="525" spans="1:12" ht="9.1999999999999993" customHeight="1">
      <c r="B525" s="699" t="s">
        <v>646</v>
      </c>
      <c r="C525" s="689" t="str">
        <f>VLOOKUP(C524,'Luong VP'!$B$10:$AP$189,3,0)</f>
        <v>Thủ quỹ</v>
      </c>
      <c r="F525" s="702" t="s">
        <v>647</v>
      </c>
      <c r="G525" s="689">
        <f>VLOOKUP(C524,'Luong VP'!$B$10:$AP$189,5,0)</f>
        <v>3</v>
      </c>
    </row>
    <row r="526" spans="1:12" ht="9.1999999999999993" customHeight="1">
      <c r="B526" s="703"/>
      <c r="C526" s="704"/>
      <c r="D526" s="705"/>
      <c r="F526" s="706" t="s">
        <v>648</v>
      </c>
      <c r="G526" s="706"/>
      <c r="H526" s="706"/>
      <c r="I526" s="725"/>
      <c r="J526" s="726"/>
    </row>
    <row r="527" spans="1:12" ht="9.1999999999999993" customHeight="1">
      <c r="A527" s="707" t="s">
        <v>216</v>
      </c>
      <c r="B527" s="707" t="s">
        <v>649</v>
      </c>
      <c r="C527" s="708" t="s">
        <v>650</v>
      </c>
      <c r="D527" s="709"/>
      <c r="E527" s="710" t="s">
        <v>216</v>
      </c>
      <c r="F527" s="711" t="s">
        <v>649</v>
      </c>
      <c r="G527" s="710"/>
      <c r="H527" s="710" t="s">
        <v>651</v>
      </c>
      <c r="I527" s="727" t="s">
        <v>652</v>
      </c>
      <c r="J527" s="714"/>
      <c r="L527" s="694" t="s">
        <v>653</v>
      </c>
    </row>
    <row r="528" spans="1:12" ht="9.1999999999999993" customHeight="1">
      <c r="A528" s="712">
        <v>1</v>
      </c>
      <c r="B528" s="713" t="s">
        <v>654</v>
      </c>
      <c r="C528" s="714">
        <f>VLOOKUP(C524,'Luong VP'!$B$10:$AP$189,9,0)</f>
        <v>8510</v>
      </c>
      <c r="D528" s="715"/>
      <c r="E528" s="710" t="s">
        <v>655</v>
      </c>
      <c r="F528" s="716" t="s">
        <v>656</v>
      </c>
      <c r="G528" s="710"/>
      <c r="H528" s="710"/>
      <c r="I528" s="727"/>
      <c r="J528" s="714">
        <f>VLOOKUP(C524,'Luong VP'!$B$10:$AP$189,21,0)</f>
        <v>11275.9</v>
      </c>
    </row>
    <row r="529" spans="1:12" ht="9.1999999999999993" customHeight="1">
      <c r="A529" s="712">
        <v>2</v>
      </c>
      <c r="B529" s="713" t="s">
        <v>658</v>
      </c>
      <c r="C529" s="714"/>
      <c r="D529" s="717"/>
      <c r="E529" s="710">
        <v>1</v>
      </c>
      <c r="F529" s="718" t="s">
        <v>659</v>
      </c>
      <c r="G529" s="718"/>
      <c r="H529" s="710" t="s">
        <v>660</v>
      </c>
      <c r="I529" s="727">
        <f>VLOOKUP(C524,'Luong VP'!$B$10:$AP$189,22,0)</f>
        <v>26</v>
      </c>
      <c r="J529" s="728">
        <f>J528/'Cham cong'!$AS$3*I529</f>
        <v>11275.9</v>
      </c>
    </row>
    <row r="530" spans="1:12" ht="9.1999999999999993" customHeight="1">
      <c r="A530" s="712">
        <v>3</v>
      </c>
      <c r="B530" s="713" t="s">
        <v>661</v>
      </c>
      <c r="C530" s="714">
        <f>VLOOKUP(C524,'Luong VP'!$B$10:$AP$189,10,0)</f>
        <v>0</v>
      </c>
      <c r="D530" s="717"/>
      <c r="E530" s="710">
        <v>2</v>
      </c>
      <c r="F530" s="718" t="s">
        <v>662</v>
      </c>
      <c r="G530" s="718"/>
      <c r="H530" s="710" t="s">
        <v>660</v>
      </c>
      <c r="I530" s="727">
        <f>VLOOKUP(C524,'Luong VP'!$B$10:$AP$189,27,0)</f>
        <v>0</v>
      </c>
      <c r="J530" s="728">
        <f>J528/'Cham cong'!$AS$3*I530*3</f>
        <v>0</v>
      </c>
    </row>
    <row r="531" spans="1:12" ht="9.1999999999999993" customHeight="1">
      <c r="A531" s="712">
        <v>4</v>
      </c>
      <c r="B531" s="713" t="s">
        <v>666</v>
      </c>
      <c r="C531" s="714">
        <f>VLOOKUP(C524,'Luong VP'!$B$10:$AP$189,11,0)</f>
        <v>2000</v>
      </c>
      <c r="D531" s="717"/>
      <c r="E531" s="710">
        <v>3</v>
      </c>
      <c r="F531" s="718" t="s">
        <v>667</v>
      </c>
      <c r="G531" s="718"/>
      <c r="H531" s="710" t="s">
        <v>668</v>
      </c>
      <c r="I531" s="727">
        <f>VLOOKUP(C524,'Luong VP'!$B$10:$AP$189,26,0)</f>
        <v>0</v>
      </c>
      <c r="J531" s="728">
        <f>J528/'Cham cong'!$AS$3*I531/8*1.5</f>
        <v>0</v>
      </c>
    </row>
    <row r="532" spans="1:12" ht="9.1999999999999993" customHeight="1">
      <c r="A532" s="712">
        <v>5</v>
      </c>
      <c r="B532" s="713" t="s">
        <v>670</v>
      </c>
      <c r="C532" s="714">
        <f>VLOOKUP(C524,'Luong VP'!$B$10:$AP$189,12,0)</f>
        <v>765.9</v>
      </c>
      <c r="D532" s="717"/>
      <c r="E532" s="710">
        <v>4</v>
      </c>
      <c r="F532" s="718" t="s">
        <v>671</v>
      </c>
      <c r="G532" s="718"/>
      <c r="H532" s="710" t="s">
        <v>668</v>
      </c>
      <c r="I532" s="727">
        <f>VLOOKUP(C524,'Luong VP'!$B$10:$AP$189,25,0)</f>
        <v>0</v>
      </c>
      <c r="J532" s="728">
        <f>J528/'Cham cong'!$AS$3*I532/8*2</f>
        <v>0</v>
      </c>
    </row>
    <row r="533" spans="1:12" ht="9.1999999999999993" customHeight="1">
      <c r="A533" s="712">
        <v>6</v>
      </c>
      <c r="B533" s="713" t="s">
        <v>673</v>
      </c>
      <c r="C533" s="714">
        <f>VLOOKUP(C524,'Luong VP'!$B$10:$AP$189,13,0)</f>
        <v>0</v>
      </c>
      <c r="D533" s="717"/>
      <c r="E533" s="710">
        <v>5</v>
      </c>
      <c r="F533" s="718" t="s">
        <v>674</v>
      </c>
      <c r="G533" s="718"/>
      <c r="H533" s="710" t="s">
        <v>660</v>
      </c>
      <c r="I533" s="727">
        <f>VLOOKUP(C524,'Luong VP'!$B$10:$AP$189,23,0)</f>
        <v>0</v>
      </c>
      <c r="J533" s="728">
        <f>C528/'Cham cong'!$AS$3*I533</f>
        <v>0</v>
      </c>
      <c r="L533" s="694" t="str">
        <f>G524</f>
        <v xml:space="preserve"> Ninh Phương Hạnh </v>
      </c>
    </row>
    <row r="534" spans="1:12" ht="9.1999999999999993" customHeight="1">
      <c r="A534" s="712">
        <v>7</v>
      </c>
      <c r="B534" s="713" t="s">
        <v>676</v>
      </c>
      <c r="C534" s="714"/>
      <c r="D534" s="717"/>
      <c r="E534" s="710">
        <v>6</v>
      </c>
      <c r="F534" s="718" t="s">
        <v>677</v>
      </c>
      <c r="G534" s="718"/>
      <c r="H534" s="710" t="s">
        <v>660</v>
      </c>
      <c r="I534" s="727">
        <f>VLOOKUP(C524,'Luong VP'!$B$10:$AP$189,24,0)</f>
        <v>1</v>
      </c>
      <c r="J534" s="714">
        <f>C528/'Cham cong'!$AS$3*I534</f>
        <v>327.30769230769232</v>
      </c>
    </row>
    <row r="535" spans="1:12" ht="9.1999999999999993" customHeight="1">
      <c r="A535" s="712">
        <v>8</v>
      </c>
      <c r="B535" s="713" t="s">
        <v>679</v>
      </c>
      <c r="C535" s="714">
        <f>VLOOKUP(C524,'Luong VP'!$B$10:$AP$189,14,0)</f>
        <v>0</v>
      </c>
      <c r="D535" s="717"/>
      <c r="E535" s="710">
        <v>7</v>
      </c>
      <c r="F535" s="718" t="s">
        <v>680</v>
      </c>
      <c r="G535" s="718"/>
      <c r="H535" s="718"/>
      <c r="I535" s="729"/>
      <c r="J535" s="714">
        <f>VLOOKUP(C524,'Luong VP'!$B$10:$AP$189,28,0)</f>
        <v>0</v>
      </c>
    </row>
    <row r="536" spans="1:12" ht="9.1999999999999993" customHeight="1">
      <c r="A536" s="712">
        <v>9</v>
      </c>
      <c r="B536" s="713" t="s">
        <v>683</v>
      </c>
      <c r="C536" s="714">
        <f>VLOOKUP(C524,'Luong VP'!$B$10:$AP$189,15,0)</f>
        <v>0</v>
      </c>
      <c r="D536" s="717"/>
      <c r="E536" s="710">
        <v>8</v>
      </c>
      <c r="F536" s="718" t="s">
        <v>238</v>
      </c>
      <c r="G536" s="718"/>
      <c r="H536" s="718"/>
      <c r="I536" s="729"/>
      <c r="J536" s="714">
        <f>VLOOKUP(C524,'Luong VP'!$B$10:$AP$189,33,0)</f>
        <v>0</v>
      </c>
    </row>
    <row r="537" spans="1:12" ht="9.1999999999999993" customHeight="1">
      <c r="A537" s="712">
        <v>10</v>
      </c>
      <c r="B537" s="713" t="s">
        <v>685</v>
      </c>
      <c r="C537" s="714">
        <f>VLOOKUP(C524,'Luong VP'!$B$10:$AP$189,16,0)</f>
        <v>0</v>
      </c>
      <c r="D537" s="717"/>
      <c r="E537" s="710" t="s">
        <v>686</v>
      </c>
      <c r="F537" s="716" t="s">
        <v>687</v>
      </c>
      <c r="G537" s="719"/>
      <c r="H537" s="719"/>
      <c r="I537" s="729"/>
      <c r="J537" s="730"/>
    </row>
    <row r="538" spans="1:12" ht="9.1999999999999993" customHeight="1">
      <c r="A538" s="712">
        <v>11</v>
      </c>
      <c r="B538" s="713" t="s">
        <v>688</v>
      </c>
      <c r="C538" s="714">
        <f>VLOOKUP(C524,'Luong VP'!$B$10:$AP$189,17,0)</f>
        <v>0</v>
      </c>
      <c r="D538" s="717"/>
      <c r="E538" s="710">
        <v>1</v>
      </c>
      <c r="F538" s="716" t="s">
        <v>689</v>
      </c>
      <c r="G538" s="719"/>
      <c r="H538" s="719"/>
      <c r="I538" s="714">
        <f>VLOOKUP(C524,'Luong VP'!$B$10:$AP$189,30,0)</f>
        <v>0</v>
      </c>
      <c r="J538" s="714">
        <f>VLOOKUP(C524,'Luong VP'!$B$10:$AP$189,30,0)</f>
        <v>0</v>
      </c>
    </row>
    <row r="539" spans="1:12" ht="9.1999999999999993" customHeight="1">
      <c r="A539" s="712">
        <v>12</v>
      </c>
      <c r="B539" s="713" t="s">
        <v>691</v>
      </c>
      <c r="C539" s="714">
        <f>VLOOKUP(C524,'Luong VP'!$B$10:$AP$189,18,0)</f>
        <v>0</v>
      </c>
      <c r="D539" s="717"/>
      <c r="E539" s="710">
        <v>2</v>
      </c>
      <c r="F539" s="718" t="s">
        <v>239</v>
      </c>
      <c r="G539" s="718"/>
      <c r="H539" s="718"/>
      <c r="I539" s="727"/>
      <c r="J539" s="728">
        <f>VLOOKUP(C524,'Luong VP'!$B$10:$AP$189,34,0)</f>
        <v>0</v>
      </c>
      <c r="K539" s="731"/>
      <c r="L539" s="715"/>
    </row>
    <row r="540" spans="1:12" ht="9.1999999999999993" customHeight="1">
      <c r="A540" s="712">
        <v>13</v>
      </c>
      <c r="B540" s="713" t="s">
        <v>692</v>
      </c>
      <c r="C540" s="714">
        <f>VLOOKUP(C524,'Luong VP'!$B$10:$AP$189,19,0)</f>
        <v>0</v>
      </c>
      <c r="D540" s="717"/>
      <c r="E540" s="710">
        <v>3</v>
      </c>
      <c r="F540" s="716" t="s">
        <v>693</v>
      </c>
      <c r="G540" s="719"/>
      <c r="H540" s="719"/>
      <c r="I540" s="729"/>
      <c r="J540" s="714">
        <f>VLOOKUP(C524,'Luong VP'!$B$10:$AP$189,40,0)</f>
        <v>0</v>
      </c>
      <c r="K540" s="731"/>
      <c r="L540" s="715"/>
    </row>
    <row r="541" spans="1:12" ht="9.1999999999999993" customHeight="1">
      <c r="A541" s="712">
        <v>14</v>
      </c>
      <c r="B541" s="713" t="s">
        <v>694</v>
      </c>
      <c r="C541" s="714">
        <f>VLOOKUP(C524,'Luong VP'!$B$10:$AP$189,20,0)</f>
        <v>0</v>
      </c>
      <c r="D541" s="717"/>
      <c r="E541" s="710">
        <v>4</v>
      </c>
      <c r="F541" s="718" t="s">
        <v>695</v>
      </c>
      <c r="G541" s="719"/>
      <c r="H541" s="719"/>
      <c r="I541" s="729"/>
      <c r="J541" s="714">
        <f>VLOOKUP(C524,'Luong VP'!$B$10:$AP$189,35,0)</f>
        <v>0</v>
      </c>
      <c r="K541" s="732"/>
      <c r="L541" s="715"/>
    </row>
    <row r="542" spans="1:12" ht="9.1999999999999993" customHeight="1">
      <c r="A542" s="712"/>
      <c r="B542" s="707" t="s">
        <v>656</v>
      </c>
      <c r="C542" s="714">
        <f>SUM(C528:C541)</f>
        <v>11275.9</v>
      </c>
      <c r="D542" s="717"/>
      <c r="E542" s="710"/>
      <c r="F542" s="716" t="s">
        <v>241</v>
      </c>
      <c r="G542" s="719"/>
      <c r="H542" s="719"/>
      <c r="I542" s="729"/>
      <c r="J542" s="730">
        <f>SUM(J529:J541)+C536</f>
        <v>11603.207692307691</v>
      </c>
      <c r="K542" s="731"/>
      <c r="L542" s="715"/>
    </row>
    <row r="543" spans="1:12" ht="9.1999999999999993" customHeight="1">
      <c r="B543" s="720"/>
      <c r="C543" s="717"/>
      <c r="D543" s="717"/>
      <c r="E543" s="710" t="s">
        <v>696</v>
      </c>
      <c r="F543" s="711" t="s">
        <v>697</v>
      </c>
      <c r="G543" s="710"/>
      <c r="H543" s="710"/>
      <c r="I543" s="729"/>
      <c r="J543" s="730">
        <f>SUM(J544:J546)</f>
        <v>504</v>
      </c>
      <c r="K543" s="732"/>
      <c r="L543" s="715"/>
    </row>
    <row r="544" spans="1:12" ht="9.1999999999999993" customHeight="1">
      <c r="B544" s="720"/>
      <c r="C544" s="717"/>
      <c r="D544" s="717"/>
      <c r="E544" s="710">
        <v>1</v>
      </c>
      <c r="F544" s="718" t="s">
        <v>698</v>
      </c>
      <c r="G544" s="718"/>
      <c r="H544" s="718"/>
      <c r="I544" s="733"/>
      <c r="J544" s="714">
        <f>VLOOKUP(C524,'Luong VP'!$B$10:$AP$189,37,0)</f>
        <v>504</v>
      </c>
      <c r="K544" s="732"/>
      <c r="L544" s="715"/>
    </row>
    <row r="545" spans="1:12" ht="9.1999999999999993" customHeight="1">
      <c r="B545" s="720"/>
      <c r="C545" s="717"/>
      <c r="D545" s="717"/>
      <c r="E545" s="710">
        <v>2</v>
      </c>
      <c r="F545" s="718" t="s">
        <v>244</v>
      </c>
      <c r="G545" s="718"/>
      <c r="H545" s="718"/>
      <c r="I545" s="729"/>
      <c r="J545" s="714">
        <f>VLOOKUP(C524,'Luong VP'!$B$10:$AP$189,39,0)</f>
        <v>0</v>
      </c>
      <c r="K545" s="734"/>
      <c r="L545" s="735"/>
    </row>
    <row r="546" spans="1:12" ht="9.1999999999999993" customHeight="1">
      <c r="B546" s="720"/>
      <c r="C546" s="717"/>
      <c r="D546" s="717"/>
      <c r="E546" s="710"/>
      <c r="F546" s="718" t="s">
        <v>699</v>
      </c>
      <c r="G546" s="718"/>
      <c r="H546" s="718"/>
      <c r="I546" s="729"/>
      <c r="J546" s="714"/>
      <c r="K546" s="714"/>
      <c r="L546" s="736"/>
    </row>
    <row r="547" spans="1:12" ht="9.1999999999999993" customHeight="1">
      <c r="B547" s="720"/>
      <c r="C547" s="717"/>
      <c r="D547" s="717"/>
      <c r="E547" s="710" t="s">
        <v>700</v>
      </c>
      <c r="F547" s="710" t="s">
        <v>246</v>
      </c>
      <c r="G547" s="710"/>
      <c r="H547" s="710"/>
      <c r="I547" s="729"/>
      <c r="J547" s="728">
        <f>J542-J543</f>
        <v>11099.207692307691</v>
      </c>
      <c r="K547" s="728">
        <f>ROUND(J547,-1)</f>
        <v>11100</v>
      </c>
      <c r="L547" s="710"/>
    </row>
    <row r="548" spans="1:12" ht="9.1999999999999993" customHeight="1">
      <c r="B548" s="720"/>
      <c r="C548" s="717"/>
      <c r="D548" s="717"/>
      <c r="E548" s="715"/>
      <c r="F548" s="715"/>
      <c r="G548" s="715"/>
      <c r="I548" s="715" t="s">
        <v>701</v>
      </c>
      <c r="J548" s="737"/>
      <c r="K548" s="737"/>
      <c r="L548" s="715"/>
    </row>
    <row r="549" spans="1:12" ht="9.1999999999999993" customHeight="1">
      <c r="B549" s="720"/>
      <c r="C549" s="717"/>
      <c r="D549" s="717"/>
      <c r="E549" s="715"/>
      <c r="F549" s="715"/>
      <c r="G549" s="715"/>
      <c r="I549" s="715"/>
      <c r="J549" s="737"/>
      <c r="K549" s="737"/>
      <c r="L549" s="715"/>
    </row>
    <row r="550" spans="1:12" ht="9.1999999999999993" customHeight="1">
      <c r="B550" s="720"/>
      <c r="C550" s="717"/>
      <c r="D550" s="717"/>
      <c r="E550" s="715"/>
      <c r="F550" s="715"/>
      <c r="G550" s="715"/>
      <c r="I550" s="715"/>
      <c r="J550" s="737"/>
      <c r="K550" s="737"/>
      <c r="L550" s="715"/>
    </row>
    <row r="553" spans="1:12" ht="9.1999999999999993" customHeight="1">
      <c r="C553" s="696"/>
      <c r="D553" s="696"/>
      <c r="E553" s="697" t="str">
        <f>$E$2</f>
        <v>THẺ LƯƠNG THÁNG 08/2019</v>
      </c>
      <c r="F553" s="698"/>
      <c r="G553" s="698"/>
      <c r="H553" s="698"/>
    </row>
    <row r="554" spans="1:12" ht="9.1999999999999993" customHeight="1">
      <c r="B554" s="699" t="s">
        <v>644</v>
      </c>
      <c r="C554" s="700" t="s">
        <v>305</v>
      </c>
      <c r="D554" s="701"/>
      <c r="F554" s="702" t="s">
        <v>645</v>
      </c>
      <c r="G554" s="689" t="str">
        <f>VLOOKUP(C554,'Luong VP'!$B$10:$AP$189,2,0)</f>
        <v xml:space="preserve"> Nguyễn Thái Ngân  </v>
      </c>
    </row>
    <row r="555" spans="1:12" ht="9.1999999999999993" customHeight="1">
      <c r="B555" s="699" t="s">
        <v>646</v>
      </c>
      <c r="C555" s="689" t="str">
        <f>VLOOKUP(C554,'Luong VP'!$B$10:$AP$189,3,0)</f>
        <v xml:space="preserve"> Kế toán nội bộ</v>
      </c>
      <c r="F555" s="702" t="s">
        <v>647</v>
      </c>
      <c r="G555" s="689">
        <f>VLOOKUP(C554,'Luong VP'!$B$10:$AP$189,5,0)</f>
        <v>2</v>
      </c>
    </row>
    <row r="556" spans="1:12" ht="9.1999999999999993" customHeight="1">
      <c r="B556" s="703"/>
      <c r="C556" s="704"/>
      <c r="D556" s="705"/>
      <c r="F556" s="706" t="s">
        <v>648</v>
      </c>
      <c r="G556" s="706"/>
      <c r="H556" s="706"/>
      <c r="I556" s="725"/>
      <c r="J556" s="726"/>
    </row>
    <row r="557" spans="1:12" ht="9.1999999999999993" customHeight="1">
      <c r="A557" s="707" t="s">
        <v>216</v>
      </c>
      <c r="B557" s="707" t="s">
        <v>649</v>
      </c>
      <c r="C557" s="708" t="s">
        <v>650</v>
      </c>
      <c r="D557" s="709"/>
      <c r="E557" s="710" t="s">
        <v>216</v>
      </c>
      <c r="F557" s="711" t="s">
        <v>649</v>
      </c>
      <c r="G557" s="710"/>
      <c r="H557" s="710" t="s">
        <v>651</v>
      </c>
      <c r="I557" s="727" t="s">
        <v>652</v>
      </c>
      <c r="J557" s="714"/>
      <c r="L557" s="694" t="s">
        <v>653</v>
      </c>
    </row>
    <row r="558" spans="1:12" ht="9.1999999999999993" customHeight="1">
      <c r="A558" s="712">
        <v>1</v>
      </c>
      <c r="B558" s="713" t="s">
        <v>654</v>
      </c>
      <c r="C558" s="714">
        <f>VLOOKUP(C554,'Luong VP'!$B$10:$AP$189,9,0)</f>
        <v>8280</v>
      </c>
      <c r="D558" s="715"/>
      <c r="E558" s="710" t="s">
        <v>655</v>
      </c>
      <c r="F558" s="716" t="s">
        <v>656</v>
      </c>
      <c r="G558" s="710"/>
      <c r="H558" s="710"/>
      <c r="I558" s="727"/>
      <c r="J558" s="714">
        <f>VLOOKUP(C554,'Luong VP'!$B$10:$AP$189,21,0)</f>
        <v>12127.2</v>
      </c>
    </row>
    <row r="559" spans="1:12" ht="9.1999999999999993" customHeight="1">
      <c r="A559" s="712">
        <v>2</v>
      </c>
      <c r="B559" s="713" t="s">
        <v>658</v>
      </c>
      <c r="C559" s="714"/>
      <c r="D559" s="717"/>
      <c r="E559" s="710">
        <v>1</v>
      </c>
      <c r="F559" s="718" t="s">
        <v>659</v>
      </c>
      <c r="G559" s="718"/>
      <c r="H559" s="710" t="s">
        <v>660</v>
      </c>
      <c r="I559" s="727">
        <f>VLOOKUP(C554,'Luong VP'!$B$10:$AP$189,22,0)</f>
        <v>26</v>
      </c>
      <c r="J559" s="728">
        <f>J558/'Cham cong'!$AS$3*I559</f>
        <v>12127.2</v>
      </c>
    </row>
    <row r="560" spans="1:12" ht="9.1999999999999993" customHeight="1">
      <c r="A560" s="712">
        <v>3</v>
      </c>
      <c r="B560" s="713" t="s">
        <v>661</v>
      </c>
      <c r="C560" s="714">
        <f>VLOOKUP(C554,'Luong VP'!$B$10:$AP$189,10,0)</f>
        <v>0</v>
      </c>
      <c r="D560" s="717"/>
      <c r="E560" s="710">
        <v>2</v>
      </c>
      <c r="F560" s="718" t="s">
        <v>662</v>
      </c>
      <c r="G560" s="718"/>
      <c r="H560" s="710" t="s">
        <v>660</v>
      </c>
      <c r="I560" s="727">
        <f>VLOOKUP(C554,'Luong VP'!$B$10:$AP$189,27,0)</f>
        <v>0</v>
      </c>
      <c r="J560" s="728">
        <f>J558/'Cham cong'!$AS$3*I560*3</f>
        <v>0</v>
      </c>
    </row>
    <row r="561" spans="1:12" ht="9.1999999999999993" customHeight="1">
      <c r="A561" s="712">
        <v>4</v>
      </c>
      <c r="B561" s="713" t="s">
        <v>666</v>
      </c>
      <c r="C561" s="714">
        <f>VLOOKUP(C554,'Luong VP'!$B$10:$AP$189,11,0)</f>
        <v>0</v>
      </c>
      <c r="D561" s="717"/>
      <c r="E561" s="710">
        <v>3</v>
      </c>
      <c r="F561" s="718" t="s">
        <v>667</v>
      </c>
      <c r="G561" s="718"/>
      <c r="H561" s="710" t="s">
        <v>668</v>
      </c>
      <c r="I561" s="727">
        <f>VLOOKUP(C554,'Luong VP'!$B$10:$AP$189,26,0)</f>
        <v>0</v>
      </c>
      <c r="J561" s="728">
        <f>J558/'Cham cong'!$AS$3*I561/8*1.5</f>
        <v>0</v>
      </c>
    </row>
    <row r="562" spans="1:12" ht="9.1999999999999993" customHeight="1">
      <c r="A562" s="712">
        <v>5</v>
      </c>
      <c r="B562" s="713" t="s">
        <v>670</v>
      </c>
      <c r="C562" s="714">
        <f>VLOOKUP(C554,'Luong VP'!$B$10:$AP$189,12,0)</f>
        <v>331.2</v>
      </c>
      <c r="D562" s="717"/>
      <c r="E562" s="710">
        <v>4</v>
      </c>
      <c r="F562" s="718" t="s">
        <v>671</v>
      </c>
      <c r="G562" s="718"/>
      <c r="H562" s="710" t="s">
        <v>668</v>
      </c>
      <c r="I562" s="727">
        <f>VLOOKUP(C554,'Luong VP'!$B$10:$AP$189,25,0)</f>
        <v>0</v>
      </c>
      <c r="J562" s="728">
        <f>J558/'Cham cong'!$AS$3*I562/8*2</f>
        <v>0</v>
      </c>
    </row>
    <row r="563" spans="1:12" ht="9.1999999999999993" customHeight="1">
      <c r="A563" s="712">
        <v>6</v>
      </c>
      <c r="B563" s="713" t="s">
        <v>673</v>
      </c>
      <c r="C563" s="714">
        <f>VLOOKUP(C554,'Luong VP'!$B$10:$AP$189,13,0)</f>
        <v>0</v>
      </c>
      <c r="D563" s="717"/>
      <c r="E563" s="710">
        <v>5</v>
      </c>
      <c r="F563" s="718" t="s">
        <v>674</v>
      </c>
      <c r="G563" s="718"/>
      <c r="H563" s="710" t="s">
        <v>660</v>
      </c>
      <c r="I563" s="727">
        <f>VLOOKUP(C554,'Luong VP'!$B$10:$AP$189,23,0)</f>
        <v>0</v>
      </c>
      <c r="J563" s="728">
        <f>C558/'Cham cong'!$AS$3*I563</f>
        <v>0</v>
      </c>
      <c r="L563" s="694" t="str">
        <f>G554</f>
        <v xml:space="preserve"> Nguyễn Thái Ngân  </v>
      </c>
    </row>
    <row r="564" spans="1:12" ht="9.1999999999999993" customHeight="1">
      <c r="A564" s="712">
        <v>7</v>
      </c>
      <c r="B564" s="713" t="s">
        <v>676</v>
      </c>
      <c r="C564" s="714"/>
      <c r="D564" s="717"/>
      <c r="E564" s="710">
        <v>6</v>
      </c>
      <c r="F564" s="718" t="s">
        <v>677</v>
      </c>
      <c r="G564" s="718"/>
      <c r="H564" s="710" t="s">
        <v>660</v>
      </c>
      <c r="I564" s="727">
        <f>VLOOKUP(C554,'Luong VP'!$B$10:$AP$189,24,0)</f>
        <v>1</v>
      </c>
      <c r="J564" s="714">
        <f>C558/'Cham cong'!$AS$3*I564</f>
        <v>318.46153846153845</v>
      </c>
    </row>
    <row r="565" spans="1:12" ht="9.1999999999999993" customHeight="1">
      <c r="A565" s="712">
        <v>8</v>
      </c>
      <c r="B565" s="713" t="s">
        <v>679</v>
      </c>
      <c r="C565" s="714">
        <f>VLOOKUP(C554,'Luong VP'!$B$10:$AP$189,14,0)</f>
        <v>0</v>
      </c>
      <c r="D565" s="717"/>
      <c r="E565" s="710">
        <v>7</v>
      </c>
      <c r="F565" s="718" t="s">
        <v>680</v>
      </c>
      <c r="G565" s="718"/>
      <c r="H565" s="718"/>
      <c r="I565" s="729"/>
      <c r="J565" s="714">
        <f>VLOOKUP(C554,'Luong VP'!$B$10:$AP$189,28,0)</f>
        <v>0</v>
      </c>
    </row>
    <row r="566" spans="1:12" ht="9.1999999999999993" customHeight="1">
      <c r="A566" s="712">
        <v>9</v>
      </c>
      <c r="B566" s="713" t="s">
        <v>683</v>
      </c>
      <c r="C566" s="714">
        <f>VLOOKUP(C554,'Luong VP'!$B$10:$AP$189,15,0)</f>
        <v>0</v>
      </c>
      <c r="D566" s="717"/>
      <c r="E566" s="710">
        <v>8</v>
      </c>
      <c r="F566" s="718" t="s">
        <v>238</v>
      </c>
      <c r="G566" s="718"/>
      <c r="H566" s="718"/>
      <c r="I566" s="729"/>
      <c r="J566" s="714">
        <f>VLOOKUP(C554,'Luong VP'!$B$10:$AP$189,33,0)</f>
        <v>0</v>
      </c>
    </row>
    <row r="567" spans="1:12" ht="9.1999999999999993" customHeight="1">
      <c r="A567" s="712">
        <v>10</v>
      </c>
      <c r="B567" s="713" t="s">
        <v>685</v>
      </c>
      <c r="C567" s="714">
        <f>VLOOKUP(C554,'Luong VP'!$B$10:$AP$189,16,0)</f>
        <v>0</v>
      </c>
      <c r="D567" s="717"/>
      <c r="E567" s="710" t="s">
        <v>686</v>
      </c>
      <c r="F567" s="716" t="s">
        <v>687</v>
      </c>
      <c r="G567" s="719"/>
      <c r="H567" s="719"/>
      <c r="I567" s="729"/>
      <c r="J567" s="730"/>
    </row>
    <row r="568" spans="1:12" ht="9.1999999999999993" customHeight="1">
      <c r="A568" s="712">
        <v>11</v>
      </c>
      <c r="B568" s="713" t="s">
        <v>688</v>
      </c>
      <c r="C568" s="714">
        <f>VLOOKUP(C554,'Luong VP'!$B$10:$AP$189,17,0)</f>
        <v>3516</v>
      </c>
      <c r="D568" s="717"/>
      <c r="E568" s="710">
        <v>1</v>
      </c>
      <c r="F568" s="716" t="s">
        <v>689</v>
      </c>
      <c r="G568" s="719"/>
      <c r="H568" s="719"/>
      <c r="I568" s="714">
        <f>VLOOKUP(C554,'Luong VP'!$B$10:$AP$189,30,0)</f>
        <v>0</v>
      </c>
      <c r="J568" s="714">
        <f>VLOOKUP(C554,'Luong VP'!$B$10:$AP$189,30,0)</f>
        <v>0</v>
      </c>
    </row>
    <row r="569" spans="1:12" ht="9.1999999999999993" customHeight="1">
      <c r="A569" s="712">
        <v>12</v>
      </c>
      <c r="B569" s="713" t="s">
        <v>691</v>
      </c>
      <c r="C569" s="714">
        <f>VLOOKUP(C554,'Luong VP'!$B$10:$AP$189,18,0)</f>
        <v>0</v>
      </c>
      <c r="D569" s="717"/>
      <c r="E569" s="710">
        <v>2</v>
      </c>
      <c r="F569" s="718" t="s">
        <v>239</v>
      </c>
      <c r="G569" s="718"/>
      <c r="H569" s="718"/>
      <c r="I569" s="727"/>
      <c r="J569" s="728">
        <f>VLOOKUP(C554,'Luong VP'!$B$10:$AP$189,34,0)</f>
        <v>0</v>
      </c>
      <c r="K569" s="731"/>
      <c r="L569" s="715"/>
    </row>
    <row r="570" spans="1:12" ht="9.1999999999999993" customHeight="1">
      <c r="A570" s="712">
        <v>13</v>
      </c>
      <c r="B570" s="713" t="s">
        <v>692</v>
      </c>
      <c r="C570" s="714">
        <f>VLOOKUP(C554,'Luong VP'!$B$10:$AP$189,19,0)</f>
        <v>0</v>
      </c>
      <c r="D570" s="717"/>
      <c r="E570" s="710">
        <v>3</v>
      </c>
      <c r="F570" s="716" t="s">
        <v>693</v>
      </c>
      <c r="G570" s="719"/>
      <c r="H570" s="719"/>
      <c r="I570" s="729"/>
      <c r="J570" s="714">
        <f>VLOOKUP(C554,'Luong VP'!$B$10:$AP$189,40,0)</f>
        <v>0</v>
      </c>
      <c r="K570" s="731"/>
      <c r="L570" s="715"/>
    </row>
    <row r="571" spans="1:12" ht="9.1999999999999993" customHeight="1">
      <c r="A571" s="712">
        <v>14</v>
      </c>
      <c r="B571" s="713" t="s">
        <v>694</v>
      </c>
      <c r="C571" s="714">
        <f>VLOOKUP(C554,'Luong VP'!$B$10:$AP$189,20,0)</f>
        <v>0</v>
      </c>
      <c r="D571" s="717"/>
      <c r="E571" s="710">
        <v>4</v>
      </c>
      <c r="F571" s="718" t="s">
        <v>695</v>
      </c>
      <c r="G571" s="719"/>
      <c r="H571" s="719"/>
      <c r="I571" s="729"/>
      <c r="J571" s="714">
        <f>VLOOKUP(C554,'Luong VP'!$B$10:$AP$189,35,0)</f>
        <v>0</v>
      </c>
      <c r="K571" s="732"/>
      <c r="L571" s="715"/>
    </row>
    <row r="572" spans="1:12" ht="9.1999999999999993" customHeight="1">
      <c r="A572" s="712"/>
      <c r="B572" s="707" t="s">
        <v>656</v>
      </c>
      <c r="C572" s="714">
        <f>SUM(C558:C571)</f>
        <v>12127.2</v>
      </c>
      <c r="D572" s="717"/>
      <c r="E572" s="710"/>
      <c r="F572" s="716" t="s">
        <v>241</v>
      </c>
      <c r="G572" s="719"/>
      <c r="H572" s="719"/>
      <c r="I572" s="729"/>
      <c r="J572" s="730">
        <f>SUM(J559:J571)+C566</f>
        <v>12445.66153846154</v>
      </c>
      <c r="K572" s="731"/>
      <c r="L572" s="715"/>
    </row>
    <row r="573" spans="1:12" ht="9.1999999999999993" customHeight="1">
      <c r="B573" s="720"/>
      <c r="C573" s="717"/>
      <c r="D573" s="717"/>
      <c r="E573" s="710" t="s">
        <v>696</v>
      </c>
      <c r="F573" s="711" t="s">
        <v>697</v>
      </c>
      <c r="G573" s="710"/>
      <c r="H573" s="710"/>
      <c r="I573" s="729"/>
      <c r="J573" s="730">
        <f>SUM(J574:J576)</f>
        <v>504</v>
      </c>
      <c r="K573" s="732"/>
      <c r="L573" s="715"/>
    </row>
    <row r="574" spans="1:12" ht="9.1999999999999993" customHeight="1">
      <c r="B574" s="720"/>
      <c r="C574" s="717"/>
      <c r="D574" s="717"/>
      <c r="E574" s="710">
        <v>1</v>
      </c>
      <c r="F574" s="718" t="s">
        <v>698</v>
      </c>
      <c r="G574" s="718"/>
      <c r="H574" s="718"/>
      <c r="I574" s="733"/>
      <c r="J574" s="714">
        <f>VLOOKUP(C554,'Luong VP'!$B$10:$AP$189,37,0)</f>
        <v>504</v>
      </c>
      <c r="K574" s="732"/>
      <c r="L574" s="715"/>
    </row>
    <row r="575" spans="1:12" ht="9.1999999999999993" customHeight="1">
      <c r="B575" s="720"/>
      <c r="C575" s="717"/>
      <c r="D575" s="717"/>
      <c r="E575" s="710">
        <v>2</v>
      </c>
      <c r="F575" s="718" t="s">
        <v>244</v>
      </c>
      <c r="G575" s="718"/>
      <c r="H575" s="718"/>
      <c r="I575" s="729"/>
      <c r="J575" s="714">
        <f>VLOOKUP(C554,'Luong VP'!$B$10:$AP$189,39,0)</f>
        <v>0</v>
      </c>
      <c r="K575" s="734"/>
      <c r="L575" s="735"/>
    </row>
    <row r="576" spans="1:12" ht="9.1999999999999993" customHeight="1">
      <c r="B576" s="720"/>
      <c r="C576" s="717"/>
      <c r="D576" s="717"/>
      <c r="E576" s="710"/>
      <c r="F576" s="718" t="s">
        <v>699</v>
      </c>
      <c r="G576" s="718"/>
      <c r="H576" s="718"/>
      <c r="I576" s="729"/>
      <c r="J576" s="714"/>
      <c r="K576" s="714"/>
      <c r="L576" s="736"/>
    </row>
    <row r="577" spans="1:12" ht="9.1999999999999993" customHeight="1">
      <c r="B577" s="720"/>
      <c r="C577" s="717"/>
      <c r="D577" s="717"/>
      <c r="E577" s="710" t="s">
        <v>700</v>
      </c>
      <c r="F577" s="710" t="s">
        <v>246</v>
      </c>
      <c r="G577" s="710"/>
      <c r="H577" s="710"/>
      <c r="I577" s="729"/>
      <c r="J577" s="728">
        <f>J572-J573</f>
        <v>11941.66153846154</v>
      </c>
      <c r="K577" s="728">
        <f>ROUND(J577,-1)</f>
        <v>11940</v>
      </c>
      <c r="L577" s="710"/>
    </row>
    <row r="578" spans="1:12" ht="12" customHeight="1">
      <c r="B578" s="720"/>
      <c r="C578" s="717"/>
      <c r="D578" s="717"/>
      <c r="E578" s="715"/>
      <c r="F578" s="715"/>
      <c r="G578" s="1599"/>
      <c r="H578" s="1599"/>
      <c r="I578" s="1599"/>
      <c r="J578" s="1599"/>
      <c r="K578" s="737"/>
      <c r="L578" s="715"/>
    </row>
    <row r="579" spans="1:12" ht="9.1999999999999993" customHeight="1">
      <c r="B579" s="720"/>
      <c r="C579" s="717"/>
      <c r="D579" s="717"/>
      <c r="E579" s="715"/>
      <c r="F579" s="715"/>
      <c r="G579" s="715"/>
      <c r="I579" s="715"/>
      <c r="J579" s="737"/>
      <c r="K579" s="737"/>
      <c r="L579" s="715"/>
    </row>
    <row r="580" spans="1:12" ht="9.1999999999999993" customHeight="1">
      <c r="B580" s="720"/>
      <c r="C580" s="717"/>
      <c r="D580" s="717"/>
      <c r="E580" s="715"/>
      <c r="F580" s="715"/>
      <c r="G580" s="715"/>
      <c r="I580" s="715"/>
      <c r="J580" s="737"/>
      <c r="K580" s="737"/>
      <c r="L580" s="715"/>
    </row>
    <row r="581" spans="1:12" ht="9.1999999999999993" customHeight="1">
      <c r="B581" s="720"/>
      <c r="C581" s="717"/>
      <c r="D581" s="717"/>
      <c r="E581" s="715"/>
      <c r="F581" s="715"/>
      <c r="G581" s="715"/>
      <c r="I581" s="715"/>
      <c r="J581" s="737"/>
      <c r="K581" s="737"/>
      <c r="L581" s="715"/>
    </row>
    <row r="583" spans="1:12" ht="9.1999999999999993" customHeight="1">
      <c r="C583" s="696"/>
      <c r="D583" s="696"/>
      <c r="E583" s="697" t="str">
        <f>$E$2</f>
        <v>THẺ LƯƠNG THÁNG 08/2019</v>
      </c>
      <c r="F583" s="698"/>
      <c r="G583" s="698"/>
      <c r="H583" s="698"/>
    </row>
    <row r="584" spans="1:12" ht="9.1999999999999993" customHeight="1">
      <c r="B584" s="699" t="s">
        <v>644</v>
      </c>
      <c r="C584" s="700" t="s">
        <v>307</v>
      </c>
      <c r="D584" s="701"/>
      <c r="F584" s="702" t="s">
        <v>645</v>
      </c>
      <c r="G584" s="689" t="str">
        <f>VLOOKUP(C584,'Luong VP'!$B$10:$AP$189,2,0)</f>
        <v xml:space="preserve"> Từ Thị Hoàng Oanh </v>
      </c>
    </row>
    <row r="585" spans="1:12" ht="9.1999999999999993" customHeight="1">
      <c r="B585" s="699" t="s">
        <v>646</v>
      </c>
      <c r="C585" s="689" t="str">
        <f>VLOOKUP(C584,'Luong VP'!$B$10:$AP$189,3,0)</f>
        <v xml:space="preserve"> Kế toán nội bộ</v>
      </c>
      <c r="F585" s="702" t="s">
        <v>647</v>
      </c>
      <c r="G585" s="689">
        <f>VLOOKUP(C584,'Luong VP'!$B$10:$AP$189,5,0)</f>
        <v>2</v>
      </c>
    </row>
    <row r="586" spans="1:12" ht="9.1999999999999993" customHeight="1">
      <c r="B586" s="703"/>
      <c r="C586" s="704"/>
      <c r="D586" s="705"/>
      <c r="F586" s="706" t="s">
        <v>648</v>
      </c>
      <c r="G586" s="706"/>
      <c r="H586" s="706"/>
      <c r="I586" s="725"/>
      <c r="J586" s="726"/>
    </row>
    <row r="587" spans="1:12" ht="9.1999999999999993" customHeight="1">
      <c r="A587" s="707" t="s">
        <v>216</v>
      </c>
      <c r="B587" s="707" t="s">
        <v>649</v>
      </c>
      <c r="C587" s="708" t="s">
        <v>650</v>
      </c>
      <c r="D587" s="709"/>
      <c r="E587" s="710" t="s">
        <v>216</v>
      </c>
      <c r="F587" s="711" t="s">
        <v>649</v>
      </c>
      <c r="G587" s="710"/>
      <c r="H587" s="710" t="s">
        <v>651</v>
      </c>
      <c r="I587" s="727" t="s">
        <v>652</v>
      </c>
      <c r="J587" s="714"/>
      <c r="L587" s="694" t="s">
        <v>653</v>
      </c>
    </row>
    <row r="588" spans="1:12" ht="9.1999999999999993" customHeight="1">
      <c r="A588" s="712">
        <v>1</v>
      </c>
      <c r="B588" s="713" t="s">
        <v>654</v>
      </c>
      <c r="C588" s="714">
        <f>VLOOKUP(C584,'Luong VP'!$B$10:$AP$189,9,0)</f>
        <v>8280</v>
      </c>
      <c r="D588" s="715"/>
      <c r="E588" s="710" t="s">
        <v>655</v>
      </c>
      <c r="F588" s="716" t="s">
        <v>656</v>
      </c>
      <c r="G588" s="710"/>
      <c r="H588" s="710"/>
      <c r="I588" s="727"/>
      <c r="J588" s="714">
        <f>VLOOKUP(C584,'Luong VP'!$B$10:$AP$189,21,0)</f>
        <v>8528.4</v>
      </c>
    </row>
    <row r="589" spans="1:12" ht="9.1999999999999993" customHeight="1">
      <c r="A589" s="712">
        <v>2</v>
      </c>
      <c r="B589" s="713" t="s">
        <v>658</v>
      </c>
      <c r="C589" s="714"/>
      <c r="D589" s="717"/>
      <c r="E589" s="710">
        <v>1</v>
      </c>
      <c r="F589" s="718" t="s">
        <v>659</v>
      </c>
      <c r="G589" s="718"/>
      <c r="H589" s="710" t="s">
        <v>660</v>
      </c>
      <c r="I589" s="727">
        <f>VLOOKUP(C584,'Luong VP'!$B$10:$AP$189,22,0)</f>
        <v>26</v>
      </c>
      <c r="J589" s="728">
        <f>J588/'Cham cong'!$AS$3*I589</f>
        <v>8528.4</v>
      </c>
    </row>
    <row r="590" spans="1:12" ht="9.1999999999999993" customHeight="1">
      <c r="A590" s="712">
        <v>3</v>
      </c>
      <c r="B590" s="713" t="s">
        <v>661</v>
      </c>
      <c r="C590" s="714">
        <f>VLOOKUP(C584,'Luong VP'!$B$10:$AP$189,10,0)</f>
        <v>0</v>
      </c>
      <c r="D590" s="717"/>
      <c r="E590" s="710">
        <v>2</v>
      </c>
      <c r="F590" s="718" t="s">
        <v>662</v>
      </c>
      <c r="G590" s="718"/>
      <c r="H590" s="710" t="s">
        <v>660</v>
      </c>
      <c r="I590" s="727">
        <f>VLOOKUP(C584,'Luong VP'!$B$10:$AP$189,27,0)</f>
        <v>0</v>
      </c>
      <c r="J590" s="728">
        <f>J588/'Cham cong'!$AS$3*I590*3</f>
        <v>0</v>
      </c>
    </row>
    <row r="591" spans="1:12" ht="9.1999999999999993" customHeight="1">
      <c r="A591" s="712">
        <v>4</v>
      </c>
      <c r="B591" s="713" t="s">
        <v>666</v>
      </c>
      <c r="C591" s="714">
        <f>VLOOKUP(C584,'Luong VP'!$B$10:$AP$189,11,0)</f>
        <v>0</v>
      </c>
      <c r="D591" s="717"/>
      <c r="E591" s="710">
        <v>3</v>
      </c>
      <c r="F591" s="718" t="s">
        <v>667</v>
      </c>
      <c r="G591" s="718"/>
      <c r="H591" s="710" t="s">
        <v>668</v>
      </c>
      <c r="I591" s="727">
        <f>VLOOKUP(C584,'Luong VP'!$B$10:$AP$189,26,0)</f>
        <v>0</v>
      </c>
      <c r="J591" s="728">
        <f>J588/'Cham cong'!$AS$3*I591/8*1.5</f>
        <v>0</v>
      </c>
    </row>
    <row r="592" spans="1:12" ht="9.1999999999999993" customHeight="1">
      <c r="A592" s="712">
        <v>5</v>
      </c>
      <c r="B592" s="713" t="s">
        <v>670</v>
      </c>
      <c r="C592" s="714">
        <f>VLOOKUP(C584,'Luong VP'!$B$10:$AP$189,12,0)</f>
        <v>248.39999999999998</v>
      </c>
      <c r="D592" s="717"/>
      <c r="E592" s="710">
        <v>4</v>
      </c>
      <c r="F592" s="718" t="s">
        <v>671</v>
      </c>
      <c r="G592" s="718"/>
      <c r="H592" s="710" t="s">
        <v>668</v>
      </c>
      <c r="I592" s="727">
        <f>VLOOKUP(C584,'Luong VP'!$B$10:$AP$189,25,0)</f>
        <v>0</v>
      </c>
      <c r="J592" s="728">
        <f>J588/'Cham cong'!$AS$3*I592/8*2</f>
        <v>0</v>
      </c>
    </row>
    <row r="593" spans="1:12" ht="9.1999999999999993" customHeight="1">
      <c r="A593" s="712">
        <v>6</v>
      </c>
      <c r="B593" s="713" t="s">
        <v>673</v>
      </c>
      <c r="C593" s="714">
        <f>VLOOKUP(C584,'Luong VP'!$B$10:$AP$189,13,0)</f>
        <v>0</v>
      </c>
      <c r="D593" s="717"/>
      <c r="E593" s="710">
        <v>5</v>
      </c>
      <c r="F593" s="718" t="s">
        <v>674</v>
      </c>
      <c r="G593" s="718"/>
      <c r="H593" s="710" t="s">
        <v>660</v>
      </c>
      <c r="I593" s="727">
        <f>VLOOKUP(C584,'Luong VP'!$B$10:$AP$189,23,0)</f>
        <v>0</v>
      </c>
      <c r="J593" s="728">
        <f>C588/'Cham cong'!$AS$3*I593</f>
        <v>0</v>
      </c>
      <c r="L593" s="694" t="str">
        <f>G584</f>
        <v xml:space="preserve"> Từ Thị Hoàng Oanh </v>
      </c>
    </row>
    <row r="594" spans="1:12" ht="9.1999999999999993" customHeight="1">
      <c r="A594" s="712">
        <v>7</v>
      </c>
      <c r="B594" s="713" t="s">
        <v>676</v>
      </c>
      <c r="C594" s="714"/>
      <c r="D594" s="717"/>
      <c r="E594" s="710">
        <v>6</v>
      </c>
      <c r="F594" s="718" t="s">
        <v>677</v>
      </c>
      <c r="G594" s="718"/>
      <c r="H594" s="710" t="s">
        <v>660</v>
      </c>
      <c r="I594" s="727">
        <f>VLOOKUP(C584,'Luong VP'!$B$10:$AP$189,24,0)</f>
        <v>1</v>
      </c>
      <c r="J594" s="714">
        <f>C588/'Cham cong'!$AS$3*I594</f>
        <v>318.46153846153845</v>
      </c>
    </row>
    <row r="595" spans="1:12" ht="9.1999999999999993" customHeight="1">
      <c r="A595" s="712">
        <v>8</v>
      </c>
      <c r="B595" s="713" t="s">
        <v>679</v>
      </c>
      <c r="C595" s="714">
        <f>VLOOKUP(C584,'Luong VP'!$B$10:$AP$189,14,0)</f>
        <v>0</v>
      </c>
      <c r="D595" s="717"/>
      <c r="E595" s="710">
        <v>7</v>
      </c>
      <c r="F595" s="718" t="s">
        <v>680</v>
      </c>
      <c r="G595" s="718"/>
      <c r="H595" s="718"/>
      <c r="I595" s="729"/>
      <c r="J595" s="714">
        <f>VLOOKUP(C584,'Luong VP'!$B$10:$AP$189,28,0)</f>
        <v>0</v>
      </c>
    </row>
    <row r="596" spans="1:12" ht="9.1999999999999993" customHeight="1">
      <c r="A596" s="712">
        <v>9</v>
      </c>
      <c r="B596" s="713" t="s">
        <v>683</v>
      </c>
      <c r="C596" s="714">
        <f>VLOOKUP(C584,'Luong VP'!$B$10:$AP$189,15,0)</f>
        <v>0</v>
      </c>
      <c r="D596" s="717"/>
      <c r="E596" s="710">
        <v>8</v>
      </c>
      <c r="F596" s="718" t="s">
        <v>238</v>
      </c>
      <c r="G596" s="718"/>
      <c r="H596" s="718"/>
      <c r="I596" s="729"/>
      <c r="J596" s="714">
        <f>VLOOKUP(C584,'Luong VP'!$B$10:$AP$189,33,0)</f>
        <v>0</v>
      </c>
    </row>
    <row r="597" spans="1:12" ht="9.1999999999999993" customHeight="1">
      <c r="A597" s="712">
        <v>10</v>
      </c>
      <c r="B597" s="713" t="s">
        <v>685</v>
      </c>
      <c r="C597" s="714">
        <f>VLOOKUP(C584,'Luong VP'!$B$10:$AP$189,16,0)</f>
        <v>0</v>
      </c>
      <c r="D597" s="717"/>
      <c r="E597" s="710" t="s">
        <v>686</v>
      </c>
      <c r="F597" s="716" t="s">
        <v>687</v>
      </c>
      <c r="G597" s="719"/>
      <c r="H597" s="719"/>
      <c r="I597" s="729"/>
      <c r="J597" s="730"/>
    </row>
    <row r="598" spans="1:12" ht="9.1999999999999993" customHeight="1">
      <c r="A598" s="712">
        <v>11</v>
      </c>
      <c r="B598" s="713" t="s">
        <v>688</v>
      </c>
      <c r="C598" s="714">
        <f>VLOOKUP(C584,'Luong VP'!$B$10:$AP$189,17,0)</f>
        <v>0</v>
      </c>
      <c r="D598" s="717"/>
      <c r="E598" s="710">
        <v>1</v>
      </c>
      <c r="F598" s="716" t="s">
        <v>689</v>
      </c>
      <c r="G598" s="719"/>
      <c r="H598" s="719"/>
      <c r="I598" s="714">
        <f>VLOOKUP(C584,'Luong VP'!$B$10:$AP$189,30,0)</f>
        <v>0</v>
      </c>
      <c r="J598" s="714">
        <f>VLOOKUP(C584,'Luong VP'!$B$10:$AP$189,30,0)</f>
        <v>0</v>
      </c>
    </row>
    <row r="599" spans="1:12" ht="9.1999999999999993" customHeight="1">
      <c r="A599" s="712">
        <v>12</v>
      </c>
      <c r="B599" s="713" t="s">
        <v>691</v>
      </c>
      <c r="C599" s="714">
        <f>VLOOKUP(C584,'Luong VP'!$B$10:$AP$189,18,0)</f>
        <v>0</v>
      </c>
      <c r="D599" s="717"/>
      <c r="E599" s="710">
        <v>2</v>
      </c>
      <c r="F599" s="718" t="s">
        <v>239</v>
      </c>
      <c r="G599" s="718"/>
      <c r="H599" s="718"/>
      <c r="I599" s="727"/>
      <c r="J599" s="728">
        <f>VLOOKUP(C584,'Luong VP'!$B$10:$AP$189,34,0)</f>
        <v>0</v>
      </c>
      <c r="K599" s="731"/>
      <c r="L599" s="715"/>
    </row>
    <row r="600" spans="1:12" ht="9.1999999999999993" customHeight="1">
      <c r="A600" s="712">
        <v>13</v>
      </c>
      <c r="B600" s="713" t="s">
        <v>692</v>
      </c>
      <c r="C600" s="714">
        <f>VLOOKUP(C584,'Luong VP'!$B$10:$AP$189,19,0)</f>
        <v>0</v>
      </c>
      <c r="D600" s="717"/>
      <c r="E600" s="710">
        <v>3</v>
      </c>
      <c r="F600" s="716" t="s">
        <v>693</v>
      </c>
      <c r="G600" s="719"/>
      <c r="H600" s="719"/>
      <c r="I600" s="729"/>
      <c r="J600" s="714">
        <f>VLOOKUP(C584,'Luong VP'!$B$10:$AP$189,40,0)</f>
        <v>0</v>
      </c>
      <c r="K600" s="731"/>
      <c r="L600" s="715"/>
    </row>
    <row r="601" spans="1:12" ht="9.1999999999999993" customHeight="1">
      <c r="A601" s="712">
        <v>14</v>
      </c>
      <c r="B601" s="713" t="s">
        <v>694</v>
      </c>
      <c r="C601" s="714">
        <f>VLOOKUP(C584,'Luong VP'!$B$10:$AP$189,20,0)</f>
        <v>0</v>
      </c>
      <c r="D601" s="717"/>
      <c r="E601" s="710">
        <v>4</v>
      </c>
      <c r="F601" s="718" t="s">
        <v>695</v>
      </c>
      <c r="G601" s="719"/>
      <c r="H601" s="719"/>
      <c r="I601" s="729"/>
      <c r="J601" s="714">
        <f>VLOOKUP(C584,'Luong VP'!$B$10:$AP$189,35,0)</f>
        <v>0</v>
      </c>
      <c r="K601" s="732"/>
      <c r="L601" s="715"/>
    </row>
    <row r="602" spans="1:12" ht="9.1999999999999993" customHeight="1">
      <c r="A602" s="712"/>
      <c r="B602" s="707" t="s">
        <v>656</v>
      </c>
      <c r="C602" s="714">
        <f>SUM(C588:C601)</f>
        <v>8528.4</v>
      </c>
      <c r="D602" s="717"/>
      <c r="E602" s="710"/>
      <c r="F602" s="716" t="s">
        <v>241</v>
      </c>
      <c r="G602" s="719"/>
      <c r="H602" s="719"/>
      <c r="I602" s="729"/>
      <c r="J602" s="730">
        <f>SUM(J589:J601)+C596</f>
        <v>8846.8615384615387</v>
      </c>
      <c r="K602" s="731"/>
      <c r="L602" s="715"/>
    </row>
    <row r="603" spans="1:12" ht="9.1999999999999993" customHeight="1">
      <c r="B603" s="720"/>
      <c r="C603" s="717"/>
      <c r="D603" s="717"/>
      <c r="E603" s="710" t="s">
        <v>696</v>
      </c>
      <c r="F603" s="711" t="s">
        <v>697</v>
      </c>
      <c r="G603" s="710"/>
      <c r="H603" s="710"/>
      <c r="I603" s="729"/>
      <c r="J603" s="730">
        <f>SUM(J604:J606)</f>
        <v>504</v>
      </c>
      <c r="K603" s="732"/>
      <c r="L603" s="715"/>
    </row>
    <row r="604" spans="1:12" ht="9.1999999999999993" customHeight="1">
      <c r="B604" s="720"/>
      <c r="C604" s="717"/>
      <c r="D604" s="717"/>
      <c r="E604" s="710">
        <v>1</v>
      </c>
      <c r="F604" s="718" t="s">
        <v>698</v>
      </c>
      <c r="G604" s="718"/>
      <c r="H604" s="718"/>
      <c r="I604" s="733"/>
      <c r="J604" s="714">
        <f>VLOOKUP(C584,'Luong VP'!$B$10:$AP$189,37,0)</f>
        <v>504</v>
      </c>
      <c r="K604" s="732"/>
      <c r="L604" s="715"/>
    </row>
    <row r="605" spans="1:12" ht="9.1999999999999993" customHeight="1">
      <c r="B605" s="720"/>
      <c r="C605" s="717"/>
      <c r="D605" s="717"/>
      <c r="E605" s="710">
        <v>2</v>
      </c>
      <c r="F605" s="718" t="s">
        <v>244</v>
      </c>
      <c r="G605" s="718"/>
      <c r="H605" s="718"/>
      <c r="I605" s="729"/>
      <c r="J605" s="714">
        <f>VLOOKUP(C584,'Luong VP'!$B$10:$AP$189,39,0)</f>
        <v>0</v>
      </c>
      <c r="K605" s="734"/>
      <c r="L605" s="735"/>
    </row>
    <row r="606" spans="1:12" ht="9.1999999999999993" customHeight="1">
      <c r="B606" s="720"/>
      <c r="C606" s="717"/>
      <c r="D606" s="717"/>
      <c r="E606" s="710"/>
      <c r="F606" s="718" t="s">
        <v>699</v>
      </c>
      <c r="G606" s="718"/>
      <c r="H606" s="718"/>
      <c r="I606" s="729"/>
      <c r="J606" s="714"/>
      <c r="K606" s="714"/>
      <c r="L606" s="736"/>
    </row>
    <row r="607" spans="1:12" ht="9.1999999999999993" customHeight="1">
      <c r="B607" s="720"/>
      <c r="C607" s="717"/>
      <c r="D607" s="717"/>
      <c r="E607" s="710" t="s">
        <v>700</v>
      </c>
      <c r="F607" s="710" t="s">
        <v>246</v>
      </c>
      <c r="G607" s="710"/>
      <c r="H607" s="710"/>
      <c r="I607" s="729"/>
      <c r="J607" s="728">
        <f>J602-J603</f>
        <v>8342.8615384615387</v>
      </c>
      <c r="K607" s="728">
        <f>ROUND(J607,-1)</f>
        <v>8340</v>
      </c>
      <c r="L607" s="710"/>
    </row>
    <row r="608" spans="1:12" ht="9.1999999999999993" customHeight="1">
      <c r="B608" s="720"/>
      <c r="C608" s="717"/>
      <c r="D608" s="717"/>
      <c r="E608" s="715"/>
      <c r="F608" s="715"/>
      <c r="G608" s="715"/>
      <c r="I608" s="715" t="s">
        <v>701</v>
      </c>
      <c r="J608" s="737"/>
      <c r="K608" s="737"/>
      <c r="L608" s="715"/>
    </row>
    <row r="609" spans="1:12" ht="9.1999999999999993" customHeight="1">
      <c r="B609" s="720"/>
      <c r="C609" s="717"/>
      <c r="D609" s="717"/>
      <c r="E609" s="715"/>
      <c r="F609" s="715"/>
      <c r="G609" s="715"/>
      <c r="I609" s="715"/>
      <c r="J609" s="737"/>
      <c r="K609" s="737"/>
      <c r="L609" s="715"/>
    </row>
    <row r="610" spans="1:12" ht="9.1999999999999993" customHeight="1">
      <c r="B610" s="720"/>
      <c r="C610" s="717"/>
      <c r="D610" s="717"/>
      <c r="E610" s="715"/>
      <c r="F610" s="715"/>
      <c r="G610" s="715"/>
      <c r="I610" s="715"/>
      <c r="J610" s="737"/>
      <c r="K610" s="737"/>
      <c r="L610" s="715"/>
    </row>
    <row r="613" spans="1:12" ht="9.1999999999999993" customHeight="1">
      <c r="C613" s="696"/>
      <c r="D613" s="696"/>
      <c r="E613" s="697" t="str">
        <f>$E$2</f>
        <v>THẺ LƯƠNG THÁNG 08/2019</v>
      </c>
      <c r="F613" s="698"/>
      <c r="G613" s="698"/>
      <c r="H613" s="698"/>
    </row>
    <row r="614" spans="1:12" ht="9.1999999999999993" customHeight="1">
      <c r="B614" s="699" t="s">
        <v>644</v>
      </c>
      <c r="C614" s="700" t="s">
        <v>309</v>
      </c>
      <c r="D614" s="701"/>
      <c r="F614" s="702" t="s">
        <v>645</v>
      </c>
      <c r="G614" s="689" t="str">
        <f>VLOOKUP(C614,'Luong VP'!$B$10:$AP$189,2,0)</f>
        <v xml:space="preserve"> Kiều Thị Thủy Tiên </v>
      </c>
    </row>
    <row r="615" spans="1:12" ht="9.1999999999999993" customHeight="1">
      <c r="B615" s="699" t="s">
        <v>646</v>
      </c>
      <c r="C615" s="689" t="str">
        <f>VLOOKUP(C614,'Luong VP'!$B$10:$AP$189,3,0)</f>
        <v>Kế toán quản lý thuế</v>
      </c>
      <c r="F615" s="702" t="s">
        <v>647</v>
      </c>
      <c r="G615" s="689">
        <f>VLOOKUP(C614,'Luong VP'!$B$10:$AP$189,5,0)</f>
        <v>2</v>
      </c>
    </row>
    <row r="616" spans="1:12" ht="9.1999999999999993" customHeight="1">
      <c r="B616" s="703"/>
      <c r="C616" s="704"/>
      <c r="D616" s="705"/>
      <c r="F616" s="706" t="s">
        <v>648</v>
      </c>
      <c r="G616" s="706"/>
      <c r="H616" s="706"/>
      <c r="I616" s="725"/>
      <c r="J616" s="726"/>
    </row>
    <row r="617" spans="1:12" ht="9.1999999999999993" customHeight="1">
      <c r="A617" s="707" t="s">
        <v>216</v>
      </c>
      <c r="B617" s="707" t="s">
        <v>649</v>
      </c>
      <c r="C617" s="708" t="s">
        <v>650</v>
      </c>
      <c r="D617" s="709"/>
      <c r="E617" s="710" t="s">
        <v>216</v>
      </c>
      <c r="F617" s="711" t="s">
        <v>649</v>
      </c>
      <c r="G617" s="710"/>
      <c r="H617" s="710" t="s">
        <v>651</v>
      </c>
      <c r="I617" s="727" t="s">
        <v>652</v>
      </c>
      <c r="J617" s="714"/>
      <c r="L617" s="694" t="s">
        <v>653</v>
      </c>
    </row>
    <row r="618" spans="1:12" ht="9.1999999999999993" customHeight="1">
      <c r="A618" s="712">
        <v>1</v>
      </c>
      <c r="B618" s="713" t="s">
        <v>654</v>
      </c>
      <c r="C618" s="714">
        <f>VLOOKUP(C614,'Luong VP'!$B$10:$AP$189,9,0)</f>
        <v>12950</v>
      </c>
      <c r="D618" s="715"/>
      <c r="E618" s="710" t="s">
        <v>655</v>
      </c>
      <c r="F618" s="716" t="s">
        <v>656</v>
      </c>
      <c r="G618" s="710"/>
      <c r="H618" s="710"/>
      <c r="I618" s="727"/>
      <c r="J618" s="714">
        <f>VLOOKUP(C614,'Luong VP'!$B$10:$AP$189,21,0)</f>
        <v>12950</v>
      </c>
    </row>
    <row r="619" spans="1:12" ht="9.1999999999999993" customHeight="1">
      <c r="A619" s="712">
        <v>2</v>
      </c>
      <c r="B619" s="713" t="s">
        <v>658</v>
      </c>
      <c r="C619" s="714"/>
      <c r="D619" s="717"/>
      <c r="E619" s="710">
        <v>1</v>
      </c>
      <c r="F619" s="718" t="s">
        <v>659</v>
      </c>
      <c r="G619" s="718"/>
      <c r="H619" s="710" t="s">
        <v>660</v>
      </c>
      <c r="I619" s="727">
        <f>VLOOKUP(C614,'Luong VP'!$B$10:$AP$189,22,0)</f>
        <v>26</v>
      </c>
      <c r="J619" s="728">
        <f>J618/'Cham cong'!$AS$3*I619</f>
        <v>12950</v>
      </c>
    </row>
    <row r="620" spans="1:12" ht="9.1999999999999993" customHeight="1">
      <c r="A620" s="712">
        <v>3</v>
      </c>
      <c r="B620" s="713" t="s">
        <v>661</v>
      </c>
      <c r="C620" s="714">
        <f>VLOOKUP(C614,'Luong VP'!$B$10:$AP$189,10,0)</f>
        <v>0</v>
      </c>
      <c r="D620" s="717"/>
      <c r="E620" s="710">
        <v>2</v>
      </c>
      <c r="F620" s="718" t="s">
        <v>662</v>
      </c>
      <c r="G620" s="718"/>
      <c r="H620" s="710" t="s">
        <v>660</v>
      </c>
      <c r="I620" s="727">
        <f>VLOOKUP(C614,'Luong VP'!$B$10:$AP$189,27,0)</f>
        <v>0</v>
      </c>
      <c r="J620" s="728">
        <f>J618/'Cham cong'!$AS$3*I620*3</f>
        <v>0</v>
      </c>
    </row>
    <row r="621" spans="1:12" ht="9.1999999999999993" customHeight="1">
      <c r="A621" s="712">
        <v>4</v>
      </c>
      <c r="B621" s="713" t="s">
        <v>666</v>
      </c>
      <c r="C621" s="714">
        <f>VLOOKUP(C614,'Luong VP'!$B$10:$AP$189,11,0)</f>
        <v>0</v>
      </c>
      <c r="D621" s="717"/>
      <c r="E621" s="710">
        <v>3</v>
      </c>
      <c r="F621" s="718" t="s">
        <v>667</v>
      </c>
      <c r="G621" s="718"/>
      <c r="H621" s="710" t="s">
        <v>668</v>
      </c>
      <c r="I621" s="727">
        <f>VLOOKUP(C614,'Luong VP'!$B$10:$AP$189,26,0)</f>
        <v>0</v>
      </c>
      <c r="J621" s="728">
        <f>J618/'Cham cong'!$AS$3*I621/8*1.5</f>
        <v>0</v>
      </c>
    </row>
    <row r="622" spans="1:12" ht="9.1999999999999993" customHeight="1">
      <c r="A622" s="712">
        <v>5</v>
      </c>
      <c r="B622" s="713" t="s">
        <v>670</v>
      </c>
      <c r="C622" s="714">
        <f>VLOOKUP(C614,'Luong VP'!$B$10:$AP$189,12,0)</f>
        <v>0</v>
      </c>
      <c r="D622" s="717"/>
      <c r="E622" s="710">
        <v>4</v>
      </c>
      <c r="F622" s="718" t="s">
        <v>671</v>
      </c>
      <c r="G622" s="718"/>
      <c r="H622" s="710" t="s">
        <v>668</v>
      </c>
      <c r="I622" s="727">
        <f>VLOOKUP(C614,'Luong VP'!$B$10:$AP$189,25,0)</f>
        <v>0</v>
      </c>
      <c r="J622" s="728">
        <f>J618/'Cham cong'!$AS$3*I622/8*2</f>
        <v>0</v>
      </c>
    </row>
    <row r="623" spans="1:12" ht="9.1999999999999993" customHeight="1">
      <c r="A623" s="712">
        <v>6</v>
      </c>
      <c r="B623" s="713" t="s">
        <v>673</v>
      </c>
      <c r="C623" s="714">
        <f>VLOOKUP(C614,'Luong VP'!$B$10:$AP$189,13,0)</f>
        <v>0</v>
      </c>
      <c r="D623" s="717"/>
      <c r="E623" s="710">
        <v>5</v>
      </c>
      <c r="F623" s="718" t="s">
        <v>674</v>
      </c>
      <c r="G623" s="718"/>
      <c r="H623" s="710" t="s">
        <v>660</v>
      </c>
      <c r="I623" s="727">
        <f>VLOOKUP(C614,'Luong VP'!$B$10:$AP$189,23,0)</f>
        <v>0</v>
      </c>
      <c r="J623" s="728">
        <f>C618/'Cham cong'!$AS$3*I623</f>
        <v>0</v>
      </c>
      <c r="L623" s="694" t="str">
        <f>G614</f>
        <v xml:space="preserve"> Kiều Thị Thủy Tiên </v>
      </c>
    </row>
    <row r="624" spans="1:12" ht="9.1999999999999993" customHeight="1">
      <c r="A624" s="712">
        <v>7</v>
      </c>
      <c r="B624" s="713" t="s">
        <v>676</v>
      </c>
      <c r="C624" s="714"/>
      <c r="D624" s="717"/>
      <c r="E624" s="710">
        <v>6</v>
      </c>
      <c r="F624" s="718" t="s">
        <v>677</v>
      </c>
      <c r="G624" s="718"/>
      <c r="H624" s="710" t="s">
        <v>660</v>
      </c>
      <c r="I624" s="727">
        <f>VLOOKUP(C614,'Luong VP'!$B$10:$AP$189,24,0)</f>
        <v>1</v>
      </c>
      <c r="J624" s="714">
        <f>C618/'Cham cong'!$AS$3*I624</f>
        <v>498.07692307692309</v>
      </c>
    </row>
    <row r="625" spans="1:12" ht="9.1999999999999993" customHeight="1">
      <c r="A625" s="712">
        <v>8</v>
      </c>
      <c r="B625" s="713" t="s">
        <v>679</v>
      </c>
      <c r="C625" s="714">
        <f>VLOOKUP(C614,'Luong VP'!$B$10:$AP$189,14,0)</f>
        <v>0</v>
      </c>
      <c r="D625" s="717"/>
      <c r="E625" s="710">
        <v>7</v>
      </c>
      <c r="F625" s="718" t="s">
        <v>680</v>
      </c>
      <c r="G625" s="718"/>
      <c r="H625" s="718"/>
      <c r="I625" s="729"/>
      <c r="J625" s="714">
        <f>VLOOKUP(C614,'Luong VP'!$B$10:$AP$189,28,0)</f>
        <v>0</v>
      </c>
    </row>
    <row r="626" spans="1:12" ht="9.1999999999999993" customHeight="1">
      <c r="A626" s="712">
        <v>9</v>
      </c>
      <c r="B626" s="713" t="s">
        <v>683</v>
      </c>
      <c r="C626" s="714">
        <f>VLOOKUP(C614,'Luong VP'!$B$10:$AP$189,15,0)</f>
        <v>0</v>
      </c>
      <c r="D626" s="717"/>
      <c r="E626" s="710">
        <v>8</v>
      </c>
      <c r="F626" s="718" t="s">
        <v>238</v>
      </c>
      <c r="G626" s="718"/>
      <c r="H626" s="718"/>
      <c r="I626" s="729"/>
      <c r="J626" s="714">
        <f>VLOOKUP(C614,'Luong VP'!$B$10:$AP$189,33,0)</f>
        <v>0</v>
      </c>
    </row>
    <row r="627" spans="1:12" ht="9.1999999999999993" customHeight="1">
      <c r="A627" s="712">
        <v>10</v>
      </c>
      <c r="B627" s="713" t="s">
        <v>685</v>
      </c>
      <c r="C627" s="714">
        <f>VLOOKUP(C614,'Luong VP'!$B$10:$AP$189,16,0)</f>
        <v>0</v>
      </c>
      <c r="D627" s="717"/>
      <c r="E627" s="710" t="s">
        <v>686</v>
      </c>
      <c r="F627" s="716" t="s">
        <v>687</v>
      </c>
      <c r="G627" s="719"/>
      <c r="H627" s="719"/>
      <c r="I627" s="729"/>
      <c r="J627" s="730"/>
    </row>
    <row r="628" spans="1:12" ht="9.1999999999999993" customHeight="1">
      <c r="A628" s="712">
        <v>11</v>
      </c>
      <c r="B628" s="713" t="s">
        <v>688</v>
      </c>
      <c r="C628" s="714">
        <f>VLOOKUP(C614,'Luong VP'!$B$10:$AP$189,17,0)</f>
        <v>0</v>
      </c>
      <c r="D628" s="717"/>
      <c r="E628" s="710">
        <v>1</v>
      </c>
      <c r="F628" s="716" t="s">
        <v>689</v>
      </c>
      <c r="G628" s="719"/>
      <c r="H628" s="719"/>
      <c r="I628" s="714">
        <f>VLOOKUP(C614,'Luong VP'!$B$10:$AP$189,30,0)</f>
        <v>0</v>
      </c>
      <c r="J628" s="714">
        <f>VLOOKUP(C614,'Luong VP'!$B$10:$AP$189,30,0)</f>
        <v>0</v>
      </c>
    </row>
    <row r="629" spans="1:12" ht="9.1999999999999993" customHeight="1">
      <c r="A629" s="712">
        <v>12</v>
      </c>
      <c r="B629" s="713" t="s">
        <v>691</v>
      </c>
      <c r="C629" s="714">
        <f>VLOOKUP(C614,'Luong VP'!$B$10:$AP$189,18,0)</f>
        <v>0</v>
      </c>
      <c r="D629" s="717"/>
      <c r="E629" s="710">
        <v>2</v>
      </c>
      <c r="F629" s="718" t="s">
        <v>239</v>
      </c>
      <c r="G629" s="718"/>
      <c r="H629" s="718"/>
      <c r="I629" s="727"/>
      <c r="J629" s="728">
        <f>VLOOKUP(C614,'Luong VP'!$B$10:$AP$189,34,0)</f>
        <v>0</v>
      </c>
      <c r="K629" s="731"/>
      <c r="L629" s="715"/>
    </row>
    <row r="630" spans="1:12" ht="9.1999999999999993" customHeight="1">
      <c r="A630" s="712">
        <v>13</v>
      </c>
      <c r="B630" s="713" t="s">
        <v>692</v>
      </c>
      <c r="C630" s="714">
        <f>VLOOKUP(C614,'Luong VP'!$B$10:$AP$189,19,0)</f>
        <v>0</v>
      </c>
      <c r="D630" s="717"/>
      <c r="E630" s="710">
        <v>3</v>
      </c>
      <c r="F630" s="716" t="s">
        <v>693</v>
      </c>
      <c r="G630" s="719"/>
      <c r="H630" s="719"/>
      <c r="I630" s="729"/>
      <c r="J630" s="714">
        <f>VLOOKUP(C614,'Luong VP'!$B$10:$AP$189,40,0)</f>
        <v>0</v>
      </c>
      <c r="K630" s="731"/>
      <c r="L630" s="715"/>
    </row>
    <row r="631" spans="1:12" ht="9.1999999999999993" customHeight="1">
      <c r="A631" s="712">
        <v>14</v>
      </c>
      <c r="B631" s="713" t="s">
        <v>694</v>
      </c>
      <c r="C631" s="714">
        <f>VLOOKUP(C614,'Luong VP'!$B$10:$AP$189,20,0)</f>
        <v>0</v>
      </c>
      <c r="D631" s="717"/>
      <c r="E631" s="710">
        <v>4</v>
      </c>
      <c r="F631" s="718" t="s">
        <v>695</v>
      </c>
      <c r="G631" s="719"/>
      <c r="H631" s="719"/>
      <c r="I631" s="729"/>
      <c r="J631" s="714">
        <f>VLOOKUP(C614,'Luong VP'!$B$10:$AP$189,35,0)</f>
        <v>10000</v>
      </c>
      <c r="K631" s="732"/>
      <c r="L631" s="715"/>
    </row>
    <row r="632" spans="1:12" ht="9.1999999999999993" customHeight="1">
      <c r="A632" s="712"/>
      <c r="B632" s="707" t="s">
        <v>656</v>
      </c>
      <c r="C632" s="714">
        <f>SUM(C618:C631)</f>
        <v>12950</v>
      </c>
      <c r="D632" s="717"/>
      <c r="E632" s="710"/>
      <c r="F632" s="716" t="s">
        <v>241</v>
      </c>
      <c r="G632" s="719"/>
      <c r="H632" s="719"/>
      <c r="I632" s="729"/>
      <c r="J632" s="730">
        <f>SUM(J619:J631)+C626</f>
        <v>23448.076923076922</v>
      </c>
      <c r="K632" s="731"/>
      <c r="L632" s="715"/>
    </row>
    <row r="633" spans="1:12" ht="9.1999999999999993" customHeight="1">
      <c r="B633" s="720"/>
      <c r="C633" s="717"/>
      <c r="D633" s="717"/>
      <c r="E633" s="710" t="s">
        <v>696</v>
      </c>
      <c r="F633" s="711" t="s">
        <v>697</v>
      </c>
      <c r="G633" s="710"/>
      <c r="H633" s="710"/>
      <c r="I633" s="729"/>
      <c r="J633" s="730">
        <f>SUM(J634:J636)</f>
        <v>3577.5</v>
      </c>
      <c r="K633" s="732"/>
      <c r="L633" s="715"/>
    </row>
    <row r="634" spans="1:12" ht="9.1999999999999993" customHeight="1">
      <c r="B634" s="720"/>
      <c r="C634" s="717"/>
      <c r="D634" s="717"/>
      <c r="E634" s="710">
        <v>1</v>
      </c>
      <c r="F634" s="718" t="s">
        <v>698</v>
      </c>
      <c r="G634" s="718"/>
      <c r="H634" s="718"/>
      <c r="I634" s="733"/>
      <c r="J634" s="714">
        <f>VLOOKUP(C614,'Luong VP'!$B$10:$AP$189,37,0)</f>
        <v>577.5</v>
      </c>
      <c r="K634" s="732"/>
      <c r="L634" s="715"/>
    </row>
    <row r="635" spans="1:12" ht="9.1999999999999993" customHeight="1">
      <c r="B635" s="720"/>
      <c r="C635" s="717"/>
      <c r="D635" s="717"/>
      <c r="E635" s="710">
        <v>2</v>
      </c>
      <c r="F635" s="718" t="s">
        <v>244</v>
      </c>
      <c r="G635" s="718"/>
      <c r="H635" s="718"/>
      <c r="I635" s="729"/>
      <c r="J635" s="714">
        <f>VLOOKUP(C614,'Luong VP'!$B$10:$AP$189,39,0)</f>
        <v>3000</v>
      </c>
      <c r="K635" s="734"/>
      <c r="L635" s="735"/>
    </row>
    <row r="636" spans="1:12" ht="9.1999999999999993" customHeight="1">
      <c r="B636" s="720"/>
      <c r="C636" s="717"/>
      <c r="D636" s="717"/>
      <c r="E636" s="710"/>
      <c r="F636" s="718" t="s">
        <v>699</v>
      </c>
      <c r="G636" s="718"/>
      <c r="H636" s="718"/>
      <c r="I636" s="729"/>
      <c r="J636" s="714"/>
      <c r="K636" s="714"/>
      <c r="L636" s="736"/>
    </row>
    <row r="637" spans="1:12" ht="9.1999999999999993" customHeight="1">
      <c r="B637" s="720"/>
      <c r="C637" s="717"/>
      <c r="D637" s="717"/>
      <c r="E637" s="710" t="s">
        <v>700</v>
      </c>
      <c r="F637" s="710" t="s">
        <v>246</v>
      </c>
      <c r="G637" s="710"/>
      <c r="H637" s="710"/>
      <c r="I637" s="729"/>
      <c r="J637" s="728">
        <f>J632-J633</f>
        <v>19870.576923076922</v>
      </c>
      <c r="K637" s="728">
        <f>ROUND(J637,-1)</f>
        <v>19870</v>
      </c>
      <c r="L637" s="710"/>
    </row>
    <row r="638" spans="1:12" ht="9.1999999999999993" customHeight="1">
      <c r="B638" s="720"/>
      <c r="C638" s="717"/>
      <c r="D638" s="717"/>
      <c r="E638" s="715"/>
      <c r="F638" s="715"/>
      <c r="G638" s="715"/>
      <c r="I638" s="715" t="s">
        <v>701</v>
      </c>
      <c r="J638" s="737"/>
      <c r="K638" s="737"/>
      <c r="L638" s="715"/>
    </row>
    <row r="639" spans="1:12" ht="9.1999999999999993" customHeight="1">
      <c r="B639" s="720"/>
      <c r="C639" s="717"/>
      <c r="D639" s="717"/>
      <c r="E639" s="715"/>
      <c r="F639" s="715"/>
      <c r="G639" s="715"/>
      <c r="I639" s="715"/>
      <c r="J639" s="737"/>
      <c r="K639" s="737"/>
      <c r="L639" s="715"/>
    </row>
    <row r="640" spans="1:12" ht="10.5" customHeight="1">
      <c r="B640" s="720"/>
      <c r="C640" s="717"/>
      <c r="D640" s="717"/>
      <c r="E640" s="715"/>
      <c r="F640" s="715"/>
      <c r="G640" s="715"/>
      <c r="I640" s="715"/>
      <c r="J640" s="737"/>
      <c r="K640" s="737"/>
      <c r="L640" s="715"/>
    </row>
    <row r="641" spans="1:12" ht="10.5" customHeight="1">
      <c r="B641" s="720"/>
      <c r="C641" s="717"/>
      <c r="D641" s="717"/>
      <c r="E641" s="715"/>
      <c r="F641" s="715"/>
      <c r="G641" s="715"/>
      <c r="I641" s="715"/>
      <c r="J641" s="737"/>
      <c r="K641" s="737"/>
      <c r="L641" s="715"/>
    </row>
    <row r="642" spans="1:12" ht="9.1999999999999993" customHeight="1">
      <c r="B642" s="720"/>
      <c r="C642" s="717"/>
      <c r="D642" s="717"/>
      <c r="E642" s="715"/>
      <c r="F642" s="715"/>
      <c r="G642" s="715"/>
      <c r="I642" s="715"/>
      <c r="J642" s="737"/>
      <c r="K642" s="737"/>
      <c r="L642" s="715"/>
    </row>
    <row r="643" spans="1:12" ht="9.1999999999999993" customHeight="1">
      <c r="C643" s="696"/>
      <c r="D643" s="696"/>
      <c r="E643" s="697" t="str">
        <f>$E$2</f>
        <v>THẺ LƯƠNG THÁNG 08/2019</v>
      </c>
      <c r="F643" s="698"/>
      <c r="G643" s="698"/>
      <c r="H643" s="698"/>
    </row>
    <row r="644" spans="1:12" ht="9.1999999999999993" customHeight="1">
      <c r="B644" s="699" t="s">
        <v>644</v>
      </c>
      <c r="C644" s="700" t="s">
        <v>1319</v>
      </c>
      <c r="D644" s="701"/>
      <c r="F644" s="1523" t="s">
        <v>645</v>
      </c>
      <c r="G644" s="689" t="str">
        <f>VLOOKUP(C644,'Luong VP'!$B$10:$AP$189,2,0)</f>
        <v>Hồ Thị Tuyết Hoa</v>
      </c>
    </row>
    <row r="645" spans="1:12" ht="9.1999999999999993" customHeight="1">
      <c r="B645" s="699" t="s">
        <v>646</v>
      </c>
      <c r="C645" s="689" t="str">
        <f>VLOOKUP(C644,'Luong VP'!$B$10:$AP$189,3,0)</f>
        <v>Kế toán thuế</v>
      </c>
      <c r="F645" s="1523" t="s">
        <v>647</v>
      </c>
      <c r="G645" s="689">
        <f>VLOOKUP(C644,'Luong VP'!$B$10:$AP$189,5,0)</f>
        <v>2</v>
      </c>
    </row>
    <row r="646" spans="1:12" ht="9.1999999999999993" customHeight="1">
      <c r="B646" s="703"/>
      <c r="C646" s="704"/>
      <c r="D646" s="705"/>
      <c r="F646" s="706" t="s">
        <v>648</v>
      </c>
      <c r="G646" s="706"/>
      <c r="H646" s="706"/>
      <c r="I646" s="725"/>
      <c r="J646" s="726"/>
    </row>
    <row r="647" spans="1:12" ht="9.1999999999999993" customHeight="1">
      <c r="A647" s="707" t="s">
        <v>216</v>
      </c>
      <c r="B647" s="707" t="s">
        <v>649</v>
      </c>
      <c r="C647" s="708" t="s">
        <v>650</v>
      </c>
      <c r="D647" s="709"/>
      <c r="E647" s="710" t="s">
        <v>216</v>
      </c>
      <c r="F647" s="711" t="s">
        <v>649</v>
      </c>
      <c r="G647" s="710"/>
      <c r="H647" s="710" t="s">
        <v>651</v>
      </c>
      <c r="I647" s="727" t="s">
        <v>652</v>
      </c>
      <c r="J647" s="714"/>
      <c r="L647" s="694" t="s">
        <v>653</v>
      </c>
    </row>
    <row r="648" spans="1:12" ht="9.1999999999999993" customHeight="1">
      <c r="A648" s="712">
        <v>1</v>
      </c>
      <c r="B648" s="713" t="s">
        <v>654</v>
      </c>
      <c r="C648" s="714">
        <f>VLOOKUP(C644,'Luong VP'!$B$10:$AP$189,9,0)</f>
        <v>7500</v>
      </c>
      <c r="D648" s="715"/>
      <c r="E648" s="710" t="s">
        <v>655</v>
      </c>
      <c r="F648" s="716" t="s">
        <v>656</v>
      </c>
      <c r="G648" s="710"/>
      <c r="H648" s="710"/>
      <c r="I648" s="727"/>
      <c r="J648" s="714">
        <f>VLOOKUP(C644,'Luong VP'!$B$10:$AP$189,21,0)</f>
        <v>7500</v>
      </c>
    </row>
    <row r="649" spans="1:12" ht="9.1999999999999993" customHeight="1">
      <c r="A649" s="712">
        <v>2</v>
      </c>
      <c r="B649" s="713" t="s">
        <v>658</v>
      </c>
      <c r="C649" s="714"/>
      <c r="D649" s="717"/>
      <c r="E649" s="710">
        <v>1</v>
      </c>
      <c r="F649" s="718" t="s">
        <v>659</v>
      </c>
      <c r="G649" s="718"/>
      <c r="H649" s="710" t="s">
        <v>660</v>
      </c>
      <c r="I649" s="727">
        <f>VLOOKUP(C644,'Luong VP'!$B$10:$AP$189,22,0)</f>
        <v>26</v>
      </c>
      <c r="J649" s="728">
        <f>J648/'Cham cong'!$AS$3*I649</f>
        <v>7500</v>
      </c>
    </row>
    <row r="650" spans="1:12" ht="9.1999999999999993" customHeight="1">
      <c r="A650" s="712">
        <v>3</v>
      </c>
      <c r="B650" s="713" t="s">
        <v>661</v>
      </c>
      <c r="C650" s="714">
        <f>VLOOKUP(C644,'Luong VP'!$B$10:$AP$189,10,0)</f>
        <v>0</v>
      </c>
      <c r="D650" s="717"/>
      <c r="E650" s="710">
        <v>2</v>
      </c>
      <c r="F650" s="718" t="s">
        <v>662</v>
      </c>
      <c r="G650" s="718"/>
      <c r="H650" s="710" t="s">
        <v>660</v>
      </c>
      <c r="I650" s="727">
        <f>VLOOKUP(C644,'Luong VP'!$B$10:$AP$189,27,0)</f>
        <v>0</v>
      </c>
      <c r="J650" s="728">
        <f>J648/'Cham cong'!$AS$3*I650*3</f>
        <v>0</v>
      </c>
    </row>
    <row r="651" spans="1:12" ht="9.1999999999999993" customHeight="1">
      <c r="A651" s="712">
        <v>4</v>
      </c>
      <c r="B651" s="713" t="s">
        <v>666</v>
      </c>
      <c r="C651" s="714">
        <f>VLOOKUP(C644,'Luong VP'!$B$10:$AP$189,11,0)</f>
        <v>0</v>
      </c>
      <c r="D651" s="717"/>
      <c r="E651" s="710">
        <v>3</v>
      </c>
      <c r="F651" s="718" t="s">
        <v>667</v>
      </c>
      <c r="G651" s="718"/>
      <c r="H651" s="710" t="s">
        <v>668</v>
      </c>
      <c r="I651" s="727">
        <f>VLOOKUP(C644,'Luong VP'!$B$10:$AP$189,26,0)</f>
        <v>0</v>
      </c>
      <c r="J651" s="728">
        <f>J648/'Cham cong'!$AS$3*I651/8*1.5</f>
        <v>0</v>
      </c>
    </row>
    <row r="652" spans="1:12" ht="9.1999999999999993" customHeight="1">
      <c r="A652" s="712">
        <v>5</v>
      </c>
      <c r="B652" s="713" t="s">
        <v>670</v>
      </c>
      <c r="C652" s="714">
        <f>VLOOKUP(C644,'Luong VP'!$B$10:$AP$189,12,0)</f>
        <v>0</v>
      </c>
      <c r="D652" s="717"/>
      <c r="E652" s="710">
        <v>4</v>
      </c>
      <c r="F652" s="718" t="s">
        <v>671</v>
      </c>
      <c r="G652" s="718"/>
      <c r="H652" s="710" t="s">
        <v>668</v>
      </c>
      <c r="I652" s="727">
        <f>VLOOKUP(C644,'Luong VP'!$B$10:$AP$189,25,0)</f>
        <v>0</v>
      </c>
      <c r="J652" s="728">
        <f>J648/'Cham cong'!$AS$3*I652/8*2</f>
        <v>0</v>
      </c>
    </row>
    <row r="653" spans="1:12" ht="9.1999999999999993" customHeight="1">
      <c r="A653" s="712">
        <v>6</v>
      </c>
      <c r="B653" s="713" t="s">
        <v>673</v>
      </c>
      <c r="C653" s="714">
        <f>VLOOKUP(C644,'Luong VP'!$B$10:$AP$189,13,0)</f>
        <v>0</v>
      </c>
      <c r="D653" s="717"/>
      <c r="E653" s="710">
        <v>5</v>
      </c>
      <c r="F653" s="718" t="s">
        <v>674</v>
      </c>
      <c r="G653" s="718"/>
      <c r="H653" s="710" t="s">
        <v>660</v>
      </c>
      <c r="I653" s="727">
        <f>VLOOKUP(C644,'Luong VP'!$B$10:$AP$189,23,0)</f>
        <v>0</v>
      </c>
      <c r="J653" s="728">
        <f>C648/'Cham cong'!$AS$3*I653</f>
        <v>0</v>
      </c>
      <c r="L653" s="694" t="str">
        <f>G644</f>
        <v>Hồ Thị Tuyết Hoa</v>
      </c>
    </row>
    <row r="654" spans="1:12" ht="9.1999999999999993" customHeight="1">
      <c r="A654" s="712">
        <v>7</v>
      </c>
      <c r="B654" s="713" t="s">
        <v>676</v>
      </c>
      <c r="C654" s="714"/>
      <c r="D654" s="717"/>
      <c r="E654" s="710">
        <v>6</v>
      </c>
      <c r="F654" s="718" t="s">
        <v>677</v>
      </c>
      <c r="G654" s="718"/>
      <c r="H654" s="710" t="s">
        <v>660</v>
      </c>
      <c r="I654" s="727">
        <f>VLOOKUP(C644,'Luong VP'!$B$10:$AP$189,24,0)</f>
        <v>1</v>
      </c>
      <c r="J654" s="714">
        <f>C648/'Cham cong'!$AS$3*I654</f>
        <v>288.46153846153845</v>
      </c>
    </row>
    <row r="655" spans="1:12" ht="9.1999999999999993" customHeight="1">
      <c r="A655" s="712">
        <v>8</v>
      </c>
      <c r="B655" s="713" t="s">
        <v>679</v>
      </c>
      <c r="C655" s="714">
        <f>VLOOKUP(C644,'Luong VP'!$B$10:$AP$189,14,0)</f>
        <v>0</v>
      </c>
      <c r="D655" s="717"/>
      <c r="E655" s="710">
        <v>7</v>
      </c>
      <c r="F655" s="718" t="s">
        <v>680</v>
      </c>
      <c r="G655" s="718"/>
      <c r="H655" s="718"/>
      <c r="I655" s="729"/>
      <c r="J655" s="714">
        <f>VLOOKUP(C644,'Luong VP'!$B$10:$AP$189,28,0)</f>
        <v>0</v>
      </c>
    </row>
    <row r="656" spans="1:12" ht="9.1999999999999993" customHeight="1">
      <c r="A656" s="712">
        <v>9</v>
      </c>
      <c r="B656" s="713" t="s">
        <v>683</v>
      </c>
      <c r="C656" s="714">
        <f>VLOOKUP(C644,'Luong VP'!$B$10:$AP$189,15,0)</f>
        <v>0</v>
      </c>
      <c r="D656" s="717"/>
      <c r="E656" s="710">
        <v>8</v>
      </c>
      <c r="F656" s="718" t="s">
        <v>238</v>
      </c>
      <c r="G656" s="718"/>
      <c r="H656" s="718"/>
      <c r="I656" s="729"/>
      <c r="J656" s="714">
        <f>VLOOKUP(C644,'Luong VP'!$B$10:$AP$189,33,0)</f>
        <v>0</v>
      </c>
    </row>
    <row r="657" spans="1:12" ht="9.1999999999999993" customHeight="1">
      <c r="A657" s="712">
        <v>10</v>
      </c>
      <c r="B657" s="713" t="s">
        <v>685</v>
      </c>
      <c r="C657" s="714">
        <f>VLOOKUP(C644,'Luong VP'!$B$10:$AP$189,16,0)</f>
        <v>0</v>
      </c>
      <c r="D657" s="717"/>
      <c r="E657" s="710" t="s">
        <v>686</v>
      </c>
      <c r="F657" s="716" t="s">
        <v>687</v>
      </c>
      <c r="G657" s="719"/>
      <c r="H657" s="719"/>
      <c r="I657" s="729"/>
      <c r="J657" s="730"/>
    </row>
    <row r="658" spans="1:12" ht="9.1999999999999993" customHeight="1">
      <c r="A658" s="712">
        <v>11</v>
      </c>
      <c r="B658" s="713" t="s">
        <v>688</v>
      </c>
      <c r="C658" s="714">
        <f>VLOOKUP(C644,'Luong VP'!$B$10:$AP$189,17,0)</f>
        <v>0</v>
      </c>
      <c r="D658" s="717"/>
      <c r="E658" s="710">
        <v>1</v>
      </c>
      <c r="F658" s="716" t="s">
        <v>689</v>
      </c>
      <c r="G658" s="719"/>
      <c r="H658" s="719"/>
      <c r="I658" s="714">
        <f>VLOOKUP(C644,'Luong VP'!$B$10:$AP$189,30,0)</f>
        <v>0</v>
      </c>
      <c r="J658" s="714">
        <f>VLOOKUP(C644,'Luong VP'!$B$10:$AP$189,30,0)</f>
        <v>0</v>
      </c>
    </row>
    <row r="659" spans="1:12" ht="9.1999999999999993" customHeight="1">
      <c r="A659" s="712">
        <v>12</v>
      </c>
      <c r="B659" s="713" t="s">
        <v>691</v>
      </c>
      <c r="C659" s="714">
        <f>VLOOKUP(C644,'Luong VP'!$B$10:$AP$189,18,0)</f>
        <v>0</v>
      </c>
      <c r="D659" s="717"/>
      <c r="E659" s="710">
        <v>2</v>
      </c>
      <c r="F659" s="718" t="s">
        <v>239</v>
      </c>
      <c r="G659" s="718"/>
      <c r="H659" s="718"/>
      <c r="I659" s="727"/>
      <c r="J659" s="728">
        <f>VLOOKUP(C644,'Luong VP'!$B$10:$AP$189,34,0)</f>
        <v>0</v>
      </c>
      <c r="K659" s="731"/>
      <c r="L659" s="715"/>
    </row>
    <row r="660" spans="1:12" ht="9.1999999999999993" customHeight="1">
      <c r="A660" s="712">
        <v>13</v>
      </c>
      <c r="B660" s="713" t="s">
        <v>692</v>
      </c>
      <c r="C660" s="714">
        <f>VLOOKUP(C644,'Luong VP'!$B$10:$AP$189,19,0)</f>
        <v>0</v>
      </c>
      <c r="D660" s="717"/>
      <c r="E660" s="710">
        <v>3</v>
      </c>
      <c r="F660" s="716" t="s">
        <v>693</v>
      </c>
      <c r="G660" s="719"/>
      <c r="H660" s="719"/>
      <c r="I660" s="729"/>
      <c r="J660" s="714">
        <f>VLOOKUP(C644,'Luong VP'!$B$10:$AP$189,40,0)</f>
        <v>0</v>
      </c>
      <c r="K660" s="731"/>
      <c r="L660" s="715"/>
    </row>
    <row r="661" spans="1:12" ht="9.1999999999999993" customHeight="1">
      <c r="A661" s="712">
        <v>14</v>
      </c>
      <c r="B661" s="713" t="s">
        <v>694</v>
      </c>
      <c r="C661" s="714">
        <f>VLOOKUP(C644,'Luong VP'!$B$10:$AP$189,20,0)</f>
        <v>0</v>
      </c>
      <c r="D661" s="717"/>
      <c r="E661" s="710">
        <v>4</v>
      </c>
      <c r="F661" s="718" t="s">
        <v>695</v>
      </c>
      <c r="G661" s="719"/>
      <c r="H661" s="719"/>
      <c r="I661" s="729"/>
      <c r="J661" s="714">
        <f>VLOOKUP(C644,'Luong VP'!$B$10:$AP$189,35,0)</f>
        <v>0</v>
      </c>
      <c r="K661" s="732"/>
      <c r="L661" s="715"/>
    </row>
    <row r="662" spans="1:12" ht="9.1999999999999993" customHeight="1">
      <c r="A662" s="712"/>
      <c r="B662" s="707" t="s">
        <v>656</v>
      </c>
      <c r="C662" s="714">
        <f>SUM(C648:C661)</f>
        <v>7500</v>
      </c>
      <c r="D662" s="717"/>
      <c r="E662" s="710"/>
      <c r="F662" s="716" t="s">
        <v>241</v>
      </c>
      <c r="G662" s="719"/>
      <c r="H662" s="719"/>
      <c r="I662" s="729"/>
      <c r="J662" s="730">
        <f>SUM(J649:J661)+C656</f>
        <v>7788.4615384615381</v>
      </c>
      <c r="K662" s="731"/>
      <c r="L662" s="715"/>
    </row>
    <row r="663" spans="1:12" ht="9.1999999999999993" customHeight="1">
      <c r="B663" s="720"/>
      <c r="C663" s="717"/>
      <c r="D663" s="717"/>
      <c r="E663" s="710" t="s">
        <v>696</v>
      </c>
      <c r="F663" s="711" t="s">
        <v>697</v>
      </c>
      <c r="G663" s="710"/>
      <c r="H663" s="710"/>
      <c r="I663" s="729"/>
      <c r="J663" s="730">
        <f>SUM(J664:J666)</f>
        <v>0</v>
      </c>
      <c r="K663" s="732"/>
      <c r="L663" s="715"/>
    </row>
    <row r="664" spans="1:12" ht="9.1999999999999993" customHeight="1">
      <c r="B664" s="720"/>
      <c r="C664" s="717"/>
      <c r="D664" s="717"/>
      <c r="E664" s="710">
        <v>1</v>
      </c>
      <c r="F664" s="718" t="s">
        <v>698</v>
      </c>
      <c r="G664" s="718"/>
      <c r="H664" s="718"/>
      <c r="I664" s="733"/>
      <c r="J664" s="714">
        <f>VLOOKUP(C644,'Luong VP'!$B$10:$AP$189,37,0)</f>
        <v>0</v>
      </c>
      <c r="K664" s="732"/>
      <c r="L664" s="715"/>
    </row>
    <row r="665" spans="1:12" ht="9.1999999999999993" customHeight="1">
      <c r="B665" s="720"/>
      <c r="C665" s="717"/>
      <c r="D665" s="717"/>
      <c r="E665" s="710">
        <v>2</v>
      </c>
      <c r="F665" s="718" t="s">
        <v>244</v>
      </c>
      <c r="G665" s="718"/>
      <c r="H665" s="718"/>
      <c r="I665" s="729"/>
      <c r="J665" s="714">
        <f>VLOOKUP(C644,'Luong VP'!$B$10:$AP$189,39,0)</f>
        <v>0</v>
      </c>
      <c r="K665" s="734"/>
      <c r="L665" s="735"/>
    </row>
    <row r="666" spans="1:12" ht="9.1999999999999993" customHeight="1">
      <c r="B666" s="720"/>
      <c r="C666" s="717"/>
      <c r="D666" s="717"/>
      <c r="E666" s="710"/>
      <c r="F666" s="718" t="s">
        <v>699</v>
      </c>
      <c r="G666" s="718"/>
      <c r="H666" s="718"/>
      <c r="I666" s="729"/>
      <c r="J666" s="714"/>
      <c r="K666" s="714"/>
      <c r="L666" s="736"/>
    </row>
    <row r="667" spans="1:12" ht="9.1999999999999993" customHeight="1">
      <c r="B667" s="720"/>
      <c r="C667" s="717"/>
      <c r="D667" s="717"/>
      <c r="E667" s="710" t="s">
        <v>700</v>
      </c>
      <c r="F667" s="710" t="s">
        <v>246</v>
      </c>
      <c r="G667" s="710"/>
      <c r="H667" s="710"/>
      <c r="I667" s="729"/>
      <c r="J667" s="728">
        <f>J662-J663</f>
        <v>7788.4615384615381</v>
      </c>
      <c r="K667" s="728">
        <f>ROUND(J667,-1)</f>
        <v>7790</v>
      </c>
      <c r="L667" s="710"/>
    </row>
    <row r="668" spans="1:12" ht="9.1999999999999993" customHeight="1">
      <c r="B668" s="720"/>
      <c r="C668" s="717"/>
      <c r="D668" s="717"/>
      <c r="E668" s="715"/>
      <c r="F668" s="715"/>
      <c r="G668" s="715"/>
      <c r="I668" s="715" t="s">
        <v>701</v>
      </c>
      <c r="J668" s="737"/>
      <c r="K668" s="737"/>
      <c r="L668" s="715"/>
    </row>
    <row r="669" spans="1:12" ht="9.1999999999999993" customHeight="1">
      <c r="B669" s="720"/>
      <c r="C669" s="717"/>
      <c r="D669" s="717"/>
      <c r="E669" s="715"/>
      <c r="F669" s="715"/>
      <c r="G669" s="715"/>
      <c r="I669" s="715"/>
      <c r="J669" s="737"/>
      <c r="K669" s="737"/>
      <c r="L669" s="715"/>
    </row>
    <row r="670" spans="1:12" ht="9.1999999999999993" customHeight="1">
      <c r="B670" s="720"/>
      <c r="C670" s="717"/>
      <c r="D670" s="717"/>
      <c r="E670" s="715"/>
      <c r="F670" s="715"/>
      <c r="G670" s="715"/>
      <c r="I670" s="715"/>
      <c r="J670" s="737"/>
      <c r="K670" s="737"/>
      <c r="L670" s="715"/>
    </row>
    <row r="673" spans="1:12" ht="9.1999999999999993" customHeight="1">
      <c r="C673" s="696"/>
      <c r="D673" s="696"/>
      <c r="E673" s="697" t="str">
        <f>$E$2</f>
        <v>THẺ LƯƠNG THÁNG 08/2019</v>
      </c>
      <c r="F673" s="698"/>
      <c r="G673" s="698"/>
      <c r="H673" s="698"/>
    </row>
    <row r="674" spans="1:12" ht="9.1999999999999993" customHeight="1">
      <c r="B674" s="699" t="s">
        <v>644</v>
      </c>
      <c r="C674" s="700" t="s">
        <v>311</v>
      </c>
      <c r="D674" s="701"/>
      <c r="F674" s="702" t="s">
        <v>645</v>
      </c>
      <c r="G674" s="689" t="str">
        <f>VLOOKUP(C674,'Luong VP'!$B$10:$AP$189,2,0)</f>
        <v xml:space="preserve"> Huỳnh Ngọc Giang </v>
      </c>
    </row>
    <row r="675" spans="1:12" ht="9.1999999999999993" customHeight="1">
      <c r="B675" s="699" t="s">
        <v>646</v>
      </c>
      <c r="C675" s="689" t="str">
        <f>VLOOKUP(C674,'Luong VP'!$B$10:$AP$189,3,0)</f>
        <v>Kế toán quản trị</v>
      </c>
      <c r="F675" s="702" t="s">
        <v>647</v>
      </c>
      <c r="G675" s="689">
        <f>VLOOKUP(C674,'Luong VP'!$B$10:$AP$189,5,0)</f>
        <v>3</v>
      </c>
    </row>
    <row r="676" spans="1:12" ht="9.1999999999999993" customHeight="1">
      <c r="B676" s="703"/>
      <c r="C676" s="704"/>
      <c r="D676" s="705"/>
      <c r="F676" s="706" t="s">
        <v>648</v>
      </c>
      <c r="G676" s="706"/>
      <c r="H676" s="706"/>
      <c r="I676" s="725"/>
      <c r="J676" s="726"/>
    </row>
    <row r="677" spans="1:12" ht="9.1999999999999993" customHeight="1">
      <c r="A677" s="707" t="s">
        <v>216</v>
      </c>
      <c r="B677" s="707" t="s">
        <v>649</v>
      </c>
      <c r="C677" s="708" t="s">
        <v>650</v>
      </c>
      <c r="D677" s="709"/>
      <c r="E677" s="710" t="s">
        <v>216</v>
      </c>
      <c r="F677" s="711" t="s">
        <v>649</v>
      </c>
      <c r="G677" s="710"/>
      <c r="H677" s="710" t="s">
        <v>651</v>
      </c>
      <c r="I677" s="727" t="s">
        <v>652</v>
      </c>
      <c r="J677" s="714"/>
      <c r="L677" s="694" t="s">
        <v>653</v>
      </c>
    </row>
    <row r="678" spans="1:12" ht="9.1999999999999993" customHeight="1">
      <c r="A678" s="712">
        <v>1</v>
      </c>
      <c r="B678" s="713" t="s">
        <v>654</v>
      </c>
      <c r="C678" s="714">
        <f>VLOOKUP(C674,'Luong VP'!$B$10:$AP$189,9,0)</f>
        <v>15280</v>
      </c>
      <c r="D678" s="715"/>
      <c r="E678" s="710" t="s">
        <v>655</v>
      </c>
      <c r="F678" s="716" t="s">
        <v>656</v>
      </c>
      <c r="G678" s="710"/>
      <c r="H678" s="710"/>
      <c r="I678" s="727"/>
      <c r="J678" s="714">
        <f>VLOOKUP(C674,'Luong VP'!$B$10:$AP$189,21,0)</f>
        <v>15480</v>
      </c>
    </row>
    <row r="679" spans="1:12" ht="9.1999999999999993" customHeight="1">
      <c r="A679" s="712">
        <v>2</v>
      </c>
      <c r="B679" s="713" t="s">
        <v>658</v>
      </c>
      <c r="C679" s="714"/>
      <c r="D679" s="717"/>
      <c r="E679" s="710">
        <v>1</v>
      </c>
      <c r="F679" s="718" t="s">
        <v>659</v>
      </c>
      <c r="G679" s="718"/>
      <c r="H679" s="710" t="s">
        <v>660</v>
      </c>
      <c r="I679" s="727">
        <f>VLOOKUP(C674,'Luong VP'!$B$10:$AP$189,22,0)</f>
        <v>26</v>
      </c>
      <c r="J679" s="728">
        <f>J678/'Cham cong'!$AS$3*I679</f>
        <v>15480</v>
      </c>
    </row>
    <row r="680" spans="1:12" ht="9.1999999999999993" customHeight="1">
      <c r="A680" s="712">
        <v>3</v>
      </c>
      <c r="B680" s="713" t="s">
        <v>661</v>
      </c>
      <c r="C680" s="714">
        <f>VLOOKUP(C674,'Luong VP'!$B$10:$AP$189,10,0)</f>
        <v>0</v>
      </c>
      <c r="D680" s="717"/>
      <c r="E680" s="710">
        <v>2</v>
      </c>
      <c r="F680" s="718" t="s">
        <v>662</v>
      </c>
      <c r="G680" s="718"/>
      <c r="H680" s="710" t="s">
        <v>660</v>
      </c>
      <c r="I680" s="727">
        <f>VLOOKUP(C674,'Luong VP'!$B$10:$AP$189,27,0)</f>
        <v>0</v>
      </c>
      <c r="J680" s="728">
        <f>J678/'Cham cong'!$AS$3*I680*3</f>
        <v>0</v>
      </c>
    </row>
    <row r="681" spans="1:12" ht="9.1999999999999993" customHeight="1">
      <c r="A681" s="712">
        <v>4</v>
      </c>
      <c r="B681" s="713" t="s">
        <v>666</v>
      </c>
      <c r="C681" s="714">
        <f>VLOOKUP(C674,'Luong VP'!$B$10:$AP$189,11,0)</f>
        <v>0</v>
      </c>
      <c r="D681" s="717"/>
      <c r="E681" s="710">
        <v>3</v>
      </c>
      <c r="F681" s="718" t="s">
        <v>667</v>
      </c>
      <c r="G681" s="718"/>
      <c r="H681" s="710" t="s">
        <v>668</v>
      </c>
      <c r="I681" s="727">
        <f>VLOOKUP(C674,'Luong VP'!$B$10:$AP$189,26,0)</f>
        <v>0</v>
      </c>
      <c r="J681" s="728">
        <f>J678/'Cham cong'!$AS$3*I681/8*1.5</f>
        <v>0</v>
      </c>
    </row>
    <row r="682" spans="1:12" ht="9.1999999999999993" customHeight="1">
      <c r="A682" s="712">
        <v>5</v>
      </c>
      <c r="B682" s="713" t="s">
        <v>670</v>
      </c>
      <c r="C682" s="714">
        <f>VLOOKUP(C674,'Luong VP'!$B$10:$AP$189,12,0)</f>
        <v>0</v>
      </c>
      <c r="D682" s="717"/>
      <c r="E682" s="710">
        <v>4</v>
      </c>
      <c r="F682" s="718" t="s">
        <v>671</v>
      </c>
      <c r="G682" s="718"/>
      <c r="H682" s="710" t="s">
        <v>668</v>
      </c>
      <c r="I682" s="727">
        <f>VLOOKUP(C674,'Luong VP'!$B$10:$AP$189,25,0)</f>
        <v>0</v>
      </c>
      <c r="J682" s="728">
        <f>J678/'Cham cong'!$AS$3*I682/8*2</f>
        <v>0</v>
      </c>
    </row>
    <row r="683" spans="1:12" ht="9.1999999999999993" customHeight="1">
      <c r="A683" s="712">
        <v>6</v>
      </c>
      <c r="B683" s="713" t="s">
        <v>673</v>
      </c>
      <c r="C683" s="714">
        <f>VLOOKUP(C674,'Luong VP'!$B$10:$AP$189,13,0)</f>
        <v>0</v>
      </c>
      <c r="D683" s="717"/>
      <c r="E683" s="710">
        <v>5</v>
      </c>
      <c r="F683" s="718" t="s">
        <v>674</v>
      </c>
      <c r="G683" s="718"/>
      <c r="H683" s="710" t="s">
        <v>660</v>
      </c>
      <c r="I683" s="727">
        <f>VLOOKUP(C674,'Luong VP'!$B$10:$AP$189,23,0)</f>
        <v>0</v>
      </c>
      <c r="J683" s="728">
        <f>C678/'Cham cong'!$AS$3*I683</f>
        <v>0</v>
      </c>
      <c r="L683" s="694" t="str">
        <f>G674</f>
        <v xml:space="preserve"> Huỳnh Ngọc Giang </v>
      </c>
    </row>
    <row r="684" spans="1:12" ht="9.1999999999999993" customHeight="1">
      <c r="A684" s="712">
        <v>7</v>
      </c>
      <c r="B684" s="713" t="s">
        <v>676</v>
      </c>
      <c r="C684" s="714"/>
      <c r="D684" s="717"/>
      <c r="E684" s="710">
        <v>6</v>
      </c>
      <c r="F684" s="718" t="s">
        <v>677</v>
      </c>
      <c r="G684" s="718"/>
      <c r="H684" s="710" t="s">
        <v>660</v>
      </c>
      <c r="I684" s="727">
        <f>VLOOKUP(C674,'Luong VP'!$B$10:$AP$189,24,0)</f>
        <v>1</v>
      </c>
      <c r="J684" s="714">
        <f>C678/'Cham cong'!$AS$3*I684</f>
        <v>587.69230769230774</v>
      </c>
    </row>
    <row r="685" spans="1:12" ht="9.1999999999999993" customHeight="1">
      <c r="A685" s="712">
        <v>8</v>
      </c>
      <c r="B685" s="713" t="s">
        <v>679</v>
      </c>
      <c r="C685" s="714">
        <f>VLOOKUP(C674,'Luong VP'!$B$10:$AP$189,14,0)</f>
        <v>200</v>
      </c>
      <c r="D685" s="717"/>
      <c r="E685" s="710">
        <v>7</v>
      </c>
      <c r="F685" s="718" t="s">
        <v>680</v>
      </c>
      <c r="G685" s="718"/>
      <c r="H685" s="718"/>
      <c r="I685" s="729"/>
      <c r="J685" s="714">
        <f>VLOOKUP(C674,'Luong VP'!$B$10:$AP$189,28,0)</f>
        <v>0</v>
      </c>
    </row>
    <row r="686" spans="1:12" ht="9.1999999999999993" customHeight="1">
      <c r="A686" s="712">
        <v>9</v>
      </c>
      <c r="B686" s="713" t="s">
        <v>683</v>
      </c>
      <c r="C686" s="714">
        <f>VLOOKUP(C674,'Luong VP'!$B$10:$AP$189,15,0)</f>
        <v>0</v>
      </c>
      <c r="D686" s="717"/>
      <c r="E686" s="710">
        <v>8</v>
      </c>
      <c r="F686" s="718" t="s">
        <v>238</v>
      </c>
      <c r="G686" s="718"/>
      <c r="H686" s="718"/>
      <c r="I686" s="729"/>
      <c r="J686" s="714">
        <f>VLOOKUP(C674,'Luong VP'!$B$10:$AP$189,33,0)</f>
        <v>0</v>
      </c>
    </row>
    <row r="687" spans="1:12" ht="9.1999999999999993" customHeight="1">
      <c r="A687" s="712">
        <v>10</v>
      </c>
      <c r="B687" s="713" t="s">
        <v>685</v>
      </c>
      <c r="C687" s="714">
        <f>VLOOKUP(C674,'Luong VP'!$B$10:$AP$189,16,0)</f>
        <v>0</v>
      </c>
      <c r="D687" s="717"/>
      <c r="E687" s="710" t="s">
        <v>686</v>
      </c>
      <c r="F687" s="716" t="s">
        <v>687</v>
      </c>
      <c r="G687" s="719"/>
      <c r="H687" s="719"/>
      <c r="I687" s="729"/>
      <c r="J687" s="730"/>
    </row>
    <row r="688" spans="1:12" ht="9.1999999999999993" customHeight="1">
      <c r="A688" s="712">
        <v>11</v>
      </c>
      <c r="B688" s="713" t="s">
        <v>688</v>
      </c>
      <c r="C688" s="714">
        <f>VLOOKUP(C674,'Luong VP'!$B$10:$AP$189,17,0)</f>
        <v>0</v>
      </c>
      <c r="D688" s="717"/>
      <c r="E688" s="710">
        <v>1</v>
      </c>
      <c r="F688" s="716" t="s">
        <v>689</v>
      </c>
      <c r="G688" s="719"/>
      <c r="H688" s="719"/>
      <c r="I688" s="714">
        <f>VLOOKUP(C674,'Luong VP'!$B$10:$AP$189,30,0)</f>
        <v>0</v>
      </c>
      <c r="J688" s="714">
        <f>VLOOKUP(C674,'Luong VP'!$B$10:$AP$189,30,0)</f>
        <v>0</v>
      </c>
    </row>
    <row r="689" spans="1:12" ht="9.1999999999999993" customHeight="1">
      <c r="A689" s="712">
        <v>12</v>
      </c>
      <c r="B689" s="713" t="s">
        <v>691</v>
      </c>
      <c r="C689" s="714">
        <f>VLOOKUP(C674,'Luong VP'!$B$10:$AP$189,18,0)</f>
        <v>0</v>
      </c>
      <c r="D689" s="717"/>
      <c r="E689" s="710">
        <v>2</v>
      </c>
      <c r="F689" s="718" t="s">
        <v>239</v>
      </c>
      <c r="G689" s="718"/>
      <c r="H689" s="718"/>
      <c r="I689" s="727"/>
      <c r="J689" s="728">
        <f>VLOOKUP(C674,'Luong VP'!$B$10:$AP$189,34,0)</f>
        <v>0</v>
      </c>
      <c r="K689" s="731"/>
      <c r="L689" s="715"/>
    </row>
    <row r="690" spans="1:12" ht="9.1999999999999993" customHeight="1">
      <c r="A690" s="712">
        <v>13</v>
      </c>
      <c r="B690" s="713" t="s">
        <v>692</v>
      </c>
      <c r="C690" s="714">
        <f>VLOOKUP(C674,'Luong VP'!$B$10:$AP$189,19,0)</f>
        <v>0</v>
      </c>
      <c r="D690" s="717"/>
      <c r="E690" s="710">
        <v>3</v>
      </c>
      <c r="F690" s="716" t="s">
        <v>693</v>
      </c>
      <c r="G690" s="719"/>
      <c r="H690" s="719"/>
      <c r="I690" s="729"/>
      <c r="J690" s="714">
        <f>VLOOKUP(C674,'Luong VP'!$B$10:$AP$189,40,0)</f>
        <v>0</v>
      </c>
      <c r="K690" s="731"/>
      <c r="L690" s="715"/>
    </row>
    <row r="691" spans="1:12" ht="9.1999999999999993" customHeight="1">
      <c r="A691" s="712">
        <v>14</v>
      </c>
      <c r="B691" s="713" t="s">
        <v>694</v>
      </c>
      <c r="C691" s="714">
        <f>VLOOKUP(C674,'Luong VP'!$B$10:$AP$189,20,0)</f>
        <v>0</v>
      </c>
      <c r="D691" s="717"/>
      <c r="E691" s="710">
        <v>4</v>
      </c>
      <c r="F691" s="718" t="s">
        <v>695</v>
      </c>
      <c r="G691" s="719"/>
      <c r="H691" s="719"/>
      <c r="I691" s="729"/>
      <c r="J691" s="714">
        <f>VLOOKUP(C674,'Luong VP'!$B$10:$AP$189,35,0)</f>
        <v>0</v>
      </c>
      <c r="K691" s="732"/>
      <c r="L691" s="715"/>
    </row>
    <row r="692" spans="1:12" ht="9.1999999999999993" customHeight="1">
      <c r="A692" s="712"/>
      <c r="B692" s="707" t="s">
        <v>656</v>
      </c>
      <c r="C692" s="714">
        <f>SUM(C678:C691)</f>
        <v>15480</v>
      </c>
      <c r="D692" s="717"/>
      <c r="E692" s="710"/>
      <c r="F692" s="716" t="s">
        <v>241</v>
      </c>
      <c r="G692" s="719"/>
      <c r="H692" s="719"/>
      <c r="I692" s="729"/>
      <c r="J692" s="730">
        <f>SUM(J679:J691)+C686</f>
        <v>16067.692307692309</v>
      </c>
      <c r="K692" s="731"/>
      <c r="L692" s="715"/>
    </row>
    <row r="693" spans="1:12" ht="9.1999999999999993" customHeight="1">
      <c r="B693" s="720"/>
      <c r="C693" s="717"/>
      <c r="D693" s="717"/>
      <c r="E693" s="710" t="s">
        <v>696</v>
      </c>
      <c r="F693" s="711" t="s">
        <v>697</v>
      </c>
      <c r="G693" s="710"/>
      <c r="H693" s="710"/>
      <c r="I693" s="729"/>
      <c r="J693" s="730">
        <f>SUM(J694:J696)</f>
        <v>525</v>
      </c>
      <c r="K693" s="732"/>
      <c r="L693" s="715"/>
    </row>
    <row r="694" spans="1:12" ht="9.1999999999999993" customHeight="1">
      <c r="B694" s="720"/>
      <c r="C694" s="717"/>
      <c r="D694" s="717"/>
      <c r="E694" s="710">
        <v>1</v>
      </c>
      <c r="F694" s="718" t="s">
        <v>698</v>
      </c>
      <c r="G694" s="718"/>
      <c r="H694" s="718"/>
      <c r="I694" s="733"/>
      <c r="J694" s="714">
        <f>VLOOKUP(C674,'Luong VP'!$B$10:$AP$189,37,0)</f>
        <v>525</v>
      </c>
      <c r="K694" s="732"/>
      <c r="L694" s="715"/>
    </row>
    <row r="695" spans="1:12" ht="9.1999999999999993" customHeight="1">
      <c r="B695" s="720"/>
      <c r="C695" s="717"/>
      <c r="D695" s="717"/>
      <c r="E695" s="710">
        <v>2</v>
      </c>
      <c r="F695" s="718" t="s">
        <v>244</v>
      </c>
      <c r="G695" s="718"/>
      <c r="H695" s="718"/>
      <c r="I695" s="729"/>
      <c r="J695" s="714">
        <f>VLOOKUP(C674,'Luong VP'!$B$10:$AP$189,39,0)</f>
        <v>0</v>
      </c>
      <c r="K695" s="734"/>
      <c r="L695" s="735"/>
    </row>
    <row r="696" spans="1:12" ht="9.1999999999999993" customHeight="1">
      <c r="B696" s="720"/>
      <c r="C696" s="717"/>
      <c r="D696" s="717"/>
      <c r="E696" s="710"/>
      <c r="F696" s="718" t="s">
        <v>699</v>
      </c>
      <c r="G696" s="718"/>
      <c r="H696" s="718"/>
      <c r="I696" s="729"/>
      <c r="J696" s="714"/>
      <c r="K696" s="714"/>
      <c r="L696" s="736"/>
    </row>
    <row r="697" spans="1:12" ht="9.1999999999999993" customHeight="1">
      <c r="B697" s="720"/>
      <c r="C697" s="717"/>
      <c r="D697" s="717"/>
      <c r="E697" s="710" t="s">
        <v>700</v>
      </c>
      <c r="F697" s="710" t="s">
        <v>246</v>
      </c>
      <c r="G697" s="710"/>
      <c r="H697" s="710"/>
      <c r="I697" s="729"/>
      <c r="J697" s="728">
        <f>J692-J693</f>
        <v>15542.692307692309</v>
      </c>
      <c r="K697" s="728">
        <f>ROUND(J697,-1)</f>
        <v>15540</v>
      </c>
      <c r="L697" s="710"/>
    </row>
    <row r="698" spans="1:12" ht="9.1999999999999993" customHeight="1">
      <c r="B698" s="720"/>
      <c r="C698" s="717"/>
      <c r="D698" s="717"/>
      <c r="E698" s="715"/>
      <c r="F698" s="715"/>
      <c r="G698" s="715"/>
      <c r="I698" s="715" t="s">
        <v>701</v>
      </c>
      <c r="J698" s="737"/>
      <c r="K698" s="737"/>
      <c r="L698" s="715"/>
    </row>
    <row r="699" spans="1:12" ht="9.1999999999999993" customHeight="1">
      <c r="B699" s="720"/>
      <c r="C699" s="717"/>
      <c r="D699" s="717"/>
      <c r="E699" s="715"/>
      <c r="F699" s="715"/>
      <c r="G699" s="715"/>
      <c r="I699" s="715"/>
      <c r="J699" s="737"/>
      <c r="K699" s="737"/>
      <c r="L699" s="715"/>
    </row>
    <row r="700" spans="1:12" ht="9.1999999999999993" customHeight="1">
      <c r="B700" s="720"/>
      <c r="C700" s="717"/>
      <c r="D700" s="717"/>
      <c r="E700" s="715"/>
      <c r="F700" s="715"/>
      <c r="G700" s="715"/>
      <c r="I700" s="715"/>
      <c r="J700" s="737"/>
      <c r="K700" s="737"/>
      <c r="L700" s="715"/>
    </row>
    <row r="701" spans="1:12" ht="9.1999999999999993" customHeight="1">
      <c r="B701" s="720"/>
      <c r="C701" s="717"/>
      <c r="D701" s="717"/>
      <c r="E701" s="715"/>
      <c r="F701" s="715"/>
      <c r="G701" s="715"/>
      <c r="I701" s="715"/>
      <c r="J701" s="737"/>
      <c r="K701" s="737"/>
      <c r="L701" s="715"/>
    </row>
    <row r="702" spans="1:12" ht="9.1999999999999993" customHeight="1">
      <c r="B702" s="720"/>
      <c r="C702" s="717"/>
      <c r="D702" s="717"/>
      <c r="E702" s="715"/>
      <c r="F702" s="715"/>
      <c r="G702" s="715"/>
      <c r="I702" s="715"/>
      <c r="J702" s="737"/>
      <c r="K702" s="737"/>
      <c r="L702" s="715"/>
    </row>
    <row r="704" spans="1:12" ht="9.1999999999999993" customHeight="1">
      <c r="C704" s="696"/>
      <c r="D704" s="696"/>
      <c r="E704" s="697" t="str">
        <f>$E$2</f>
        <v>THẺ LƯƠNG THÁNG 08/2019</v>
      </c>
      <c r="F704" s="698"/>
      <c r="G704" s="698"/>
      <c r="H704" s="698"/>
    </row>
    <row r="705" spans="1:12" ht="9.1999999999999993" customHeight="1">
      <c r="B705" s="699" t="s">
        <v>644</v>
      </c>
      <c r="C705" s="700" t="s">
        <v>313</v>
      </c>
      <c r="D705" s="701"/>
      <c r="F705" s="702" t="s">
        <v>645</v>
      </c>
      <c r="G705" s="689" t="str">
        <f>VLOOKUP(C705,'Luong VP'!$B$10:$AP$189,2,0)</f>
        <v>Nguyễn Thị Phượng Nhi</v>
      </c>
    </row>
    <row r="706" spans="1:12" ht="9.1999999999999993" customHeight="1">
      <c r="B706" s="699" t="s">
        <v>646</v>
      </c>
      <c r="C706" s="689" t="str">
        <f>VLOOKUP(C705,'Luong VP'!$B$10:$AP$189,3,0)</f>
        <v xml:space="preserve"> Kế toán nội bộ</v>
      </c>
      <c r="F706" s="702" t="s">
        <v>647</v>
      </c>
      <c r="G706" s="689">
        <f>VLOOKUP(C705,'Luong VP'!$B$10:$AP$189,5,0)</f>
        <v>1</v>
      </c>
    </row>
    <row r="707" spans="1:12" ht="9.1999999999999993" customHeight="1">
      <c r="B707" s="703"/>
      <c r="C707" s="704"/>
      <c r="D707" s="705"/>
      <c r="F707" s="706" t="s">
        <v>648</v>
      </c>
      <c r="G707" s="706"/>
      <c r="H707" s="706"/>
      <c r="I707" s="725"/>
      <c r="J707" s="726"/>
    </row>
    <row r="708" spans="1:12" ht="9.1999999999999993" customHeight="1">
      <c r="A708" s="707" t="s">
        <v>216</v>
      </c>
      <c r="B708" s="707" t="s">
        <v>649</v>
      </c>
      <c r="C708" s="708" t="s">
        <v>650</v>
      </c>
      <c r="D708" s="709"/>
      <c r="E708" s="710" t="s">
        <v>216</v>
      </c>
      <c r="F708" s="711" t="s">
        <v>649</v>
      </c>
      <c r="G708" s="710"/>
      <c r="H708" s="710" t="s">
        <v>651</v>
      </c>
      <c r="I708" s="727" t="s">
        <v>652</v>
      </c>
      <c r="J708" s="714"/>
      <c r="L708" s="694" t="s">
        <v>653</v>
      </c>
    </row>
    <row r="709" spans="1:12" ht="9.1999999999999993" customHeight="1">
      <c r="A709" s="712">
        <v>1</v>
      </c>
      <c r="B709" s="713" t="s">
        <v>654</v>
      </c>
      <c r="C709" s="714">
        <f>VLOOKUP(C705,'Luong VP'!$B$10:$AP$189,9,0)</f>
        <v>7530</v>
      </c>
      <c r="D709" s="715"/>
      <c r="E709" s="710" t="s">
        <v>655</v>
      </c>
      <c r="F709" s="716" t="s">
        <v>656</v>
      </c>
      <c r="G709" s="710"/>
      <c r="H709" s="710"/>
      <c r="I709" s="727"/>
      <c r="J709" s="714">
        <f>VLOOKUP(C705,'Luong VP'!$B$10:$AP$189,21,0)</f>
        <v>7530</v>
      </c>
    </row>
    <row r="710" spans="1:12" ht="9.1999999999999993" customHeight="1">
      <c r="A710" s="712">
        <v>2</v>
      </c>
      <c r="B710" s="713" t="s">
        <v>658</v>
      </c>
      <c r="C710" s="714"/>
      <c r="D710" s="717"/>
      <c r="E710" s="710">
        <v>1</v>
      </c>
      <c r="F710" s="718" t="s">
        <v>659</v>
      </c>
      <c r="G710" s="718"/>
      <c r="H710" s="710" t="s">
        <v>660</v>
      </c>
      <c r="I710" s="727">
        <f>VLOOKUP(C705,'Luong VP'!$B$10:$AP$189,22,0)</f>
        <v>26</v>
      </c>
      <c r="J710" s="728">
        <f>J709/'Cham cong'!$AS$3*I710</f>
        <v>7530.0000000000009</v>
      </c>
    </row>
    <row r="711" spans="1:12" ht="9.1999999999999993" customHeight="1">
      <c r="A711" s="712">
        <v>3</v>
      </c>
      <c r="B711" s="713" t="s">
        <v>661</v>
      </c>
      <c r="C711" s="714">
        <f>VLOOKUP(C705,'Luong VP'!$B$10:$AP$189,10,0)</f>
        <v>0</v>
      </c>
      <c r="D711" s="717"/>
      <c r="E711" s="710">
        <v>2</v>
      </c>
      <c r="F711" s="718" t="s">
        <v>662</v>
      </c>
      <c r="G711" s="718"/>
      <c r="H711" s="710" t="s">
        <v>660</v>
      </c>
      <c r="I711" s="727">
        <f>VLOOKUP(C705,'Luong VP'!$B$10:$AP$189,27,0)</f>
        <v>0</v>
      </c>
      <c r="J711" s="728">
        <f>J709/'Cham cong'!$AS$3*I711*3</f>
        <v>0</v>
      </c>
    </row>
    <row r="712" spans="1:12" ht="9.1999999999999993" customHeight="1">
      <c r="A712" s="712">
        <v>4</v>
      </c>
      <c r="B712" s="713" t="s">
        <v>666</v>
      </c>
      <c r="C712" s="714">
        <f>VLOOKUP(C705,'Luong VP'!$B$10:$AP$189,11,0)</f>
        <v>0</v>
      </c>
      <c r="D712" s="717"/>
      <c r="E712" s="710">
        <v>3</v>
      </c>
      <c r="F712" s="718" t="s">
        <v>667</v>
      </c>
      <c r="G712" s="718"/>
      <c r="H712" s="710" t="s">
        <v>668</v>
      </c>
      <c r="I712" s="727">
        <f>VLOOKUP(C705,'Luong VP'!$B$10:$AP$189,26,0)</f>
        <v>0</v>
      </c>
      <c r="J712" s="728">
        <f>J709/'Cham cong'!$AS$3*I712/8*1.5</f>
        <v>0</v>
      </c>
    </row>
    <row r="713" spans="1:12" ht="9.1999999999999993" customHeight="1">
      <c r="A713" s="712">
        <v>5</v>
      </c>
      <c r="B713" s="713" t="s">
        <v>670</v>
      </c>
      <c r="C713" s="714">
        <f>VLOOKUP(C705,'Luong VP'!$B$10:$AP$189,12,0)</f>
        <v>0</v>
      </c>
      <c r="D713" s="717"/>
      <c r="E713" s="710">
        <v>4</v>
      </c>
      <c r="F713" s="718" t="s">
        <v>671</v>
      </c>
      <c r="G713" s="718"/>
      <c r="H713" s="710" t="s">
        <v>668</v>
      </c>
      <c r="I713" s="727">
        <f>VLOOKUP(C705,'Luong VP'!$B$10:$AP$189,25,0)</f>
        <v>0</v>
      </c>
      <c r="J713" s="728">
        <f>J709/'Cham cong'!$AS$3*I713/8*2</f>
        <v>0</v>
      </c>
    </row>
    <row r="714" spans="1:12" ht="9.1999999999999993" customHeight="1">
      <c r="A714" s="712">
        <v>6</v>
      </c>
      <c r="B714" s="713" t="s">
        <v>673</v>
      </c>
      <c r="C714" s="714">
        <f>VLOOKUP(C705,'Luong VP'!$B$10:$AP$189,13,0)</f>
        <v>0</v>
      </c>
      <c r="D714" s="717"/>
      <c r="E714" s="710">
        <v>5</v>
      </c>
      <c r="F714" s="718" t="s">
        <v>674</v>
      </c>
      <c r="G714" s="718"/>
      <c r="H714" s="710" t="s">
        <v>660</v>
      </c>
      <c r="I714" s="727">
        <f>VLOOKUP(C705,'Luong VP'!$B$10:$AP$189,23,0)</f>
        <v>0</v>
      </c>
      <c r="J714" s="728">
        <f>C709/'Cham cong'!$AS$3*I714</f>
        <v>0</v>
      </c>
      <c r="L714" s="694" t="str">
        <f>G705</f>
        <v>Nguyễn Thị Phượng Nhi</v>
      </c>
    </row>
    <row r="715" spans="1:12" ht="9.1999999999999993" customHeight="1">
      <c r="A715" s="712">
        <v>7</v>
      </c>
      <c r="B715" s="713" t="s">
        <v>676</v>
      </c>
      <c r="C715" s="714"/>
      <c r="D715" s="717"/>
      <c r="E715" s="710">
        <v>6</v>
      </c>
      <c r="F715" s="718" t="s">
        <v>677</v>
      </c>
      <c r="G715" s="718"/>
      <c r="H715" s="710" t="s">
        <v>660</v>
      </c>
      <c r="I715" s="727">
        <f>VLOOKUP(C705,'Luong VP'!$B$10:$AP$189,24,0)</f>
        <v>1</v>
      </c>
      <c r="J715" s="714">
        <f>C709/'Cham cong'!$AS$3*I715</f>
        <v>289.61538461538464</v>
      </c>
    </row>
    <row r="716" spans="1:12" ht="9.1999999999999993" customHeight="1">
      <c r="A716" s="712">
        <v>8</v>
      </c>
      <c r="B716" s="713" t="s">
        <v>679</v>
      </c>
      <c r="C716" s="714">
        <f>VLOOKUP(C705,'Luong VP'!$B$10:$AP$189,14,0)</f>
        <v>0</v>
      </c>
      <c r="D716" s="717"/>
      <c r="E716" s="710">
        <v>7</v>
      </c>
      <c r="F716" s="718" t="s">
        <v>680</v>
      </c>
      <c r="G716" s="718"/>
      <c r="H716" s="718"/>
      <c r="I716" s="729"/>
      <c r="J716" s="714">
        <f>VLOOKUP(C705,'Luong VP'!$B$10:$AP$189,28,0)</f>
        <v>0</v>
      </c>
    </row>
    <row r="717" spans="1:12" ht="9.1999999999999993" customHeight="1">
      <c r="A717" s="712">
        <v>9</v>
      </c>
      <c r="B717" s="713" t="s">
        <v>683</v>
      </c>
      <c r="C717" s="714">
        <f>VLOOKUP(C705,'Luong VP'!$B$10:$AP$189,15,0)</f>
        <v>0</v>
      </c>
      <c r="D717" s="717"/>
      <c r="E717" s="710">
        <v>8</v>
      </c>
      <c r="F717" s="779" t="s">
        <v>238</v>
      </c>
      <c r="G717" s="779"/>
      <c r="H717" s="779"/>
      <c r="I717" s="787"/>
      <c r="J717" s="775">
        <v>0</v>
      </c>
    </row>
    <row r="718" spans="1:12" ht="9.1999999999999993" customHeight="1">
      <c r="A718" s="712">
        <v>10</v>
      </c>
      <c r="B718" s="713" t="s">
        <v>685</v>
      </c>
      <c r="C718" s="714">
        <f>VLOOKUP(C705,'Luong VP'!$B$10:$AP$189,16,0)</f>
        <v>0</v>
      </c>
      <c r="D718" s="717"/>
      <c r="E718" s="710" t="s">
        <v>686</v>
      </c>
      <c r="F718" s="716" t="s">
        <v>687</v>
      </c>
      <c r="G718" s="719"/>
      <c r="H718" s="719"/>
      <c r="I718" s="729"/>
      <c r="J718" s="730"/>
    </row>
    <row r="719" spans="1:12" ht="9.1999999999999993" customHeight="1">
      <c r="A719" s="712">
        <v>11</v>
      </c>
      <c r="B719" s="713" t="s">
        <v>688</v>
      </c>
      <c r="C719" s="714">
        <f>VLOOKUP(C705,'Luong VP'!$B$10:$AP$189,17,0)</f>
        <v>0</v>
      </c>
      <c r="D719" s="717"/>
      <c r="E719" s="710">
        <v>1</v>
      </c>
      <c r="F719" s="716" t="s">
        <v>689</v>
      </c>
      <c r="G719" s="719"/>
      <c r="H719" s="719"/>
      <c r="I719" s="729"/>
      <c r="J719" s="714">
        <f>VLOOKUP(C705,'Luong VP'!$B$10:$AP$189,30,0)</f>
        <v>0</v>
      </c>
    </row>
    <row r="720" spans="1:12" ht="9.1999999999999993" customHeight="1">
      <c r="A720" s="712">
        <v>12</v>
      </c>
      <c r="B720" s="713" t="s">
        <v>691</v>
      </c>
      <c r="C720" s="714">
        <f>VLOOKUP(C705,'Luong VP'!$B$10:$AP$189,18,0)</f>
        <v>0</v>
      </c>
      <c r="D720" s="717"/>
      <c r="E720" s="710">
        <v>2</v>
      </c>
      <c r="F720" s="718" t="s">
        <v>239</v>
      </c>
      <c r="G720" s="718"/>
      <c r="H720" s="718"/>
      <c r="I720" s="727"/>
      <c r="J720" s="728">
        <f>VLOOKUP(C705,'Luong VP'!$B$10:$AP$189,34,0)</f>
        <v>0</v>
      </c>
      <c r="K720" s="731"/>
      <c r="L720" s="715"/>
    </row>
    <row r="721" spans="1:12" ht="9.1999999999999993" customHeight="1">
      <c r="A721" s="712">
        <v>13</v>
      </c>
      <c r="B721" s="713" t="s">
        <v>692</v>
      </c>
      <c r="C721" s="714">
        <f>VLOOKUP(C705,'Luong VP'!$B$10:$AP$189,19,0)</f>
        <v>0</v>
      </c>
      <c r="D721" s="717"/>
      <c r="E721" s="710">
        <v>3</v>
      </c>
      <c r="F721" s="716" t="s">
        <v>693</v>
      </c>
      <c r="G721" s="719"/>
      <c r="H721" s="719"/>
      <c r="I721" s="729"/>
      <c r="J721" s="714">
        <f>VLOOKUP(C705,'Luong VP'!$B$10:$AP$189,40,0)</f>
        <v>0</v>
      </c>
      <c r="K721" s="731"/>
      <c r="L721" s="715"/>
    </row>
    <row r="722" spans="1:12" ht="9.1999999999999993" customHeight="1">
      <c r="A722" s="712">
        <v>14</v>
      </c>
      <c r="B722" s="713" t="s">
        <v>694</v>
      </c>
      <c r="C722" s="714">
        <f>VLOOKUP(C705,'Luong VP'!$B$10:$AP$189,20,0)</f>
        <v>0</v>
      </c>
      <c r="D722" s="717"/>
      <c r="E722" s="710">
        <v>4</v>
      </c>
      <c r="F722" s="718" t="s">
        <v>695</v>
      </c>
      <c r="G722" s="719"/>
      <c r="H722" s="719"/>
      <c r="I722" s="729"/>
      <c r="J722" s="714">
        <f>VLOOKUP(C705,'Luong VP'!$B$10:$AP$189,35,0)</f>
        <v>0</v>
      </c>
      <c r="K722" s="732"/>
      <c r="L722" s="715"/>
    </row>
    <row r="723" spans="1:12" ht="9.1999999999999993" customHeight="1">
      <c r="A723" s="712"/>
      <c r="B723" s="707" t="s">
        <v>656</v>
      </c>
      <c r="C723" s="714">
        <f>SUM(C709:C722)-C717</f>
        <v>7530</v>
      </c>
      <c r="D723" s="717"/>
      <c r="E723" s="710"/>
      <c r="F723" s="716" t="s">
        <v>241</v>
      </c>
      <c r="G723" s="719"/>
      <c r="H723" s="719"/>
      <c r="I723" s="729"/>
      <c r="J723" s="730">
        <f>SUM(J710:J722)+C717</f>
        <v>7819.6153846153857</v>
      </c>
      <c r="K723" s="731"/>
      <c r="L723" s="715"/>
    </row>
    <row r="724" spans="1:12" ht="9.1999999999999993" customHeight="1">
      <c r="B724" s="720"/>
      <c r="C724" s="717"/>
      <c r="D724" s="717"/>
      <c r="E724" s="710" t="s">
        <v>696</v>
      </c>
      <c r="F724" s="711" t="s">
        <v>697</v>
      </c>
      <c r="G724" s="710"/>
      <c r="H724" s="710"/>
      <c r="I724" s="729"/>
      <c r="J724" s="730">
        <f>SUM(J725:J727)</f>
        <v>504</v>
      </c>
      <c r="K724" s="732"/>
      <c r="L724" s="715"/>
    </row>
    <row r="725" spans="1:12" ht="9.1999999999999993" customHeight="1">
      <c r="B725" s="720"/>
      <c r="C725" s="717"/>
      <c r="D725" s="717"/>
      <c r="E725" s="710">
        <v>1</v>
      </c>
      <c r="F725" s="718" t="s">
        <v>698</v>
      </c>
      <c r="G725" s="718"/>
      <c r="H725" s="718"/>
      <c r="I725" s="733"/>
      <c r="J725" s="714">
        <f>VLOOKUP(C705,'Luong VP'!$B$10:$AP$189,37,0)</f>
        <v>504</v>
      </c>
      <c r="K725" s="732"/>
      <c r="L725" s="715"/>
    </row>
    <row r="726" spans="1:12" ht="9.1999999999999993" customHeight="1">
      <c r="B726" s="720"/>
      <c r="C726" s="717"/>
      <c r="D726" s="717"/>
      <c r="E726" s="710">
        <v>2</v>
      </c>
      <c r="F726" s="718" t="s">
        <v>244</v>
      </c>
      <c r="G726" s="718"/>
      <c r="H726" s="718"/>
      <c r="I726" s="729"/>
      <c r="J726" s="714">
        <f>VLOOKUP(C705,'Luong VP'!$B$10:$AP$189,39,0)</f>
        <v>0</v>
      </c>
      <c r="K726" s="734"/>
      <c r="L726" s="735"/>
    </row>
    <row r="727" spans="1:12" ht="9.1999999999999993" customHeight="1">
      <c r="B727" s="720"/>
      <c r="C727" s="717"/>
      <c r="D727" s="717"/>
      <c r="E727" s="710"/>
      <c r="F727" s="718" t="s">
        <v>699</v>
      </c>
      <c r="G727" s="718"/>
      <c r="H727" s="718"/>
      <c r="I727" s="729"/>
      <c r="J727" s="714"/>
      <c r="K727" s="714"/>
      <c r="L727" s="736"/>
    </row>
    <row r="728" spans="1:12" ht="9.1999999999999993" customHeight="1">
      <c r="B728" s="720"/>
      <c r="C728" s="717"/>
      <c r="D728" s="717"/>
      <c r="E728" s="710" t="s">
        <v>700</v>
      </c>
      <c r="F728" s="710" t="s">
        <v>246</v>
      </c>
      <c r="G728" s="710"/>
      <c r="H728" s="710"/>
      <c r="I728" s="729"/>
      <c r="J728" s="728">
        <f>J723-J724</f>
        <v>7315.6153846153857</v>
      </c>
      <c r="K728" s="728">
        <f>ROUND(J728,-1)</f>
        <v>7320</v>
      </c>
      <c r="L728" s="710"/>
    </row>
    <row r="729" spans="1:12" ht="9.1999999999999993" customHeight="1">
      <c r="B729" s="720"/>
      <c r="C729" s="717"/>
      <c r="D729" s="717"/>
      <c r="E729" s="715"/>
      <c r="F729" s="715"/>
      <c r="G729" s="715"/>
      <c r="I729" s="715" t="s">
        <v>701</v>
      </c>
      <c r="J729" s="737"/>
      <c r="K729" s="737"/>
      <c r="L729" s="715"/>
    </row>
    <row r="735" spans="1:12" ht="9.1999999999999993" customHeight="1">
      <c r="C735" s="696"/>
      <c r="D735" s="696"/>
      <c r="E735" s="697" t="str">
        <f>$E$2</f>
        <v>THẺ LƯƠNG THÁNG 08/2019</v>
      </c>
      <c r="F735" s="698"/>
      <c r="G735" s="698"/>
      <c r="H735" s="698"/>
    </row>
    <row r="736" spans="1:12" ht="9.1999999999999993" customHeight="1">
      <c r="B736" s="699" t="s">
        <v>644</v>
      </c>
      <c r="C736" s="700" t="s">
        <v>315</v>
      </c>
      <c r="D736" s="701"/>
      <c r="F736" s="702" t="s">
        <v>645</v>
      </c>
      <c r="G736" s="689" t="str">
        <f>VLOOKUP(C736,'Luong VP'!$B$10:$AP$189,2,0)</f>
        <v>Trần Ngọc Bảo Long</v>
      </c>
    </row>
    <row r="737" spans="1:12" ht="9.1999999999999993" customHeight="1">
      <c r="B737" s="699" t="s">
        <v>646</v>
      </c>
      <c r="C737" s="689" t="str">
        <f>VLOOKUP(C736,'Luong VP'!$B$10:$AP$189,3,0)</f>
        <v>Nhân viên vật giá</v>
      </c>
      <c r="F737" s="702" t="s">
        <v>647</v>
      </c>
      <c r="G737" s="689">
        <f>VLOOKUP(C736,'Luong VP'!$B$10:$AP$189,5,0)</f>
        <v>2</v>
      </c>
    </row>
    <row r="738" spans="1:12" ht="9.1999999999999993" customHeight="1">
      <c r="B738" s="703"/>
      <c r="C738" s="704"/>
      <c r="D738" s="705"/>
      <c r="F738" s="706" t="s">
        <v>648</v>
      </c>
      <c r="G738" s="706"/>
      <c r="H738" s="706"/>
      <c r="I738" s="725"/>
      <c r="J738" s="726"/>
    </row>
    <row r="739" spans="1:12" ht="9.1999999999999993" customHeight="1">
      <c r="A739" s="707" t="s">
        <v>216</v>
      </c>
      <c r="B739" s="707" t="s">
        <v>649</v>
      </c>
      <c r="C739" s="708" t="s">
        <v>650</v>
      </c>
      <c r="D739" s="709"/>
      <c r="E739" s="710" t="s">
        <v>216</v>
      </c>
      <c r="F739" s="711" t="s">
        <v>649</v>
      </c>
      <c r="G739" s="710"/>
      <c r="H739" s="710" t="s">
        <v>651</v>
      </c>
      <c r="I739" s="727" t="s">
        <v>652</v>
      </c>
      <c r="J739" s="714"/>
      <c r="L739" s="694" t="s">
        <v>653</v>
      </c>
    </row>
    <row r="740" spans="1:12" ht="9.1999999999999993" customHeight="1">
      <c r="A740" s="712">
        <v>1</v>
      </c>
      <c r="B740" s="713" t="s">
        <v>654</v>
      </c>
      <c r="C740" s="714">
        <f>VLOOKUP(C736,'Luong VP'!$B$10:$AP$189,9,0)</f>
        <v>8480</v>
      </c>
      <c r="D740" s="715"/>
      <c r="E740" s="710" t="s">
        <v>655</v>
      </c>
      <c r="F740" s="716" t="s">
        <v>656</v>
      </c>
      <c r="G740" s="710"/>
      <c r="H740" s="710"/>
      <c r="I740" s="727"/>
      <c r="J740" s="714">
        <f>VLOOKUP(C736,'Luong VP'!$B$10:$AP$189,21,0)</f>
        <v>8480</v>
      </c>
    </row>
    <row r="741" spans="1:12" ht="9.1999999999999993" customHeight="1">
      <c r="A741" s="712">
        <v>2</v>
      </c>
      <c r="B741" s="713" t="s">
        <v>658</v>
      </c>
      <c r="C741" s="714"/>
      <c r="D741" s="717"/>
      <c r="E741" s="710">
        <v>1</v>
      </c>
      <c r="F741" s="718" t="s">
        <v>659</v>
      </c>
      <c r="G741" s="718"/>
      <c r="H741" s="710" t="s">
        <v>660</v>
      </c>
      <c r="I741" s="727">
        <f>VLOOKUP(C736,'Luong VP'!$B$10:$AP$189,22,0)</f>
        <v>26</v>
      </c>
      <c r="J741" s="728">
        <f>J740/'Cham cong'!$AS$3*I741</f>
        <v>8480</v>
      </c>
    </row>
    <row r="742" spans="1:12" ht="9.1999999999999993" customHeight="1">
      <c r="A742" s="712">
        <v>3</v>
      </c>
      <c r="B742" s="713" t="s">
        <v>661</v>
      </c>
      <c r="C742" s="714">
        <f>VLOOKUP(C736,'Luong VP'!$B$10:$AP$189,10,0)</f>
        <v>0</v>
      </c>
      <c r="D742" s="717"/>
      <c r="E742" s="710">
        <v>2</v>
      </c>
      <c r="F742" s="718" t="s">
        <v>662</v>
      </c>
      <c r="G742" s="718"/>
      <c r="H742" s="710" t="s">
        <v>660</v>
      </c>
      <c r="I742" s="727">
        <f>VLOOKUP(C736,'Luong VP'!$B$10:$AP$189,27,0)</f>
        <v>0</v>
      </c>
      <c r="J742" s="728">
        <f>J740/'Cham cong'!$AS$3*I742*3</f>
        <v>0</v>
      </c>
    </row>
    <row r="743" spans="1:12" ht="9.1999999999999993" customHeight="1">
      <c r="A743" s="712">
        <v>4</v>
      </c>
      <c r="B743" s="713" t="s">
        <v>666</v>
      </c>
      <c r="C743" s="714">
        <f>VLOOKUP(C736,'Luong VP'!$B$10:$AP$189,11,0)</f>
        <v>0</v>
      </c>
      <c r="D743" s="717"/>
      <c r="E743" s="710">
        <v>3</v>
      </c>
      <c r="F743" s="718" t="s">
        <v>667</v>
      </c>
      <c r="G743" s="718"/>
      <c r="H743" s="710" t="s">
        <v>668</v>
      </c>
      <c r="I743" s="727">
        <f>VLOOKUP(C736,'Luong VP'!$B$10:$AP$189,26,0)</f>
        <v>0</v>
      </c>
      <c r="J743" s="728">
        <f>J740/'Cham cong'!$AS$3*I743/8*1.5</f>
        <v>0</v>
      </c>
    </row>
    <row r="744" spans="1:12" ht="9.1999999999999993" customHeight="1">
      <c r="A744" s="712">
        <v>5</v>
      </c>
      <c r="B744" s="713" t="s">
        <v>670</v>
      </c>
      <c r="C744" s="714">
        <f>VLOOKUP(C736,'Luong VP'!$B$10:$AP$189,12,0)</f>
        <v>0</v>
      </c>
      <c r="D744" s="717"/>
      <c r="E744" s="710">
        <v>4</v>
      </c>
      <c r="F744" s="718" t="s">
        <v>671</v>
      </c>
      <c r="G744" s="718"/>
      <c r="H744" s="710" t="s">
        <v>668</v>
      </c>
      <c r="I744" s="727">
        <f>VLOOKUP(C736,'Luong VP'!$B$10:$AP$189,25,0)</f>
        <v>0</v>
      </c>
      <c r="J744" s="728">
        <f>J740/'Cham cong'!$AS$3*I744/8*2</f>
        <v>0</v>
      </c>
    </row>
    <row r="745" spans="1:12" ht="9.1999999999999993" customHeight="1">
      <c r="A745" s="712">
        <v>6</v>
      </c>
      <c r="B745" s="713" t="s">
        <v>673</v>
      </c>
      <c r="C745" s="714">
        <f>VLOOKUP(C736,'Luong VP'!$B$10:$AP$189,13,0)</f>
        <v>0</v>
      </c>
      <c r="D745" s="717"/>
      <c r="E745" s="710">
        <v>5</v>
      </c>
      <c r="F745" s="718" t="s">
        <v>674</v>
      </c>
      <c r="G745" s="718"/>
      <c r="H745" s="710" t="s">
        <v>660</v>
      </c>
      <c r="I745" s="727">
        <f>VLOOKUP(C736,'Luong VP'!$B$10:$AP$189,23,0)</f>
        <v>0</v>
      </c>
      <c r="J745" s="728">
        <f>C740/'Cham cong'!$AS$3*I745</f>
        <v>0</v>
      </c>
      <c r="L745" s="694" t="str">
        <f>G736</f>
        <v>Trần Ngọc Bảo Long</v>
      </c>
    </row>
    <row r="746" spans="1:12" ht="9.1999999999999993" customHeight="1">
      <c r="A746" s="712">
        <v>7</v>
      </c>
      <c r="B746" s="713" t="s">
        <v>676</v>
      </c>
      <c r="C746" s="714"/>
      <c r="D746" s="717"/>
      <c r="E746" s="710">
        <v>6</v>
      </c>
      <c r="F746" s="718" t="s">
        <v>677</v>
      </c>
      <c r="G746" s="718"/>
      <c r="H746" s="710" t="s">
        <v>660</v>
      </c>
      <c r="I746" s="727">
        <f>VLOOKUP(C736,'Luong VP'!$B$10:$AP$189,24,0)</f>
        <v>1</v>
      </c>
      <c r="J746" s="714">
        <f>C740/'Cham cong'!$AS$3*I746</f>
        <v>326.15384615384613</v>
      </c>
    </row>
    <row r="747" spans="1:12" ht="9.1999999999999993" customHeight="1">
      <c r="A747" s="712">
        <v>8</v>
      </c>
      <c r="B747" s="713" t="s">
        <v>679</v>
      </c>
      <c r="C747" s="714">
        <f>VLOOKUP(C736,'Luong VP'!$B$10:$AP$189,14,0)</f>
        <v>0</v>
      </c>
      <c r="D747" s="717"/>
      <c r="E747" s="710">
        <v>7</v>
      </c>
      <c r="F747" s="718" t="s">
        <v>680</v>
      </c>
      <c r="G747" s="718"/>
      <c r="H747" s="718"/>
      <c r="I747" s="729"/>
      <c r="J747" s="714">
        <f>VLOOKUP(C736,'Luong VP'!$B$10:$AP$189,28,0)</f>
        <v>0</v>
      </c>
    </row>
    <row r="748" spans="1:12" ht="9.1999999999999993" customHeight="1">
      <c r="A748" s="712">
        <v>9</v>
      </c>
      <c r="B748" s="713" t="s">
        <v>683</v>
      </c>
      <c r="C748" s="714">
        <f>VLOOKUP(C736,'Luong VP'!$B$10:$AP$189,15,0)</f>
        <v>0</v>
      </c>
      <c r="D748" s="717"/>
      <c r="E748" s="710">
        <v>8</v>
      </c>
      <c r="F748" s="779" t="s">
        <v>238</v>
      </c>
      <c r="G748" s="779"/>
      <c r="H748" s="798" t="s">
        <v>660</v>
      </c>
      <c r="I748" s="799"/>
      <c r="J748" s="800"/>
    </row>
    <row r="749" spans="1:12" ht="9.1999999999999993" customHeight="1">
      <c r="A749" s="712">
        <v>10</v>
      </c>
      <c r="B749" s="713" t="s">
        <v>685</v>
      </c>
      <c r="C749" s="714">
        <f>VLOOKUP(C736,'Luong VP'!$B$10:$AP$189,16,0)</f>
        <v>0</v>
      </c>
      <c r="D749" s="717"/>
      <c r="E749" s="710" t="s">
        <v>686</v>
      </c>
      <c r="F749" s="716" t="s">
        <v>687</v>
      </c>
      <c r="G749" s="719"/>
      <c r="H749" s="719"/>
      <c r="I749" s="729"/>
      <c r="J749" s="730"/>
    </row>
    <row r="750" spans="1:12" ht="9.1999999999999993" customHeight="1">
      <c r="A750" s="712">
        <v>11</v>
      </c>
      <c r="B750" s="713" t="s">
        <v>688</v>
      </c>
      <c r="C750" s="714">
        <f>VLOOKUP(C736,'Luong VP'!$B$10:$AP$189,17,0)</f>
        <v>0</v>
      </c>
      <c r="D750" s="717"/>
      <c r="E750" s="710">
        <v>1</v>
      </c>
      <c r="F750" s="716" t="s">
        <v>689</v>
      </c>
      <c r="G750" s="719"/>
      <c r="H750" s="719"/>
      <c r="I750" s="729"/>
      <c r="J750" s="714">
        <f>VLOOKUP(C736,'Luong VP'!$B$10:$AP$189,30,0)</f>
        <v>0</v>
      </c>
    </row>
    <row r="751" spans="1:12" ht="9.1999999999999993" customHeight="1">
      <c r="A751" s="712">
        <v>12</v>
      </c>
      <c r="B751" s="713" t="s">
        <v>691</v>
      </c>
      <c r="C751" s="714">
        <f>VLOOKUP(C736,'Luong VP'!$B$10:$AP$189,18,0)</f>
        <v>0</v>
      </c>
      <c r="D751" s="717"/>
      <c r="E751" s="710">
        <v>2</v>
      </c>
      <c r="F751" s="718" t="s">
        <v>239</v>
      </c>
      <c r="G751" s="718"/>
      <c r="H751" s="718"/>
      <c r="I751" s="727"/>
      <c r="J751" s="728">
        <f>VLOOKUP(C736,'Luong VP'!$B$10:$AP$189,34,0)</f>
        <v>0</v>
      </c>
      <c r="K751" s="731"/>
      <c r="L751" s="715"/>
    </row>
    <row r="752" spans="1:12" ht="9.1999999999999993" customHeight="1">
      <c r="A752" s="712">
        <v>13</v>
      </c>
      <c r="B752" s="713" t="s">
        <v>692</v>
      </c>
      <c r="C752" s="714">
        <f>VLOOKUP(C736,'Luong VP'!$B$10:$AP$189,19,0)</f>
        <v>0</v>
      </c>
      <c r="D752" s="717"/>
      <c r="E752" s="710">
        <v>3</v>
      </c>
      <c r="F752" s="716" t="s">
        <v>693</v>
      </c>
      <c r="G752" s="719"/>
      <c r="H752" s="719"/>
      <c r="I752" s="729"/>
      <c r="J752" s="714">
        <f>VLOOKUP(C736,'Luong VP'!$B$10:$AP$189,40,0)</f>
        <v>0</v>
      </c>
      <c r="K752" s="731"/>
      <c r="L752" s="715"/>
    </row>
    <row r="753" spans="1:12" ht="9.1999999999999993" customHeight="1">
      <c r="A753" s="712">
        <v>14</v>
      </c>
      <c r="B753" s="713" t="s">
        <v>694</v>
      </c>
      <c r="C753" s="714">
        <f>VLOOKUP(C736,'Luong VP'!$B$10:$AP$189,20,0)</f>
        <v>0</v>
      </c>
      <c r="D753" s="717"/>
      <c r="E753" s="710">
        <v>4</v>
      </c>
      <c r="F753" s="718" t="s">
        <v>695</v>
      </c>
      <c r="G753" s="719"/>
      <c r="H753" s="719"/>
      <c r="I753" s="729"/>
      <c r="J753" s="714">
        <f>VLOOKUP(C736,'Luong VP'!$B$10:$AP$189,35,0)</f>
        <v>0</v>
      </c>
      <c r="K753" s="732"/>
      <c r="L753" s="715"/>
    </row>
    <row r="754" spans="1:12" ht="9.1999999999999993" customHeight="1">
      <c r="A754" s="712"/>
      <c r="B754" s="707" t="s">
        <v>656</v>
      </c>
      <c r="C754" s="714">
        <f>SUM(C740:C753)-C748</f>
        <v>8480</v>
      </c>
      <c r="D754" s="717"/>
      <c r="E754" s="710"/>
      <c r="F754" s="716" t="s">
        <v>241</v>
      </c>
      <c r="G754" s="719"/>
      <c r="H754" s="719"/>
      <c r="I754" s="729"/>
      <c r="J754" s="730">
        <f>SUM(J741:J753)+C748</f>
        <v>8806.1538461538457</v>
      </c>
      <c r="K754" s="731"/>
      <c r="L754" s="715"/>
    </row>
    <row r="755" spans="1:12" ht="9.1999999999999993" customHeight="1">
      <c r="B755" s="720"/>
      <c r="C755" s="717"/>
      <c r="D755" s="717"/>
      <c r="E755" s="710" t="s">
        <v>696</v>
      </c>
      <c r="F755" s="711" t="s">
        <v>697</v>
      </c>
      <c r="G755" s="710"/>
      <c r="H755" s="710"/>
      <c r="I755" s="729"/>
      <c r="J755" s="730">
        <f>SUM(J756:J758)</f>
        <v>504</v>
      </c>
      <c r="K755" s="732"/>
      <c r="L755" s="715"/>
    </row>
    <row r="756" spans="1:12" ht="9.1999999999999993" customHeight="1">
      <c r="B756" s="720"/>
      <c r="C756" s="717"/>
      <c r="D756" s="717"/>
      <c r="E756" s="710">
        <v>1</v>
      </c>
      <c r="F756" s="718" t="s">
        <v>698</v>
      </c>
      <c r="G756" s="718"/>
      <c r="H756" s="718"/>
      <c r="I756" s="733"/>
      <c r="J756" s="714">
        <f>VLOOKUP(C736,'Luong VP'!$B$10:$AP$189,37,0)</f>
        <v>504</v>
      </c>
      <c r="K756" s="732"/>
      <c r="L756" s="715"/>
    </row>
    <row r="757" spans="1:12" ht="9.1999999999999993" customHeight="1">
      <c r="B757" s="720"/>
      <c r="C757" s="827"/>
      <c r="D757" s="717"/>
      <c r="E757" s="710">
        <v>2</v>
      </c>
      <c r="F757" s="718" t="s">
        <v>244</v>
      </c>
      <c r="G757" s="718"/>
      <c r="H757" s="718"/>
      <c r="I757" s="729"/>
      <c r="J757" s="714">
        <f>VLOOKUP(C736,'Luong VP'!$B$10:$AP$189,39,0)</f>
        <v>0</v>
      </c>
      <c r="K757" s="734"/>
      <c r="L757" s="735"/>
    </row>
    <row r="758" spans="1:12" ht="9.1999999999999993" customHeight="1">
      <c r="B758" s="720"/>
      <c r="C758" s="717"/>
      <c r="D758" s="717"/>
      <c r="E758" s="710"/>
      <c r="F758" s="718" t="s">
        <v>699</v>
      </c>
      <c r="G758" s="718"/>
      <c r="H758" s="718"/>
      <c r="I758" s="729"/>
      <c r="J758" s="714"/>
      <c r="K758" s="714"/>
      <c r="L758" s="736"/>
    </row>
    <row r="759" spans="1:12" ht="9.1999999999999993" customHeight="1">
      <c r="B759" s="720"/>
      <c r="C759" s="717"/>
      <c r="D759" s="717"/>
      <c r="E759" s="710" t="s">
        <v>700</v>
      </c>
      <c r="F759" s="710" t="s">
        <v>246</v>
      </c>
      <c r="G759" s="710"/>
      <c r="H759" s="710"/>
      <c r="I759" s="729"/>
      <c r="J759" s="728">
        <f>J754-J755</f>
        <v>8302.1538461538457</v>
      </c>
      <c r="K759" s="728">
        <f>ROUND(J759,-1)</f>
        <v>8300</v>
      </c>
      <c r="L759" s="710"/>
    </row>
    <row r="760" spans="1:12" ht="9.1999999999999993" customHeight="1">
      <c r="B760" s="720"/>
      <c r="C760" s="717"/>
      <c r="D760" s="717"/>
      <c r="E760" s="715"/>
      <c r="F760" s="715"/>
      <c r="G760" s="715"/>
      <c r="I760" s="715" t="s">
        <v>701</v>
      </c>
      <c r="J760" s="737"/>
      <c r="K760" s="737"/>
      <c r="L760" s="715"/>
    </row>
    <row r="767" spans="1:12" ht="9.1999999999999993" customHeight="1">
      <c r="C767" s="696"/>
      <c r="D767" s="696"/>
      <c r="E767" s="697" t="str">
        <f>$E$2</f>
        <v>THẺ LƯƠNG THÁNG 08/2019</v>
      </c>
      <c r="F767" s="698"/>
      <c r="G767" s="698"/>
      <c r="H767" s="698"/>
    </row>
    <row r="768" spans="1:12" ht="9.1999999999999993" customHeight="1">
      <c r="B768" s="699" t="s">
        <v>644</v>
      </c>
      <c r="C768" s="700" t="s">
        <v>317</v>
      </c>
      <c r="D768" s="701"/>
      <c r="F768" s="702" t="s">
        <v>645</v>
      </c>
      <c r="G768" s="689" t="str">
        <f>VLOOKUP(C768,'Luong VP'!$B$10:$AP$189,2,0)</f>
        <v>Nguyễn Anh Phương</v>
      </c>
    </row>
    <row r="769" spans="1:12" ht="9.1999999999999993" customHeight="1">
      <c r="B769" s="699" t="s">
        <v>646</v>
      </c>
      <c r="C769" s="689" t="str">
        <f>VLOOKUP(C768,'Luong VP'!$B$10:$AP$189,3,0)</f>
        <v>Chuyên viên tài chính</v>
      </c>
      <c r="F769" s="702" t="s">
        <v>647</v>
      </c>
      <c r="G769" s="689">
        <f>VLOOKUP(C768,'Luong VP'!$B$10:$AP$189,5,0)</f>
        <v>1</v>
      </c>
    </row>
    <row r="770" spans="1:12" ht="9.1999999999999993" customHeight="1">
      <c r="B770" s="703"/>
      <c r="C770" s="704"/>
      <c r="D770" s="705"/>
      <c r="F770" s="706" t="s">
        <v>648</v>
      </c>
      <c r="G770" s="706"/>
      <c r="H770" s="706"/>
      <c r="I770" s="725"/>
      <c r="J770" s="726"/>
    </row>
    <row r="771" spans="1:12" ht="9.1999999999999993" customHeight="1">
      <c r="A771" s="707" t="s">
        <v>216</v>
      </c>
      <c r="B771" s="707" t="s">
        <v>649</v>
      </c>
      <c r="C771" s="708" t="s">
        <v>650</v>
      </c>
      <c r="D771" s="709"/>
      <c r="E771" s="710" t="s">
        <v>216</v>
      </c>
      <c r="F771" s="711" t="s">
        <v>649</v>
      </c>
      <c r="G771" s="710"/>
      <c r="H771" s="710" t="s">
        <v>651</v>
      </c>
      <c r="I771" s="727" t="s">
        <v>652</v>
      </c>
      <c r="J771" s="714"/>
      <c r="L771" s="694" t="s">
        <v>653</v>
      </c>
    </row>
    <row r="772" spans="1:12" ht="9.1999999999999993" customHeight="1">
      <c r="A772" s="712">
        <v>1</v>
      </c>
      <c r="B772" s="713" t="s">
        <v>654</v>
      </c>
      <c r="C772" s="714">
        <f>VLOOKUP(C768,'Luong VP'!$B$10:$AP$189,9,0)</f>
        <v>13840</v>
      </c>
      <c r="D772" s="715"/>
      <c r="E772" s="710" t="s">
        <v>655</v>
      </c>
      <c r="F772" s="716" t="s">
        <v>656</v>
      </c>
      <c r="G772" s="710"/>
      <c r="H772" s="710"/>
      <c r="I772" s="727"/>
      <c r="J772" s="714">
        <f>VLOOKUP(C768,'Luong VP'!$B$10:$AP$189,21,0)</f>
        <v>14040</v>
      </c>
    </row>
    <row r="773" spans="1:12" ht="9.1999999999999993" customHeight="1">
      <c r="A773" s="712">
        <v>2</v>
      </c>
      <c r="B773" s="713" t="s">
        <v>658</v>
      </c>
      <c r="C773" s="714"/>
      <c r="D773" s="717"/>
      <c r="E773" s="710">
        <v>1</v>
      </c>
      <c r="F773" s="718" t="s">
        <v>659</v>
      </c>
      <c r="G773" s="718"/>
      <c r="H773" s="710" t="s">
        <v>660</v>
      </c>
      <c r="I773" s="727">
        <f>VLOOKUP(C768,'Luong VP'!$B$10:$AP$189,22,0)</f>
        <v>32</v>
      </c>
      <c r="J773" s="728">
        <f>J772/'Cham cong'!$AS$3*I773</f>
        <v>17280</v>
      </c>
    </row>
    <row r="774" spans="1:12" ht="9.1999999999999993" customHeight="1">
      <c r="A774" s="712">
        <v>3</v>
      </c>
      <c r="B774" s="713" t="s">
        <v>661</v>
      </c>
      <c r="C774" s="714">
        <f>VLOOKUP(C768,'Luong VP'!$B$10:$AP$189,10,0)</f>
        <v>0</v>
      </c>
      <c r="D774" s="717"/>
      <c r="E774" s="710">
        <v>2</v>
      </c>
      <c r="F774" s="718" t="s">
        <v>662</v>
      </c>
      <c r="G774" s="718"/>
      <c r="H774" s="710" t="s">
        <v>660</v>
      </c>
      <c r="I774" s="727">
        <f>VLOOKUP(C768,'Luong VP'!$B$10:$AP$189,27,0)</f>
        <v>0</v>
      </c>
      <c r="J774" s="728">
        <f>J772/'Cham cong'!$AS$3*I774*3</f>
        <v>0</v>
      </c>
    </row>
    <row r="775" spans="1:12" ht="9.1999999999999993" customHeight="1">
      <c r="A775" s="712">
        <v>4</v>
      </c>
      <c r="B775" s="713" t="s">
        <v>666</v>
      </c>
      <c r="C775" s="714">
        <f>VLOOKUP(C768,'Luong VP'!$B$10:$AP$189,11,0)</f>
        <v>0</v>
      </c>
      <c r="D775" s="717"/>
      <c r="E775" s="710">
        <v>3</v>
      </c>
      <c r="F775" s="718" t="s">
        <v>667</v>
      </c>
      <c r="G775" s="718"/>
      <c r="H775" s="710" t="s">
        <v>668</v>
      </c>
      <c r="I775" s="727">
        <f>VLOOKUP(C768,'Luong VP'!$B$10:$AP$189,26,0)</f>
        <v>0</v>
      </c>
      <c r="J775" s="728">
        <f>J772/'Cham cong'!$AS$3*I775/8*1.5</f>
        <v>0</v>
      </c>
    </row>
    <row r="776" spans="1:12" ht="9.1999999999999993" customHeight="1">
      <c r="A776" s="712">
        <v>5</v>
      </c>
      <c r="B776" s="713" t="s">
        <v>670</v>
      </c>
      <c r="C776" s="714">
        <f>VLOOKUP(C768,'Luong VP'!$B$10:$AP$189,12,0)</f>
        <v>0</v>
      </c>
      <c r="D776" s="717"/>
      <c r="E776" s="710">
        <v>4</v>
      </c>
      <c r="F776" s="718" t="s">
        <v>671</v>
      </c>
      <c r="G776" s="718"/>
      <c r="H776" s="710" t="s">
        <v>668</v>
      </c>
      <c r="I776" s="727">
        <f>VLOOKUP(C768,'Luong VP'!$B$10:$AP$189,25,0)</f>
        <v>0</v>
      </c>
      <c r="J776" s="728">
        <f>J772/'Cham cong'!$AS$3*I776/8*2</f>
        <v>0</v>
      </c>
    </row>
    <row r="777" spans="1:12" ht="9.1999999999999993" customHeight="1">
      <c r="A777" s="712">
        <v>6</v>
      </c>
      <c r="B777" s="713" t="s">
        <v>673</v>
      </c>
      <c r="C777" s="714">
        <f>VLOOKUP(C768,'Luong VP'!$B$10:$AP$189,13,0)</f>
        <v>0</v>
      </c>
      <c r="D777" s="717"/>
      <c r="E777" s="710">
        <v>5</v>
      </c>
      <c r="F777" s="718" t="s">
        <v>674</v>
      </c>
      <c r="G777" s="718"/>
      <c r="H777" s="710" t="s">
        <v>660</v>
      </c>
      <c r="I777" s="727">
        <f>VLOOKUP(C768,'Luong VP'!$B$10:$AP$189,23,0)</f>
        <v>0</v>
      </c>
      <c r="J777" s="728">
        <f>C772/'Cham cong'!$AS$3*I777</f>
        <v>0</v>
      </c>
      <c r="L777" s="694" t="str">
        <f>G768</f>
        <v>Nguyễn Anh Phương</v>
      </c>
    </row>
    <row r="778" spans="1:12" ht="9.1999999999999993" customHeight="1">
      <c r="A778" s="712">
        <v>7</v>
      </c>
      <c r="B778" s="713" t="s">
        <v>676</v>
      </c>
      <c r="C778" s="714"/>
      <c r="D778" s="717"/>
      <c r="E778" s="710">
        <v>6</v>
      </c>
      <c r="F778" s="718" t="s">
        <v>677</v>
      </c>
      <c r="G778" s="718"/>
      <c r="H778" s="710" t="s">
        <v>660</v>
      </c>
      <c r="I778" s="727">
        <f>VLOOKUP(C768,'Luong VP'!$B$10:$AP$189,24,0)</f>
        <v>1</v>
      </c>
      <c r="J778" s="714">
        <f>C772/'Cham cong'!$AS$3*I778</f>
        <v>532.30769230769226</v>
      </c>
    </row>
    <row r="779" spans="1:12" ht="9.1999999999999993" customHeight="1">
      <c r="A779" s="712">
        <v>8</v>
      </c>
      <c r="B779" s="713" t="s">
        <v>679</v>
      </c>
      <c r="C779" s="714">
        <f>VLOOKUP(C768,'Luong VP'!$B$10:$AP$189,14,0)</f>
        <v>200</v>
      </c>
      <c r="D779" s="717"/>
      <c r="E779" s="710">
        <v>7</v>
      </c>
      <c r="F779" s="718" t="s">
        <v>680</v>
      </c>
      <c r="G779" s="718"/>
      <c r="H779" s="718"/>
      <c r="I779" s="729"/>
      <c r="J779" s="714">
        <f>VLOOKUP(C768,'Luong VP'!$B$10:$AP$189,28,0)</f>
        <v>0</v>
      </c>
    </row>
    <row r="780" spans="1:12" ht="9.1999999999999993" customHeight="1">
      <c r="A780" s="712">
        <v>9</v>
      </c>
      <c r="B780" s="713" t="s">
        <v>683</v>
      </c>
      <c r="C780" s="714">
        <f>VLOOKUP(C768,'Luong VP'!$B$10:$AP$189,15,0)</f>
        <v>0</v>
      </c>
      <c r="D780" s="717"/>
      <c r="E780" s="710">
        <v>8</v>
      </c>
      <c r="F780" s="779" t="s">
        <v>238</v>
      </c>
      <c r="G780" s="779"/>
      <c r="H780" s="798" t="s">
        <v>660</v>
      </c>
      <c r="I780" s="799"/>
      <c r="J780" s="800"/>
    </row>
    <row r="781" spans="1:12" ht="9.1999999999999993" customHeight="1">
      <c r="A781" s="712">
        <v>10</v>
      </c>
      <c r="B781" s="713" t="s">
        <v>685</v>
      </c>
      <c r="C781" s="714">
        <f>VLOOKUP(C768,'Luong VP'!$B$10:$AP$189,16,0)</f>
        <v>0</v>
      </c>
      <c r="D781" s="717"/>
      <c r="E781" s="710" t="s">
        <v>686</v>
      </c>
      <c r="F781" s="716" t="s">
        <v>687</v>
      </c>
      <c r="G781" s="719"/>
      <c r="H781" s="719"/>
      <c r="I781" s="729"/>
      <c r="J781" s="730"/>
    </row>
    <row r="782" spans="1:12" ht="9.1999999999999993" customHeight="1">
      <c r="A782" s="712">
        <v>11</v>
      </c>
      <c r="B782" s="713" t="s">
        <v>688</v>
      </c>
      <c r="C782" s="714">
        <f>VLOOKUP(C768,'Luong VP'!$B$10:$AP$189,17,0)</f>
        <v>0</v>
      </c>
      <c r="D782" s="717"/>
      <c r="E782" s="710">
        <v>1</v>
      </c>
      <c r="F782" s="716" t="s">
        <v>689</v>
      </c>
      <c r="G782" s="719"/>
      <c r="H782" s="719"/>
      <c r="I782" s="729"/>
      <c r="J782" s="714">
        <f>VLOOKUP(C768,'Luong VP'!$B$10:$AP$189,30,0)</f>
        <v>0</v>
      </c>
    </row>
    <row r="783" spans="1:12" ht="9.1999999999999993" customHeight="1">
      <c r="A783" s="712">
        <v>12</v>
      </c>
      <c r="B783" s="713" t="s">
        <v>691</v>
      </c>
      <c r="C783" s="714">
        <f>VLOOKUP(C768,'Luong VP'!$B$10:$AP$189,18,0)</f>
        <v>0</v>
      </c>
      <c r="D783" s="717"/>
      <c r="E783" s="710">
        <v>2</v>
      </c>
      <c r="F783" s="718" t="s">
        <v>239</v>
      </c>
      <c r="G783" s="718"/>
      <c r="H783" s="718"/>
      <c r="I783" s="727"/>
      <c r="J783" s="728">
        <f>VLOOKUP(C768,'Luong VP'!$B$10:$AP$189,34,0)</f>
        <v>0</v>
      </c>
      <c r="K783" s="731"/>
      <c r="L783" s="715"/>
    </row>
    <row r="784" spans="1:12" ht="9.1999999999999993" customHeight="1">
      <c r="A784" s="712">
        <v>13</v>
      </c>
      <c r="B784" s="713" t="s">
        <v>692</v>
      </c>
      <c r="C784" s="714">
        <f>VLOOKUP(C768,'Luong VP'!$B$10:$AP$189,19,0)</f>
        <v>0</v>
      </c>
      <c r="D784" s="717"/>
      <c r="E784" s="710">
        <v>3</v>
      </c>
      <c r="F784" s="716" t="s">
        <v>693</v>
      </c>
      <c r="G784" s="719"/>
      <c r="H784" s="719"/>
      <c r="I784" s="729"/>
      <c r="J784" s="714">
        <f>VLOOKUP(C768,'Luong VP'!$B$10:$AP$189,40,0)</f>
        <v>0</v>
      </c>
      <c r="K784" s="731"/>
      <c r="L784" s="715"/>
    </row>
    <row r="785" spans="1:12" ht="9.1999999999999993" customHeight="1">
      <c r="A785" s="712">
        <v>14</v>
      </c>
      <c r="B785" s="713" t="s">
        <v>694</v>
      </c>
      <c r="C785" s="714">
        <f>VLOOKUP(C768,'Luong VP'!$B$10:$AP$189,20,0)</f>
        <v>0</v>
      </c>
      <c r="D785" s="717"/>
      <c r="E785" s="710">
        <v>4</v>
      </c>
      <c r="F785" s="718" t="s">
        <v>695</v>
      </c>
      <c r="G785" s="719"/>
      <c r="H785" s="719"/>
      <c r="I785" s="729"/>
      <c r="J785" s="714">
        <f>VLOOKUP(C768,'Luong VP'!$B$10:$AP$189,35,0)</f>
        <v>0</v>
      </c>
      <c r="K785" s="732"/>
      <c r="L785" s="715"/>
    </row>
    <row r="786" spans="1:12" ht="9.1999999999999993" customHeight="1">
      <c r="A786" s="712"/>
      <c r="B786" s="707" t="s">
        <v>656</v>
      </c>
      <c r="C786" s="714">
        <f>SUM(C772:C785)-C780</f>
        <v>14040</v>
      </c>
      <c r="D786" s="717"/>
      <c r="E786" s="710"/>
      <c r="F786" s="716" t="s">
        <v>241</v>
      </c>
      <c r="G786" s="719"/>
      <c r="H786" s="719"/>
      <c r="I786" s="729"/>
      <c r="J786" s="730">
        <f>SUM(J773:J785)+C780</f>
        <v>17812.307692307691</v>
      </c>
      <c r="K786" s="731"/>
      <c r="L786" s="715"/>
    </row>
    <row r="787" spans="1:12" ht="9.1999999999999993" customHeight="1">
      <c r="B787" s="720"/>
      <c r="C787" s="717"/>
      <c r="D787" s="717"/>
      <c r="E787" s="710" t="s">
        <v>696</v>
      </c>
      <c r="F787" s="711" t="s">
        <v>697</v>
      </c>
      <c r="G787" s="710"/>
      <c r="H787" s="710"/>
      <c r="I787" s="729"/>
      <c r="J787" s="730">
        <f>SUM(J788:J790)</f>
        <v>525</v>
      </c>
      <c r="K787" s="732"/>
      <c r="L787" s="715"/>
    </row>
    <row r="788" spans="1:12" ht="9.1999999999999993" customHeight="1">
      <c r="B788" s="720"/>
      <c r="C788" s="717"/>
      <c r="D788" s="717"/>
      <c r="E788" s="710">
        <v>1</v>
      </c>
      <c r="F788" s="718" t="s">
        <v>698</v>
      </c>
      <c r="G788" s="718"/>
      <c r="H788" s="718"/>
      <c r="I788" s="733"/>
      <c r="J788" s="714">
        <f>VLOOKUP(C768,'Luong VP'!$B$10:$AP$189,37,0)</f>
        <v>525</v>
      </c>
      <c r="K788" s="732"/>
      <c r="L788" s="715"/>
    </row>
    <row r="789" spans="1:12" ht="9.1999999999999993" customHeight="1">
      <c r="B789" s="720"/>
      <c r="C789" s="717"/>
      <c r="D789" s="717"/>
      <c r="E789" s="710">
        <v>2</v>
      </c>
      <c r="F789" s="718" t="s">
        <v>244</v>
      </c>
      <c r="G789" s="718"/>
      <c r="H789" s="718"/>
      <c r="I789" s="729"/>
      <c r="J789" s="714">
        <f>VLOOKUP(C768,'Luong VP'!$B$10:$AP$189,39,0)</f>
        <v>0</v>
      </c>
      <c r="K789" s="734"/>
      <c r="L789" s="735"/>
    </row>
    <row r="790" spans="1:12" ht="9.1999999999999993" customHeight="1">
      <c r="B790" s="720"/>
      <c r="C790" s="717"/>
      <c r="D790" s="717"/>
      <c r="E790" s="710"/>
      <c r="F790" s="718" t="s">
        <v>699</v>
      </c>
      <c r="G790" s="718"/>
      <c r="H790" s="718"/>
      <c r="I790" s="729"/>
      <c r="J790" s="714"/>
      <c r="K790" s="714"/>
      <c r="L790" s="736"/>
    </row>
    <row r="791" spans="1:12" ht="9.1999999999999993" customHeight="1">
      <c r="B791" s="720"/>
      <c r="C791" s="717"/>
      <c r="D791" s="717"/>
      <c r="E791" s="710" t="s">
        <v>700</v>
      </c>
      <c r="F791" s="710" t="s">
        <v>246</v>
      </c>
      <c r="G791" s="710"/>
      <c r="H791" s="710"/>
      <c r="I791" s="729"/>
      <c r="J791" s="728">
        <f>J786-J787</f>
        <v>17287.307692307691</v>
      </c>
      <c r="K791" s="728">
        <f>ROUND(J791,-1)</f>
        <v>17290</v>
      </c>
      <c r="L791" s="710"/>
    </row>
    <row r="792" spans="1:12" ht="9.1999999999999993" customHeight="1">
      <c r="B792" s="720"/>
      <c r="C792" s="717"/>
      <c r="D792" s="717"/>
      <c r="E792" s="715"/>
      <c r="F792" s="715"/>
      <c r="G792" s="715"/>
      <c r="I792" s="715" t="s">
        <v>701</v>
      </c>
      <c r="J792" s="737"/>
      <c r="K792" s="737"/>
      <c r="L792" s="715"/>
    </row>
    <row r="793" spans="1:12" ht="9.1999999999999993" customHeight="1">
      <c r="B793" s="720"/>
      <c r="C793" s="717"/>
      <c r="D793" s="717"/>
      <c r="E793" s="715"/>
      <c r="F793" s="715"/>
      <c r="G793" s="715"/>
      <c r="I793" s="715"/>
      <c r="J793" s="737"/>
      <c r="K793" s="737"/>
      <c r="L793" s="715"/>
    </row>
    <row r="794" spans="1:12" ht="9.1999999999999993" customHeight="1">
      <c r="B794" s="720"/>
      <c r="C794" s="717"/>
      <c r="D794" s="717"/>
      <c r="E794" s="715"/>
      <c r="F794" s="715"/>
      <c r="G794" s="715"/>
      <c r="I794" s="715"/>
      <c r="J794" s="737"/>
      <c r="K794" s="737"/>
      <c r="L794" s="715"/>
    </row>
    <row r="795" spans="1:12" ht="9.1999999999999993" customHeight="1">
      <c r="B795" s="720"/>
      <c r="C795" s="717"/>
      <c r="D795" s="717"/>
      <c r="E795" s="715"/>
      <c r="F795" s="715"/>
      <c r="G795" s="715"/>
      <c r="I795" s="715"/>
      <c r="J795" s="737"/>
      <c r="K795" s="737"/>
      <c r="L795" s="715"/>
    </row>
    <row r="797" spans="1:12" ht="9.1999999999999993" customHeight="1">
      <c r="C797" s="696"/>
      <c r="D797" s="696"/>
      <c r="E797" s="697" t="str">
        <f>$E$2</f>
        <v>THẺ LƯƠNG THÁNG 08/2019</v>
      </c>
      <c r="F797" s="698"/>
      <c r="G797" s="698"/>
      <c r="H797" s="698"/>
    </row>
    <row r="798" spans="1:12" ht="9.1999999999999993" customHeight="1">
      <c r="B798" s="699" t="s">
        <v>644</v>
      </c>
      <c r="C798" s="700" t="s">
        <v>324</v>
      </c>
      <c r="D798" s="701"/>
      <c r="F798" s="702" t="s">
        <v>645</v>
      </c>
      <c r="G798" s="689" t="str">
        <f>VLOOKUP(C798,'Luong VP'!$B$10:$AP$189,2,0)</f>
        <v xml:space="preserve"> Nguyễn Duy Long </v>
      </c>
    </row>
    <row r="799" spans="1:12" ht="9.1999999999999993" customHeight="1">
      <c r="B799" s="699" t="s">
        <v>646</v>
      </c>
      <c r="C799" s="689" t="str">
        <f>VLOOKUP(C798,'Luong VP'!$B$10:$AP$189,3,0)</f>
        <v>Trưởng BP GS kỹ thuật</v>
      </c>
      <c r="F799" s="702" t="s">
        <v>647</v>
      </c>
      <c r="G799" s="689">
        <f>VLOOKUP(C798,'Luong VP'!$B$10:$AP$189,5,0)</f>
        <v>2</v>
      </c>
    </row>
    <row r="800" spans="1:12" ht="9.1999999999999993" customHeight="1">
      <c r="B800" s="703"/>
      <c r="C800" s="704"/>
      <c r="D800" s="705"/>
      <c r="F800" s="706" t="s">
        <v>648</v>
      </c>
      <c r="G800" s="706"/>
      <c r="H800" s="706"/>
      <c r="I800" s="725"/>
      <c r="J800" s="726"/>
    </row>
    <row r="801" spans="1:12" ht="9.1999999999999993" customHeight="1">
      <c r="A801" s="707" t="s">
        <v>216</v>
      </c>
      <c r="B801" s="707" t="s">
        <v>649</v>
      </c>
      <c r="C801" s="708" t="s">
        <v>650</v>
      </c>
      <c r="D801" s="709"/>
      <c r="E801" s="710" t="s">
        <v>216</v>
      </c>
      <c r="F801" s="711" t="s">
        <v>649</v>
      </c>
      <c r="G801" s="710"/>
      <c r="H801" s="710" t="s">
        <v>651</v>
      </c>
      <c r="I801" s="727" t="s">
        <v>652</v>
      </c>
      <c r="J801" s="714"/>
      <c r="L801" s="694" t="s">
        <v>653</v>
      </c>
    </row>
    <row r="802" spans="1:12" ht="9.1999999999999993" customHeight="1">
      <c r="A802" s="712">
        <v>1</v>
      </c>
      <c r="B802" s="713" t="s">
        <v>654</v>
      </c>
      <c r="C802" s="714">
        <f>VLOOKUP(C798,'Luong VP'!$B$10:$AP$189,9,0)</f>
        <v>14540</v>
      </c>
      <c r="D802" s="715"/>
      <c r="E802" s="710" t="s">
        <v>655</v>
      </c>
      <c r="F802" s="716" t="s">
        <v>656</v>
      </c>
      <c r="G802" s="710"/>
      <c r="H802" s="710"/>
      <c r="I802" s="727"/>
      <c r="J802" s="714">
        <f>VLOOKUP(C798,'Luong VP'!$B$10:$AP$189,21,0)</f>
        <v>16476.2</v>
      </c>
    </row>
    <row r="803" spans="1:12" ht="9.1999999999999993" customHeight="1">
      <c r="A803" s="712">
        <v>2</v>
      </c>
      <c r="B803" s="713" t="s">
        <v>658</v>
      </c>
      <c r="C803" s="714"/>
      <c r="D803" s="717"/>
      <c r="E803" s="710">
        <v>1</v>
      </c>
      <c r="F803" s="718" t="s">
        <v>659</v>
      </c>
      <c r="G803" s="718"/>
      <c r="H803" s="710" t="s">
        <v>660</v>
      </c>
      <c r="I803" s="727">
        <f>VLOOKUP(C798,'Luong VP'!$B$10:$AP$189,22,0)</f>
        <v>26</v>
      </c>
      <c r="J803" s="728">
        <f>J802/'Cham cong'!$AS$3*I803</f>
        <v>16476.2</v>
      </c>
    </row>
    <row r="804" spans="1:12" ht="9.1999999999999993" customHeight="1">
      <c r="A804" s="712">
        <v>3</v>
      </c>
      <c r="B804" s="713" t="s">
        <v>661</v>
      </c>
      <c r="C804" s="714">
        <f>VLOOKUP(C798,'Luong VP'!$B$10:$AP$189,10,0)</f>
        <v>0</v>
      </c>
      <c r="D804" s="717"/>
      <c r="E804" s="710">
        <v>2</v>
      </c>
      <c r="F804" s="718" t="s">
        <v>662</v>
      </c>
      <c r="G804" s="718"/>
      <c r="H804" s="710" t="s">
        <v>660</v>
      </c>
      <c r="I804" s="727">
        <f>VLOOKUP(C798,'Luong VP'!$B$10:$AP$189,27,0)</f>
        <v>0</v>
      </c>
      <c r="J804" s="728">
        <f>J802/'Cham cong'!$AS$3*I804*3</f>
        <v>0</v>
      </c>
    </row>
    <row r="805" spans="1:12" ht="9.1999999999999993" customHeight="1">
      <c r="A805" s="712">
        <v>4</v>
      </c>
      <c r="B805" s="713" t="s">
        <v>666</v>
      </c>
      <c r="C805" s="714">
        <f>VLOOKUP(C798,'Luong VP'!$B$10:$AP$189,11,0)</f>
        <v>1000</v>
      </c>
      <c r="D805" s="717"/>
      <c r="E805" s="710">
        <v>3</v>
      </c>
      <c r="F805" s="718" t="s">
        <v>667</v>
      </c>
      <c r="G805" s="718"/>
      <c r="H805" s="710" t="s">
        <v>668</v>
      </c>
      <c r="I805" s="727">
        <f>VLOOKUP(C798,'Luong VP'!$B$10:$AP$189,26,0)</f>
        <v>0</v>
      </c>
      <c r="J805" s="728">
        <f>J802/'Cham cong'!$AS$3*I805/8*1.5</f>
        <v>0</v>
      </c>
    </row>
    <row r="806" spans="1:12" ht="9.1999999999999993" customHeight="1">
      <c r="A806" s="712">
        <v>5</v>
      </c>
      <c r="B806" s="713" t="s">
        <v>670</v>
      </c>
      <c r="C806" s="714">
        <f>VLOOKUP(C798,'Luong VP'!$B$10:$AP$189,12,0)</f>
        <v>436.2</v>
      </c>
      <c r="D806" s="717"/>
      <c r="E806" s="710">
        <v>4</v>
      </c>
      <c r="F806" s="718" t="s">
        <v>671</v>
      </c>
      <c r="G806" s="718"/>
      <c r="H806" s="710" t="s">
        <v>668</v>
      </c>
      <c r="I806" s="727">
        <f>VLOOKUP(C798,'Luong VP'!$B$10:$AP$189,25,0)</f>
        <v>0</v>
      </c>
      <c r="J806" s="728">
        <f>J802/'Cham cong'!$AS$3*I806/8*2</f>
        <v>0</v>
      </c>
    </row>
    <row r="807" spans="1:12" ht="9.1999999999999993" customHeight="1">
      <c r="A807" s="712">
        <v>6</v>
      </c>
      <c r="B807" s="713" t="s">
        <v>673</v>
      </c>
      <c r="C807" s="714">
        <f>VLOOKUP(C798,'Luong VP'!$B$10:$AP$189,13,0)</f>
        <v>0</v>
      </c>
      <c r="D807" s="717"/>
      <c r="E807" s="710">
        <v>5</v>
      </c>
      <c r="F807" s="718" t="s">
        <v>674</v>
      </c>
      <c r="G807" s="718"/>
      <c r="H807" s="710" t="s">
        <v>660</v>
      </c>
      <c r="I807" s="727">
        <f>VLOOKUP(C798,'Luong VP'!$B$10:$AP$189,23,0)</f>
        <v>0</v>
      </c>
      <c r="J807" s="728">
        <f>C802/'Cham cong'!$AS$3*I807</f>
        <v>0</v>
      </c>
      <c r="L807" s="694" t="str">
        <f>G798</f>
        <v xml:space="preserve"> Nguyễn Duy Long </v>
      </c>
    </row>
    <row r="808" spans="1:12" ht="9.1999999999999993" customHeight="1">
      <c r="A808" s="712">
        <v>7</v>
      </c>
      <c r="B808" s="713" t="s">
        <v>676</v>
      </c>
      <c r="C808" s="714"/>
      <c r="D808" s="717"/>
      <c r="E808" s="710">
        <v>6</v>
      </c>
      <c r="F808" s="718" t="s">
        <v>677</v>
      </c>
      <c r="G808" s="718"/>
      <c r="H808" s="710" t="s">
        <v>660</v>
      </c>
      <c r="I808" s="727">
        <f>VLOOKUP(C798,'Luong VP'!$B$10:$AP$189,24,0)</f>
        <v>1</v>
      </c>
      <c r="J808" s="714">
        <f>C802/'Cham cong'!$AS$3*I808</f>
        <v>559.23076923076928</v>
      </c>
    </row>
    <row r="809" spans="1:12" ht="9.1999999999999993" customHeight="1">
      <c r="A809" s="712">
        <v>8</v>
      </c>
      <c r="B809" s="713" t="s">
        <v>679</v>
      </c>
      <c r="C809" s="714">
        <f>VLOOKUP(C798,'Luong VP'!$B$10:$AP$189,14,0)</f>
        <v>500</v>
      </c>
      <c r="D809" s="717"/>
      <c r="E809" s="710">
        <v>7</v>
      </c>
      <c r="F809" s="718" t="s">
        <v>680</v>
      </c>
      <c r="G809" s="718"/>
      <c r="H809" s="718"/>
      <c r="I809" s="729"/>
      <c r="J809" s="714">
        <f>VLOOKUP(C798,'Luong VP'!$B$10:$AP$189,28,0)</f>
        <v>0</v>
      </c>
    </row>
    <row r="810" spans="1:12" ht="9.1999999999999993" customHeight="1">
      <c r="A810" s="712">
        <v>9</v>
      </c>
      <c r="B810" s="713" t="s">
        <v>683</v>
      </c>
      <c r="C810" s="714">
        <f>VLOOKUP(C798,'Luong VP'!$B$10:$AP$189,15,0)</f>
        <v>500</v>
      </c>
      <c r="D810" s="717"/>
      <c r="E810" s="710">
        <v>8</v>
      </c>
      <c r="F810" s="718" t="s">
        <v>238</v>
      </c>
      <c r="G810" s="718"/>
      <c r="H810" s="718"/>
      <c r="I810" s="729"/>
      <c r="J810" s="714">
        <f>VLOOKUP(C798,'Luong VP'!$B$10:$AP$189,33,0)</f>
        <v>0</v>
      </c>
    </row>
    <row r="811" spans="1:12" ht="9.1999999999999993" customHeight="1">
      <c r="A811" s="712">
        <v>10</v>
      </c>
      <c r="B811" s="713" t="s">
        <v>685</v>
      </c>
      <c r="C811" s="714">
        <f>VLOOKUP(C798,'Luong VP'!$B$10:$AP$189,16,0)</f>
        <v>0</v>
      </c>
      <c r="D811" s="717"/>
      <c r="E811" s="710" t="s">
        <v>686</v>
      </c>
      <c r="F811" s="716" t="s">
        <v>687</v>
      </c>
      <c r="G811" s="719"/>
      <c r="H811" s="719"/>
      <c r="I811" s="729"/>
      <c r="J811" s="730"/>
    </row>
    <row r="812" spans="1:12" ht="9.1999999999999993" customHeight="1">
      <c r="A812" s="712">
        <v>11</v>
      </c>
      <c r="B812" s="713" t="s">
        <v>688</v>
      </c>
      <c r="C812" s="714">
        <f>VLOOKUP(C798,'Luong VP'!$B$10:$AP$189,17,0)</f>
        <v>0</v>
      </c>
      <c r="D812" s="717"/>
      <c r="E812" s="710">
        <v>1</v>
      </c>
      <c r="F812" s="716" t="s">
        <v>689</v>
      </c>
      <c r="G812" s="719"/>
      <c r="H812" s="719"/>
      <c r="I812" s="714">
        <f>VLOOKUP(C798,'Luong VP'!$B$10:$AP$189,30,0)</f>
        <v>0</v>
      </c>
      <c r="J812" s="714">
        <f>VLOOKUP(C798,'Luong VP'!$B$10:$AP$189,30,0)</f>
        <v>0</v>
      </c>
    </row>
    <row r="813" spans="1:12" ht="9.1999999999999993" customHeight="1">
      <c r="A813" s="712">
        <v>12</v>
      </c>
      <c r="B813" s="713" t="s">
        <v>691</v>
      </c>
      <c r="C813" s="714">
        <f>VLOOKUP(C798,'Luong VP'!$B$10:$AP$189,18,0)</f>
        <v>0</v>
      </c>
      <c r="D813" s="717"/>
      <c r="E813" s="710">
        <v>2</v>
      </c>
      <c r="F813" s="718" t="s">
        <v>239</v>
      </c>
      <c r="G813" s="718"/>
      <c r="H813" s="718"/>
      <c r="I813" s="727"/>
      <c r="J813" s="728">
        <f>VLOOKUP(C798,'Luong VP'!$B$10:$AP$189,34,0)</f>
        <v>0</v>
      </c>
      <c r="K813" s="731"/>
      <c r="L813" s="715"/>
    </row>
    <row r="814" spans="1:12" ht="9.1999999999999993" customHeight="1">
      <c r="A814" s="712">
        <v>13</v>
      </c>
      <c r="B814" s="713" t="s">
        <v>692</v>
      </c>
      <c r="C814" s="714">
        <f>VLOOKUP(C798,'Luong VP'!$B$10:$AP$189,19,0)</f>
        <v>0</v>
      </c>
      <c r="D814" s="717"/>
      <c r="E814" s="710">
        <v>3</v>
      </c>
      <c r="F814" s="716" t="s">
        <v>693</v>
      </c>
      <c r="G814" s="719"/>
      <c r="H814" s="719"/>
      <c r="I814" s="729"/>
      <c r="J814" s="714">
        <f>VLOOKUP(C798,'Luong VP'!$B$10:$AP$189,40,0)</f>
        <v>0</v>
      </c>
      <c r="K814" s="731"/>
      <c r="L814" s="715"/>
    </row>
    <row r="815" spans="1:12" ht="9.1999999999999993" customHeight="1">
      <c r="A815" s="712">
        <v>14</v>
      </c>
      <c r="B815" s="713" t="s">
        <v>694</v>
      </c>
      <c r="C815" s="714">
        <f>VLOOKUP(C798,'Luong VP'!$B$10:$AP$189,20,0)</f>
        <v>0</v>
      </c>
      <c r="D815" s="717"/>
      <c r="E815" s="710">
        <v>4</v>
      </c>
      <c r="F815" s="718" t="s">
        <v>695</v>
      </c>
      <c r="G815" s="719"/>
      <c r="H815" s="719"/>
      <c r="I815" s="729"/>
      <c r="J815" s="714">
        <f>VLOOKUP(C798,'Luong VP'!$B$10:$AP$189,35,0)</f>
        <v>0</v>
      </c>
      <c r="K815" s="732"/>
      <c r="L815" s="715"/>
    </row>
    <row r="816" spans="1:12" ht="9.1999999999999993" customHeight="1">
      <c r="A816" s="712"/>
      <c r="B816" s="707" t="s">
        <v>656</v>
      </c>
      <c r="C816" s="714">
        <f>SUM(C802:C815)</f>
        <v>16976.2</v>
      </c>
      <c r="D816" s="717"/>
      <c r="E816" s="710"/>
      <c r="F816" s="716" t="s">
        <v>241</v>
      </c>
      <c r="G816" s="719"/>
      <c r="H816" s="719"/>
      <c r="I816" s="729"/>
      <c r="J816" s="730">
        <f>SUM(J803:J815)+C810</f>
        <v>17535.43076923077</v>
      </c>
      <c r="K816" s="731"/>
      <c r="L816" s="715"/>
    </row>
    <row r="817" spans="1:12" ht="9.1999999999999993" customHeight="1">
      <c r="B817" s="720"/>
      <c r="C817" s="717"/>
      <c r="D817" s="717"/>
      <c r="E817" s="710" t="s">
        <v>696</v>
      </c>
      <c r="F817" s="711" t="s">
        <v>697</v>
      </c>
      <c r="G817" s="710"/>
      <c r="H817" s="710"/>
      <c r="I817" s="729"/>
      <c r="J817" s="730">
        <f>SUM(J818:J820)</f>
        <v>5577.5</v>
      </c>
      <c r="K817" s="732"/>
      <c r="L817" s="715"/>
    </row>
    <row r="818" spans="1:12" ht="9.1999999999999993" customHeight="1">
      <c r="B818" s="720"/>
      <c r="C818" s="717"/>
      <c r="D818" s="717"/>
      <c r="E818" s="710">
        <v>1</v>
      </c>
      <c r="F818" s="718" t="s">
        <v>698</v>
      </c>
      <c r="G818" s="718"/>
      <c r="H818" s="718"/>
      <c r="I818" s="733"/>
      <c r="J818" s="714">
        <f>VLOOKUP(C798,'Luong VP'!$B$10:$AP$189,37,0)</f>
        <v>577.5</v>
      </c>
      <c r="K818" s="732"/>
      <c r="L818" s="715"/>
    </row>
    <row r="819" spans="1:12" ht="9.1999999999999993" customHeight="1">
      <c r="B819" s="720"/>
      <c r="C819" s="717"/>
      <c r="D819" s="717"/>
      <c r="E819" s="710">
        <v>2</v>
      </c>
      <c r="F819" s="718" t="s">
        <v>244</v>
      </c>
      <c r="G819" s="718"/>
      <c r="H819" s="718"/>
      <c r="I819" s="729"/>
      <c r="J819" s="714">
        <f>VLOOKUP(C798,'Luong VP'!$B$10:$AP$189,39,0)</f>
        <v>5000</v>
      </c>
      <c r="K819" s="734"/>
      <c r="L819" s="735"/>
    </row>
    <row r="820" spans="1:12" ht="9.1999999999999993" customHeight="1">
      <c r="B820" s="720"/>
      <c r="C820" s="717"/>
      <c r="D820" s="717"/>
      <c r="E820" s="710"/>
      <c r="F820" s="718" t="s">
        <v>699</v>
      </c>
      <c r="G820" s="718"/>
      <c r="H820" s="718"/>
      <c r="I820" s="729"/>
      <c r="J820" s="714"/>
      <c r="K820" s="714"/>
      <c r="L820" s="736"/>
    </row>
    <row r="821" spans="1:12" ht="9.1999999999999993" customHeight="1">
      <c r="B821" s="720"/>
      <c r="C821" s="717"/>
      <c r="D821" s="717"/>
      <c r="E821" s="710" t="s">
        <v>700</v>
      </c>
      <c r="F821" s="710" t="s">
        <v>246</v>
      </c>
      <c r="G821" s="710"/>
      <c r="H821" s="710"/>
      <c r="I821" s="729"/>
      <c r="J821" s="728">
        <f>J816-J817</f>
        <v>11957.93076923077</v>
      </c>
      <c r="K821" s="728">
        <f>ROUND(J821,-1)</f>
        <v>11960</v>
      </c>
      <c r="L821" s="710"/>
    </row>
    <row r="822" spans="1:12" ht="9.1999999999999993" customHeight="1">
      <c r="B822" s="720"/>
      <c r="C822" s="717"/>
      <c r="D822" s="717"/>
      <c r="E822" s="715"/>
      <c r="F822" s="715"/>
      <c r="G822" s="715"/>
      <c r="I822" s="715" t="s">
        <v>701</v>
      </c>
      <c r="J822" s="737"/>
      <c r="K822" s="737"/>
      <c r="L822" s="715"/>
    </row>
    <row r="823" spans="1:12" ht="9.1999999999999993" customHeight="1">
      <c r="B823" s="720"/>
      <c r="C823" s="717"/>
      <c r="D823" s="717"/>
      <c r="E823" s="715"/>
      <c r="F823" s="715"/>
      <c r="G823" s="715"/>
      <c r="I823" s="715"/>
      <c r="J823" s="737"/>
      <c r="K823" s="737"/>
      <c r="L823" s="715"/>
    </row>
    <row r="824" spans="1:12" ht="9.1999999999999993" customHeight="1">
      <c r="B824" s="720"/>
      <c r="C824" s="717"/>
      <c r="D824" s="717"/>
      <c r="E824" s="715"/>
      <c r="F824" s="715"/>
      <c r="G824" s="715"/>
      <c r="I824" s="715"/>
      <c r="J824" s="737"/>
      <c r="K824" s="737"/>
      <c r="L824" s="715"/>
    </row>
    <row r="825" spans="1:12" ht="9.1999999999999993" customHeight="1">
      <c r="B825" s="720"/>
      <c r="C825" s="717"/>
      <c r="D825" s="717"/>
      <c r="E825" s="715"/>
      <c r="F825" s="715"/>
      <c r="G825" s="715"/>
      <c r="I825" s="715"/>
      <c r="J825" s="737"/>
      <c r="K825" s="737"/>
      <c r="L825" s="715"/>
    </row>
    <row r="827" spans="1:12" ht="9.1999999999999993" customHeight="1">
      <c r="C827" s="696"/>
      <c r="D827" s="696"/>
      <c r="E827" s="697" t="str">
        <f>$E$2</f>
        <v>THẺ LƯƠNG THÁNG 08/2019</v>
      </c>
      <c r="F827" s="698"/>
      <c r="G827" s="698"/>
      <c r="H827" s="698"/>
    </row>
    <row r="828" spans="1:12" ht="9.1999999999999993" customHeight="1">
      <c r="B828" s="699" t="s">
        <v>644</v>
      </c>
      <c r="C828" s="700" t="s">
        <v>326</v>
      </c>
      <c r="D828" s="701"/>
      <c r="F828" s="702" t="s">
        <v>645</v>
      </c>
      <c r="G828" s="689" t="str">
        <f>VLOOKUP(C828,'Luong VP'!$B$10:$AP$189,2,0)</f>
        <v xml:space="preserve"> Nguyễn Trần Duy Anh </v>
      </c>
    </row>
    <row r="829" spans="1:12" ht="9.1999999999999993" customHeight="1">
      <c r="B829" s="699" t="s">
        <v>646</v>
      </c>
      <c r="C829" s="689" t="str">
        <f>VLOOKUP(C828,'Luong VP'!$B$10:$AP$189,3,0)</f>
        <v>Trưởng Phòng thiết kế kỹ thuật</v>
      </c>
      <c r="F829" s="702" t="s">
        <v>647</v>
      </c>
      <c r="G829" s="689">
        <f>VLOOKUP(C828,'Luong VP'!$B$10:$AP$189,5,0)</f>
        <v>4</v>
      </c>
    </row>
    <row r="830" spans="1:12" ht="9.1999999999999993" customHeight="1">
      <c r="B830" s="703"/>
      <c r="C830" s="704"/>
      <c r="D830" s="705"/>
      <c r="F830" s="706" t="s">
        <v>648</v>
      </c>
      <c r="G830" s="706"/>
      <c r="H830" s="706"/>
      <c r="I830" s="725"/>
      <c r="J830" s="726"/>
    </row>
    <row r="831" spans="1:12" ht="9.1999999999999993" customHeight="1">
      <c r="A831" s="707" t="s">
        <v>216</v>
      </c>
      <c r="B831" s="707" t="s">
        <v>649</v>
      </c>
      <c r="C831" s="708" t="s">
        <v>650</v>
      </c>
      <c r="D831" s="709"/>
      <c r="E831" s="710" t="s">
        <v>216</v>
      </c>
      <c r="F831" s="711" t="s">
        <v>649</v>
      </c>
      <c r="G831" s="710"/>
      <c r="H831" s="710" t="s">
        <v>651</v>
      </c>
      <c r="I831" s="727" t="s">
        <v>652</v>
      </c>
      <c r="J831" s="714"/>
      <c r="L831" s="694" t="s">
        <v>653</v>
      </c>
    </row>
    <row r="832" spans="1:12" ht="9.1999999999999993" customHeight="1">
      <c r="A832" s="712">
        <v>1</v>
      </c>
      <c r="B832" s="713" t="s">
        <v>654</v>
      </c>
      <c r="C832" s="714">
        <f>VLOOKUP(C828,'Luong VP'!$B$10:$AP$189,9,0)</f>
        <v>21620</v>
      </c>
      <c r="D832" s="715"/>
      <c r="E832" s="710" t="s">
        <v>655</v>
      </c>
      <c r="F832" s="716" t="s">
        <v>656</v>
      </c>
      <c r="G832" s="710"/>
      <c r="H832" s="710"/>
      <c r="I832" s="727"/>
      <c r="J832" s="714">
        <f>VLOOKUP(C828,'Luong VP'!$B$10:$AP$189,21,0)</f>
        <v>23768.6</v>
      </c>
    </row>
    <row r="833" spans="1:12" ht="9.1999999999999993" customHeight="1">
      <c r="A833" s="712">
        <v>2</v>
      </c>
      <c r="B833" s="713" t="s">
        <v>658</v>
      </c>
      <c r="C833" s="714"/>
      <c r="D833" s="717"/>
      <c r="E833" s="710">
        <v>1</v>
      </c>
      <c r="F833" s="718" t="s">
        <v>659</v>
      </c>
      <c r="G833" s="718"/>
      <c r="H833" s="710" t="s">
        <v>660</v>
      </c>
      <c r="I833" s="727">
        <f>VLOOKUP(C828,'Luong VP'!$B$10:$AP$189,22,0)</f>
        <v>26</v>
      </c>
      <c r="J833" s="728">
        <f>J832/'Cham cong'!$AS$3*I833</f>
        <v>23768.6</v>
      </c>
    </row>
    <row r="834" spans="1:12" ht="9.1999999999999993" customHeight="1">
      <c r="A834" s="712">
        <v>3</v>
      </c>
      <c r="B834" s="713" t="s">
        <v>661</v>
      </c>
      <c r="C834" s="714">
        <f>VLOOKUP(C828,'Luong VP'!$B$10:$AP$189,10,0)</f>
        <v>0</v>
      </c>
      <c r="D834" s="717"/>
      <c r="E834" s="710">
        <v>2</v>
      </c>
      <c r="F834" s="718" t="s">
        <v>662</v>
      </c>
      <c r="G834" s="718"/>
      <c r="H834" s="710" t="s">
        <v>660</v>
      </c>
      <c r="I834" s="727">
        <f>VLOOKUP(C828,'Luong VP'!$B$10:$AP$189,27,0)</f>
        <v>0</v>
      </c>
      <c r="J834" s="728">
        <f>J832/'Cham cong'!$AS$3*I834*3</f>
        <v>0</v>
      </c>
    </row>
    <row r="835" spans="1:12" ht="9.1999999999999993" customHeight="1">
      <c r="A835" s="712">
        <v>4</v>
      </c>
      <c r="B835" s="713" t="s">
        <v>666</v>
      </c>
      <c r="C835" s="714">
        <f>VLOOKUP(C828,'Luong VP'!$B$10:$AP$189,11,0)</f>
        <v>1000</v>
      </c>
      <c r="D835" s="717"/>
      <c r="E835" s="710">
        <v>3</v>
      </c>
      <c r="F835" s="718" t="s">
        <v>667</v>
      </c>
      <c r="G835" s="718"/>
      <c r="H835" s="710" t="s">
        <v>668</v>
      </c>
      <c r="I835" s="727">
        <f>VLOOKUP(C828,'Luong VP'!$B$10:$AP$189,26,0)</f>
        <v>0</v>
      </c>
      <c r="J835" s="728">
        <f>J832/'Cham cong'!$AS$3*I835/8*1.5</f>
        <v>0</v>
      </c>
    </row>
    <row r="836" spans="1:12" ht="9.1999999999999993" customHeight="1">
      <c r="A836" s="712">
        <v>5</v>
      </c>
      <c r="B836" s="713" t="s">
        <v>670</v>
      </c>
      <c r="C836" s="714">
        <f>VLOOKUP(C828,'Luong VP'!$B$10:$AP$189,12,0)</f>
        <v>648.6</v>
      </c>
      <c r="D836" s="717"/>
      <c r="E836" s="710">
        <v>4</v>
      </c>
      <c r="F836" s="718" t="s">
        <v>671</v>
      </c>
      <c r="G836" s="718"/>
      <c r="H836" s="710" t="s">
        <v>668</v>
      </c>
      <c r="I836" s="727">
        <f>VLOOKUP(C828,'Luong VP'!$B$10:$AP$189,25,0)</f>
        <v>0</v>
      </c>
      <c r="J836" s="728">
        <f>J832/'Cham cong'!$AS$3*I836/8*2</f>
        <v>0</v>
      </c>
    </row>
    <row r="837" spans="1:12" ht="9.1999999999999993" customHeight="1">
      <c r="A837" s="712">
        <v>6</v>
      </c>
      <c r="B837" s="713" t="s">
        <v>673</v>
      </c>
      <c r="C837" s="714">
        <f>VLOOKUP(C828,'Luong VP'!$B$10:$AP$189,13,0)</f>
        <v>0</v>
      </c>
      <c r="D837" s="717"/>
      <c r="E837" s="710">
        <v>5</v>
      </c>
      <c r="F837" s="718" t="s">
        <v>674</v>
      </c>
      <c r="G837" s="718"/>
      <c r="H837" s="710" t="s">
        <v>660</v>
      </c>
      <c r="I837" s="727">
        <f>VLOOKUP(C828,'Luong VP'!$B$10:$AP$189,23,0)</f>
        <v>0</v>
      </c>
      <c r="J837" s="728">
        <f>C832/'Cham cong'!$AS$3*I837</f>
        <v>0</v>
      </c>
      <c r="L837" s="694" t="str">
        <f>G828</f>
        <v xml:space="preserve"> Nguyễn Trần Duy Anh </v>
      </c>
    </row>
    <row r="838" spans="1:12" ht="9.1999999999999993" customHeight="1">
      <c r="A838" s="712">
        <v>7</v>
      </c>
      <c r="B838" s="713" t="s">
        <v>676</v>
      </c>
      <c r="C838" s="714"/>
      <c r="D838" s="717"/>
      <c r="E838" s="710">
        <v>6</v>
      </c>
      <c r="F838" s="718" t="s">
        <v>677</v>
      </c>
      <c r="G838" s="718"/>
      <c r="H838" s="710" t="s">
        <v>660</v>
      </c>
      <c r="I838" s="727">
        <f>VLOOKUP(C828,'Luong VP'!$B$10:$AP$189,24,0)</f>
        <v>1</v>
      </c>
      <c r="J838" s="714">
        <f>C832/'Cham cong'!$AS$3*I838</f>
        <v>831.53846153846155</v>
      </c>
    </row>
    <row r="839" spans="1:12" ht="9.1999999999999993" customHeight="1">
      <c r="A839" s="712">
        <v>8</v>
      </c>
      <c r="B839" s="713" t="s">
        <v>679</v>
      </c>
      <c r="C839" s="714">
        <f>VLOOKUP(C828,'Luong VP'!$B$10:$AP$189,14,0)</f>
        <v>500</v>
      </c>
      <c r="D839" s="717"/>
      <c r="E839" s="710">
        <v>7</v>
      </c>
      <c r="F839" s="718" t="s">
        <v>680</v>
      </c>
      <c r="G839" s="718"/>
      <c r="H839" s="718"/>
      <c r="I839" s="729"/>
      <c r="J839" s="714">
        <f>VLOOKUP(C828,'Luong VP'!$B$10:$AP$189,28,0)</f>
        <v>0</v>
      </c>
    </row>
    <row r="840" spans="1:12" ht="9.1999999999999993" customHeight="1">
      <c r="A840" s="712">
        <v>9</v>
      </c>
      <c r="B840" s="713" t="s">
        <v>683</v>
      </c>
      <c r="C840" s="714">
        <f>VLOOKUP(C828,'Luong VP'!$B$10:$AP$189,15,0)</f>
        <v>500</v>
      </c>
      <c r="D840" s="717"/>
      <c r="E840" s="710">
        <v>8</v>
      </c>
      <c r="F840" s="718" t="s">
        <v>238</v>
      </c>
      <c r="G840" s="718"/>
      <c r="H840" s="718"/>
      <c r="I840" s="729"/>
      <c r="J840" s="714">
        <f>VLOOKUP(C828,'Luong VP'!$B$10:$AP$189,33,0)</f>
        <v>0</v>
      </c>
    </row>
    <row r="841" spans="1:12" ht="9.1999999999999993" customHeight="1">
      <c r="A841" s="712">
        <v>10</v>
      </c>
      <c r="B841" s="713" t="s">
        <v>685</v>
      </c>
      <c r="C841" s="714">
        <f>VLOOKUP(C828,'Luong VP'!$B$10:$AP$189,16,0)</f>
        <v>0</v>
      </c>
      <c r="D841" s="717"/>
      <c r="E841" s="710" t="s">
        <v>686</v>
      </c>
      <c r="F841" s="716" t="s">
        <v>687</v>
      </c>
      <c r="G841" s="719"/>
      <c r="H841" s="719"/>
      <c r="I841" s="729"/>
      <c r="J841" s="730"/>
    </row>
    <row r="842" spans="1:12" ht="9.1999999999999993" customHeight="1">
      <c r="A842" s="712">
        <v>11</v>
      </c>
      <c r="B842" s="713" t="s">
        <v>688</v>
      </c>
      <c r="C842" s="714">
        <f>VLOOKUP(C828,'Luong VP'!$B$10:$AP$189,17,0)</f>
        <v>0</v>
      </c>
      <c r="D842" s="717"/>
      <c r="E842" s="710">
        <v>1</v>
      </c>
      <c r="F842" s="716" t="s">
        <v>689</v>
      </c>
      <c r="G842" s="719"/>
      <c r="H842" s="719"/>
      <c r="I842" s="714">
        <f>VLOOKUP(C828,'Luong VP'!$B$10:$AP$189,30,0)</f>
        <v>0</v>
      </c>
      <c r="J842" s="714">
        <f>VLOOKUP(C828,'Luong VP'!$B$10:$AP$189,30,0)</f>
        <v>0</v>
      </c>
    </row>
    <row r="843" spans="1:12" ht="9.1999999999999993" customHeight="1">
      <c r="A843" s="712">
        <v>12</v>
      </c>
      <c r="B843" s="713" t="s">
        <v>691</v>
      </c>
      <c r="C843" s="714">
        <f>VLOOKUP(C828,'Luong VP'!$B$10:$AP$189,18,0)</f>
        <v>0</v>
      </c>
      <c r="D843" s="717"/>
      <c r="E843" s="710">
        <v>2</v>
      </c>
      <c r="F843" s="718" t="s">
        <v>239</v>
      </c>
      <c r="G843" s="718"/>
      <c r="H843" s="718"/>
      <c r="I843" s="727"/>
      <c r="J843" s="728">
        <f>VLOOKUP(C828,'Luong VP'!$B$10:$AP$189,34,0)</f>
        <v>0</v>
      </c>
      <c r="K843" s="731"/>
      <c r="L843" s="715"/>
    </row>
    <row r="844" spans="1:12" ht="9.1999999999999993" customHeight="1">
      <c r="A844" s="712">
        <v>13</v>
      </c>
      <c r="B844" s="713" t="s">
        <v>692</v>
      </c>
      <c r="C844" s="714">
        <f>VLOOKUP(C828,'Luong VP'!$B$10:$AP$189,19,0)</f>
        <v>0</v>
      </c>
      <c r="D844" s="717"/>
      <c r="E844" s="710">
        <v>3</v>
      </c>
      <c r="F844" s="716" t="s">
        <v>693</v>
      </c>
      <c r="G844" s="719"/>
      <c r="H844" s="719"/>
      <c r="I844" s="729"/>
      <c r="J844" s="714">
        <f>VLOOKUP(C828,'Luong VP'!$B$10:$AP$189,40,0)</f>
        <v>0</v>
      </c>
      <c r="K844" s="731"/>
      <c r="L844" s="715"/>
    </row>
    <row r="845" spans="1:12" ht="9.1999999999999993" customHeight="1">
      <c r="A845" s="712">
        <v>14</v>
      </c>
      <c r="B845" s="713" t="s">
        <v>694</v>
      </c>
      <c r="C845" s="714">
        <f>VLOOKUP(C828,'Luong VP'!$B$10:$AP$189,20,0)</f>
        <v>0</v>
      </c>
      <c r="D845" s="717"/>
      <c r="E845" s="710">
        <v>4</v>
      </c>
      <c r="F845" s="718" t="s">
        <v>695</v>
      </c>
      <c r="G845" s="719"/>
      <c r="H845" s="719"/>
      <c r="I845" s="729"/>
      <c r="J845" s="714">
        <f>VLOOKUP(C828,'Luong VP'!$B$10:$AP$189,35,0)</f>
        <v>0</v>
      </c>
      <c r="K845" s="732"/>
      <c r="L845" s="715"/>
    </row>
    <row r="846" spans="1:12" ht="9.1999999999999993" customHeight="1">
      <c r="A846" s="712"/>
      <c r="B846" s="707" t="s">
        <v>656</v>
      </c>
      <c r="C846" s="714">
        <f>SUM(C832:C845)</f>
        <v>24268.6</v>
      </c>
      <c r="D846" s="717"/>
      <c r="E846" s="710"/>
      <c r="F846" s="716" t="s">
        <v>241</v>
      </c>
      <c r="G846" s="719"/>
      <c r="H846" s="719"/>
      <c r="I846" s="729"/>
      <c r="J846" s="730">
        <f>SUM(J833:J845)+C840</f>
        <v>25100.13846153846</v>
      </c>
      <c r="K846" s="731"/>
      <c r="L846" s="715"/>
    </row>
    <row r="847" spans="1:12" ht="9.1999999999999993" customHeight="1">
      <c r="B847" s="720"/>
      <c r="C847" s="717"/>
      <c r="D847" s="717"/>
      <c r="E847" s="710" t="s">
        <v>696</v>
      </c>
      <c r="F847" s="711" t="s">
        <v>697</v>
      </c>
      <c r="G847" s="710"/>
      <c r="H847" s="710"/>
      <c r="I847" s="729"/>
      <c r="J847" s="730">
        <f>SUM(J848:J850)</f>
        <v>10577.5</v>
      </c>
      <c r="K847" s="732"/>
      <c r="L847" s="715"/>
    </row>
    <row r="848" spans="1:12" ht="9.1999999999999993" customHeight="1">
      <c r="B848" s="720"/>
      <c r="C848" s="717"/>
      <c r="D848" s="717"/>
      <c r="E848" s="710">
        <v>1</v>
      </c>
      <c r="F848" s="718" t="s">
        <v>698</v>
      </c>
      <c r="G848" s="718"/>
      <c r="H848" s="718"/>
      <c r="I848" s="733"/>
      <c r="J848" s="714">
        <f>VLOOKUP(C828,'Luong VP'!$B$10:$AP$189,37,0)</f>
        <v>577.5</v>
      </c>
      <c r="K848" s="732"/>
      <c r="L848" s="715"/>
    </row>
    <row r="849" spans="1:12" ht="9.1999999999999993" customHeight="1">
      <c r="B849" s="720"/>
      <c r="C849" s="717"/>
      <c r="D849" s="717"/>
      <c r="E849" s="710">
        <v>2</v>
      </c>
      <c r="F849" s="718" t="s">
        <v>244</v>
      </c>
      <c r="G849" s="718"/>
      <c r="H849" s="718"/>
      <c r="I849" s="729"/>
      <c r="J849" s="714">
        <f>VLOOKUP(C828,'Luong VP'!$B$10:$AP$189,39,0)</f>
        <v>10000</v>
      </c>
      <c r="K849" s="734"/>
      <c r="L849" s="735"/>
    </row>
    <row r="850" spans="1:12" ht="9.1999999999999993" customHeight="1">
      <c r="B850" s="720"/>
      <c r="C850" s="717"/>
      <c r="D850" s="717"/>
      <c r="E850" s="710"/>
      <c r="F850" s="718" t="s">
        <v>699</v>
      </c>
      <c r="G850" s="718"/>
      <c r="H850" s="718"/>
      <c r="I850" s="729"/>
      <c r="J850" s="714"/>
      <c r="K850" s="714"/>
      <c r="L850" s="736"/>
    </row>
    <row r="851" spans="1:12" ht="9.1999999999999993" customHeight="1">
      <c r="B851" s="720"/>
      <c r="C851" s="717"/>
      <c r="D851" s="717"/>
      <c r="E851" s="710" t="s">
        <v>700</v>
      </c>
      <c r="F851" s="710" t="s">
        <v>246</v>
      </c>
      <c r="G851" s="710"/>
      <c r="H851" s="710"/>
      <c r="I851" s="729"/>
      <c r="J851" s="728">
        <f>J846-J847</f>
        <v>14522.63846153846</v>
      </c>
      <c r="K851" s="728">
        <f>ROUND(J851,-1)</f>
        <v>14520</v>
      </c>
      <c r="L851" s="710"/>
    </row>
    <row r="852" spans="1:12" ht="9.1999999999999993" customHeight="1">
      <c r="B852" s="720"/>
      <c r="C852" s="717"/>
      <c r="D852" s="717"/>
      <c r="E852" s="715"/>
      <c r="F852" s="715"/>
      <c r="G852" s="715"/>
      <c r="I852" s="715" t="s">
        <v>701</v>
      </c>
      <c r="J852" s="737"/>
      <c r="K852" s="737"/>
      <c r="L852" s="715"/>
    </row>
    <row r="853" spans="1:12" ht="9.1999999999999993" customHeight="1">
      <c r="B853" s="720"/>
      <c r="C853" s="717"/>
      <c r="D853" s="717"/>
      <c r="E853" s="715"/>
      <c r="F853" s="715"/>
      <c r="G853" s="715"/>
      <c r="I853" s="715"/>
      <c r="J853" s="737"/>
      <c r="K853" s="737"/>
      <c r="L853" s="715"/>
    </row>
    <row r="854" spans="1:12" ht="9.1999999999999993" customHeight="1">
      <c r="B854" s="720"/>
      <c r="C854" s="717"/>
      <c r="D854" s="717"/>
      <c r="E854" s="715"/>
      <c r="F854" s="715"/>
      <c r="G854" s="715"/>
      <c r="I854" s="715"/>
      <c r="J854" s="737"/>
      <c r="K854" s="737"/>
      <c r="L854" s="715"/>
    </row>
    <row r="855" spans="1:12" ht="9.1999999999999993" customHeight="1">
      <c r="B855" s="720"/>
      <c r="C855" s="717"/>
      <c r="D855" s="717"/>
      <c r="E855" s="715"/>
      <c r="F855" s="715"/>
      <c r="G855" s="715"/>
      <c r="I855" s="715"/>
      <c r="J855" s="737"/>
      <c r="K855" s="737"/>
      <c r="L855" s="715"/>
    </row>
    <row r="856" spans="1:12" ht="9.1999999999999993" customHeight="1">
      <c r="B856" s="720"/>
      <c r="C856" s="717"/>
      <c r="D856" s="717"/>
      <c r="E856" s="715"/>
      <c r="F856" s="715"/>
      <c r="G856" s="715"/>
      <c r="I856" s="715"/>
      <c r="J856" s="737"/>
      <c r="K856" s="737"/>
      <c r="L856" s="715"/>
    </row>
    <row r="857" spans="1:12" ht="9.1999999999999993" customHeight="1">
      <c r="C857" s="696"/>
      <c r="D857" s="696"/>
      <c r="E857" s="697" t="str">
        <f>$E$2</f>
        <v>THẺ LƯƠNG THÁNG 08/2019</v>
      </c>
      <c r="F857" s="698"/>
      <c r="G857" s="698"/>
      <c r="H857" s="698"/>
    </row>
    <row r="858" spans="1:12" ht="9.1999999999999993" customHeight="1">
      <c r="B858" s="699" t="s">
        <v>644</v>
      </c>
      <c r="C858" s="700" t="s">
        <v>1279</v>
      </c>
      <c r="D858" s="701"/>
      <c r="F858" s="1475" t="s">
        <v>645</v>
      </c>
      <c r="G858" s="689" t="str">
        <f>VLOOKUP(C858,'Luong VP'!$B$10:$AP$189,2,0)</f>
        <v>Lê Minh Đức Thịnh</v>
      </c>
    </row>
    <row r="859" spans="1:12" ht="9.1999999999999993" customHeight="1">
      <c r="B859" s="699" t="s">
        <v>646</v>
      </c>
      <c r="C859" s="689" t="str">
        <f>VLOOKUP(C858,'Luong VP'!$B$10:$AP$189,3,0)</f>
        <v>Trưởng BP Thiết kế Kỹ thuật</v>
      </c>
      <c r="F859" s="1475" t="s">
        <v>647</v>
      </c>
      <c r="G859" s="689">
        <f>VLOOKUP(C858,'Luong VP'!$B$10:$AP$189,5,0)</f>
        <v>2</v>
      </c>
    </row>
    <row r="860" spans="1:12" ht="9.1999999999999993" customHeight="1">
      <c r="B860" s="703"/>
      <c r="C860" s="704"/>
      <c r="D860" s="705"/>
      <c r="F860" s="706" t="s">
        <v>648</v>
      </c>
      <c r="G860" s="706"/>
      <c r="H860" s="706"/>
      <c r="I860" s="725"/>
      <c r="J860" s="726"/>
    </row>
    <row r="861" spans="1:12" ht="9.1999999999999993" customHeight="1">
      <c r="A861" s="707" t="s">
        <v>216</v>
      </c>
      <c r="B861" s="707" t="s">
        <v>649</v>
      </c>
      <c r="C861" s="708" t="s">
        <v>650</v>
      </c>
      <c r="D861" s="709"/>
      <c r="E861" s="710" t="s">
        <v>216</v>
      </c>
      <c r="F861" s="711" t="s">
        <v>649</v>
      </c>
      <c r="G861" s="710"/>
      <c r="H861" s="710" t="s">
        <v>651</v>
      </c>
      <c r="I861" s="727" t="s">
        <v>652</v>
      </c>
      <c r="J861" s="714"/>
      <c r="L861" s="694" t="s">
        <v>653</v>
      </c>
    </row>
    <row r="862" spans="1:12" ht="9.1999999999999993" customHeight="1">
      <c r="A862" s="712">
        <v>1</v>
      </c>
      <c r="B862" s="713" t="s">
        <v>654</v>
      </c>
      <c r="C862" s="714">
        <f>VLOOKUP(C858,'Luong VP'!$B$10:$AP$189,9,0)</f>
        <v>17230</v>
      </c>
      <c r="D862" s="715"/>
      <c r="E862" s="710" t="s">
        <v>655</v>
      </c>
      <c r="F862" s="716" t="s">
        <v>656</v>
      </c>
      <c r="G862" s="710"/>
      <c r="H862" s="710"/>
      <c r="I862" s="727"/>
      <c r="J862" s="714">
        <f>VLOOKUP(C858,'Luong VP'!$B$10:$AP$189,21,0)</f>
        <v>15240.5</v>
      </c>
    </row>
    <row r="863" spans="1:12" ht="9.1999999999999993" customHeight="1">
      <c r="A863" s="712">
        <v>2</v>
      </c>
      <c r="B863" s="713" t="s">
        <v>658</v>
      </c>
      <c r="C863" s="714"/>
      <c r="D863" s="717"/>
      <c r="E863" s="710">
        <v>1</v>
      </c>
      <c r="F863" s="718" t="s">
        <v>659</v>
      </c>
      <c r="G863" s="718"/>
      <c r="H863" s="710" t="s">
        <v>660</v>
      </c>
      <c r="I863" s="727">
        <f>VLOOKUP(C858,'Luong VP'!$B$10:$AP$189,22,0)</f>
        <v>26</v>
      </c>
      <c r="J863" s="728">
        <f>J862/'Cham cong'!$AS$3*I863</f>
        <v>15240.5</v>
      </c>
    </row>
    <row r="864" spans="1:12" ht="9.1999999999999993" customHeight="1">
      <c r="A864" s="712">
        <v>3</v>
      </c>
      <c r="B864" s="713" t="s">
        <v>661</v>
      </c>
      <c r="C864" s="714">
        <f>VLOOKUP(C858,'Luong VP'!$B$10:$AP$189,10,0)</f>
        <v>0</v>
      </c>
      <c r="D864" s="717"/>
      <c r="E864" s="710">
        <v>2</v>
      </c>
      <c r="F864" s="718" t="s">
        <v>662</v>
      </c>
      <c r="G864" s="718"/>
      <c r="H864" s="710" t="s">
        <v>660</v>
      </c>
      <c r="I864" s="727">
        <f>VLOOKUP(C858,'Luong VP'!$B$10:$AP$189,27,0)</f>
        <v>0</v>
      </c>
      <c r="J864" s="728">
        <f>J862/'Cham cong'!$AS$3*I864*3</f>
        <v>0</v>
      </c>
    </row>
    <row r="865" spans="1:12" ht="9.1999999999999993" customHeight="1">
      <c r="A865" s="712">
        <v>4</v>
      </c>
      <c r="B865" s="713" t="s">
        <v>666</v>
      </c>
      <c r="C865" s="714">
        <f>VLOOKUP(C858,'Luong VP'!$B$10:$AP$189,11,0)</f>
        <v>500</v>
      </c>
      <c r="D865" s="717"/>
      <c r="E865" s="710">
        <v>3</v>
      </c>
      <c r="F865" s="718" t="s">
        <v>667</v>
      </c>
      <c r="G865" s="718"/>
      <c r="H865" s="710" t="s">
        <v>668</v>
      </c>
      <c r="I865" s="727">
        <f>VLOOKUP(C858,'Luong VP'!$B$10:$AP$189,26,0)</f>
        <v>0</v>
      </c>
      <c r="J865" s="728">
        <f>J862/'Cham cong'!$AS$3*I865/8*1.5</f>
        <v>0</v>
      </c>
    </row>
    <row r="866" spans="1:12" ht="9.1999999999999993" customHeight="1">
      <c r="A866" s="712">
        <v>5</v>
      </c>
      <c r="B866" s="713" t="s">
        <v>670</v>
      </c>
      <c r="C866" s="714">
        <f>VLOOKUP(C858,'Luong VP'!$B$10:$AP$189,12,0)</f>
        <v>0</v>
      </c>
      <c r="D866" s="717"/>
      <c r="E866" s="710">
        <v>4</v>
      </c>
      <c r="F866" s="718" t="s">
        <v>671</v>
      </c>
      <c r="G866" s="718"/>
      <c r="H866" s="710" t="s">
        <v>668</v>
      </c>
      <c r="I866" s="727">
        <f>VLOOKUP(C858,'Luong VP'!$B$10:$AP$189,25,0)</f>
        <v>0</v>
      </c>
      <c r="J866" s="728">
        <f>J862/'Cham cong'!$AS$3*I866/8*2</f>
        <v>0</v>
      </c>
    </row>
    <row r="867" spans="1:12" ht="9.1999999999999993" customHeight="1">
      <c r="A867" s="712">
        <v>6</v>
      </c>
      <c r="B867" s="713" t="s">
        <v>673</v>
      </c>
      <c r="C867" s="714">
        <f>VLOOKUP(C858,'Luong VP'!$B$10:$AP$189,13,0)</f>
        <v>0</v>
      </c>
      <c r="D867" s="717"/>
      <c r="E867" s="710">
        <v>5</v>
      </c>
      <c r="F867" s="718" t="s">
        <v>674</v>
      </c>
      <c r="G867" s="718"/>
      <c r="H867" s="710" t="s">
        <v>660</v>
      </c>
      <c r="I867" s="727">
        <f>VLOOKUP(C858,'Luong VP'!$B$10:$AP$189,23,0)</f>
        <v>0</v>
      </c>
      <c r="J867" s="728">
        <f>C862/'Cham cong'!$AS$3*I867</f>
        <v>0</v>
      </c>
      <c r="L867" s="694" t="str">
        <f>G858</f>
        <v>Lê Minh Đức Thịnh</v>
      </c>
    </row>
    <row r="868" spans="1:12" ht="9.1999999999999993" customHeight="1">
      <c r="A868" s="712">
        <v>7</v>
      </c>
      <c r="B868" s="713" t="s">
        <v>676</v>
      </c>
      <c r="C868" s="714"/>
      <c r="D868" s="717"/>
      <c r="E868" s="710">
        <v>6</v>
      </c>
      <c r="F868" s="718" t="s">
        <v>677</v>
      </c>
      <c r="G868" s="718"/>
      <c r="H868" s="710" t="s">
        <v>660</v>
      </c>
      <c r="I868" s="727">
        <f>VLOOKUP(C858,'Luong VP'!$B$10:$AP$189,24,0)</f>
        <v>1</v>
      </c>
      <c r="J868" s="714">
        <f>C862/'Cham cong'!$AS$3*I868</f>
        <v>662.69230769230774</v>
      </c>
    </row>
    <row r="869" spans="1:12" ht="9.1999999999999993" customHeight="1">
      <c r="A869" s="712">
        <v>8</v>
      </c>
      <c r="B869" s="713" t="s">
        <v>679</v>
      </c>
      <c r="C869" s="714">
        <f>VLOOKUP(C858,'Luong VP'!$B$10:$AP$189,14,0)</f>
        <v>200</v>
      </c>
      <c r="D869" s="717"/>
      <c r="E869" s="710">
        <v>7</v>
      </c>
      <c r="F869" s="718" t="s">
        <v>680</v>
      </c>
      <c r="G869" s="718"/>
      <c r="H869" s="718"/>
      <c r="I869" s="729"/>
      <c r="J869" s="714">
        <f>VLOOKUP(C858,'Luong VP'!$B$10:$AP$189,28,0)</f>
        <v>0</v>
      </c>
    </row>
    <row r="870" spans="1:12" ht="9.1999999999999993" customHeight="1">
      <c r="A870" s="712">
        <v>9</v>
      </c>
      <c r="B870" s="713" t="s">
        <v>683</v>
      </c>
      <c r="C870" s="714">
        <f>VLOOKUP(C858,'Luong VP'!$B$10:$AP$189,15,0)</f>
        <v>300</v>
      </c>
      <c r="D870" s="717"/>
      <c r="E870" s="710">
        <v>8</v>
      </c>
      <c r="F870" s="718" t="s">
        <v>238</v>
      </c>
      <c r="G870" s="718"/>
      <c r="H870" s="718"/>
      <c r="I870" s="729"/>
      <c r="J870" s="714">
        <f>VLOOKUP(C858,'Luong VP'!$B$10:$AP$189,33,0)</f>
        <v>0</v>
      </c>
    </row>
    <row r="871" spans="1:12" ht="9.1999999999999993" customHeight="1">
      <c r="A871" s="712">
        <v>10</v>
      </c>
      <c r="B871" s="713" t="s">
        <v>685</v>
      </c>
      <c r="C871" s="714">
        <f>VLOOKUP(C858,'Luong VP'!$B$10:$AP$189,16,0)</f>
        <v>0</v>
      </c>
      <c r="D871" s="717"/>
      <c r="E871" s="710" t="s">
        <v>686</v>
      </c>
      <c r="F871" s="716" t="s">
        <v>687</v>
      </c>
      <c r="G871" s="719"/>
      <c r="H871" s="719"/>
      <c r="I871" s="729"/>
      <c r="J871" s="730"/>
    </row>
    <row r="872" spans="1:12" ht="9.1999999999999993" customHeight="1">
      <c r="A872" s="712">
        <v>11</v>
      </c>
      <c r="B872" s="713" t="s">
        <v>688</v>
      </c>
      <c r="C872" s="714">
        <f>VLOOKUP(C858,'Luong VP'!$B$10:$AP$189,17,0)</f>
        <v>0</v>
      </c>
      <c r="D872" s="717"/>
      <c r="E872" s="710">
        <v>1</v>
      </c>
      <c r="F872" s="716" t="s">
        <v>689</v>
      </c>
      <c r="G872" s="719"/>
      <c r="H872" s="719"/>
      <c r="I872" s="714">
        <f>VLOOKUP(C858,'Luong VP'!$B$10:$AP$189,30,0)</f>
        <v>0</v>
      </c>
      <c r="J872" s="714">
        <f>VLOOKUP(C858,'Luong VP'!$B$10:$AP$189,30,0)</f>
        <v>0</v>
      </c>
    </row>
    <row r="873" spans="1:12" ht="9.1999999999999993" customHeight="1">
      <c r="A873" s="712">
        <v>12</v>
      </c>
      <c r="B873" s="713" t="s">
        <v>691</v>
      </c>
      <c r="C873" s="714">
        <f>VLOOKUP(C858,'Luong VP'!$B$10:$AP$189,18,0)</f>
        <v>0</v>
      </c>
      <c r="D873" s="717"/>
      <c r="E873" s="710">
        <v>2</v>
      </c>
      <c r="F873" s="718" t="s">
        <v>239</v>
      </c>
      <c r="G873" s="718"/>
      <c r="H873" s="718"/>
      <c r="I873" s="727"/>
      <c r="J873" s="728">
        <f>VLOOKUP(C858,'Luong VP'!$B$10:$AP$189,34,0)</f>
        <v>0</v>
      </c>
      <c r="K873" s="731"/>
      <c r="L873" s="715"/>
    </row>
    <row r="874" spans="1:12" ht="9.1999999999999993" customHeight="1">
      <c r="A874" s="712">
        <v>13</v>
      </c>
      <c r="B874" s="713" t="s">
        <v>692</v>
      </c>
      <c r="C874" s="714">
        <f>VLOOKUP(C858,'Luong VP'!$B$10:$AP$189,19,0)</f>
        <v>0</v>
      </c>
      <c r="D874" s="717"/>
      <c r="E874" s="710">
        <v>3</v>
      </c>
      <c r="F874" s="716" t="s">
        <v>693</v>
      </c>
      <c r="G874" s="719"/>
      <c r="H874" s="719"/>
      <c r="I874" s="729"/>
      <c r="J874" s="714">
        <f>VLOOKUP(C858,'Luong VP'!$B$10:$AP$189,40,0)</f>
        <v>0</v>
      </c>
      <c r="K874" s="731"/>
      <c r="L874" s="715"/>
    </row>
    <row r="875" spans="1:12" ht="9.1999999999999993" customHeight="1">
      <c r="A875" s="712">
        <v>14</v>
      </c>
      <c r="B875" s="713" t="s">
        <v>694</v>
      </c>
      <c r="C875" s="714">
        <f>VLOOKUP(C858,'Luong VP'!$B$10:$AP$189,20,0)</f>
        <v>0</v>
      </c>
      <c r="D875" s="717"/>
      <c r="E875" s="710">
        <v>4</v>
      </c>
      <c r="F875" s="718" t="s">
        <v>695</v>
      </c>
      <c r="G875" s="719"/>
      <c r="H875" s="719"/>
      <c r="I875" s="729"/>
      <c r="J875" s="714">
        <f>VLOOKUP(C858,'Luong VP'!$B$10:$AP$189,35,0)</f>
        <v>0</v>
      </c>
      <c r="K875" s="732"/>
      <c r="L875" s="715"/>
    </row>
    <row r="876" spans="1:12" ht="9.1999999999999993" customHeight="1">
      <c r="A876" s="712"/>
      <c r="B876" s="707" t="s">
        <v>656</v>
      </c>
      <c r="C876" s="714">
        <f>SUM(C862:C875)</f>
        <v>18230</v>
      </c>
      <c r="D876" s="717"/>
      <c r="E876" s="710"/>
      <c r="F876" s="716" t="s">
        <v>241</v>
      </c>
      <c r="G876" s="719"/>
      <c r="H876" s="719"/>
      <c r="I876" s="729"/>
      <c r="J876" s="730">
        <f>SUM(J863:J875)+C870</f>
        <v>16203.192307692309</v>
      </c>
      <c r="K876" s="731"/>
      <c r="L876" s="715"/>
    </row>
    <row r="877" spans="1:12" ht="9.1999999999999993" customHeight="1">
      <c r="B877" s="720"/>
      <c r="C877" s="717"/>
      <c r="D877" s="717"/>
      <c r="E877" s="710" t="s">
        <v>696</v>
      </c>
      <c r="F877" s="711" t="s">
        <v>697</v>
      </c>
      <c r="G877" s="710"/>
      <c r="H877" s="710"/>
      <c r="I877" s="729"/>
      <c r="J877" s="730">
        <f>SUM(J878:J880)</f>
        <v>5000</v>
      </c>
      <c r="K877" s="732"/>
      <c r="L877" s="715"/>
    </row>
    <row r="878" spans="1:12" ht="9.1999999999999993" customHeight="1">
      <c r="B878" s="720"/>
      <c r="C878" s="717"/>
      <c r="D878" s="717"/>
      <c r="E878" s="710">
        <v>1</v>
      </c>
      <c r="F878" s="718" t="s">
        <v>698</v>
      </c>
      <c r="G878" s="718"/>
      <c r="H878" s="718"/>
      <c r="I878" s="733"/>
      <c r="J878" s="714">
        <f>VLOOKUP(C858,'Luong VP'!$B$10:$AP$189,37,0)</f>
        <v>0</v>
      </c>
      <c r="K878" s="732"/>
      <c r="L878" s="715"/>
    </row>
    <row r="879" spans="1:12" ht="9.1999999999999993" customHeight="1">
      <c r="B879" s="720"/>
      <c r="C879" s="717"/>
      <c r="D879" s="717"/>
      <c r="E879" s="710">
        <v>2</v>
      </c>
      <c r="F879" s="718" t="s">
        <v>244</v>
      </c>
      <c r="G879" s="718"/>
      <c r="H879" s="718"/>
      <c r="I879" s="729"/>
      <c r="J879" s="714">
        <f>VLOOKUP(C858,'Luong VP'!$B$10:$AP$189,39,0)</f>
        <v>5000</v>
      </c>
      <c r="K879" s="734"/>
      <c r="L879" s="735"/>
    </row>
    <row r="880" spans="1:12" ht="9.1999999999999993" customHeight="1">
      <c r="B880" s="720"/>
      <c r="C880" s="717"/>
      <c r="D880" s="717"/>
      <c r="E880" s="710"/>
      <c r="F880" s="718" t="s">
        <v>699</v>
      </c>
      <c r="G880" s="718"/>
      <c r="H880" s="718"/>
      <c r="I880" s="729"/>
      <c r="J880" s="714"/>
      <c r="K880" s="714"/>
      <c r="L880" s="736"/>
    </row>
    <row r="881" spans="1:12" ht="9.1999999999999993" customHeight="1">
      <c r="B881" s="720"/>
      <c r="C881" s="717"/>
      <c r="D881" s="717"/>
      <c r="E881" s="710" t="s">
        <v>700</v>
      </c>
      <c r="F881" s="710" t="s">
        <v>246</v>
      </c>
      <c r="G881" s="710"/>
      <c r="H881" s="710"/>
      <c r="I881" s="729"/>
      <c r="J881" s="728">
        <f>J876-J877</f>
        <v>11203.192307692309</v>
      </c>
      <c r="K881" s="728">
        <f>ROUND(J881,-1)</f>
        <v>11200</v>
      </c>
      <c r="L881" s="710"/>
    </row>
    <row r="882" spans="1:12" ht="9.1999999999999993" customHeight="1">
      <c r="B882" s="720"/>
      <c r="C882" s="717"/>
      <c r="D882" s="717"/>
      <c r="E882" s="715"/>
      <c r="F882" s="715"/>
      <c r="G882" s="715"/>
      <c r="I882" s="715" t="s">
        <v>701</v>
      </c>
      <c r="J882" s="737"/>
      <c r="K882" s="737"/>
      <c r="L882" s="715"/>
    </row>
    <row r="883" spans="1:12" ht="9.1999999999999993" customHeight="1">
      <c r="B883" s="720"/>
      <c r="C883" s="717"/>
      <c r="D883" s="717"/>
      <c r="E883" s="715"/>
      <c r="F883" s="715"/>
      <c r="G883" s="715"/>
      <c r="I883" s="715"/>
      <c r="J883" s="737"/>
      <c r="K883" s="737"/>
      <c r="L883" s="715"/>
    </row>
    <row r="884" spans="1:12" ht="9.1999999999999993" customHeight="1">
      <c r="B884" s="720"/>
      <c r="C884" s="717"/>
      <c r="D884" s="717"/>
      <c r="E884" s="715"/>
      <c r="F884" s="715"/>
      <c r="G884" s="715"/>
      <c r="I884" s="715"/>
      <c r="J884" s="737"/>
      <c r="K884" s="737"/>
      <c r="L884" s="715"/>
    </row>
    <row r="885" spans="1:12" ht="9.1999999999999993" customHeight="1">
      <c r="B885" s="720"/>
      <c r="C885" s="717"/>
      <c r="D885" s="717"/>
      <c r="E885" s="715"/>
      <c r="F885" s="715"/>
      <c r="G885" s="715"/>
      <c r="I885" s="715"/>
      <c r="J885" s="737"/>
      <c r="K885" s="737"/>
      <c r="L885" s="715"/>
    </row>
    <row r="886" spans="1:12" ht="9.1999999999999993" customHeight="1">
      <c r="B886" s="720"/>
      <c r="C886" s="717"/>
      <c r="D886" s="717"/>
      <c r="E886" s="715"/>
      <c r="F886" s="715"/>
      <c r="G886" s="715"/>
      <c r="I886" s="715"/>
      <c r="J886" s="737"/>
      <c r="K886" s="737"/>
      <c r="L886" s="715"/>
    </row>
    <row r="887" spans="1:12" ht="9.1999999999999993" customHeight="1">
      <c r="C887" s="696"/>
      <c r="D887" s="696"/>
      <c r="E887" s="697" t="str">
        <f>$E$2</f>
        <v>THẺ LƯƠNG THÁNG 08/2019</v>
      </c>
      <c r="F887" s="698"/>
      <c r="G887" s="698"/>
      <c r="H887" s="698"/>
    </row>
    <row r="888" spans="1:12" ht="9.1999999999999993" customHeight="1">
      <c r="B888" s="699" t="s">
        <v>644</v>
      </c>
      <c r="C888" s="700" t="s">
        <v>328</v>
      </c>
      <c r="D888" s="701"/>
      <c r="F888" s="702" t="s">
        <v>645</v>
      </c>
      <c r="G888" s="689" t="str">
        <f>VLOOKUP(C888,'Luong VP'!$B$10:$AP$189,2,0)</f>
        <v>Chế Thanh Thân</v>
      </c>
    </row>
    <row r="889" spans="1:12" ht="9.1999999999999993" customHeight="1">
      <c r="B889" s="699" t="s">
        <v>646</v>
      </c>
      <c r="C889" s="689" t="str">
        <f>VLOOKUP(C888,'Luong VP'!$B$10:$AP$189,3,0)</f>
        <v>CV KCS xây dựng</v>
      </c>
      <c r="F889" s="702" t="s">
        <v>647</v>
      </c>
      <c r="G889" s="689">
        <f>VLOOKUP(C888,'Luong VP'!$B$10:$AP$189,5,0)</f>
        <v>1</v>
      </c>
    </row>
    <row r="890" spans="1:12" ht="9.1999999999999993" customHeight="1">
      <c r="B890" s="703"/>
      <c r="C890" s="704"/>
      <c r="D890" s="705"/>
      <c r="F890" s="706" t="s">
        <v>648</v>
      </c>
      <c r="G890" s="706"/>
      <c r="H890" s="706"/>
      <c r="I890" s="725"/>
      <c r="J890" s="726"/>
    </row>
    <row r="891" spans="1:12" ht="9.1999999999999993" customHeight="1">
      <c r="A891" s="707" t="s">
        <v>216</v>
      </c>
      <c r="B891" s="707" t="s">
        <v>649</v>
      </c>
      <c r="C891" s="708" t="s">
        <v>650</v>
      </c>
      <c r="D891" s="709"/>
      <c r="E891" s="710" t="s">
        <v>216</v>
      </c>
      <c r="F891" s="711" t="s">
        <v>649</v>
      </c>
      <c r="G891" s="710"/>
      <c r="H891" s="710" t="s">
        <v>651</v>
      </c>
      <c r="I891" s="727" t="s">
        <v>652</v>
      </c>
      <c r="J891" s="714"/>
      <c r="L891" s="694" t="s">
        <v>653</v>
      </c>
    </row>
    <row r="892" spans="1:12" ht="9.1999999999999993" customHeight="1">
      <c r="A892" s="712">
        <v>1</v>
      </c>
      <c r="B892" s="713" t="s">
        <v>654</v>
      </c>
      <c r="C892" s="714">
        <f>VLOOKUP(C888,'Luong VP'!$B$10:$AP$189,9,0)</f>
        <v>10490</v>
      </c>
      <c r="D892" s="715"/>
      <c r="E892" s="710" t="s">
        <v>655</v>
      </c>
      <c r="F892" s="716" t="s">
        <v>656</v>
      </c>
      <c r="G892" s="710"/>
      <c r="H892" s="710"/>
      <c r="I892" s="727"/>
      <c r="J892" s="714">
        <f>VLOOKUP(C888,'Luong VP'!$B$10:$AP$189,21,0)</f>
        <v>10490</v>
      </c>
    </row>
    <row r="893" spans="1:12" ht="9.1999999999999993" customHeight="1">
      <c r="A893" s="712">
        <v>2</v>
      </c>
      <c r="B893" s="713" t="s">
        <v>658</v>
      </c>
      <c r="C893" s="714"/>
      <c r="D893" s="717"/>
      <c r="E893" s="710">
        <v>1</v>
      </c>
      <c r="F893" s="718" t="s">
        <v>659</v>
      </c>
      <c r="G893" s="718"/>
      <c r="H893" s="710" t="s">
        <v>660</v>
      </c>
      <c r="I893" s="727">
        <f>VLOOKUP(C888,'Luong VP'!$B$10:$AP$189,22,0)</f>
        <v>26</v>
      </c>
      <c r="J893" s="728">
        <f>J892/'Cham cong'!$AS$3*I893</f>
        <v>10490</v>
      </c>
    </row>
    <row r="894" spans="1:12" ht="9.1999999999999993" customHeight="1">
      <c r="A894" s="712">
        <v>3</v>
      </c>
      <c r="B894" s="713" t="s">
        <v>661</v>
      </c>
      <c r="C894" s="714">
        <f>VLOOKUP(C888,'Luong VP'!$B$10:$AP$189,10,0)</f>
        <v>0</v>
      </c>
      <c r="D894" s="717"/>
      <c r="E894" s="710">
        <v>2</v>
      </c>
      <c r="F894" s="718" t="s">
        <v>662</v>
      </c>
      <c r="G894" s="718"/>
      <c r="H894" s="710" t="s">
        <v>660</v>
      </c>
      <c r="I894" s="727">
        <f>VLOOKUP(C888,'Luong VP'!$B$10:$AP$189,27,0)</f>
        <v>0</v>
      </c>
      <c r="J894" s="728">
        <f>J892/'Cham cong'!$AS$3*I894*3</f>
        <v>0</v>
      </c>
    </row>
    <row r="895" spans="1:12" ht="9.1999999999999993" customHeight="1">
      <c r="A895" s="712">
        <v>4</v>
      </c>
      <c r="B895" s="713" t="s">
        <v>666</v>
      </c>
      <c r="C895" s="714">
        <f>VLOOKUP(C888,'Luong VP'!$B$10:$AP$189,11,0)</f>
        <v>0</v>
      </c>
      <c r="D895" s="717"/>
      <c r="E895" s="710">
        <v>3</v>
      </c>
      <c r="F895" s="718" t="s">
        <v>667</v>
      </c>
      <c r="G895" s="718"/>
      <c r="H895" s="710" t="s">
        <v>668</v>
      </c>
      <c r="I895" s="727">
        <f>VLOOKUP(C888,'Luong VP'!$B$10:$AP$189,26,0)</f>
        <v>0</v>
      </c>
      <c r="J895" s="728">
        <f>J892/'Cham cong'!$AS$3*I895/8*1.5</f>
        <v>0</v>
      </c>
    </row>
    <row r="896" spans="1:12" ht="9.1999999999999993" customHeight="1">
      <c r="A896" s="712">
        <v>5</v>
      </c>
      <c r="B896" s="713" t="s">
        <v>670</v>
      </c>
      <c r="C896" s="714">
        <f>VLOOKUP(C888,'Luong VP'!$B$10:$AP$189,12,0)</f>
        <v>0</v>
      </c>
      <c r="D896" s="717"/>
      <c r="E896" s="710">
        <v>4</v>
      </c>
      <c r="F896" s="718" t="s">
        <v>671</v>
      </c>
      <c r="G896" s="718"/>
      <c r="H896" s="710" t="s">
        <v>668</v>
      </c>
      <c r="I896" s="727">
        <f>VLOOKUP(C888,'Luong VP'!$B$10:$AP$189,25,0)</f>
        <v>0</v>
      </c>
      <c r="J896" s="728">
        <f>J892/'Cham cong'!$AS$3*I896/8*2</f>
        <v>0</v>
      </c>
    </row>
    <row r="897" spans="1:12" ht="9.1999999999999993" customHeight="1">
      <c r="A897" s="712">
        <v>6</v>
      </c>
      <c r="B897" s="713" t="s">
        <v>673</v>
      </c>
      <c r="C897" s="714">
        <f>VLOOKUP(C888,'Luong VP'!$B$10:$AP$189,13,0)</f>
        <v>0</v>
      </c>
      <c r="D897" s="717"/>
      <c r="E897" s="710">
        <v>5</v>
      </c>
      <c r="F897" s="718" t="s">
        <v>674</v>
      </c>
      <c r="G897" s="718"/>
      <c r="H897" s="710" t="s">
        <v>660</v>
      </c>
      <c r="I897" s="727">
        <f>VLOOKUP(C888,'Luong VP'!$B$10:$AP$189,23,0)</f>
        <v>0</v>
      </c>
      <c r="J897" s="728">
        <f>C892/'Cham cong'!$AS$3*I897</f>
        <v>0</v>
      </c>
      <c r="L897" s="694" t="str">
        <f>G888</f>
        <v>Chế Thanh Thân</v>
      </c>
    </row>
    <row r="898" spans="1:12" ht="9.1999999999999993" customHeight="1">
      <c r="A898" s="712">
        <v>7</v>
      </c>
      <c r="B898" s="713" t="s">
        <v>676</v>
      </c>
      <c r="C898" s="714"/>
      <c r="D898" s="717"/>
      <c r="E898" s="710">
        <v>6</v>
      </c>
      <c r="F898" s="718" t="s">
        <v>677</v>
      </c>
      <c r="G898" s="718"/>
      <c r="H898" s="710" t="s">
        <v>660</v>
      </c>
      <c r="I898" s="727">
        <f>VLOOKUP(C888,'Luong VP'!$B$10:$AP$189,24,0)</f>
        <v>1</v>
      </c>
      <c r="J898" s="714">
        <f>C892/'Cham cong'!$AS$3*I898</f>
        <v>403.46153846153845</v>
      </c>
    </row>
    <row r="899" spans="1:12" ht="9.1999999999999993" customHeight="1">
      <c r="A899" s="712">
        <v>8</v>
      </c>
      <c r="B899" s="713" t="s">
        <v>679</v>
      </c>
      <c r="C899" s="714">
        <f>VLOOKUP(C888,'Luong VP'!$B$10:$AP$189,14,0)</f>
        <v>0</v>
      </c>
      <c r="D899" s="717"/>
      <c r="E899" s="710">
        <v>7</v>
      </c>
      <c r="F899" s="718" t="s">
        <v>680</v>
      </c>
      <c r="G899" s="718"/>
      <c r="H899" s="718"/>
      <c r="I899" s="729"/>
      <c r="J899" s="714">
        <f>VLOOKUP(C888,'Luong VP'!$B$10:$AP$189,28,0)</f>
        <v>0</v>
      </c>
    </row>
    <row r="900" spans="1:12" ht="9.1999999999999993" customHeight="1">
      <c r="A900" s="712">
        <v>9</v>
      </c>
      <c r="B900" s="713" t="s">
        <v>683</v>
      </c>
      <c r="C900" s="714">
        <f>VLOOKUP(C888,'Luong VP'!$B$10:$AP$189,15,0)</f>
        <v>200</v>
      </c>
      <c r="D900" s="717"/>
      <c r="E900" s="710">
        <v>8</v>
      </c>
      <c r="F900" s="718" t="s">
        <v>238</v>
      </c>
      <c r="G900" s="718"/>
      <c r="H900" s="718"/>
      <c r="I900" s="729"/>
      <c r="J900" s="714">
        <f>VLOOKUP(C888,'Luong VP'!$B$10:$AP$189,33,0)</f>
        <v>0</v>
      </c>
    </row>
    <row r="901" spans="1:12" ht="9.1999999999999993" customHeight="1">
      <c r="A901" s="712">
        <v>10</v>
      </c>
      <c r="B901" s="713" t="s">
        <v>685</v>
      </c>
      <c r="C901" s="714">
        <f>VLOOKUP(C888,'Luong VP'!$B$10:$AP$189,16,0)</f>
        <v>0</v>
      </c>
      <c r="D901" s="717"/>
      <c r="E901" s="710" t="s">
        <v>686</v>
      </c>
      <c r="F901" s="716" t="s">
        <v>687</v>
      </c>
      <c r="G901" s="719"/>
      <c r="H901" s="719"/>
      <c r="I901" s="729"/>
      <c r="J901" s="730"/>
    </row>
    <row r="902" spans="1:12" ht="9.1999999999999993" customHeight="1">
      <c r="A902" s="712">
        <v>11</v>
      </c>
      <c r="B902" s="713" t="s">
        <v>688</v>
      </c>
      <c r="C902" s="714">
        <f>VLOOKUP(C888,'Luong VP'!$B$10:$AP$189,17,0)</f>
        <v>0</v>
      </c>
      <c r="D902" s="717"/>
      <c r="E902" s="710">
        <v>1</v>
      </c>
      <c r="F902" s="716" t="s">
        <v>689</v>
      </c>
      <c r="G902" s="719"/>
      <c r="H902" s="719"/>
      <c r="I902" s="714">
        <f>VLOOKUP(C888,'Luong VP'!$B$10:$AP$189,30,0)</f>
        <v>0</v>
      </c>
      <c r="J902" s="714">
        <f>VLOOKUP(C888,'Luong VP'!$B$10:$AP$189,30,0)</f>
        <v>0</v>
      </c>
    </row>
    <row r="903" spans="1:12" ht="9.1999999999999993" customHeight="1">
      <c r="A903" s="712">
        <v>12</v>
      </c>
      <c r="B903" s="713" t="s">
        <v>691</v>
      </c>
      <c r="C903" s="714">
        <f>VLOOKUP(C888,'Luong VP'!$B$10:$AP$189,18,0)</f>
        <v>0</v>
      </c>
      <c r="D903" s="717"/>
      <c r="E903" s="710">
        <v>2</v>
      </c>
      <c r="F903" s="718" t="s">
        <v>239</v>
      </c>
      <c r="G903" s="718"/>
      <c r="H903" s="718"/>
      <c r="I903" s="727"/>
      <c r="J903" s="728">
        <f>VLOOKUP(C888,'Luong VP'!$B$10:$AP$189,34,0)</f>
        <v>0</v>
      </c>
      <c r="K903" s="731"/>
      <c r="L903" s="715"/>
    </row>
    <row r="904" spans="1:12" ht="9.1999999999999993" customHeight="1">
      <c r="A904" s="712">
        <v>13</v>
      </c>
      <c r="B904" s="713" t="s">
        <v>692</v>
      </c>
      <c r="C904" s="714">
        <f>VLOOKUP(C888,'Luong VP'!$B$10:$AP$189,19,0)</f>
        <v>0</v>
      </c>
      <c r="D904" s="717"/>
      <c r="E904" s="710">
        <v>3</v>
      </c>
      <c r="F904" s="716" t="s">
        <v>693</v>
      </c>
      <c r="G904" s="719"/>
      <c r="H904" s="719"/>
      <c r="I904" s="729"/>
      <c r="J904" s="714">
        <f>VLOOKUP(C888,'Luong VP'!$B$10:$AP$189,40,0)</f>
        <v>0</v>
      </c>
      <c r="K904" s="731"/>
      <c r="L904" s="715"/>
    </row>
    <row r="905" spans="1:12" ht="9.1999999999999993" customHeight="1">
      <c r="A905" s="712">
        <v>14</v>
      </c>
      <c r="B905" s="713" t="s">
        <v>694</v>
      </c>
      <c r="C905" s="714">
        <f>VLOOKUP(C888,'Luong VP'!$B$10:$AP$189,20,0)</f>
        <v>0</v>
      </c>
      <c r="D905" s="717"/>
      <c r="E905" s="710">
        <v>4</v>
      </c>
      <c r="F905" s="718" t="s">
        <v>695</v>
      </c>
      <c r="G905" s="719"/>
      <c r="H905" s="719"/>
      <c r="I905" s="729"/>
      <c r="J905" s="714">
        <f>VLOOKUP(C888,'Luong VP'!$B$10:$AP$189,35,0)</f>
        <v>0</v>
      </c>
      <c r="K905" s="732"/>
      <c r="L905" s="715"/>
    </row>
    <row r="906" spans="1:12" ht="9.1999999999999993" customHeight="1">
      <c r="A906" s="712"/>
      <c r="B906" s="707" t="s">
        <v>656</v>
      </c>
      <c r="C906" s="714">
        <f>SUM(C892:C905)</f>
        <v>10690</v>
      </c>
      <c r="D906" s="717"/>
      <c r="E906" s="710"/>
      <c r="F906" s="716" t="s">
        <v>241</v>
      </c>
      <c r="G906" s="719"/>
      <c r="H906" s="719"/>
      <c r="I906" s="729"/>
      <c r="J906" s="730">
        <f>SUM(J893:J905)+C900</f>
        <v>11093.461538461539</v>
      </c>
      <c r="K906" s="731"/>
      <c r="L906" s="715"/>
    </row>
    <row r="907" spans="1:12" ht="9.1999999999999993" customHeight="1">
      <c r="B907" s="720"/>
      <c r="C907" s="717"/>
      <c r="D907" s="717"/>
      <c r="E907" s="710" t="s">
        <v>696</v>
      </c>
      <c r="F907" s="711" t="s">
        <v>697</v>
      </c>
      <c r="G907" s="710"/>
      <c r="H907" s="710"/>
      <c r="I907" s="729"/>
      <c r="J907" s="730">
        <f>SUM(J908:J910)</f>
        <v>4525</v>
      </c>
      <c r="K907" s="732"/>
      <c r="L907" s="715"/>
    </row>
    <row r="908" spans="1:12" ht="9.1999999999999993" customHeight="1">
      <c r="B908" s="720"/>
      <c r="C908" s="717"/>
      <c r="D908" s="717"/>
      <c r="E908" s="710">
        <v>1</v>
      </c>
      <c r="F908" s="718" t="s">
        <v>698</v>
      </c>
      <c r="G908" s="718"/>
      <c r="H908" s="718"/>
      <c r="I908" s="733"/>
      <c r="J908" s="714">
        <f>VLOOKUP(C888,'Luong VP'!$B$10:$AP$189,37,0)</f>
        <v>525</v>
      </c>
      <c r="K908" s="732"/>
      <c r="L908" s="715"/>
    </row>
    <row r="909" spans="1:12" ht="9.1999999999999993" customHeight="1">
      <c r="B909" s="720"/>
      <c r="C909" s="717"/>
      <c r="D909" s="717"/>
      <c r="E909" s="710">
        <v>2</v>
      </c>
      <c r="F909" s="718" t="s">
        <v>244</v>
      </c>
      <c r="G909" s="718"/>
      <c r="H909" s="718"/>
      <c r="I909" s="729"/>
      <c r="J909" s="714">
        <f>VLOOKUP(C888,'Luong VP'!$B$10:$AP$189,39,0)</f>
        <v>4000</v>
      </c>
      <c r="K909" s="734"/>
      <c r="L909" s="735"/>
    </row>
    <row r="910" spans="1:12" ht="9.1999999999999993" customHeight="1">
      <c r="B910" s="720"/>
      <c r="C910" s="717"/>
      <c r="D910" s="717"/>
      <c r="E910" s="710"/>
      <c r="F910" s="718" t="s">
        <v>699</v>
      </c>
      <c r="G910" s="718"/>
      <c r="H910" s="718"/>
      <c r="I910" s="729"/>
      <c r="J910" s="714"/>
      <c r="K910" s="714"/>
      <c r="L910" s="736"/>
    </row>
    <row r="911" spans="1:12" ht="9.1999999999999993" customHeight="1">
      <c r="B911" s="720"/>
      <c r="C911" s="717"/>
      <c r="D911" s="717"/>
      <c r="E911" s="710" t="s">
        <v>700</v>
      </c>
      <c r="F911" s="710" t="s">
        <v>246</v>
      </c>
      <c r="G911" s="710"/>
      <c r="H911" s="710"/>
      <c r="I911" s="729"/>
      <c r="J911" s="728">
        <f>J906-J907</f>
        <v>6568.461538461539</v>
      </c>
      <c r="K911" s="728">
        <f>ROUND(J911,-1)</f>
        <v>6570</v>
      </c>
      <c r="L911" s="710"/>
    </row>
    <row r="912" spans="1:12" ht="9.1999999999999993" customHeight="1">
      <c r="B912" s="720"/>
      <c r="C912" s="717"/>
      <c r="D912" s="717"/>
      <c r="E912" s="715"/>
      <c r="F912" s="715"/>
      <c r="G912" s="715"/>
      <c r="I912" s="715" t="s">
        <v>701</v>
      </c>
      <c r="J912" s="737"/>
      <c r="K912" s="737"/>
      <c r="L912" s="715"/>
    </row>
    <row r="913" spans="1:12" ht="9.1999999999999993" customHeight="1">
      <c r="B913" s="720"/>
      <c r="C913" s="717"/>
      <c r="D913" s="717"/>
      <c r="E913" s="715"/>
      <c r="F913" s="715"/>
      <c r="G913" s="715"/>
      <c r="I913" s="715"/>
      <c r="J913" s="737"/>
      <c r="K913" s="737"/>
      <c r="L913" s="715"/>
    </row>
    <row r="914" spans="1:12" ht="9.1999999999999993" customHeight="1">
      <c r="B914" s="720"/>
      <c r="C914" s="717"/>
      <c r="D914" s="717"/>
      <c r="E914" s="715"/>
      <c r="F914" s="715"/>
      <c r="G914" s="715"/>
      <c r="I914" s="715"/>
      <c r="J914" s="737"/>
      <c r="K914" s="737"/>
      <c r="L914" s="715"/>
    </row>
    <row r="915" spans="1:12" ht="9.1999999999999993" customHeight="1">
      <c r="B915" s="720"/>
      <c r="C915" s="717"/>
      <c r="D915" s="717"/>
      <c r="E915" s="715"/>
      <c r="F915" s="715"/>
      <c r="G915" s="715"/>
      <c r="I915" s="715"/>
      <c r="J915" s="737"/>
      <c r="K915" s="737"/>
      <c r="L915" s="715"/>
    </row>
    <row r="917" spans="1:12" ht="9.1999999999999993" customHeight="1">
      <c r="C917" s="696"/>
      <c r="D917" s="696"/>
      <c r="E917" s="697" t="str">
        <f>$E$2</f>
        <v>THẺ LƯƠNG THÁNG 08/2019</v>
      </c>
      <c r="F917" s="698"/>
      <c r="G917" s="698"/>
      <c r="H917" s="698"/>
    </row>
    <row r="918" spans="1:12" ht="9.1999999999999993" customHeight="1">
      <c r="B918" s="699" t="s">
        <v>644</v>
      </c>
      <c r="C918" s="700" t="s">
        <v>330</v>
      </c>
      <c r="D918" s="701"/>
      <c r="F918" s="702" t="s">
        <v>645</v>
      </c>
      <c r="G918" s="689" t="str">
        <f>VLOOKUP(C918,'Luong VP'!$B$10:$AP$189,2,0)</f>
        <v>Chau Ri Na</v>
      </c>
    </row>
    <row r="919" spans="1:12" ht="9.1999999999999993" customHeight="1">
      <c r="B919" s="699" t="s">
        <v>646</v>
      </c>
      <c r="C919" s="689" t="str">
        <f>VLOOKUP(C918,'Luong VP'!$B$10:$AP$189,3,0)</f>
        <v>NV thiết kế xây dựng</v>
      </c>
      <c r="F919" s="702" t="s">
        <v>647</v>
      </c>
      <c r="G919" s="689">
        <f>VLOOKUP(C918,'Luong VP'!$B$10:$AP$189,5,0)</f>
        <v>2</v>
      </c>
    </row>
    <row r="920" spans="1:12" ht="9.1999999999999993" customHeight="1">
      <c r="B920" s="703"/>
      <c r="C920" s="704"/>
      <c r="D920" s="705"/>
      <c r="F920" s="706" t="s">
        <v>648</v>
      </c>
      <c r="G920" s="706"/>
      <c r="H920" s="706"/>
      <c r="I920" s="725"/>
      <c r="J920" s="726"/>
    </row>
    <row r="921" spans="1:12" ht="9.1999999999999993" customHeight="1">
      <c r="A921" s="707" t="s">
        <v>216</v>
      </c>
      <c r="B921" s="707" t="s">
        <v>649</v>
      </c>
      <c r="C921" s="708" t="s">
        <v>650</v>
      </c>
      <c r="D921" s="709"/>
      <c r="E921" s="710" t="s">
        <v>216</v>
      </c>
      <c r="F921" s="711" t="s">
        <v>649</v>
      </c>
      <c r="G921" s="710"/>
      <c r="H921" s="710" t="s">
        <v>651</v>
      </c>
      <c r="I921" s="727" t="s">
        <v>652</v>
      </c>
      <c r="J921" s="714"/>
      <c r="L921" s="694" t="s">
        <v>653</v>
      </c>
    </row>
    <row r="922" spans="1:12" ht="9.1999999999999993" customHeight="1">
      <c r="A922" s="712">
        <v>1</v>
      </c>
      <c r="B922" s="713" t="s">
        <v>654</v>
      </c>
      <c r="C922" s="714">
        <f>VLOOKUP(C918,'Luong VP'!$B$10:$AP$189,9,0)</f>
        <v>10690</v>
      </c>
      <c r="D922" s="715"/>
      <c r="E922" s="710" t="s">
        <v>655</v>
      </c>
      <c r="F922" s="716" t="s">
        <v>656</v>
      </c>
      <c r="G922" s="710"/>
      <c r="H922" s="710"/>
      <c r="I922" s="727"/>
      <c r="J922" s="714">
        <f>VLOOKUP(C918,'Luong VP'!$B$10:$AP$189,21,0)</f>
        <v>10690</v>
      </c>
    </row>
    <row r="923" spans="1:12" ht="9.1999999999999993" customHeight="1">
      <c r="A923" s="712">
        <v>2</v>
      </c>
      <c r="B923" s="713" t="s">
        <v>658</v>
      </c>
      <c r="C923" s="714"/>
      <c r="D923" s="717"/>
      <c r="E923" s="710">
        <v>1</v>
      </c>
      <c r="F923" s="718" t="s">
        <v>659</v>
      </c>
      <c r="G923" s="718"/>
      <c r="H923" s="710" t="s">
        <v>660</v>
      </c>
      <c r="I923" s="727">
        <f>VLOOKUP(C918,'Luong VP'!$B$10:$AP$189,22,0)</f>
        <v>26</v>
      </c>
      <c r="J923" s="728">
        <f>J922/'Cham cong'!$AS$3*I923</f>
        <v>10690</v>
      </c>
    </row>
    <row r="924" spans="1:12" ht="9.1999999999999993" customHeight="1">
      <c r="A924" s="712">
        <v>3</v>
      </c>
      <c r="B924" s="713" t="s">
        <v>661</v>
      </c>
      <c r="C924" s="714">
        <f>VLOOKUP(C918,'Luong VP'!$B$10:$AP$189,10,0)</f>
        <v>0</v>
      </c>
      <c r="D924" s="717"/>
      <c r="E924" s="710">
        <v>2</v>
      </c>
      <c r="F924" s="718" t="s">
        <v>662</v>
      </c>
      <c r="G924" s="718"/>
      <c r="H924" s="710" t="s">
        <v>660</v>
      </c>
      <c r="I924" s="727">
        <f>VLOOKUP(C918,'Luong VP'!$B$10:$AP$189,27,0)</f>
        <v>0</v>
      </c>
      <c r="J924" s="728">
        <f>J922/'Cham cong'!$AS$3*I924*3</f>
        <v>0</v>
      </c>
    </row>
    <row r="925" spans="1:12" ht="9.1999999999999993" customHeight="1">
      <c r="A925" s="712">
        <v>4</v>
      </c>
      <c r="B925" s="713" t="s">
        <v>666</v>
      </c>
      <c r="C925" s="714">
        <f>VLOOKUP(C918,'Luong VP'!$B$10:$AP$189,11,0)</f>
        <v>0</v>
      </c>
      <c r="D925" s="717"/>
      <c r="E925" s="710">
        <v>3</v>
      </c>
      <c r="F925" s="718" t="s">
        <v>667</v>
      </c>
      <c r="G925" s="718"/>
      <c r="H925" s="710" t="s">
        <v>668</v>
      </c>
      <c r="I925" s="727">
        <f>VLOOKUP(C918,'Luong VP'!$B$10:$AP$189,26,0)</f>
        <v>0</v>
      </c>
      <c r="J925" s="728">
        <f>J922/'Cham cong'!$AS$3*I925/8*1.5</f>
        <v>0</v>
      </c>
    </row>
    <row r="926" spans="1:12" ht="9.1999999999999993" customHeight="1">
      <c r="A926" s="712">
        <v>5</v>
      </c>
      <c r="B926" s="713" t="s">
        <v>670</v>
      </c>
      <c r="C926" s="714">
        <f>VLOOKUP(C918,'Luong VP'!$B$10:$AP$189,12,0)</f>
        <v>0</v>
      </c>
      <c r="D926" s="717"/>
      <c r="E926" s="710">
        <v>4</v>
      </c>
      <c r="F926" s="718" t="s">
        <v>671</v>
      </c>
      <c r="G926" s="718"/>
      <c r="H926" s="710" t="s">
        <v>668</v>
      </c>
      <c r="I926" s="727">
        <f>VLOOKUP(C918,'Luong VP'!$B$10:$AP$189,25,0)</f>
        <v>0</v>
      </c>
      <c r="J926" s="728">
        <f>J922/'Cham cong'!$AS$3*I926/8*2</f>
        <v>0</v>
      </c>
    </row>
    <row r="927" spans="1:12" ht="9.1999999999999993" customHeight="1">
      <c r="A927" s="712">
        <v>6</v>
      </c>
      <c r="B927" s="713" t="s">
        <v>673</v>
      </c>
      <c r="C927" s="714">
        <f>VLOOKUP(C918,'Luong VP'!$B$10:$AP$189,13,0)</f>
        <v>0</v>
      </c>
      <c r="D927" s="717"/>
      <c r="E927" s="710">
        <v>5</v>
      </c>
      <c r="F927" s="718" t="s">
        <v>674</v>
      </c>
      <c r="G927" s="718"/>
      <c r="H927" s="710" t="s">
        <v>660</v>
      </c>
      <c r="I927" s="727">
        <f>VLOOKUP(C918,'Luong VP'!$B$10:$AP$189,23,0)</f>
        <v>0</v>
      </c>
      <c r="J927" s="728">
        <f>C922/'Cham cong'!$AS$3*I927</f>
        <v>0</v>
      </c>
      <c r="L927" s="694" t="str">
        <f>G918</f>
        <v>Chau Ri Na</v>
      </c>
    </row>
    <row r="928" spans="1:12" ht="9.1999999999999993" customHeight="1">
      <c r="A928" s="712">
        <v>7</v>
      </c>
      <c r="B928" s="713" t="s">
        <v>676</v>
      </c>
      <c r="C928" s="714"/>
      <c r="D928" s="717"/>
      <c r="E928" s="710">
        <v>6</v>
      </c>
      <c r="F928" s="718" t="s">
        <v>677</v>
      </c>
      <c r="G928" s="718"/>
      <c r="H928" s="710" t="s">
        <v>660</v>
      </c>
      <c r="I928" s="727">
        <f>VLOOKUP(C918,'Luong VP'!$B$10:$AP$189,24,0)</f>
        <v>1</v>
      </c>
      <c r="J928" s="714">
        <f>C922/'Cham cong'!$AS$3*I928</f>
        <v>411.15384615384613</v>
      </c>
    </row>
    <row r="929" spans="1:12" ht="9.1999999999999993" customHeight="1">
      <c r="A929" s="712">
        <v>8</v>
      </c>
      <c r="B929" s="713" t="s">
        <v>679</v>
      </c>
      <c r="C929" s="714">
        <f>VLOOKUP(C918,'Luong VP'!$B$10:$AP$189,14,0)</f>
        <v>0</v>
      </c>
      <c r="D929" s="717"/>
      <c r="E929" s="710">
        <v>7</v>
      </c>
      <c r="F929" s="718" t="s">
        <v>680</v>
      </c>
      <c r="G929" s="718"/>
      <c r="H929" s="718"/>
      <c r="I929" s="729"/>
      <c r="J929" s="714">
        <f>VLOOKUP(C918,'Luong VP'!$B$10:$AP$189,28,0)</f>
        <v>0</v>
      </c>
    </row>
    <row r="930" spans="1:12" ht="9.1999999999999993" customHeight="1">
      <c r="A930" s="712">
        <v>9</v>
      </c>
      <c r="B930" s="713" t="s">
        <v>683</v>
      </c>
      <c r="C930" s="714">
        <f>VLOOKUP(C918,'Luong VP'!$B$10:$AP$189,15,0)</f>
        <v>200</v>
      </c>
      <c r="D930" s="717"/>
      <c r="E930" s="710">
        <v>8</v>
      </c>
      <c r="F930" s="779" t="s">
        <v>238</v>
      </c>
      <c r="G930" s="779"/>
      <c r="H930" s="771" t="s">
        <v>660</v>
      </c>
      <c r="I930" s="787">
        <v>0</v>
      </c>
      <c r="J930" s="775">
        <v>0</v>
      </c>
    </row>
    <row r="931" spans="1:12" ht="9.1999999999999993" customHeight="1">
      <c r="A931" s="712">
        <v>10</v>
      </c>
      <c r="B931" s="713" t="s">
        <v>685</v>
      </c>
      <c r="C931" s="714">
        <f>VLOOKUP(C918,'Luong VP'!$B$10:$AP$189,16,0)</f>
        <v>0</v>
      </c>
      <c r="D931" s="717"/>
      <c r="E931" s="710" t="s">
        <v>686</v>
      </c>
      <c r="F931" s="716" t="s">
        <v>687</v>
      </c>
      <c r="G931" s="719"/>
      <c r="H931" s="719"/>
      <c r="I931" s="729"/>
      <c r="J931" s="730"/>
    </row>
    <row r="932" spans="1:12" ht="9.1999999999999993" customHeight="1">
      <c r="A932" s="712">
        <v>11</v>
      </c>
      <c r="B932" s="713" t="s">
        <v>688</v>
      </c>
      <c r="C932" s="714">
        <f>VLOOKUP(C918,'Luong VP'!$B$10:$AP$189,17,0)</f>
        <v>0</v>
      </c>
      <c r="D932" s="717"/>
      <c r="E932" s="710">
        <v>1</v>
      </c>
      <c r="F932" s="716" t="s">
        <v>689</v>
      </c>
      <c r="G932" s="719"/>
      <c r="H932" s="719"/>
      <c r="I932" s="714">
        <f>VLOOKUP(C918,'Luong VP'!$B$10:$AP$189,30,0)</f>
        <v>0</v>
      </c>
      <c r="J932" s="714">
        <f>VLOOKUP(C918,'Luong VP'!$B$10:$AP$189,30,0)</f>
        <v>0</v>
      </c>
    </row>
    <row r="933" spans="1:12" ht="9.1999999999999993" customHeight="1">
      <c r="A933" s="712">
        <v>12</v>
      </c>
      <c r="B933" s="713" t="s">
        <v>691</v>
      </c>
      <c r="C933" s="714">
        <f>VLOOKUP(C918,'Luong VP'!$B$10:$AP$189,18,0)</f>
        <v>0</v>
      </c>
      <c r="D933" s="717"/>
      <c r="E933" s="710">
        <v>2</v>
      </c>
      <c r="F933" s="718" t="s">
        <v>239</v>
      </c>
      <c r="G933" s="718"/>
      <c r="H933" s="718"/>
      <c r="I933" s="727"/>
      <c r="J933" s="728">
        <f>VLOOKUP(C918,'Luong VP'!$B$10:$AP$189,34,0)</f>
        <v>0</v>
      </c>
      <c r="K933" s="731"/>
      <c r="L933" s="715"/>
    </row>
    <row r="934" spans="1:12" ht="9.1999999999999993" customHeight="1">
      <c r="A934" s="712">
        <v>13</v>
      </c>
      <c r="B934" s="713" t="s">
        <v>692</v>
      </c>
      <c r="C934" s="714">
        <f>VLOOKUP(C918,'Luong VP'!$B$10:$AP$189,19,0)</f>
        <v>0</v>
      </c>
      <c r="D934" s="717"/>
      <c r="E934" s="710">
        <v>3</v>
      </c>
      <c r="F934" s="716" t="s">
        <v>693</v>
      </c>
      <c r="G934" s="719"/>
      <c r="H934" s="719"/>
      <c r="I934" s="729"/>
      <c r="J934" s="714">
        <f>VLOOKUP(C918,'Luong VP'!$B$10:$AP$189,40,0)</f>
        <v>0</v>
      </c>
      <c r="K934" s="731"/>
      <c r="L934" s="715"/>
    </row>
    <row r="935" spans="1:12" ht="9.1999999999999993" customHeight="1">
      <c r="A935" s="712">
        <v>14</v>
      </c>
      <c r="B935" s="713" t="s">
        <v>694</v>
      </c>
      <c r="C935" s="714">
        <f>VLOOKUP(C918,'Luong VP'!$B$10:$AP$189,20,0)</f>
        <v>0</v>
      </c>
      <c r="D935" s="717"/>
      <c r="E935" s="710">
        <v>4</v>
      </c>
      <c r="F935" s="718" t="s">
        <v>695</v>
      </c>
      <c r="G935" s="719"/>
      <c r="H935" s="719"/>
      <c r="I935" s="729"/>
      <c r="J935" s="714">
        <f>VLOOKUP(C918,'Luong VP'!$B$10:$AP$189,35,0)</f>
        <v>0</v>
      </c>
      <c r="K935" s="732"/>
      <c r="L935" s="715"/>
    </row>
    <row r="936" spans="1:12" ht="9.1999999999999993" customHeight="1">
      <c r="A936" s="712"/>
      <c r="B936" s="707" t="s">
        <v>656</v>
      </c>
      <c r="C936" s="714">
        <f>SUM(C922:C935)</f>
        <v>10890</v>
      </c>
      <c r="D936" s="717"/>
      <c r="E936" s="710"/>
      <c r="F936" s="716" t="s">
        <v>241</v>
      </c>
      <c r="G936" s="719"/>
      <c r="H936" s="719"/>
      <c r="I936" s="729"/>
      <c r="J936" s="730">
        <f>SUM(J923:J935)+C930</f>
        <v>11301.153846153846</v>
      </c>
      <c r="K936" s="731"/>
      <c r="L936" s="715"/>
    </row>
    <row r="937" spans="1:12" ht="9.1999999999999993" customHeight="1">
      <c r="B937" s="720"/>
      <c r="C937" s="717"/>
      <c r="D937" s="717"/>
      <c r="E937" s="710" t="s">
        <v>696</v>
      </c>
      <c r="F937" s="711" t="s">
        <v>697</v>
      </c>
      <c r="G937" s="710"/>
      <c r="H937" s="710"/>
      <c r="I937" s="729"/>
      <c r="J937" s="730">
        <f>SUM(J938:J940)</f>
        <v>5504</v>
      </c>
      <c r="K937" s="732"/>
      <c r="L937" s="715"/>
    </row>
    <row r="938" spans="1:12" ht="9.1999999999999993" customHeight="1">
      <c r="B938" s="720"/>
      <c r="C938" s="717"/>
      <c r="D938" s="717"/>
      <c r="E938" s="710">
        <v>1</v>
      </c>
      <c r="F938" s="718" t="s">
        <v>698</v>
      </c>
      <c r="G938" s="718"/>
      <c r="H938" s="718"/>
      <c r="I938" s="733"/>
      <c r="J938" s="714">
        <f>VLOOKUP(C918,'Luong VP'!$B$10:$AP$189,37,0)</f>
        <v>504</v>
      </c>
      <c r="K938" s="732"/>
      <c r="L938" s="715"/>
    </row>
    <row r="939" spans="1:12" ht="9.1999999999999993" customHeight="1">
      <c r="B939" s="720"/>
      <c r="C939" s="717"/>
      <c r="D939" s="717"/>
      <c r="E939" s="710">
        <v>2</v>
      </c>
      <c r="F939" s="718" t="s">
        <v>244</v>
      </c>
      <c r="G939" s="718"/>
      <c r="H939" s="718"/>
      <c r="I939" s="729"/>
      <c r="J939" s="714">
        <f>VLOOKUP(C918,'Luong VP'!$B$10:$AP$189,39,0)</f>
        <v>5000</v>
      </c>
      <c r="K939" s="734"/>
      <c r="L939" s="735"/>
    </row>
    <row r="940" spans="1:12" ht="9.1999999999999993" customHeight="1">
      <c r="B940" s="720"/>
      <c r="C940" s="717"/>
      <c r="D940" s="717"/>
      <c r="E940" s="710"/>
      <c r="F940" s="718" t="s">
        <v>699</v>
      </c>
      <c r="G940" s="718"/>
      <c r="H940" s="718"/>
      <c r="I940" s="729"/>
      <c r="J940" s="714"/>
      <c r="K940" s="714"/>
      <c r="L940" s="736"/>
    </row>
    <row r="941" spans="1:12" ht="9.1999999999999993" customHeight="1">
      <c r="B941" s="720"/>
      <c r="C941" s="717"/>
      <c r="D941" s="717"/>
      <c r="E941" s="710" t="s">
        <v>700</v>
      </c>
      <c r="F941" s="710" t="s">
        <v>246</v>
      </c>
      <c r="G941" s="710"/>
      <c r="H941" s="710"/>
      <c r="I941" s="729"/>
      <c r="J941" s="728">
        <f>J936-J937</f>
        <v>5797.1538461538457</v>
      </c>
      <c r="K941" s="728">
        <f>ROUND(J941,-1)</f>
        <v>5800</v>
      </c>
      <c r="L941" s="710"/>
    </row>
    <row r="942" spans="1:12" ht="9.1999999999999993" customHeight="1">
      <c r="B942" s="720"/>
      <c r="C942" s="717"/>
      <c r="D942" s="717"/>
      <c r="E942" s="715"/>
      <c r="F942" s="715"/>
      <c r="G942" s="715"/>
      <c r="I942" s="715" t="s">
        <v>701</v>
      </c>
      <c r="J942" s="737"/>
      <c r="K942" s="737"/>
      <c r="L942" s="715"/>
    </row>
    <row r="943" spans="1:12" ht="9.1999999999999993" customHeight="1">
      <c r="B943" s="720"/>
      <c r="C943" s="717"/>
      <c r="D943" s="717"/>
      <c r="E943" s="715"/>
      <c r="F943" s="715"/>
      <c r="G943" s="715"/>
      <c r="I943" s="715"/>
      <c r="J943" s="737"/>
      <c r="K943" s="737"/>
      <c r="L943" s="715"/>
    </row>
    <row r="944" spans="1:12" ht="9.1999999999999993" customHeight="1">
      <c r="B944" s="720"/>
      <c r="C944" s="717"/>
      <c r="D944" s="717"/>
      <c r="E944" s="715"/>
      <c r="F944" s="715"/>
      <c r="G944" s="715"/>
      <c r="I944" s="715"/>
      <c r="J944" s="737"/>
      <c r="K944" s="737"/>
      <c r="L944" s="715"/>
    </row>
    <row r="945" spans="1:12" ht="9.1999999999999993" customHeight="1">
      <c r="B945" s="720"/>
      <c r="C945" s="717"/>
      <c r="D945" s="717"/>
      <c r="E945" s="715"/>
      <c r="F945" s="715"/>
      <c r="G945" s="715"/>
      <c r="I945" s="715"/>
      <c r="J945" s="737"/>
      <c r="K945" s="737"/>
      <c r="L945" s="715"/>
    </row>
    <row r="946" spans="1:12" ht="9.1999999999999993" customHeight="1">
      <c r="B946" s="720"/>
      <c r="C946" s="717"/>
      <c r="D946" s="717"/>
      <c r="E946" s="715"/>
      <c r="F946" s="715"/>
      <c r="G946" s="715"/>
      <c r="I946" s="715"/>
      <c r="J946" s="737"/>
      <c r="K946" s="737"/>
      <c r="L946" s="715"/>
    </row>
    <row r="947" spans="1:12" ht="9.1999999999999993" customHeight="1">
      <c r="B947" s="720"/>
      <c r="C947" s="717"/>
      <c r="D947" s="717"/>
      <c r="E947" s="715"/>
      <c r="F947" s="715"/>
      <c r="G947" s="715"/>
      <c r="I947" s="715"/>
      <c r="J947" s="737"/>
      <c r="K947" s="737"/>
      <c r="L947" s="715"/>
    </row>
    <row r="948" spans="1:12" ht="9.1999999999999993" customHeight="1">
      <c r="B948" s="720"/>
      <c r="C948" s="717"/>
      <c r="D948" s="717"/>
      <c r="E948" s="715"/>
      <c r="F948" s="715"/>
      <c r="G948" s="715"/>
      <c r="I948" s="715"/>
      <c r="J948" s="737"/>
      <c r="K948" s="737"/>
      <c r="L948" s="715"/>
    </row>
    <row r="949" spans="1:12" ht="9.1999999999999993" customHeight="1">
      <c r="C949" s="696"/>
      <c r="D949" s="696"/>
      <c r="E949" s="697" t="str">
        <f>$E$2</f>
        <v>THẺ LƯƠNG THÁNG 08/2019</v>
      </c>
      <c r="F949" s="698"/>
      <c r="G949" s="698"/>
      <c r="H949" s="698"/>
    </row>
    <row r="950" spans="1:12" ht="9.1999999999999993" customHeight="1">
      <c r="B950" s="699" t="s">
        <v>644</v>
      </c>
      <c r="C950" s="700" t="s">
        <v>332</v>
      </c>
      <c r="D950" s="701"/>
      <c r="F950" s="702" t="s">
        <v>645</v>
      </c>
      <c r="G950" s="689" t="str">
        <f>VLOOKUP(C950,'Luong VP'!$B$10:$AP$189,2,0)</f>
        <v>Lê Đình Tiến</v>
      </c>
    </row>
    <row r="951" spans="1:12" ht="9.1999999999999993" customHeight="1">
      <c r="B951" s="699" t="s">
        <v>646</v>
      </c>
      <c r="C951" s="689" t="str">
        <f>VLOOKUP(C950,'Luong VP'!$B$10:$AP$189,3,0)</f>
        <v>CV giám sát thi công</v>
      </c>
      <c r="F951" s="702" t="s">
        <v>647</v>
      </c>
      <c r="G951" s="689">
        <f>VLOOKUP(C950,'Luong VP'!$B$10:$AP$189,5,0)</f>
        <v>2</v>
      </c>
    </row>
    <row r="952" spans="1:12" ht="9.1999999999999993" customHeight="1">
      <c r="B952" s="703"/>
      <c r="C952" s="704"/>
      <c r="D952" s="705"/>
      <c r="F952" s="706" t="s">
        <v>648</v>
      </c>
      <c r="G952" s="706"/>
      <c r="H952" s="706"/>
      <c r="I952" s="725"/>
      <c r="J952" s="726"/>
    </row>
    <row r="953" spans="1:12" ht="9.1999999999999993" customHeight="1">
      <c r="A953" s="707" t="s">
        <v>216</v>
      </c>
      <c r="B953" s="707" t="s">
        <v>649</v>
      </c>
      <c r="C953" s="708" t="s">
        <v>650</v>
      </c>
      <c r="D953" s="709"/>
      <c r="E953" s="710" t="s">
        <v>216</v>
      </c>
      <c r="F953" s="711" t="s">
        <v>649</v>
      </c>
      <c r="G953" s="710"/>
      <c r="H953" s="710" t="s">
        <v>651</v>
      </c>
      <c r="I953" s="727" t="s">
        <v>652</v>
      </c>
      <c r="J953" s="714"/>
      <c r="L953" s="694" t="s">
        <v>653</v>
      </c>
    </row>
    <row r="954" spans="1:12" ht="9.1999999999999993" customHeight="1">
      <c r="A954" s="712">
        <v>1</v>
      </c>
      <c r="B954" s="713" t="s">
        <v>654</v>
      </c>
      <c r="C954" s="714">
        <f>VLOOKUP(C950,'Luong VP'!$B$10:$AP$189,9,0)</f>
        <v>11640</v>
      </c>
      <c r="D954" s="715"/>
      <c r="E954" s="710" t="s">
        <v>655</v>
      </c>
      <c r="F954" s="716" t="s">
        <v>656</v>
      </c>
      <c r="G954" s="710"/>
      <c r="H954" s="710"/>
      <c r="I954" s="727"/>
      <c r="J954" s="714">
        <f>VLOOKUP(C950,'Luong VP'!$B$10:$AP$189,21,0)</f>
        <v>11640</v>
      </c>
    </row>
    <row r="955" spans="1:12" ht="9.1999999999999993" customHeight="1">
      <c r="A955" s="712">
        <v>2</v>
      </c>
      <c r="B955" s="713" t="s">
        <v>658</v>
      </c>
      <c r="C955" s="714"/>
      <c r="D955" s="717"/>
      <c r="E955" s="710">
        <v>1</v>
      </c>
      <c r="F955" s="718" t="s">
        <v>659</v>
      </c>
      <c r="G955" s="718"/>
      <c r="H955" s="710" t="s">
        <v>660</v>
      </c>
      <c r="I955" s="727">
        <f>VLOOKUP(C950,'Luong VP'!$B$10:$AP$189,22,0)</f>
        <v>26</v>
      </c>
      <c r="J955" s="728">
        <f>J954/'Cham cong'!$AS$3*I955</f>
        <v>11640</v>
      </c>
    </row>
    <row r="956" spans="1:12" ht="9.1999999999999993" customHeight="1">
      <c r="A956" s="712">
        <v>3</v>
      </c>
      <c r="B956" s="713" t="s">
        <v>661</v>
      </c>
      <c r="C956" s="714">
        <f>VLOOKUP(C950,'Luong VP'!$B$10:$AP$189,10,0)</f>
        <v>0</v>
      </c>
      <c r="D956" s="717"/>
      <c r="E956" s="710">
        <v>2</v>
      </c>
      <c r="F956" s="718" t="s">
        <v>662</v>
      </c>
      <c r="G956" s="718"/>
      <c r="H956" s="710" t="s">
        <v>660</v>
      </c>
      <c r="I956" s="727">
        <f>VLOOKUP(C950,'Luong VP'!$B$10:$AP$189,27,0)</f>
        <v>0</v>
      </c>
      <c r="J956" s="728">
        <f>J954/'Cham cong'!$AS$3*I956*3</f>
        <v>0</v>
      </c>
    </row>
    <row r="957" spans="1:12" ht="9.1999999999999993" customHeight="1">
      <c r="A957" s="712">
        <v>4</v>
      </c>
      <c r="B957" s="713" t="s">
        <v>666</v>
      </c>
      <c r="C957" s="714">
        <f>VLOOKUP(C950,'Luong VP'!$B$10:$AP$189,11,0)</f>
        <v>0</v>
      </c>
      <c r="D957" s="717"/>
      <c r="E957" s="710">
        <v>3</v>
      </c>
      <c r="F957" s="718" t="s">
        <v>667</v>
      </c>
      <c r="G957" s="718"/>
      <c r="H957" s="710" t="s">
        <v>668</v>
      </c>
      <c r="I957" s="727">
        <f>VLOOKUP(C950,'Luong VP'!$B$10:$AP$189,26,0)</f>
        <v>0</v>
      </c>
      <c r="J957" s="728">
        <f>J954/'Cham cong'!$AS$3*I957/8*1.5</f>
        <v>0</v>
      </c>
    </row>
    <row r="958" spans="1:12" ht="9.1999999999999993" customHeight="1">
      <c r="A958" s="712">
        <v>5</v>
      </c>
      <c r="B958" s="713" t="s">
        <v>670</v>
      </c>
      <c r="C958" s="714">
        <f>VLOOKUP(C950,'Luong VP'!$B$10:$AP$189,12,0)</f>
        <v>0</v>
      </c>
      <c r="D958" s="717"/>
      <c r="E958" s="710">
        <v>4</v>
      </c>
      <c r="F958" s="718" t="s">
        <v>671</v>
      </c>
      <c r="G958" s="718"/>
      <c r="H958" s="710" t="s">
        <v>668</v>
      </c>
      <c r="I958" s="727">
        <f>VLOOKUP(C950,'Luong VP'!$B$10:$AP$189,25,0)</f>
        <v>24</v>
      </c>
      <c r="J958" s="728">
        <f>J954/'Cham cong'!$AS$3*I958/8*2</f>
        <v>2686.1538461538462</v>
      </c>
    </row>
    <row r="959" spans="1:12" ht="9.1999999999999993" customHeight="1">
      <c r="A959" s="712">
        <v>6</v>
      </c>
      <c r="B959" s="713" t="s">
        <v>673</v>
      </c>
      <c r="C959" s="714">
        <f>VLOOKUP(C950,'Luong VP'!$B$10:$AP$189,13,0)</f>
        <v>0</v>
      </c>
      <c r="D959" s="717"/>
      <c r="E959" s="710">
        <v>5</v>
      </c>
      <c r="F959" s="718" t="s">
        <v>674</v>
      </c>
      <c r="G959" s="718"/>
      <c r="H959" s="710" t="s">
        <v>660</v>
      </c>
      <c r="I959" s="727">
        <f>VLOOKUP(C950,'Luong VP'!$B$10:$AP$189,23,0)</f>
        <v>0</v>
      </c>
      <c r="J959" s="728">
        <f>C954/'Cham cong'!$AS$3*I959</f>
        <v>0</v>
      </c>
      <c r="L959" s="694" t="str">
        <f>G950</f>
        <v>Lê Đình Tiến</v>
      </c>
    </row>
    <row r="960" spans="1:12" ht="9.1999999999999993" customHeight="1">
      <c r="A960" s="712">
        <v>7</v>
      </c>
      <c r="B960" s="713" t="s">
        <v>676</v>
      </c>
      <c r="C960" s="714"/>
      <c r="D960" s="717"/>
      <c r="E960" s="710">
        <v>6</v>
      </c>
      <c r="F960" s="718" t="s">
        <v>677</v>
      </c>
      <c r="G960" s="718"/>
      <c r="H960" s="710" t="s">
        <v>660</v>
      </c>
      <c r="I960" s="727">
        <f>VLOOKUP(C950,'Luong VP'!$B$10:$AP$189,24,0)</f>
        <v>1</v>
      </c>
      <c r="J960" s="714">
        <f>C954/'Cham cong'!$AS$3*I960</f>
        <v>447.69230769230768</v>
      </c>
    </row>
    <row r="961" spans="1:12" ht="9.1999999999999993" customHeight="1">
      <c r="A961" s="712">
        <v>8</v>
      </c>
      <c r="B961" s="713" t="s">
        <v>679</v>
      </c>
      <c r="C961" s="714">
        <f>VLOOKUP(C950,'Luong VP'!$B$10:$AP$189,14,0)</f>
        <v>0</v>
      </c>
      <c r="D961" s="717"/>
      <c r="E961" s="710">
        <v>7</v>
      </c>
      <c r="F961" s="718" t="s">
        <v>680</v>
      </c>
      <c r="G961" s="718"/>
      <c r="H961" s="718"/>
      <c r="I961" s="729"/>
      <c r="J961" s="714">
        <f>VLOOKUP(C950,'Luong VP'!$B$10:$AP$189,28,0)</f>
        <v>0</v>
      </c>
    </row>
    <row r="962" spans="1:12" ht="9.1999999999999993" customHeight="1">
      <c r="A962" s="712">
        <v>9</v>
      </c>
      <c r="B962" s="713" t="s">
        <v>683</v>
      </c>
      <c r="C962" s="714">
        <f>VLOOKUP(C950,'Luong VP'!$B$10:$AP$189,15,0)</f>
        <v>200</v>
      </c>
      <c r="D962" s="717"/>
      <c r="E962" s="710">
        <v>8</v>
      </c>
      <c r="F962" s="718" t="s">
        <v>238</v>
      </c>
      <c r="G962" s="718"/>
      <c r="H962" s="771" t="s">
        <v>660</v>
      </c>
      <c r="I962" s="787"/>
      <c r="J962" s="775"/>
    </row>
    <row r="963" spans="1:12" ht="9.1999999999999993" customHeight="1">
      <c r="A963" s="712">
        <v>10</v>
      </c>
      <c r="B963" s="713" t="s">
        <v>685</v>
      </c>
      <c r="C963" s="714">
        <f>VLOOKUP(C950,'Luong VP'!$B$10:$AP$189,16,0)</f>
        <v>0</v>
      </c>
      <c r="D963" s="717"/>
      <c r="E963" s="710" t="s">
        <v>686</v>
      </c>
      <c r="F963" s="716" t="s">
        <v>687</v>
      </c>
      <c r="G963" s="719"/>
      <c r="H963" s="719"/>
      <c r="I963" s="729"/>
      <c r="J963" s="730"/>
    </row>
    <row r="964" spans="1:12" ht="9.1999999999999993" customHeight="1">
      <c r="A964" s="712">
        <v>11</v>
      </c>
      <c r="B964" s="713" t="s">
        <v>688</v>
      </c>
      <c r="C964" s="714">
        <f>VLOOKUP(C950,'Luong VP'!$B$10:$AP$189,17,0)</f>
        <v>0</v>
      </c>
      <c r="D964" s="717"/>
      <c r="E964" s="710">
        <v>1</v>
      </c>
      <c r="F964" s="716" t="s">
        <v>689</v>
      </c>
      <c r="G964" s="719"/>
      <c r="H964" s="719"/>
      <c r="I964" s="714">
        <f>VLOOKUP(C950,'Luong VP'!$B$10:$AP$189,30,0)</f>
        <v>0</v>
      </c>
      <c r="J964" s="714">
        <f>VLOOKUP(C950,'Luong VP'!$B$10:$AP$189,30,0)</f>
        <v>0</v>
      </c>
    </row>
    <row r="965" spans="1:12" ht="9.1999999999999993" customHeight="1">
      <c r="A965" s="712">
        <v>12</v>
      </c>
      <c r="B965" s="713" t="s">
        <v>691</v>
      </c>
      <c r="C965" s="714">
        <f>VLOOKUP(C950,'Luong VP'!$B$10:$AP$189,18,0)</f>
        <v>0</v>
      </c>
      <c r="D965" s="717"/>
      <c r="E965" s="710">
        <v>2</v>
      </c>
      <c r="F965" s="718" t="s">
        <v>239</v>
      </c>
      <c r="G965" s="718"/>
      <c r="H965" s="718"/>
      <c r="I965" s="727"/>
      <c r="J965" s="728">
        <f>VLOOKUP(C950,'Luong VP'!$B$10:$AP$189,34,0)</f>
        <v>0</v>
      </c>
      <c r="K965" s="731"/>
      <c r="L965" s="715"/>
    </row>
    <row r="966" spans="1:12" ht="9.1999999999999993" customHeight="1">
      <c r="A966" s="712">
        <v>13</v>
      </c>
      <c r="B966" s="713" t="s">
        <v>692</v>
      </c>
      <c r="C966" s="714">
        <f>VLOOKUP(C950,'Luong VP'!$B$10:$AP$189,19,0)</f>
        <v>0</v>
      </c>
      <c r="D966" s="717"/>
      <c r="E966" s="710">
        <v>3</v>
      </c>
      <c r="F966" s="716" t="s">
        <v>693</v>
      </c>
      <c r="G966" s="719"/>
      <c r="H966" s="719"/>
      <c r="I966" s="729"/>
      <c r="J966" s="714">
        <f>VLOOKUP(C950,'Luong VP'!$B$10:$AP$189,40,0)</f>
        <v>0</v>
      </c>
      <c r="K966" s="731"/>
      <c r="L966" s="715"/>
    </row>
    <row r="967" spans="1:12" ht="9.1999999999999993" customHeight="1">
      <c r="A967" s="712">
        <v>14</v>
      </c>
      <c r="B967" s="713" t="s">
        <v>694</v>
      </c>
      <c r="C967" s="714">
        <f>VLOOKUP(C950,'Luong VP'!$B$10:$AP$189,20,0)</f>
        <v>0</v>
      </c>
      <c r="D967" s="717"/>
      <c r="E967" s="710">
        <v>4</v>
      </c>
      <c r="F967" s="718" t="s">
        <v>695</v>
      </c>
      <c r="G967" s="719"/>
      <c r="H967" s="719"/>
      <c r="I967" s="729"/>
      <c r="J967" s="714">
        <f>VLOOKUP(C950,'Luong VP'!$B$10:$AP$189,35,0)</f>
        <v>0</v>
      </c>
      <c r="K967" s="732"/>
      <c r="L967" s="715"/>
    </row>
    <row r="968" spans="1:12" ht="9.1999999999999993" customHeight="1">
      <c r="A968" s="712"/>
      <c r="B968" s="707" t="s">
        <v>656</v>
      </c>
      <c r="C968" s="714">
        <f>SUM(C954:C967)</f>
        <v>11840</v>
      </c>
      <c r="D968" s="717"/>
      <c r="E968" s="710"/>
      <c r="F968" s="716" t="s">
        <v>241</v>
      </c>
      <c r="G968" s="719"/>
      <c r="H968" s="719"/>
      <c r="I968" s="729"/>
      <c r="J968" s="730">
        <f>SUM(J955:J967)+C962</f>
        <v>14973.846153846154</v>
      </c>
      <c r="K968" s="731"/>
      <c r="L968" s="715"/>
    </row>
    <row r="969" spans="1:12" ht="9.1999999999999993" customHeight="1">
      <c r="B969" s="720"/>
      <c r="C969" s="717"/>
      <c r="D969" s="717"/>
      <c r="E969" s="710" t="s">
        <v>696</v>
      </c>
      <c r="F969" s="711" t="s">
        <v>697</v>
      </c>
      <c r="G969" s="710"/>
      <c r="H969" s="710"/>
      <c r="I969" s="729"/>
      <c r="J969" s="730">
        <f>SUM(J970:J972)</f>
        <v>525</v>
      </c>
      <c r="K969" s="732"/>
      <c r="L969" s="715"/>
    </row>
    <row r="970" spans="1:12" ht="9.1999999999999993" customHeight="1">
      <c r="B970" s="720"/>
      <c r="C970" s="717"/>
      <c r="D970" s="717"/>
      <c r="E970" s="710">
        <v>1</v>
      </c>
      <c r="F970" s="718" t="s">
        <v>698</v>
      </c>
      <c r="G970" s="718"/>
      <c r="H970" s="718"/>
      <c r="I970" s="733"/>
      <c r="J970" s="714">
        <f>VLOOKUP(C950,'Luong VP'!$B$10:$AP$189,37,0)</f>
        <v>525</v>
      </c>
      <c r="K970" s="732"/>
      <c r="L970" s="715"/>
    </row>
    <row r="971" spans="1:12" ht="9.1999999999999993" customHeight="1">
      <c r="B971" s="720"/>
      <c r="C971" s="717"/>
      <c r="D971" s="717"/>
      <c r="E971" s="710">
        <v>2</v>
      </c>
      <c r="F971" s="718" t="s">
        <v>244</v>
      </c>
      <c r="G971" s="718"/>
      <c r="H971" s="718"/>
      <c r="I971" s="729"/>
      <c r="J971" s="714">
        <f>VLOOKUP(C950,'Luong VP'!$B$10:$AP$189,39,0)</f>
        <v>0</v>
      </c>
      <c r="K971" s="734"/>
      <c r="L971" s="735"/>
    </row>
    <row r="972" spans="1:12" ht="9.1999999999999993" customHeight="1">
      <c r="B972" s="720"/>
      <c r="C972" s="717"/>
      <c r="D972" s="717"/>
      <c r="E972" s="710"/>
      <c r="F972" s="718" t="s">
        <v>699</v>
      </c>
      <c r="G972" s="718"/>
      <c r="H972" s="718"/>
      <c r="I972" s="729"/>
      <c r="J972" s="714"/>
      <c r="K972" s="714"/>
      <c r="L972" s="736"/>
    </row>
    <row r="973" spans="1:12" ht="9.1999999999999993" customHeight="1">
      <c r="B973" s="720"/>
      <c r="C973" s="717"/>
      <c r="D973" s="717"/>
      <c r="E973" s="710" t="s">
        <v>700</v>
      </c>
      <c r="F973" s="710" t="s">
        <v>246</v>
      </c>
      <c r="G973" s="710"/>
      <c r="H973" s="710"/>
      <c r="I973" s="729"/>
      <c r="J973" s="728">
        <f>J968-J969</f>
        <v>14448.846153846154</v>
      </c>
      <c r="K973" s="728">
        <f>ROUND(J973,-1)</f>
        <v>14450</v>
      </c>
      <c r="L973" s="710"/>
    </row>
    <row r="974" spans="1:12" ht="9.1999999999999993" customHeight="1">
      <c r="B974" s="720"/>
      <c r="C974" s="717"/>
      <c r="D974" s="717"/>
      <c r="E974" s="715"/>
      <c r="F974" s="715"/>
      <c r="G974" s="715"/>
      <c r="I974" s="715" t="s">
        <v>701</v>
      </c>
      <c r="J974" s="737"/>
      <c r="K974" s="737"/>
      <c r="L974" s="715"/>
    </row>
    <row r="975" spans="1:12" ht="9.1999999999999993" customHeight="1">
      <c r="B975" s="720"/>
      <c r="C975" s="717"/>
      <c r="D975" s="717"/>
      <c r="E975" s="715"/>
      <c r="F975" s="715"/>
      <c r="G975" s="715"/>
      <c r="I975" s="715"/>
      <c r="J975" s="737"/>
      <c r="K975" s="737"/>
      <c r="L975" s="715"/>
    </row>
    <row r="976" spans="1:12" ht="9.1999999999999993" customHeight="1">
      <c r="B976" s="720"/>
      <c r="C976" s="717"/>
      <c r="D976" s="717"/>
      <c r="E976" s="715"/>
      <c r="F976" s="715"/>
      <c r="G976" s="715"/>
      <c r="I976" s="715"/>
      <c r="J976" s="737"/>
      <c r="K976" s="737"/>
      <c r="L976" s="715"/>
    </row>
    <row r="977" spans="1:12" ht="9.1999999999999993" customHeight="1">
      <c r="B977" s="720"/>
      <c r="C977" s="717"/>
      <c r="D977" s="717"/>
      <c r="E977" s="715"/>
      <c r="F977" s="715"/>
      <c r="G977" s="715"/>
      <c r="I977" s="715"/>
      <c r="J977" s="737"/>
      <c r="K977" s="737"/>
      <c r="L977" s="715"/>
    </row>
    <row r="978" spans="1:12" ht="9.1999999999999993" customHeight="1">
      <c r="B978" s="720"/>
      <c r="C978" s="717"/>
      <c r="D978" s="717"/>
      <c r="E978" s="715"/>
      <c r="F978" s="715"/>
      <c r="G978" s="715"/>
      <c r="I978" s="715"/>
      <c r="J978" s="737"/>
      <c r="K978" s="737"/>
      <c r="L978" s="715"/>
    </row>
    <row r="979" spans="1:12" ht="9.1999999999999993" customHeight="1">
      <c r="B979" s="720"/>
      <c r="C979" s="717"/>
      <c r="D979" s="717"/>
      <c r="E979" s="715"/>
      <c r="F979" s="715"/>
      <c r="G979" s="715"/>
      <c r="I979" s="715"/>
      <c r="J979" s="737"/>
      <c r="K979" s="737"/>
      <c r="L979" s="715"/>
    </row>
    <row r="980" spans="1:12" ht="9.1999999999999993" customHeight="1">
      <c r="C980" s="696"/>
      <c r="D980" s="696"/>
      <c r="E980" s="697" t="str">
        <f>$E$2</f>
        <v>THẺ LƯƠNG THÁNG 08/2019</v>
      </c>
      <c r="F980" s="698"/>
      <c r="G980" s="698"/>
      <c r="H980" s="698"/>
    </row>
    <row r="981" spans="1:12" ht="9.1999999999999993" customHeight="1">
      <c r="B981" s="699" t="s">
        <v>644</v>
      </c>
      <c r="C981" s="700" t="s">
        <v>335</v>
      </c>
      <c r="D981" s="701"/>
      <c r="F981" s="702" t="s">
        <v>645</v>
      </c>
      <c r="G981" s="689" t="str">
        <f>VLOOKUP(C981,'Luong VP'!$B$10:$AP$189,2,0)</f>
        <v xml:space="preserve"> Lê Châu Bào </v>
      </c>
    </row>
    <row r="982" spans="1:12" ht="9.1999999999999993" customHeight="1">
      <c r="B982" s="699" t="s">
        <v>646</v>
      </c>
      <c r="C982" s="689" t="str">
        <f>VLOOKUP(C981,'Luong VP'!$B$10:$AP$189,3,0)</f>
        <v>TRƯỞNG BAN KẾ HOẠCH VẬT TƯ</v>
      </c>
      <c r="F982" s="702" t="s">
        <v>647</v>
      </c>
      <c r="G982" s="689">
        <f>VLOOKUP(C981,'Luong VP'!$B$10:$AP$189,5,0)</f>
        <v>3</v>
      </c>
    </row>
    <row r="983" spans="1:12" ht="9.1999999999999993" customHeight="1">
      <c r="B983" s="703"/>
      <c r="C983" s="704"/>
      <c r="D983" s="705"/>
      <c r="F983" s="706" t="s">
        <v>648</v>
      </c>
      <c r="G983" s="706"/>
      <c r="H983" s="706"/>
      <c r="I983" s="725"/>
      <c r="J983" s="726"/>
    </row>
    <row r="984" spans="1:12" ht="9.1999999999999993" customHeight="1">
      <c r="A984" s="707" t="s">
        <v>216</v>
      </c>
      <c r="B984" s="707" t="s">
        <v>649</v>
      </c>
      <c r="C984" s="708" t="s">
        <v>650</v>
      </c>
      <c r="D984" s="709"/>
      <c r="E984" s="710" t="s">
        <v>216</v>
      </c>
      <c r="F984" s="711" t="s">
        <v>649</v>
      </c>
      <c r="G984" s="710"/>
      <c r="H984" s="710" t="s">
        <v>651</v>
      </c>
      <c r="I984" s="727" t="s">
        <v>652</v>
      </c>
      <c r="J984" s="714"/>
      <c r="L984" s="694" t="s">
        <v>653</v>
      </c>
    </row>
    <row r="985" spans="1:12" ht="9.1999999999999993" customHeight="1">
      <c r="A985" s="712">
        <v>1</v>
      </c>
      <c r="B985" s="713" t="s">
        <v>654</v>
      </c>
      <c r="C985" s="714">
        <f>VLOOKUP(C981,'Luong VP'!$B$10:$AP$189,9,0)</f>
        <v>31330</v>
      </c>
      <c r="D985" s="715"/>
      <c r="E985" s="710" t="s">
        <v>655</v>
      </c>
      <c r="F985" s="716" t="s">
        <v>656</v>
      </c>
      <c r="G985" s="710"/>
      <c r="H985" s="710"/>
      <c r="I985" s="727"/>
      <c r="J985" s="714">
        <f>VLOOKUP(C981,'Luong VP'!$B$10:$AP$189,21,0)</f>
        <v>35330</v>
      </c>
    </row>
    <row r="986" spans="1:12" ht="9.1999999999999993" customHeight="1">
      <c r="A986" s="712">
        <v>2</v>
      </c>
      <c r="B986" s="713" t="s">
        <v>658</v>
      </c>
      <c r="C986" s="714"/>
      <c r="D986" s="717"/>
      <c r="E986" s="710">
        <v>1</v>
      </c>
      <c r="F986" s="718" t="s">
        <v>659</v>
      </c>
      <c r="G986" s="718"/>
      <c r="H986" s="710" t="s">
        <v>660</v>
      </c>
      <c r="I986" s="727">
        <f>VLOOKUP(C981,'Luong VP'!$B$10:$AP$189,22,0)</f>
        <v>26</v>
      </c>
      <c r="J986" s="728">
        <f>J985/'Cham cong'!$AS$3*I986</f>
        <v>35330</v>
      </c>
    </row>
    <row r="987" spans="1:12" ht="9.1999999999999993" customHeight="1">
      <c r="A987" s="712">
        <v>3</v>
      </c>
      <c r="B987" s="713" t="s">
        <v>661</v>
      </c>
      <c r="C987" s="714">
        <f>VLOOKUP(C981,'Luong VP'!$B$10:$AP$189,10,0)</f>
        <v>0</v>
      </c>
      <c r="D987" s="717"/>
      <c r="E987" s="710">
        <v>2</v>
      </c>
      <c r="F987" s="718" t="s">
        <v>662</v>
      </c>
      <c r="G987" s="718"/>
      <c r="H987" s="710" t="s">
        <v>660</v>
      </c>
      <c r="I987" s="727">
        <f>VLOOKUP(C981,'Luong VP'!$B$10:$AP$189,27,0)</f>
        <v>0</v>
      </c>
      <c r="J987" s="728">
        <f>J985/'Cham cong'!$AS$3*I987*3</f>
        <v>0</v>
      </c>
    </row>
    <row r="988" spans="1:12" ht="9.1999999999999993" customHeight="1">
      <c r="A988" s="712">
        <v>4</v>
      </c>
      <c r="B988" s="713" t="s">
        <v>666</v>
      </c>
      <c r="C988" s="714">
        <f>VLOOKUP(C981,'Luong VP'!$B$10:$AP$189,11,0)</f>
        <v>3000</v>
      </c>
      <c r="D988" s="717"/>
      <c r="E988" s="710">
        <v>3</v>
      </c>
      <c r="F988" s="718" t="s">
        <v>667</v>
      </c>
      <c r="G988" s="718"/>
      <c r="H988" s="710" t="s">
        <v>668</v>
      </c>
      <c r="I988" s="727">
        <f>VLOOKUP(C981,'Luong VP'!$B$10:$AP$189,26,0)</f>
        <v>0</v>
      </c>
      <c r="J988" s="728">
        <f>J985/'Cham cong'!$AS$3*I988/8*1.5</f>
        <v>0</v>
      </c>
    </row>
    <row r="989" spans="1:12" ht="9.1999999999999993" customHeight="1">
      <c r="A989" s="712">
        <v>5</v>
      </c>
      <c r="B989" s="713" t="s">
        <v>670</v>
      </c>
      <c r="C989" s="714">
        <f>VLOOKUP(C981,'Luong VP'!$B$10:$AP$189,12,0)</f>
        <v>0</v>
      </c>
      <c r="D989" s="717"/>
      <c r="E989" s="710">
        <v>4</v>
      </c>
      <c r="F989" s="718" t="s">
        <v>671</v>
      </c>
      <c r="G989" s="718"/>
      <c r="H989" s="710" t="s">
        <v>668</v>
      </c>
      <c r="I989" s="727">
        <f>VLOOKUP(C981,'Luong VP'!$B$10:$AP$189,25,0)</f>
        <v>0</v>
      </c>
      <c r="J989" s="728">
        <f>J985/'Cham cong'!$AS$3*I989/8*2</f>
        <v>0</v>
      </c>
    </row>
    <row r="990" spans="1:12" ht="9.1999999999999993" customHeight="1">
      <c r="A990" s="712">
        <v>6</v>
      </c>
      <c r="B990" s="713" t="s">
        <v>673</v>
      </c>
      <c r="C990" s="714">
        <f>VLOOKUP(C981,'Luong VP'!$B$10:$AP$189,13,0)</f>
        <v>0</v>
      </c>
      <c r="D990" s="717"/>
      <c r="E990" s="710">
        <v>5</v>
      </c>
      <c r="F990" s="718" t="s">
        <v>674</v>
      </c>
      <c r="G990" s="718"/>
      <c r="H990" s="710" t="s">
        <v>660</v>
      </c>
      <c r="I990" s="727">
        <f>VLOOKUP(C981,'Luong VP'!$B$10:$AP$189,23,0)</f>
        <v>0</v>
      </c>
      <c r="J990" s="728">
        <f>C985/'Cham cong'!$AS$3*I990</f>
        <v>0</v>
      </c>
      <c r="L990" s="694" t="str">
        <f>G981</f>
        <v xml:space="preserve"> Lê Châu Bào </v>
      </c>
    </row>
    <row r="991" spans="1:12" ht="9.1999999999999993" customHeight="1">
      <c r="A991" s="712">
        <v>7</v>
      </c>
      <c r="B991" s="713" t="s">
        <v>676</v>
      </c>
      <c r="C991" s="714"/>
      <c r="D991" s="717"/>
      <c r="E991" s="710">
        <v>6</v>
      </c>
      <c r="F991" s="718" t="s">
        <v>677</v>
      </c>
      <c r="G991" s="718"/>
      <c r="H991" s="710" t="s">
        <v>660</v>
      </c>
      <c r="I991" s="727">
        <f>VLOOKUP(C981,'Luong VP'!$B$10:$AP$189,24,0)</f>
        <v>1</v>
      </c>
      <c r="J991" s="714">
        <f>C985/'Cham cong'!$AS$3*I991</f>
        <v>1205</v>
      </c>
    </row>
    <row r="992" spans="1:12" ht="9.1999999999999993" customHeight="1">
      <c r="A992" s="712">
        <v>8</v>
      </c>
      <c r="B992" s="713" t="s">
        <v>679</v>
      </c>
      <c r="C992" s="714">
        <f>VLOOKUP(C981,'Luong VP'!$B$10:$AP$189,14,0)</f>
        <v>1000</v>
      </c>
      <c r="D992" s="717"/>
      <c r="E992" s="710">
        <v>7</v>
      </c>
      <c r="F992" s="718" t="s">
        <v>680</v>
      </c>
      <c r="G992" s="718"/>
      <c r="H992" s="718"/>
      <c r="I992" s="729"/>
      <c r="J992" s="714">
        <f>VLOOKUP(C981,'Luong VP'!$B$10:$AP$189,28,0)</f>
        <v>0</v>
      </c>
    </row>
    <row r="993" spans="1:12" ht="9.1999999999999993" customHeight="1">
      <c r="A993" s="712">
        <v>9</v>
      </c>
      <c r="B993" s="713" t="s">
        <v>683</v>
      </c>
      <c r="C993" s="714">
        <f>VLOOKUP(C981,'Luong VP'!$B$10:$AP$189,15,0)</f>
        <v>1000</v>
      </c>
      <c r="D993" s="717"/>
      <c r="E993" s="710">
        <v>8</v>
      </c>
      <c r="F993" s="718" t="s">
        <v>238</v>
      </c>
      <c r="G993" s="718"/>
      <c r="H993" s="718"/>
      <c r="I993" s="729"/>
      <c r="J993" s="714">
        <f>VLOOKUP(C981,'Luong VP'!$B$10:$AP$189,33,0)</f>
        <v>0</v>
      </c>
    </row>
    <row r="994" spans="1:12" ht="9.1999999999999993" customHeight="1">
      <c r="A994" s="712">
        <v>10</v>
      </c>
      <c r="B994" s="713" t="s">
        <v>685</v>
      </c>
      <c r="C994" s="714">
        <f>VLOOKUP(C981,'Luong VP'!$B$10:$AP$189,16,0)</f>
        <v>0</v>
      </c>
      <c r="D994" s="717"/>
      <c r="E994" s="710" t="s">
        <v>686</v>
      </c>
      <c r="F994" s="716" t="s">
        <v>687</v>
      </c>
      <c r="G994" s="719"/>
      <c r="H994" s="719"/>
      <c r="I994" s="729"/>
      <c r="J994" s="730"/>
    </row>
    <row r="995" spans="1:12" ht="9.1999999999999993" customHeight="1">
      <c r="A995" s="712">
        <v>11</v>
      </c>
      <c r="B995" s="713" t="s">
        <v>688</v>
      </c>
      <c r="C995" s="714">
        <f>VLOOKUP(C981,'Luong VP'!$B$10:$AP$189,17,0)</f>
        <v>0</v>
      </c>
      <c r="D995" s="717"/>
      <c r="E995" s="710">
        <v>1</v>
      </c>
      <c r="F995" s="716" t="s">
        <v>689</v>
      </c>
      <c r="G995" s="719"/>
      <c r="H995" s="719"/>
      <c r="I995" s="714">
        <f>VLOOKUP(C981,'Luong VP'!$B$10:$AP$189,30,0)</f>
        <v>0</v>
      </c>
      <c r="J995" s="714">
        <f>VLOOKUP(C981,'Luong VP'!$B$10:$AP$189,30,0)</f>
        <v>0</v>
      </c>
    </row>
    <row r="996" spans="1:12" ht="9.1999999999999993" customHeight="1">
      <c r="A996" s="712">
        <v>12</v>
      </c>
      <c r="B996" s="713" t="s">
        <v>691</v>
      </c>
      <c r="C996" s="714">
        <f>VLOOKUP(C981,'Luong VP'!$B$10:$AP$189,18,0)</f>
        <v>0</v>
      </c>
      <c r="D996" s="717"/>
      <c r="E996" s="710">
        <v>2</v>
      </c>
      <c r="F996" s="718" t="s">
        <v>239</v>
      </c>
      <c r="G996" s="718"/>
      <c r="H996" s="718"/>
      <c r="I996" s="727"/>
      <c r="J996" s="728">
        <f>VLOOKUP(C981,'Luong VP'!$B$10:$AP$189,34,0)</f>
        <v>0</v>
      </c>
      <c r="K996" s="731"/>
      <c r="L996" s="715"/>
    </row>
    <row r="997" spans="1:12" ht="9.1999999999999993" customHeight="1">
      <c r="A997" s="712">
        <v>13</v>
      </c>
      <c r="B997" s="713" t="s">
        <v>692</v>
      </c>
      <c r="C997" s="714">
        <f>VLOOKUP(C981,'Luong VP'!$B$10:$AP$189,19,0)</f>
        <v>0</v>
      </c>
      <c r="D997" s="717"/>
      <c r="E997" s="710">
        <v>3</v>
      </c>
      <c r="F997" s="716" t="s">
        <v>693</v>
      </c>
      <c r="G997" s="719"/>
      <c r="H997" s="719"/>
      <c r="I997" s="729"/>
      <c r="J997" s="714">
        <f>VLOOKUP(C981,'Luong VP'!$B$10:$AP$189,40,0)</f>
        <v>0</v>
      </c>
      <c r="K997" s="731"/>
      <c r="L997" s="715"/>
    </row>
    <row r="998" spans="1:12" ht="9.1999999999999993" customHeight="1">
      <c r="A998" s="712">
        <v>14</v>
      </c>
      <c r="B998" s="713" t="s">
        <v>694</v>
      </c>
      <c r="C998" s="714">
        <f>VLOOKUP(C981,'Luong VP'!$B$10:$AP$189,20,0)</f>
        <v>0</v>
      </c>
      <c r="D998" s="717"/>
      <c r="E998" s="710">
        <v>4</v>
      </c>
      <c r="F998" s="718" t="s">
        <v>695</v>
      </c>
      <c r="G998" s="719"/>
      <c r="H998" s="719"/>
      <c r="I998" s="729"/>
      <c r="J998" s="714">
        <f>VLOOKUP(C981,'Luong VP'!$B$10:$AP$189,35,0)</f>
        <v>15000</v>
      </c>
      <c r="K998" s="732"/>
      <c r="L998" s="715"/>
    </row>
    <row r="999" spans="1:12" ht="9.1999999999999993" customHeight="1">
      <c r="A999" s="712"/>
      <c r="B999" s="707" t="s">
        <v>656</v>
      </c>
      <c r="C999" s="714">
        <f>SUM(C985:C998)</f>
        <v>36330</v>
      </c>
      <c r="D999" s="717"/>
      <c r="E999" s="710"/>
      <c r="F999" s="716" t="s">
        <v>241</v>
      </c>
      <c r="G999" s="719"/>
      <c r="H999" s="719"/>
      <c r="I999" s="729"/>
      <c r="J999" s="730">
        <f>SUM(J986:J998)+C993</f>
        <v>52535</v>
      </c>
      <c r="K999" s="731"/>
      <c r="L999" s="715"/>
    </row>
    <row r="1000" spans="1:12" ht="9.1999999999999993" customHeight="1">
      <c r="B1000" s="720"/>
      <c r="C1000" s="717"/>
      <c r="D1000" s="717"/>
      <c r="E1000" s="710" t="s">
        <v>696</v>
      </c>
      <c r="F1000" s="711" t="s">
        <v>697</v>
      </c>
      <c r="G1000" s="710"/>
      <c r="H1000" s="710"/>
      <c r="I1000" s="729"/>
      <c r="J1000" s="730">
        <f>SUM(J1001:J1003)</f>
        <v>871.5</v>
      </c>
      <c r="K1000" s="732"/>
      <c r="L1000" s="715"/>
    </row>
    <row r="1001" spans="1:12" ht="9.1999999999999993" customHeight="1">
      <c r="B1001" s="720"/>
      <c r="C1001" s="717"/>
      <c r="D1001" s="717"/>
      <c r="E1001" s="710">
        <v>1</v>
      </c>
      <c r="F1001" s="718" t="s">
        <v>698</v>
      </c>
      <c r="G1001" s="718"/>
      <c r="H1001" s="718"/>
      <c r="I1001" s="733"/>
      <c r="J1001" s="714">
        <f>VLOOKUP(C981,'Luong VP'!$B$10:$AP$189,37,0)</f>
        <v>871.5</v>
      </c>
      <c r="K1001" s="732"/>
      <c r="L1001" s="715"/>
    </row>
    <row r="1002" spans="1:12" ht="9.1999999999999993" customHeight="1">
      <c r="B1002" s="720"/>
      <c r="C1002" s="717"/>
      <c r="D1002" s="717"/>
      <c r="E1002" s="710">
        <v>2</v>
      </c>
      <c r="F1002" s="718" t="s">
        <v>244</v>
      </c>
      <c r="G1002" s="718"/>
      <c r="H1002" s="718"/>
      <c r="I1002" s="729"/>
      <c r="J1002" s="714">
        <f>VLOOKUP(C981,'Luong VP'!$B$10:$AP$189,39,0)</f>
        <v>0</v>
      </c>
      <c r="K1002" s="734"/>
      <c r="L1002" s="735"/>
    </row>
    <row r="1003" spans="1:12" ht="9.1999999999999993" customHeight="1">
      <c r="B1003" s="720"/>
      <c r="C1003" s="717"/>
      <c r="D1003" s="717"/>
      <c r="E1003" s="710"/>
      <c r="F1003" s="718" t="s">
        <v>699</v>
      </c>
      <c r="G1003" s="718"/>
      <c r="H1003" s="718"/>
      <c r="I1003" s="729"/>
      <c r="J1003" s="714"/>
      <c r="K1003" s="714"/>
      <c r="L1003" s="736"/>
    </row>
    <row r="1004" spans="1:12" ht="9.1999999999999993" customHeight="1">
      <c r="B1004" s="720"/>
      <c r="C1004" s="717"/>
      <c r="D1004" s="717"/>
      <c r="E1004" s="710" t="s">
        <v>700</v>
      </c>
      <c r="F1004" s="710" t="s">
        <v>246</v>
      </c>
      <c r="G1004" s="710"/>
      <c r="H1004" s="710"/>
      <c r="I1004" s="729"/>
      <c r="J1004" s="728">
        <f>J999-J1000</f>
        <v>51663.5</v>
      </c>
      <c r="K1004" s="728">
        <f>ROUND(J1004,-1)</f>
        <v>51660</v>
      </c>
      <c r="L1004" s="710"/>
    </row>
    <row r="1005" spans="1:12" ht="9.1999999999999993" customHeight="1">
      <c r="B1005" s="720"/>
      <c r="C1005" s="717"/>
      <c r="D1005" s="717"/>
      <c r="E1005" s="715"/>
      <c r="F1005" s="715"/>
      <c r="G1005" s="715"/>
      <c r="I1005" s="715" t="s">
        <v>701</v>
      </c>
      <c r="J1005" s="737"/>
      <c r="K1005" s="737"/>
      <c r="L1005" s="715"/>
    </row>
    <row r="1006" spans="1:12" ht="9.1999999999999993" customHeight="1">
      <c r="B1006" s="720"/>
      <c r="C1006" s="717"/>
      <c r="D1006" s="717"/>
      <c r="E1006" s="715"/>
      <c r="F1006" s="715"/>
      <c r="G1006" s="715"/>
      <c r="I1006" s="715"/>
      <c r="J1006" s="737"/>
      <c r="K1006" s="737"/>
      <c r="L1006" s="715"/>
    </row>
    <row r="1007" spans="1:12" ht="9.1999999999999993" customHeight="1">
      <c r="B1007" s="720"/>
      <c r="C1007" s="717"/>
      <c r="D1007" s="717"/>
      <c r="E1007" s="715"/>
      <c r="F1007" s="715"/>
      <c r="G1007" s="715"/>
      <c r="I1007" s="715"/>
      <c r="J1007" s="737"/>
      <c r="K1007" s="737"/>
      <c r="L1007" s="715"/>
    </row>
    <row r="1010" spans="1:12" ht="9.1999999999999993" customHeight="1">
      <c r="C1010" s="696"/>
      <c r="D1010" s="696"/>
      <c r="E1010" s="697" t="str">
        <f>$E$2</f>
        <v>THẺ LƯƠNG THÁNG 08/2019</v>
      </c>
      <c r="F1010" s="698"/>
      <c r="G1010" s="698"/>
      <c r="H1010" s="698"/>
    </row>
    <row r="1011" spans="1:12" ht="9.1999999999999993" customHeight="1">
      <c r="B1011" s="699" t="s">
        <v>644</v>
      </c>
      <c r="C1011" s="700" t="s">
        <v>337</v>
      </c>
      <c r="D1011" s="701"/>
      <c r="F1011" s="702" t="s">
        <v>645</v>
      </c>
      <c r="G1011" s="689" t="str">
        <f>VLOOKUP(C1011,'Luong VP'!$B$10:$AP$189,2,0)</f>
        <v xml:space="preserve"> Trần Văn Vị Toàn </v>
      </c>
    </row>
    <row r="1012" spans="1:12" ht="9.1999999999999993" customHeight="1">
      <c r="B1012" s="699" t="s">
        <v>646</v>
      </c>
      <c r="C1012" s="689" t="str">
        <f>VLOOKUP(C1011,'Luong VP'!$B$10:$AP$189,3,0)</f>
        <v>CV thu mua vật tư</v>
      </c>
      <c r="F1012" s="702" t="s">
        <v>647</v>
      </c>
      <c r="G1012" s="689">
        <f>VLOOKUP(C1011,'Luong VP'!$B$10:$AP$189,5,0)</f>
        <v>3</v>
      </c>
    </row>
    <row r="1013" spans="1:12" ht="9.1999999999999993" customHeight="1">
      <c r="B1013" s="703"/>
      <c r="C1013" s="704"/>
      <c r="D1013" s="705"/>
      <c r="F1013" s="706" t="s">
        <v>648</v>
      </c>
      <c r="G1013" s="706"/>
      <c r="H1013" s="706"/>
      <c r="I1013" s="725"/>
      <c r="J1013" s="726"/>
    </row>
    <row r="1014" spans="1:12" ht="9.1999999999999993" customHeight="1">
      <c r="A1014" s="707" t="s">
        <v>216</v>
      </c>
      <c r="B1014" s="707" t="s">
        <v>649</v>
      </c>
      <c r="C1014" s="708" t="s">
        <v>650</v>
      </c>
      <c r="D1014" s="709"/>
      <c r="E1014" s="710" t="s">
        <v>216</v>
      </c>
      <c r="F1014" s="711" t="s">
        <v>649</v>
      </c>
      <c r="G1014" s="710"/>
      <c r="H1014" s="710" t="s">
        <v>651</v>
      </c>
      <c r="I1014" s="727" t="s">
        <v>652</v>
      </c>
      <c r="J1014" s="714"/>
      <c r="L1014" s="694" t="s">
        <v>653</v>
      </c>
    </row>
    <row r="1015" spans="1:12" ht="9.1999999999999993" customHeight="1">
      <c r="A1015" s="712">
        <v>1</v>
      </c>
      <c r="B1015" s="713" t="s">
        <v>654</v>
      </c>
      <c r="C1015" s="714">
        <f>VLOOKUP(C1011,'Luong VP'!$B$10:$AP$189,9,0)</f>
        <v>12020</v>
      </c>
      <c r="D1015" s="715"/>
      <c r="E1015" s="710" t="s">
        <v>655</v>
      </c>
      <c r="F1015" s="716" t="s">
        <v>656</v>
      </c>
      <c r="G1015" s="710"/>
      <c r="H1015" s="710"/>
      <c r="I1015" s="727"/>
      <c r="J1015" s="714">
        <f>VLOOKUP(C1011,'Luong VP'!$B$10:$AP$189,21,0)</f>
        <v>13462.4</v>
      </c>
    </row>
    <row r="1016" spans="1:12" ht="9.1999999999999993" customHeight="1">
      <c r="A1016" s="712">
        <v>2</v>
      </c>
      <c r="B1016" s="713" t="s">
        <v>658</v>
      </c>
      <c r="C1016" s="714"/>
      <c r="D1016" s="717"/>
      <c r="E1016" s="710">
        <v>1</v>
      </c>
      <c r="F1016" s="718" t="s">
        <v>659</v>
      </c>
      <c r="G1016" s="718"/>
      <c r="H1016" s="710" t="s">
        <v>660</v>
      </c>
      <c r="I1016" s="727">
        <f>VLOOKUP(C1011,'Luong VP'!$B$10:$AP$189,22,0)</f>
        <v>26</v>
      </c>
      <c r="J1016" s="728">
        <f>J1015/'Cham cong'!$AS$3*I1016</f>
        <v>13462.399999999998</v>
      </c>
    </row>
    <row r="1017" spans="1:12" ht="9.1999999999999993" customHeight="1">
      <c r="A1017" s="712">
        <v>3</v>
      </c>
      <c r="B1017" s="713" t="s">
        <v>661</v>
      </c>
      <c r="C1017" s="714">
        <f>VLOOKUP(C1011,'Luong VP'!$B$10:$AP$189,10,0)</f>
        <v>0</v>
      </c>
      <c r="D1017" s="717"/>
      <c r="E1017" s="710">
        <v>2</v>
      </c>
      <c r="F1017" s="718" t="s">
        <v>662</v>
      </c>
      <c r="G1017" s="718"/>
      <c r="H1017" s="710" t="s">
        <v>660</v>
      </c>
      <c r="I1017" s="727">
        <f>VLOOKUP(C1011,'Luong VP'!$B$10:$AP$189,27,0)</f>
        <v>0</v>
      </c>
      <c r="J1017" s="728">
        <f>J1015/'Cham cong'!$AS$3*I1017*3</f>
        <v>0</v>
      </c>
    </row>
    <row r="1018" spans="1:12" ht="9.1999999999999993" customHeight="1">
      <c r="A1018" s="712">
        <v>4</v>
      </c>
      <c r="B1018" s="713" t="s">
        <v>666</v>
      </c>
      <c r="C1018" s="714">
        <f>VLOOKUP(C1011,'Luong VP'!$B$10:$AP$189,11,0)</f>
        <v>0</v>
      </c>
      <c r="D1018" s="717"/>
      <c r="E1018" s="710">
        <v>3</v>
      </c>
      <c r="F1018" s="718" t="s">
        <v>667</v>
      </c>
      <c r="G1018" s="718"/>
      <c r="H1018" s="710" t="s">
        <v>668</v>
      </c>
      <c r="I1018" s="727">
        <f>VLOOKUP(C1011,'Luong VP'!$B$10:$AP$189,26,0)</f>
        <v>0</v>
      </c>
      <c r="J1018" s="728">
        <f>J1015/'Cham cong'!$AS$3*I1018/8*1.5</f>
        <v>0</v>
      </c>
    </row>
    <row r="1019" spans="1:12" ht="9.1999999999999993" customHeight="1">
      <c r="A1019" s="712">
        <v>5</v>
      </c>
      <c r="B1019" s="713" t="s">
        <v>670</v>
      </c>
      <c r="C1019" s="714">
        <f>VLOOKUP(C1011,'Luong VP'!$B$10:$AP$189,12,0)</f>
        <v>1442.3999999999999</v>
      </c>
      <c r="D1019" s="717"/>
      <c r="E1019" s="710">
        <v>4</v>
      </c>
      <c r="F1019" s="718" t="s">
        <v>671</v>
      </c>
      <c r="G1019" s="718"/>
      <c r="H1019" s="710" t="s">
        <v>668</v>
      </c>
      <c r="I1019" s="727">
        <f>VLOOKUP(C1011,'Luong VP'!$B$10:$AP$189,25,0)</f>
        <v>0</v>
      </c>
      <c r="J1019" s="728">
        <f>J1015/'Cham cong'!$AS$3*I1019/8*2</f>
        <v>0</v>
      </c>
    </row>
    <row r="1020" spans="1:12" ht="9.1999999999999993" customHeight="1">
      <c r="A1020" s="712">
        <v>6</v>
      </c>
      <c r="B1020" s="713" t="s">
        <v>673</v>
      </c>
      <c r="C1020" s="714">
        <f>VLOOKUP(C1011,'Luong VP'!$B$10:$AP$189,13,0)</f>
        <v>0</v>
      </c>
      <c r="D1020" s="717"/>
      <c r="E1020" s="710">
        <v>5</v>
      </c>
      <c r="F1020" s="718" t="s">
        <v>674</v>
      </c>
      <c r="G1020" s="718"/>
      <c r="H1020" s="710" t="s">
        <v>660</v>
      </c>
      <c r="I1020" s="727">
        <f>VLOOKUP(C1011,'Luong VP'!$B$10:$AP$189,23,0)</f>
        <v>0</v>
      </c>
      <c r="J1020" s="728">
        <f>C1015/'Cham cong'!$AS$3*I1020</f>
        <v>0</v>
      </c>
      <c r="L1020" s="694" t="str">
        <f>G1011</f>
        <v xml:space="preserve"> Trần Văn Vị Toàn </v>
      </c>
    </row>
    <row r="1021" spans="1:12" ht="9.1999999999999993" customHeight="1">
      <c r="A1021" s="712">
        <v>7</v>
      </c>
      <c r="B1021" s="713" t="s">
        <v>676</v>
      </c>
      <c r="C1021" s="714"/>
      <c r="D1021" s="717"/>
      <c r="E1021" s="710">
        <v>6</v>
      </c>
      <c r="F1021" s="718" t="s">
        <v>677</v>
      </c>
      <c r="G1021" s="718"/>
      <c r="H1021" s="710" t="s">
        <v>660</v>
      </c>
      <c r="I1021" s="727">
        <f>VLOOKUP(C1011,'Luong VP'!$B$10:$AP$189,24,0)</f>
        <v>1</v>
      </c>
      <c r="J1021" s="714">
        <f>C1015/'Cham cong'!$AS$3*I1021</f>
        <v>462.30769230769232</v>
      </c>
    </row>
    <row r="1022" spans="1:12" ht="9.1999999999999993" customHeight="1">
      <c r="A1022" s="712">
        <v>8</v>
      </c>
      <c r="B1022" s="713" t="s">
        <v>679</v>
      </c>
      <c r="C1022" s="714">
        <f>VLOOKUP(C1011,'Luong VP'!$B$10:$AP$189,14,0)</f>
        <v>0</v>
      </c>
      <c r="D1022" s="717"/>
      <c r="E1022" s="710">
        <v>7</v>
      </c>
      <c r="F1022" s="718" t="s">
        <v>680</v>
      </c>
      <c r="G1022" s="718"/>
      <c r="H1022" s="718"/>
      <c r="I1022" s="729"/>
      <c r="J1022" s="714">
        <f>VLOOKUP(C1011,'Luong VP'!$B$10:$AP$189,28,0)</f>
        <v>0</v>
      </c>
    </row>
    <row r="1023" spans="1:12" ht="9.1999999999999993" customHeight="1">
      <c r="A1023" s="712">
        <v>9</v>
      </c>
      <c r="B1023" s="713" t="s">
        <v>683</v>
      </c>
      <c r="C1023" s="714">
        <f>VLOOKUP(C1011,'Luong VP'!$B$10:$AP$189,15,0)</f>
        <v>300</v>
      </c>
      <c r="D1023" s="717"/>
      <c r="E1023" s="710">
        <v>8</v>
      </c>
      <c r="F1023" s="718" t="s">
        <v>238</v>
      </c>
      <c r="G1023" s="718"/>
      <c r="H1023" s="718"/>
      <c r="I1023" s="729"/>
      <c r="J1023" s="714">
        <f>VLOOKUP(C1011,'Luong VP'!$B$10:$AP$189,33,0)</f>
        <v>0</v>
      </c>
    </row>
    <row r="1024" spans="1:12" ht="9.1999999999999993" customHeight="1">
      <c r="A1024" s="712">
        <v>10</v>
      </c>
      <c r="B1024" s="713" t="s">
        <v>685</v>
      </c>
      <c r="C1024" s="714">
        <f>VLOOKUP(C1011,'Luong VP'!$B$10:$AP$189,16,0)</f>
        <v>0</v>
      </c>
      <c r="D1024" s="717"/>
      <c r="E1024" s="710" t="s">
        <v>686</v>
      </c>
      <c r="F1024" s="716" t="s">
        <v>687</v>
      </c>
      <c r="G1024" s="719"/>
      <c r="H1024" s="719"/>
      <c r="I1024" s="729"/>
      <c r="J1024" s="730"/>
    </row>
    <row r="1025" spans="1:12" ht="9.1999999999999993" customHeight="1">
      <c r="A1025" s="712">
        <v>11</v>
      </c>
      <c r="B1025" s="713" t="s">
        <v>688</v>
      </c>
      <c r="C1025" s="714">
        <f>VLOOKUP(C1011,'Luong VP'!$B$10:$AP$189,17,0)</f>
        <v>0</v>
      </c>
      <c r="D1025" s="717"/>
      <c r="E1025" s="710">
        <v>1</v>
      </c>
      <c r="F1025" s="716" t="s">
        <v>689</v>
      </c>
      <c r="G1025" s="719"/>
      <c r="H1025" s="719"/>
      <c r="I1025" s="714">
        <f>VLOOKUP(C1011,'Luong VP'!$B$10:$AP$189,30,0)</f>
        <v>0</v>
      </c>
      <c r="J1025" s="714">
        <f>VLOOKUP(C1011,'Luong VP'!$B$10:$AP$189,30,0)</f>
        <v>0</v>
      </c>
    </row>
    <row r="1026" spans="1:12" ht="9.1999999999999993" customHeight="1">
      <c r="A1026" s="712">
        <v>12</v>
      </c>
      <c r="B1026" s="713" t="s">
        <v>691</v>
      </c>
      <c r="C1026" s="714">
        <f>VLOOKUP(C1011,'Luong VP'!$B$10:$AP$189,18,0)</f>
        <v>0</v>
      </c>
      <c r="D1026" s="717"/>
      <c r="E1026" s="710">
        <v>2</v>
      </c>
      <c r="F1026" s="718" t="s">
        <v>239</v>
      </c>
      <c r="G1026" s="718"/>
      <c r="H1026" s="718"/>
      <c r="I1026" s="727"/>
      <c r="J1026" s="728">
        <f>VLOOKUP(C1011,'Luong VP'!$B$10:$AP$189,34,0)</f>
        <v>0</v>
      </c>
      <c r="K1026" s="731"/>
      <c r="L1026" s="715"/>
    </row>
    <row r="1027" spans="1:12" ht="9.1999999999999993" customHeight="1">
      <c r="A1027" s="712">
        <v>13</v>
      </c>
      <c r="B1027" s="713" t="s">
        <v>692</v>
      </c>
      <c r="C1027" s="714">
        <f>VLOOKUP(C1011,'Luong VP'!$B$10:$AP$189,19,0)</f>
        <v>0</v>
      </c>
      <c r="D1027" s="717"/>
      <c r="E1027" s="710">
        <v>3</v>
      </c>
      <c r="F1027" s="716" t="s">
        <v>693</v>
      </c>
      <c r="G1027" s="719"/>
      <c r="H1027" s="719"/>
      <c r="I1027" s="729"/>
      <c r="J1027" s="714">
        <f>VLOOKUP(C1011,'Luong VP'!$B$10:$AP$189,40,0)</f>
        <v>0</v>
      </c>
      <c r="K1027" s="731"/>
      <c r="L1027" s="715"/>
    </row>
    <row r="1028" spans="1:12" ht="9.1999999999999993" customHeight="1">
      <c r="A1028" s="712">
        <v>14</v>
      </c>
      <c r="B1028" s="713" t="s">
        <v>694</v>
      </c>
      <c r="C1028" s="714">
        <f>VLOOKUP(C1011,'Luong VP'!$B$10:$AP$189,20,0)</f>
        <v>0</v>
      </c>
      <c r="D1028" s="717"/>
      <c r="E1028" s="710">
        <v>4</v>
      </c>
      <c r="F1028" s="718" t="s">
        <v>695</v>
      </c>
      <c r="G1028" s="719"/>
      <c r="H1028" s="719"/>
      <c r="I1028" s="729"/>
      <c r="J1028" s="714">
        <f>VLOOKUP(C1011,'Luong VP'!$B$10:$AP$189,35,0)</f>
        <v>0</v>
      </c>
      <c r="K1028" s="732"/>
      <c r="L1028" s="715"/>
    </row>
    <row r="1029" spans="1:12" ht="9.1999999999999993" customHeight="1">
      <c r="A1029" s="712"/>
      <c r="B1029" s="707" t="s">
        <v>656</v>
      </c>
      <c r="C1029" s="714">
        <f>SUM(C1015:C1028)</f>
        <v>13762.4</v>
      </c>
      <c r="D1029" s="717"/>
      <c r="E1029" s="710"/>
      <c r="F1029" s="716" t="s">
        <v>241</v>
      </c>
      <c r="G1029" s="719"/>
      <c r="H1029" s="719"/>
      <c r="I1029" s="729"/>
      <c r="J1029" s="730">
        <f>SUM(J1016:J1028)+C1023</f>
        <v>14224.707692307689</v>
      </c>
      <c r="K1029" s="731"/>
      <c r="L1029" s="715"/>
    </row>
    <row r="1030" spans="1:12" ht="9.1999999999999993" customHeight="1">
      <c r="B1030" s="720"/>
      <c r="C1030" s="717"/>
      <c r="D1030" s="717"/>
      <c r="E1030" s="710" t="s">
        <v>696</v>
      </c>
      <c r="F1030" s="711" t="s">
        <v>697</v>
      </c>
      <c r="G1030" s="710"/>
      <c r="H1030" s="710"/>
      <c r="I1030" s="729"/>
      <c r="J1030" s="730">
        <f>SUM(J1031:J1033)</f>
        <v>5525</v>
      </c>
      <c r="K1030" s="732"/>
      <c r="L1030" s="715"/>
    </row>
    <row r="1031" spans="1:12" ht="9.1999999999999993" customHeight="1">
      <c r="B1031" s="720"/>
      <c r="C1031" s="717"/>
      <c r="D1031" s="717"/>
      <c r="E1031" s="710">
        <v>1</v>
      </c>
      <c r="F1031" s="718" t="s">
        <v>698</v>
      </c>
      <c r="G1031" s="718"/>
      <c r="H1031" s="718"/>
      <c r="I1031" s="733"/>
      <c r="J1031" s="714">
        <f>VLOOKUP(C1011,'Luong VP'!$B$10:$AP$189,37,0)</f>
        <v>525</v>
      </c>
      <c r="K1031" s="732"/>
      <c r="L1031" s="715"/>
    </row>
    <row r="1032" spans="1:12" ht="9.1999999999999993" customHeight="1">
      <c r="B1032" s="720"/>
      <c r="C1032" s="717"/>
      <c r="D1032" s="717"/>
      <c r="E1032" s="710">
        <v>2</v>
      </c>
      <c r="F1032" s="718" t="s">
        <v>244</v>
      </c>
      <c r="G1032" s="718"/>
      <c r="H1032" s="718"/>
      <c r="I1032" s="729"/>
      <c r="J1032" s="714">
        <f>VLOOKUP(C1011,'Luong VP'!$B$10:$AP$189,39,0)</f>
        <v>5000</v>
      </c>
      <c r="K1032" s="734"/>
      <c r="L1032" s="735"/>
    </row>
    <row r="1033" spans="1:12" ht="9.1999999999999993" customHeight="1">
      <c r="B1033" s="720"/>
      <c r="C1033" s="717"/>
      <c r="D1033" s="717"/>
      <c r="E1033" s="710"/>
      <c r="F1033" s="718" t="s">
        <v>699</v>
      </c>
      <c r="G1033" s="718"/>
      <c r="H1033" s="718"/>
      <c r="I1033" s="729"/>
      <c r="J1033" s="714"/>
      <c r="K1033" s="714"/>
      <c r="L1033" s="736"/>
    </row>
    <row r="1034" spans="1:12" ht="9.1999999999999993" customHeight="1">
      <c r="B1034" s="720"/>
      <c r="C1034" s="717"/>
      <c r="D1034" s="717"/>
      <c r="E1034" s="710" t="s">
        <v>700</v>
      </c>
      <c r="F1034" s="710" t="s">
        <v>246</v>
      </c>
      <c r="G1034" s="710"/>
      <c r="H1034" s="710"/>
      <c r="I1034" s="729"/>
      <c r="J1034" s="728">
        <f>J1029-J1030</f>
        <v>8699.7076923076893</v>
      </c>
      <c r="K1034" s="728">
        <f>ROUND(J1034,-1)</f>
        <v>8700</v>
      </c>
      <c r="L1034" s="710"/>
    </row>
    <row r="1035" spans="1:12" ht="9.1999999999999993" customHeight="1">
      <c r="B1035" s="720"/>
      <c r="C1035" s="717"/>
      <c r="D1035" s="717"/>
      <c r="E1035" s="715"/>
      <c r="F1035" s="715"/>
      <c r="G1035" s="715"/>
      <c r="I1035" s="715" t="s">
        <v>701</v>
      </c>
      <c r="J1035" s="737"/>
      <c r="K1035" s="737"/>
      <c r="L1035" s="715"/>
    </row>
    <row r="1041" spans="1:12" ht="9.1999999999999993" customHeight="1">
      <c r="C1041" s="696"/>
      <c r="D1041" s="696"/>
      <c r="E1041" s="697" t="str">
        <f>$E$2</f>
        <v>THẺ LƯƠNG THÁNG 08/2019</v>
      </c>
      <c r="F1041" s="698"/>
      <c r="G1041" s="698"/>
      <c r="H1041" s="698"/>
    </row>
    <row r="1042" spans="1:12" ht="9.1999999999999993" customHeight="1">
      <c r="B1042" s="699" t="s">
        <v>644</v>
      </c>
      <c r="C1042" s="700" t="s">
        <v>1306</v>
      </c>
      <c r="D1042" s="701"/>
      <c r="F1042" s="702" t="s">
        <v>645</v>
      </c>
      <c r="G1042" s="689" t="str">
        <f>VLOOKUP(C1042,'Luong VP'!$B$10:$AP$189,2,0)</f>
        <v>Trần Thị Bích Hương</v>
      </c>
    </row>
    <row r="1043" spans="1:12" ht="9.1999999999999993" customHeight="1">
      <c r="B1043" s="699" t="s">
        <v>646</v>
      </c>
      <c r="C1043" s="689" t="str">
        <f>VLOOKUP(C1042,'Luong VP'!$B$10:$AP$189,3,0)</f>
        <v>CV Phân tích Dự Án tiền khả thi</v>
      </c>
      <c r="F1043" s="702" t="s">
        <v>647</v>
      </c>
      <c r="G1043" s="689">
        <f>VLOOKUP(C1042,'Luong VP'!$B$10:$AP$189,5,0)</f>
        <v>1</v>
      </c>
    </row>
    <row r="1044" spans="1:12" ht="9.1999999999999993" customHeight="1">
      <c r="B1044" s="703"/>
      <c r="C1044" s="704"/>
      <c r="D1044" s="705"/>
      <c r="F1044" s="706" t="s">
        <v>648</v>
      </c>
      <c r="G1044" s="706"/>
      <c r="H1044" s="706"/>
      <c r="I1044" s="725"/>
      <c r="J1044" s="726"/>
    </row>
    <row r="1045" spans="1:12" ht="9.1999999999999993" customHeight="1">
      <c r="A1045" s="707" t="s">
        <v>216</v>
      </c>
      <c r="B1045" s="707" t="s">
        <v>649</v>
      </c>
      <c r="C1045" s="708" t="s">
        <v>650</v>
      </c>
      <c r="D1045" s="709"/>
      <c r="E1045" s="710" t="s">
        <v>216</v>
      </c>
      <c r="F1045" s="711" t="s">
        <v>649</v>
      </c>
      <c r="G1045" s="710"/>
      <c r="H1045" s="710" t="s">
        <v>651</v>
      </c>
      <c r="I1045" s="727" t="s">
        <v>652</v>
      </c>
      <c r="J1045" s="714"/>
      <c r="L1045" s="694" t="s">
        <v>653</v>
      </c>
    </row>
    <row r="1046" spans="1:12" ht="9.1999999999999993" customHeight="1">
      <c r="A1046" s="712">
        <v>1</v>
      </c>
      <c r="B1046" s="713" t="s">
        <v>654</v>
      </c>
      <c r="C1046" s="714">
        <f>VLOOKUP(C1042,'Luong VP'!$B$10:$AP$189,9,0)</f>
        <v>12000</v>
      </c>
      <c r="D1046" s="715"/>
      <c r="E1046" s="710" t="s">
        <v>655</v>
      </c>
      <c r="F1046" s="716" t="s">
        <v>656</v>
      </c>
      <c r="G1046" s="710"/>
      <c r="H1046" s="710"/>
      <c r="I1046" s="727"/>
      <c r="J1046" s="714">
        <f>VLOOKUP(C1042,'Luong VP'!$B$10:$AP$189,21,0)</f>
        <v>12000</v>
      </c>
    </row>
    <row r="1047" spans="1:12" ht="9.1999999999999993" customHeight="1">
      <c r="A1047" s="712">
        <v>2</v>
      </c>
      <c r="B1047" s="713" t="s">
        <v>658</v>
      </c>
      <c r="C1047" s="714"/>
      <c r="D1047" s="717"/>
      <c r="E1047" s="710">
        <v>1</v>
      </c>
      <c r="F1047" s="718" t="s">
        <v>659</v>
      </c>
      <c r="G1047" s="718"/>
      <c r="H1047" s="710" t="s">
        <v>660</v>
      </c>
      <c r="I1047" s="727">
        <f>VLOOKUP(C1042,'Luong VP'!$B$10:$AP$189,22,0)</f>
        <v>26</v>
      </c>
      <c r="J1047" s="728">
        <f>J1046/'Cham cong'!$AS$3*I1047</f>
        <v>12000</v>
      </c>
    </row>
    <row r="1048" spans="1:12" ht="9.1999999999999993" customHeight="1">
      <c r="A1048" s="712">
        <v>3</v>
      </c>
      <c r="B1048" s="713" t="s">
        <v>661</v>
      </c>
      <c r="C1048" s="714">
        <f>VLOOKUP(C1042,'Luong VP'!$B$10:$AP$189,10,0)</f>
        <v>0</v>
      </c>
      <c r="D1048" s="717"/>
      <c r="E1048" s="710">
        <v>2</v>
      </c>
      <c r="F1048" s="718" t="s">
        <v>662</v>
      </c>
      <c r="G1048" s="718"/>
      <c r="H1048" s="710" t="s">
        <v>660</v>
      </c>
      <c r="I1048" s="727">
        <f>VLOOKUP(C1042,'Luong VP'!$B$10:$AP$189,27,0)</f>
        <v>0</v>
      </c>
      <c r="J1048" s="728">
        <f>J1046/'Cham cong'!$AS$3*I1048*3</f>
        <v>0</v>
      </c>
    </row>
    <row r="1049" spans="1:12" ht="9.1999999999999993" customHeight="1">
      <c r="A1049" s="712">
        <v>4</v>
      </c>
      <c r="B1049" s="713" t="s">
        <v>666</v>
      </c>
      <c r="C1049" s="714">
        <f>VLOOKUP(C1042,'Luong VP'!$B$10:$AP$189,11,0)</f>
        <v>0</v>
      </c>
      <c r="D1049" s="717"/>
      <c r="E1049" s="710">
        <v>3</v>
      </c>
      <c r="F1049" s="718" t="s">
        <v>667</v>
      </c>
      <c r="G1049" s="718"/>
      <c r="H1049" s="710" t="s">
        <v>668</v>
      </c>
      <c r="I1049" s="727">
        <f>VLOOKUP(C1042,'Luong VP'!$B$10:$AP$189,26,0)</f>
        <v>0</v>
      </c>
      <c r="J1049" s="728">
        <f>J1046/'Cham cong'!$AS$3*I1049/8*1.5</f>
        <v>0</v>
      </c>
    </row>
    <row r="1050" spans="1:12" ht="9.1999999999999993" customHeight="1">
      <c r="A1050" s="712">
        <v>5</v>
      </c>
      <c r="B1050" s="713" t="s">
        <v>670</v>
      </c>
      <c r="C1050" s="714">
        <f>VLOOKUP(C1042,'Luong VP'!$B$10:$AP$189,12,0)</f>
        <v>0</v>
      </c>
      <c r="D1050" s="717"/>
      <c r="E1050" s="710">
        <v>4</v>
      </c>
      <c r="F1050" s="718" t="s">
        <v>671</v>
      </c>
      <c r="G1050" s="718"/>
      <c r="H1050" s="710" t="s">
        <v>668</v>
      </c>
      <c r="I1050" s="727">
        <f>VLOOKUP(C1042,'Luong VP'!$B$10:$AP$189,25,0)</f>
        <v>0</v>
      </c>
      <c r="J1050" s="728">
        <f>J1046/'Cham cong'!$AS$3*I1050/8*2</f>
        <v>0</v>
      </c>
    </row>
    <row r="1051" spans="1:12" ht="9.1999999999999993" customHeight="1">
      <c r="A1051" s="712">
        <v>6</v>
      </c>
      <c r="B1051" s="713" t="s">
        <v>673</v>
      </c>
      <c r="C1051" s="714">
        <f>VLOOKUP(C1042,'Luong VP'!$B$10:$AP$189,13,0)</f>
        <v>0</v>
      </c>
      <c r="D1051" s="717"/>
      <c r="E1051" s="710">
        <v>5</v>
      </c>
      <c r="F1051" s="718" t="s">
        <v>674</v>
      </c>
      <c r="G1051" s="718"/>
      <c r="H1051" s="710" t="s">
        <v>660</v>
      </c>
      <c r="I1051" s="727">
        <f>VLOOKUP(C1042,'Luong VP'!$B$10:$AP$189,23,0)</f>
        <v>0</v>
      </c>
      <c r="J1051" s="728">
        <f>C1046/'Cham cong'!$AS$3*I1051</f>
        <v>0</v>
      </c>
      <c r="L1051" s="694" t="str">
        <f>G1042</f>
        <v>Trần Thị Bích Hương</v>
      </c>
    </row>
    <row r="1052" spans="1:12" ht="9.1999999999999993" customHeight="1">
      <c r="A1052" s="712">
        <v>7</v>
      </c>
      <c r="B1052" s="713" t="s">
        <v>676</v>
      </c>
      <c r="C1052" s="714"/>
      <c r="D1052" s="717"/>
      <c r="E1052" s="710">
        <v>6</v>
      </c>
      <c r="F1052" s="718" t="s">
        <v>677</v>
      </c>
      <c r="G1052" s="718"/>
      <c r="H1052" s="710" t="s">
        <v>660</v>
      </c>
      <c r="I1052" s="727">
        <f>VLOOKUP(C1042,'Luong VP'!$B$10:$AP$189,24,0)</f>
        <v>1</v>
      </c>
      <c r="J1052" s="714">
        <f>C1046/'Cham cong'!$AS$3*I1052</f>
        <v>461.53846153846155</v>
      </c>
    </row>
    <row r="1053" spans="1:12" ht="9.1999999999999993" customHeight="1">
      <c r="A1053" s="712">
        <v>8</v>
      </c>
      <c r="B1053" s="713" t="s">
        <v>679</v>
      </c>
      <c r="C1053" s="714">
        <f>VLOOKUP(C1042,'Luong VP'!$B$10:$AP$189,14,0)</f>
        <v>0</v>
      </c>
      <c r="D1053" s="717"/>
      <c r="E1053" s="710">
        <v>7</v>
      </c>
      <c r="F1053" s="718" t="s">
        <v>680</v>
      </c>
      <c r="G1053" s="718"/>
      <c r="H1053" s="718"/>
      <c r="I1053" s="729"/>
      <c r="J1053" s="714">
        <f>VLOOKUP(C1042,'Luong VP'!$B$10:$AP$189,28,0)</f>
        <v>0</v>
      </c>
    </row>
    <row r="1054" spans="1:12" ht="9.1999999999999993" customHeight="1">
      <c r="A1054" s="712">
        <v>9</v>
      </c>
      <c r="B1054" s="713" t="s">
        <v>683</v>
      </c>
      <c r="C1054" s="714">
        <f>VLOOKUP(C1042,'Luong VP'!$B$10:$AP$189,15,0)</f>
        <v>0</v>
      </c>
      <c r="D1054" s="717"/>
      <c r="E1054" s="710">
        <v>8</v>
      </c>
      <c r="F1054" s="718" t="s">
        <v>238</v>
      </c>
      <c r="G1054" s="718"/>
      <c r="H1054" s="718"/>
      <c r="I1054" s="729"/>
      <c r="J1054" s="714">
        <f>VLOOKUP(C1042,'Luong VP'!$B$10:$AP$189,33,0)</f>
        <v>0</v>
      </c>
    </row>
    <row r="1055" spans="1:12" ht="9.1999999999999993" customHeight="1">
      <c r="A1055" s="712">
        <v>10</v>
      </c>
      <c r="B1055" s="713" t="s">
        <v>685</v>
      </c>
      <c r="C1055" s="714">
        <f>VLOOKUP(C1042,'Luong VP'!$B$10:$AP$189,16,0)</f>
        <v>0</v>
      </c>
      <c r="D1055" s="717"/>
      <c r="E1055" s="710" t="s">
        <v>686</v>
      </c>
      <c r="F1055" s="716" t="s">
        <v>687</v>
      </c>
      <c r="G1055" s="719"/>
      <c r="H1055" s="719"/>
      <c r="I1055" s="729"/>
      <c r="J1055" s="730"/>
    </row>
    <row r="1056" spans="1:12" ht="9.1999999999999993" customHeight="1">
      <c r="A1056" s="712">
        <v>11</v>
      </c>
      <c r="B1056" s="713" t="s">
        <v>688</v>
      </c>
      <c r="C1056" s="714">
        <f>VLOOKUP(C1042,'Luong VP'!$B$10:$AP$189,17,0)</f>
        <v>0</v>
      </c>
      <c r="D1056" s="717"/>
      <c r="E1056" s="710">
        <v>1</v>
      </c>
      <c r="F1056" s="716" t="s">
        <v>689</v>
      </c>
      <c r="G1056" s="719"/>
      <c r="H1056" s="719"/>
      <c r="I1056" s="714">
        <f>VLOOKUP(C1042,'Luong VP'!$B$10:$AP$189,30,0)</f>
        <v>0</v>
      </c>
      <c r="J1056" s="714">
        <f>VLOOKUP(C1042,'Luong VP'!$B$10:$AP$189,30,0)</f>
        <v>0</v>
      </c>
    </row>
    <row r="1057" spans="1:12" ht="9.1999999999999993" customHeight="1">
      <c r="A1057" s="712">
        <v>12</v>
      </c>
      <c r="B1057" s="713" t="s">
        <v>691</v>
      </c>
      <c r="C1057" s="714">
        <f>VLOOKUP(C1042,'Luong VP'!$B$10:$AP$189,18,0)</f>
        <v>0</v>
      </c>
      <c r="D1057" s="717"/>
      <c r="E1057" s="710">
        <v>2</v>
      </c>
      <c r="F1057" s="718" t="s">
        <v>239</v>
      </c>
      <c r="G1057" s="718"/>
      <c r="H1057" s="718"/>
      <c r="I1057" s="727"/>
      <c r="J1057" s="728">
        <f>VLOOKUP(C1042,'Luong VP'!$B$10:$AP$189,34,0)</f>
        <v>0</v>
      </c>
      <c r="K1057" s="731"/>
      <c r="L1057" s="715"/>
    </row>
    <row r="1058" spans="1:12" ht="9.1999999999999993" customHeight="1">
      <c r="A1058" s="712">
        <v>13</v>
      </c>
      <c r="B1058" s="713" t="s">
        <v>692</v>
      </c>
      <c r="C1058" s="714">
        <f>VLOOKUP(C1042,'Luong VP'!$B$10:$AP$189,19,0)</f>
        <v>0</v>
      </c>
      <c r="D1058" s="717"/>
      <c r="E1058" s="710">
        <v>3</v>
      </c>
      <c r="F1058" s="716" t="s">
        <v>693</v>
      </c>
      <c r="G1058" s="719"/>
      <c r="H1058" s="719"/>
      <c r="I1058" s="729"/>
      <c r="J1058" s="714">
        <f>VLOOKUP(C1042,'Luong VP'!$B$10:$AP$189,40,0)</f>
        <v>0</v>
      </c>
      <c r="K1058" s="731"/>
      <c r="L1058" s="715"/>
    </row>
    <row r="1059" spans="1:12" ht="9.1999999999999993" customHeight="1">
      <c r="A1059" s="712">
        <v>14</v>
      </c>
      <c r="B1059" s="713" t="s">
        <v>694</v>
      </c>
      <c r="C1059" s="714">
        <f>VLOOKUP(C1042,'Luong VP'!$B$10:$AP$189,20,0)</f>
        <v>0</v>
      </c>
      <c r="D1059" s="717"/>
      <c r="E1059" s="710">
        <v>4</v>
      </c>
      <c r="F1059" s="718" t="s">
        <v>695</v>
      </c>
      <c r="G1059" s="719"/>
      <c r="H1059" s="719"/>
      <c r="I1059" s="729"/>
      <c r="J1059" s="714">
        <f>VLOOKUP(C1042,'Luong VP'!$B$10:$AP$189,35,0)</f>
        <v>0</v>
      </c>
      <c r="K1059" s="732"/>
      <c r="L1059" s="715"/>
    </row>
    <row r="1060" spans="1:12" ht="9.1999999999999993" customHeight="1">
      <c r="A1060" s="712"/>
      <c r="B1060" s="707" t="s">
        <v>656</v>
      </c>
      <c r="C1060" s="714">
        <f>SUM(C1046:C1059)</f>
        <v>12000</v>
      </c>
      <c r="D1060" s="717"/>
      <c r="E1060" s="710"/>
      <c r="F1060" s="716" t="s">
        <v>241</v>
      </c>
      <c r="G1060" s="719"/>
      <c r="H1060" s="719"/>
      <c r="I1060" s="729"/>
      <c r="J1060" s="730">
        <f>SUM(J1047:J1059)+C1054</f>
        <v>12461.538461538461</v>
      </c>
      <c r="K1060" s="731"/>
      <c r="L1060" s="715"/>
    </row>
    <row r="1061" spans="1:12" ht="9.1999999999999993" customHeight="1">
      <c r="B1061" s="720"/>
      <c r="C1061" s="717"/>
      <c r="D1061" s="717"/>
      <c r="E1061" s="710" t="s">
        <v>696</v>
      </c>
      <c r="F1061" s="711" t="s">
        <v>697</v>
      </c>
      <c r="G1061" s="710"/>
      <c r="H1061" s="710"/>
      <c r="I1061" s="729"/>
      <c r="J1061" s="730">
        <f>SUM(J1062:J1064)</f>
        <v>0</v>
      </c>
      <c r="K1061" s="732"/>
      <c r="L1061" s="715"/>
    </row>
    <row r="1062" spans="1:12" ht="9.1999999999999993" customHeight="1">
      <c r="B1062" s="720"/>
      <c r="C1062" s="717"/>
      <c r="D1062" s="717"/>
      <c r="E1062" s="710">
        <v>1</v>
      </c>
      <c r="F1062" s="718" t="s">
        <v>698</v>
      </c>
      <c r="G1062" s="718"/>
      <c r="H1062" s="718"/>
      <c r="I1062" s="733"/>
      <c r="J1062" s="714">
        <f>VLOOKUP(C1042,'Luong VP'!$B$10:$AP$189,37,0)</f>
        <v>0</v>
      </c>
      <c r="K1062" s="732"/>
      <c r="L1062" s="715"/>
    </row>
    <row r="1063" spans="1:12" ht="9.1999999999999993" customHeight="1">
      <c r="B1063" s="720"/>
      <c r="C1063" s="717"/>
      <c r="D1063" s="717"/>
      <c r="E1063" s="710">
        <v>2</v>
      </c>
      <c r="F1063" s="718" t="s">
        <v>244</v>
      </c>
      <c r="G1063" s="718"/>
      <c r="H1063" s="718"/>
      <c r="I1063" s="729"/>
      <c r="J1063" s="714">
        <f>VLOOKUP(C1042,'Luong VP'!$B$10:$AP$189,39,0)</f>
        <v>0</v>
      </c>
      <c r="K1063" s="734"/>
      <c r="L1063" s="735"/>
    </row>
    <row r="1064" spans="1:12" ht="9.1999999999999993" customHeight="1">
      <c r="B1064" s="720"/>
      <c r="C1064" s="717"/>
      <c r="D1064" s="717"/>
      <c r="E1064" s="710"/>
      <c r="F1064" s="718" t="s">
        <v>699</v>
      </c>
      <c r="G1064" s="718"/>
      <c r="H1064" s="718"/>
      <c r="I1064" s="729"/>
      <c r="J1064" s="714"/>
      <c r="K1064" s="714"/>
      <c r="L1064" s="736"/>
    </row>
    <row r="1065" spans="1:12" ht="9.1999999999999993" customHeight="1">
      <c r="B1065" s="720"/>
      <c r="C1065" s="717"/>
      <c r="D1065" s="717"/>
      <c r="E1065" s="710" t="s">
        <v>700</v>
      </c>
      <c r="F1065" s="710" t="s">
        <v>246</v>
      </c>
      <c r="G1065" s="710"/>
      <c r="H1065" s="710"/>
      <c r="I1065" s="729"/>
      <c r="J1065" s="728">
        <f>J1060-J1061</f>
        <v>12461.538461538461</v>
      </c>
      <c r="K1065" s="728">
        <f>ROUND(J1065,-1)</f>
        <v>12460</v>
      </c>
      <c r="L1065" s="710"/>
    </row>
    <row r="1066" spans="1:12" ht="9.1999999999999993" customHeight="1">
      <c r="B1066" s="720"/>
      <c r="C1066" s="717"/>
      <c r="D1066" s="717"/>
      <c r="E1066" s="715"/>
      <c r="F1066" s="715"/>
      <c r="G1066" s="715"/>
      <c r="I1066" s="715" t="s">
        <v>701</v>
      </c>
      <c r="J1066" s="737"/>
      <c r="K1066" s="737"/>
      <c r="L1066" s="715"/>
    </row>
    <row r="1067" spans="1:12" ht="9.1999999999999993" customHeight="1">
      <c r="B1067" s="720"/>
      <c r="C1067" s="717"/>
      <c r="D1067" s="717"/>
      <c r="E1067" s="715"/>
      <c r="F1067" s="715"/>
      <c r="G1067" s="715"/>
      <c r="I1067" s="715"/>
      <c r="J1067" s="737"/>
      <c r="K1067" s="737"/>
      <c r="L1067" s="715"/>
    </row>
    <row r="1068" spans="1:12" ht="9.1999999999999993" customHeight="1">
      <c r="B1068" s="720"/>
      <c r="C1068" s="717"/>
      <c r="D1068" s="717"/>
      <c r="E1068" s="715"/>
      <c r="F1068" s="715"/>
      <c r="G1068" s="715"/>
      <c r="I1068" s="715"/>
      <c r="J1068" s="737"/>
      <c r="K1068" s="737"/>
      <c r="L1068" s="715"/>
    </row>
    <row r="1069" spans="1:12" ht="9.1999999999999993" customHeight="1">
      <c r="B1069" s="720"/>
      <c r="C1069" s="717"/>
      <c r="D1069" s="717"/>
      <c r="E1069" s="715"/>
      <c r="F1069" s="715"/>
      <c r="G1069" s="715"/>
      <c r="I1069" s="715"/>
      <c r="J1069" s="737"/>
      <c r="K1069" s="737"/>
      <c r="L1069" s="715"/>
    </row>
    <row r="1070" spans="1:12" ht="9.1999999999999993" customHeight="1">
      <c r="B1070" s="720"/>
      <c r="C1070" s="717"/>
      <c r="D1070" s="717"/>
      <c r="E1070" s="715"/>
      <c r="F1070" s="715"/>
      <c r="G1070" s="715"/>
      <c r="I1070" s="715"/>
      <c r="J1070" s="737"/>
      <c r="K1070" s="737"/>
      <c r="L1070" s="715"/>
    </row>
    <row r="1072" spans="1:12" ht="9.1999999999999993" customHeight="1">
      <c r="C1072" s="696"/>
      <c r="D1072" s="696"/>
      <c r="E1072" s="697" t="str">
        <f>$E$2</f>
        <v>THẺ LƯƠNG THÁNG 08/2019</v>
      </c>
      <c r="F1072" s="698"/>
      <c r="G1072" s="698"/>
      <c r="H1072" s="698"/>
    </row>
    <row r="1073" spans="1:12" ht="9.1999999999999993" customHeight="1">
      <c r="B1073" s="699" t="s">
        <v>644</v>
      </c>
      <c r="C1073" s="700" t="s">
        <v>339</v>
      </c>
      <c r="D1073" s="701"/>
      <c r="F1073" s="702" t="s">
        <v>645</v>
      </c>
      <c r="G1073" s="689" t="str">
        <f>VLOOKUP(C1073,'Luong VP'!$B$10:$AP$189,2,0)</f>
        <v>Phan Đông</v>
      </c>
    </row>
    <row r="1074" spans="1:12" ht="9.1999999999999993" customHeight="1">
      <c r="B1074" s="699" t="s">
        <v>646</v>
      </c>
      <c r="C1074" s="689" t="str">
        <f>VLOOKUP(C1073,'Luong VP'!$B$10:$AP$189,3,0)</f>
        <v>Trưởng Phòng KHTH</v>
      </c>
      <c r="F1074" s="702" t="s">
        <v>647</v>
      </c>
      <c r="G1074" s="689">
        <f>VLOOKUP(C1073,'Luong VP'!$B$10:$AP$189,5,0)</f>
        <v>1</v>
      </c>
    </row>
    <row r="1075" spans="1:12" ht="9.1999999999999993" customHeight="1">
      <c r="B1075" s="703"/>
      <c r="C1075" s="704"/>
      <c r="D1075" s="705"/>
      <c r="F1075" s="706" t="s">
        <v>648</v>
      </c>
      <c r="G1075" s="706"/>
      <c r="H1075" s="706"/>
      <c r="I1075" s="725"/>
      <c r="J1075" s="726"/>
    </row>
    <row r="1076" spans="1:12" ht="9.1999999999999993" customHeight="1">
      <c r="A1076" s="707" t="s">
        <v>216</v>
      </c>
      <c r="B1076" s="707" t="s">
        <v>649</v>
      </c>
      <c r="C1076" s="708" t="s">
        <v>650</v>
      </c>
      <c r="D1076" s="709"/>
      <c r="E1076" s="710" t="s">
        <v>216</v>
      </c>
      <c r="F1076" s="711" t="s">
        <v>649</v>
      </c>
      <c r="G1076" s="710"/>
      <c r="H1076" s="710" t="s">
        <v>651</v>
      </c>
      <c r="I1076" s="727" t="s">
        <v>652</v>
      </c>
      <c r="J1076" s="714"/>
      <c r="L1076" s="694" t="s">
        <v>653</v>
      </c>
    </row>
    <row r="1077" spans="1:12" ht="9.1999999999999993" customHeight="1">
      <c r="A1077" s="712">
        <v>1</v>
      </c>
      <c r="B1077" s="713" t="s">
        <v>654</v>
      </c>
      <c r="C1077" s="714">
        <f>VLOOKUP(C1073,'Luong VP'!$B$10:$AP$189,9,0)</f>
        <v>14820</v>
      </c>
      <c r="D1077" s="715"/>
      <c r="E1077" s="710" t="s">
        <v>655</v>
      </c>
      <c r="F1077" s="716" t="s">
        <v>656</v>
      </c>
      <c r="G1077" s="710"/>
      <c r="H1077" s="710"/>
      <c r="I1077" s="727"/>
      <c r="J1077" s="714">
        <f>VLOOKUP(C1073,'Luong VP'!$B$10:$AP$189,21,0)</f>
        <v>14820</v>
      </c>
    </row>
    <row r="1078" spans="1:12" ht="9.1999999999999993" customHeight="1">
      <c r="A1078" s="712">
        <v>2</v>
      </c>
      <c r="B1078" s="713" t="s">
        <v>658</v>
      </c>
      <c r="C1078" s="714"/>
      <c r="D1078" s="717"/>
      <c r="E1078" s="710">
        <v>1</v>
      </c>
      <c r="F1078" s="718" t="s">
        <v>659</v>
      </c>
      <c r="G1078" s="718"/>
      <c r="H1078" s="710" t="s">
        <v>660</v>
      </c>
      <c r="I1078" s="727">
        <f>VLOOKUP(C1073,'Luong VP'!$B$10:$AP$189,22,0)</f>
        <v>26</v>
      </c>
      <c r="J1078" s="728">
        <f>J1077/'Cham cong'!$AS$3*I1078</f>
        <v>14820</v>
      </c>
    </row>
    <row r="1079" spans="1:12" ht="9.1999999999999993" customHeight="1">
      <c r="A1079" s="712">
        <v>3</v>
      </c>
      <c r="B1079" s="713" t="s">
        <v>661</v>
      </c>
      <c r="C1079" s="714">
        <f>VLOOKUP(C1073,'Luong VP'!$B$10:$AP$189,10,0)</f>
        <v>0</v>
      </c>
      <c r="D1079" s="717"/>
      <c r="E1079" s="710">
        <v>2</v>
      </c>
      <c r="F1079" s="718" t="s">
        <v>662</v>
      </c>
      <c r="G1079" s="718"/>
      <c r="H1079" s="710" t="s">
        <v>660</v>
      </c>
      <c r="I1079" s="727">
        <f>VLOOKUP(C1073,'Luong VP'!$B$10:$AP$189,27,0)</f>
        <v>0</v>
      </c>
      <c r="J1079" s="728">
        <f>J1077/'Cham cong'!$AS$3*I1079*3</f>
        <v>0</v>
      </c>
    </row>
    <row r="1080" spans="1:12" ht="9.1999999999999993" customHeight="1">
      <c r="A1080" s="712">
        <v>4</v>
      </c>
      <c r="B1080" s="713" t="s">
        <v>666</v>
      </c>
      <c r="C1080" s="714">
        <f>VLOOKUP(C1073,'Luong VP'!$B$10:$AP$189,11,0)</f>
        <v>0</v>
      </c>
      <c r="D1080" s="717"/>
      <c r="E1080" s="710">
        <v>3</v>
      </c>
      <c r="F1080" s="718" t="s">
        <v>667</v>
      </c>
      <c r="G1080" s="718"/>
      <c r="H1080" s="710" t="s">
        <v>668</v>
      </c>
      <c r="I1080" s="727">
        <f>VLOOKUP(C1073,'Luong VP'!$B$10:$AP$189,26,0)</f>
        <v>0</v>
      </c>
      <c r="J1080" s="728">
        <f>J1077/'Cham cong'!$AS$3*I1080/8*1.5</f>
        <v>0</v>
      </c>
    </row>
    <row r="1081" spans="1:12" ht="9.1999999999999993" customHeight="1">
      <c r="A1081" s="712">
        <v>5</v>
      </c>
      <c r="B1081" s="713" t="s">
        <v>670</v>
      </c>
      <c r="C1081" s="714">
        <f>VLOOKUP(C1073,'Luong VP'!$B$10:$AP$189,12,0)</f>
        <v>0</v>
      </c>
      <c r="D1081" s="717"/>
      <c r="E1081" s="710">
        <v>4</v>
      </c>
      <c r="F1081" s="718" t="s">
        <v>671</v>
      </c>
      <c r="G1081" s="718"/>
      <c r="H1081" s="710" t="s">
        <v>668</v>
      </c>
      <c r="I1081" s="727">
        <f>VLOOKUP(C1073,'Luong VP'!$B$10:$AP$189,25,0)</f>
        <v>0</v>
      </c>
      <c r="J1081" s="728">
        <f>J1077/'Cham cong'!$AS$3*I1081/8*2</f>
        <v>0</v>
      </c>
    </row>
    <row r="1082" spans="1:12" ht="9.1999999999999993" customHeight="1">
      <c r="A1082" s="712">
        <v>6</v>
      </c>
      <c r="B1082" s="713" t="s">
        <v>673</v>
      </c>
      <c r="C1082" s="714">
        <f>VLOOKUP(C1073,'Luong VP'!$B$10:$AP$189,13,0)</f>
        <v>0</v>
      </c>
      <c r="D1082" s="717"/>
      <c r="E1082" s="710">
        <v>5</v>
      </c>
      <c r="F1082" s="718" t="s">
        <v>674</v>
      </c>
      <c r="G1082" s="718"/>
      <c r="H1082" s="710" t="s">
        <v>660</v>
      </c>
      <c r="I1082" s="727">
        <f>VLOOKUP(C1073,'Luong VP'!$B$10:$AP$189,23,0)</f>
        <v>0</v>
      </c>
      <c r="J1082" s="728">
        <f>C1077/'Cham cong'!$AS$3*I1082</f>
        <v>0</v>
      </c>
      <c r="L1082" s="694" t="str">
        <f>G1073</f>
        <v>Phan Đông</v>
      </c>
    </row>
    <row r="1083" spans="1:12" ht="9.1999999999999993" customHeight="1">
      <c r="A1083" s="712">
        <v>7</v>
      </c>
      <c r="B1083" s="713" t="s">
        <v>676</v>
      </c>
      <c r="C1083" s="714"/>
      <c r="D1083" s="717"/>
      <c r="E1083" s="710">
        <v>6</v>
      </c>
      <c r="F1083" s="718" t="s">
        <v>677</v>
      </c>
      <c r="G1083" s="718"/>
      <c r="H1083" s="710" t="s">
        <v>660</v>
      </c>
      <c r="I1083" s="727">
        <f>VLOOKUP(C1073,'Luong VP'!$B$10:$AP$189,24,0)</f>
        <v>1</v>
      </c>
      <c r="J1083" s="714">
        <f>C1077/'Cham cong'!$AS$3*I1083</f>
        <v>570</v>
      </c>
    </row>
    <row r="1084" spans="1:12" ht="9.1999999999999993" customHeight="1">
      <c r="A1084" s="712">
        <v>8</v>
      </c>
      <c r="B1084" s="713" t="s">
        <v>679</v>
      </c>
      <c r="C1084" s="714">
        <f>VLOOKUP(C1073,'Luong VP'!$B$10:$AP$189,14,0)</f>
        <v>0</v>
      </c>
      <c r="D1084" s="717"/>
      <c r="E1084" s="710">
        <v>7</v>
      </c>
      <c r="F1084" s="718" t="s">
        <v>680</v>
      </c>
      <c r="G1084" s="718"/>
      <c r="H1084" s="718"/>
      <c r="I1084" s="729"/>
      <c r="J1084" s="714">
        <f>VLOOKUP(C1073,'Luong VP'!$B$10:$AP$189,28,0)</f>
        <v>0</v>
      </c>
    </row>
    <row r="1085" spans="1:12" ht="9.1999999999999993" customHeight="1">
      <c r="A1085" s="712">
        <v>9</v>
      </c>
      <c r="B1085" s="713" t="s">
        <v>683</v>
      </c>
      <c r="C1085" s="714">
        <f>VLOOKUP(C1073,'Luong VP'!$B$10:$AP$189,15,0)</f>
        <v>300</v>
      </c>
      <c r="D1085" s="717"/>
      <c r="E1085" s="710">
        <v>8</v>
      </c>
      <c r="F1085" s="718" t="s">
        <v>238</v>
      </c>
      <c r="G1085" s="718"/>
      <c r="H1085" s="718"/>
      <c r="I1085" s="729"/>
      <c r="J1085" s="714">
        <f>VLOOKUP(C1073,'Luong VP'!$B$10:$AP$189,33,0)</f>
        <v>0</v>
      </c>
    </row>
    <row r="1086" spans="1:12" ht="9.1999999999999993" customHeight="1">
      <c r="A1086" s="712">
        <v>10</v>
      </c>
      <c r="B1086" s="713" t="s">
        <v>685</v>
      </c>
      <c r="C1086" s="714">
        <f>VLOOKUP(C1073,'Luong VP'!$B$10:$AP$189,16,0)</f>
        <v>0</v>
      </c>
      <c r="D1086" s="717"/>
      <c r="E1086" s="710" t="s">
        <v>686</v>
      </c>
      <c r="F1086" s="716" t="s">
        <v>687</v>
      </c>
      <c r="G1086" s="719"/>
      <c r="H1086" s="771" t="s">
        <v>660</v>
      </c>
      <c r="I1086" s="787">
        <v>0</v>
      </c>
      <c r="J1086" s="788">
        <v>0</v>
      </c>
    </row>
    <row r="1087" spans="1:12" ht="9.1999999999999993" customHeight="1">
      <c r="A1087" s="712">
        <v>11</v>
      </c>
      <c r="B1087" s="713" t="s">
        <v>688</v>
      </c>
      <c r="C1087" s="714">
        <f>VLOOKUP(C1073,'Luong VP'!$B$10:$AP$189,17,0)</f>
        <v>0</v>
      </c>
      <c r="D1087" s="717"/>
      <c r="E1087" s="710">
        <v>1</v>
      </c>
      <c r="F1087" s="716" t="s">
        <v>689</v>
      </c>
      <c r="G1087" s="719"/>
      <c r="H1087" s="719"/>
      <c r="I1087" s="714">
        <f>VLOOKUP(C1073,'Luong VP'!$B$10:$AP$189,30,0)</f>
        <v>0</v>
      </c>
      <c r="J1087" s="714">
        <f>VLOOKUP(C1073,'Luong VP'!$B$10:$AP$189,30,0)</f>
        <v>0</v>
      </c>
    </row>
    <row r="1088" spans="1:12" ht="9.1999999999999993" customHeight="1">
      <c r="A1088" s="712">
        <v>12</v>
      </c>
      <c r="B1088" s="713" t="s">
        <v>691</v>
      </c>
      <c r="C1088" s="714">
        <f>VLOOKUP(C1073,'Luong VP'!$B$10:$AP$189,18,0)</f>
        <v>0</v>
      </c>
      <c r="D1088" s="717"/>
      <c r="E1088" s="710">
        <v>2</v>
      </c>
      <c r="F1088" s="718" t="s">
        <v>239</v>
      </c>
      <c r="G1088" s="718"/>
      <c r="H1088" s="718"/>
      <c r="I1088" s="727"/>
      <c r="J1088" s="728">
        <f>VLOOKUP(C1073,'Luong VP'!$B$10:$AP$189,34,0)</f>
        <v>0</v>
      </c>
      <c r="K1088" s="731"/>
      <c r="L1088" s="715"/>
    </row>
    <row r="1089" spans="1:12" ht="9.1999999999999993" customHeight="1">
      <c r="A1089" s="712">
        <v>13</v>
      </c>
      <c r="B1089" s="713" t="s">
        <v>692</v>
      </c>
      <c r="C1089" s="714">
        <f>VLOOKUP(C1073,'Luong VP'!$B$10:$AP$189,19,0)</f>
        <v>0</v>
      </c>
      <c r="D1089" s="717"/>
      <c r="E1089" s="710">
        <v>3</v>
      </c>
      <c r="F1089" s="716" t="s">
        <v>693</v>
      </c>
      <c r="G1089" s="719"/>
      <c r="H1089" s="719"/>
      <c r="I1089" s="729"/>
      <c r="J1089" s="714">
        <f>VLOOKUP(C1073,'Luong VP'!$B$10:$AP$189,40,0)</f>
        <v>0</v>
      </c>
      <c r="K1089" s="731"/>
      <c r="L1089" s="715"/>
    </row>
    <row r="1090" spans="1:12" ht="9.1999999999999993" customHeight="1">
      <c r="A1090" s="712">
        <v>14</v>
      </c>
      <c r="B1090" s="713" t="s">
        <v>694</v>
      </c>
      <c r="C1090" s="714">
        <f>VLOOKUP(C1073,'Luong VP'!$B$10:$AP$189,20,0)</f>
        <v>0</v>
      </c>
      <c r="D1090" s="717"/>
      <c r="E1090" s="710">
        <v>4</v>
      </c>
      <c r="F1090" s="718" t="s">
        <v>695</v>
      </c>
      <c r="G1090" s="719"/>
      <c r="H1090" s="719"/>
      <c r="I1090" s="729"/>
      <c r="J1090" s="714">
        <f>VLOOKUP(C1073,'Luong VP'!$B$10:$AP$189,35,0)</f>
        <v>3000</v>
      </c>
      <c r="K1090" s="732"/>
      <c r="L1090" s="715"/>
    </row>
    <row r="1091" spans="1:12" ht="9.1999999999999993" customHeight="1">
      <c r="A1091" s="712"/>
      <c r="B1091" s="707" t="s">
        <v>656</v>
      </c>
      <c r="C1091" s="714">
        <f>SUM(C1077:C1090)</f>
        <v>15120</v>
      </c>
      <c r="D1091" s="717"/>
      <c r="E1091" s="710"/>
      <c r="F1091" s="716" t="s">
        <v>241</v>
      </c>
      <c r="G1091" s="719"/>
      <c r="H1091" s="719"/>
      <c r="I1091" s="729"/>
      <c r="J1091" s="730">
        <f>SUM(J1078:J1090)+C1085</f>
        <v>18690</v>
      </c>
      <c r="K1091" s="731"/>
      <c r="L1091" s="715"/>
    </row>
    <row r="1092" spans="1:12" ht="9.1999999999999993" customHeight="1">
      <c r="B1092" s="720"/>
      <c r="C1092" s="717"/>
      <c r="D1092" s="717"/>
      <c r="E1092" s="710" t="s">
        <v>696</v>
      </c>
      <c r="F1092" s="711" t="s">
        <v>697</v>
      </c>
      <c r="G1092" s="710"/>
      <c r="H1092" s="710"/>
      <c r="I1092" s="729"/>
      <c r="J1092" s="730">
        <f>SUM(J1093:J1095)</f>
        <v>525</v>
      </c>
      <c r="K1092" s="732"/>
      <c r="L1092" s="715"/>
    </row>
    <row r="1093" spans="1:12" ht="9.1999999999999993" customHeight="1">
      <c r="B1093" s="720"/>
      <c r="C1093" s="717"/>
      <c r="D1093" s="717"/>
      <c r="E1093" s="710">
        <v>1</v>
      </c>
      <c r="F1093" s="718" t="s">
        <v>698</v>
      </c>
      <c r="G1093" s="718"/>
      <c r="H1093" s="718"/>
      <c r="I1093" s="733"/>
      <c r="J1093" s="714">
        <f>VLOOKUP(C1073,'Luong VP'!$B$10:$AP$189,37,0)</f>
        <v>525</v>
      </c>
      <c r="K1093" s="732"/>
      <c r="L1093" s="715"/>
    </row>
    <row r="1094" spans="1:12" ht="9.1999999999999993" customHeight="1">
      <c r="B1094" s="720"/>
      <c r="C1094" s="717"/>
      <c r="D1094" s="717"/>
      <c r="E1094" s="710">
        <v>2</v>
      </c>
      <c r="F1094" s="718" t="s">
        <v>244</v>
      </c>
      <c r="G1094" s="718"/>
      <c r="H1094" s="718"/>
      <c r="I1094" s="729"/>
      <c r="J1094" s="714">
        <f>VLOOKUP(C1073,'Luong VP'!$B$10:$AP$189,39,0)</f>
        <v>0</v>
      </c>
      <c r="K1094" s="734"/>
      <c r="L1094" s="735"/>
    </row>
    <row r="1095" spans="1:12" ht="9.1999999999999993" customHeight="1">
      <c r="B1095" s="720"/>
      <c r="C1095" s="717"/>
      <c r="D1095" s="717"/>
      <c r="E1095" s="710"/>
      <c r="F1095" s="718" t="s">
        <v>699</v>
      </c>
      <c r="G1095" s="718"/>
      <c r="H1095" s="718"/>
      <c r="I1095" s="729"/>
      <c r="J1095" s="714"/>
      <c r="K1095" s="714"/>
      <c r="L1095" s="736"/>
    </row>
    <row r="1096" spans="1:12" ht="9.1999999999999993" customHeight="1">
      <c r="B1096" s="720"/>
      <c r="C1096" s="717"/>
      <c r="D1096" s="717"/>
      <c r="E1096" s="710" t="s">
        <v>700</v>
      </c>
      <c r="F1096" s="710" t="s">
        <v>246</v>
      </c>
      <c r="G1096" s="710"/>
      <c r="H1096" s="710"/>
      <c r="I1096" s="729"/>
      <c r="J1096" s="728">
        <f>J1091-J1092</f>
        <v>18165</v>
      </c>
      <c r="K1096" s="728">
        <f>ROUND(J1096,-1)</f>
        <v>18170</v>
      </c>
      <c r="L1096" s="710"/>
    </row>
    <row r="1097" spans="1:12" ht="9.1999999999999993" customHeight="1">
      <c r="B1097" s="720"/>
      <c r="C1097" s="717"/>
      <c r="D1097" s="717"/>
      <c r="E1097" s="715"/>
      <c r="F1097" s="715"/>
      <c r="G1097" s="715"/>
      <c r="I1097" s="715" t="s">
        <v>701</v>
      </c>
      <c r="J1097" s="737"/>
      <c r="K1097" s="737"/>
      <c r="L1097" s="715"/>
    </row>
    <row r="1098" spans="1:12" ht="9.1999999999999993" customHeight="1">
      <c r="B1098" s="720"/>
      <c r="C1098" s="717"/>
      <c r="D1098" s="717"/>
      <c r="E1098" s="715"/>
      <c r="F1098" s="715"/>
      <c r="G1098" s="715"/>
      <c r="I1098" s="715"/>
      <c r="J1098" s="737"/>
      <c r="K1098" s="737"/>
      <c r="L1098" s="715"/>
    </row>
    <row r="1099" spans="1:12" ht="9.1999999999999993" customHeight="1">
      <c r="B1099" s="720"/>
      <c r="C1099" s="717"/>
      <c r="D1099" s="717"/>
      <c r="E1099" s="715"/>
      <c r="F1099" s="715"/>
      <c r="G1099" s="715"/>
      <c r="I1099" s="715"/>
      <c r="J1099" s="737"/>
      <c r="K1099" s="737"/>
      <c r="L1099" s="715"/>
    </row>
    <row r="1100" spans="1:12" ht="9.1999999999999993" customHeight="1">
      <c r="B1100" s="720"/>
      <c r="C1100" s="717"/>
      <c r="D1100" s="717"/>
      <c r="E1100" s="715"/>
      <c r="F1100" s="715"/>
      <c r="G1100" s="715"/>
      <c r="I1100" s="715"/>
      <c r="J1100" s="737"/>
      <c r="K1100" s="737"/>
      <c r="L1100" s="715"/>
    </row>
    <row r="1101" spans="1:12" ht="9.1999999999999993" customHeight="1">
      <c r="B1101" s="720"/>
      <c r="C1101" s="717"/>
      <c r="D1101" s="717"/>
      <c r="E1101" s="715"/>
      <c r="F1101" s="715"/>
      <c r="G1101" s="715"/>
      <c r="I1101" s="715"/>
      <c r="J1101" s="737"/>
      <c r="K1101" s="737"/>
      <c r="L1101" s="715"/>
    </row>
    <row r="1102" spans="1:12" ht="9.1999999999999993" customHeight="1">
      <c r="B1102" s="720"/>
      <c r="C1102" s="717"/>
      <c r="D1102" s="717"/>
      <c r="E1102" s="715"/>
      <c r="F1102" s="715"/>
      <c r="G1102" s="715"/>
      <c r="I1102" s="715"/>
      <c r="J1102" s="737"/>
      <c r="K1102" s="737"/>
      <c r="L1102" s="715"/>
    </row>
    <row r="1103" spans="1:12" ht="9.1999999999999993" customHeight="1">
      <c r="C1103" s="696"/>
      <c r="D1103" s="696"/>
      <c r="E1103" s="697" t="str">
        <f>$E$2</f>
        <v>THẺ LƯƠNG THÁNG 08/2019</v>
      </c>
      <c r="F1103" s="698"/>
      <c r="G1103" s="698"/>
      <c r="H1103" s="698"/>
    </row>
    <row r="1104" spans="1:12" ht="9.1999999999999993" customHeight="1">
      <c r="B1104" s="699" t="s">
        <v>644</v>
      </c>
      <c r="C1104" s="700" t="s">
        <v>1274</v>
      </c>
      <c r="D1104" s="701"/>
      <c r="F1104" s="1390" t="s">
        <v>645</v>
      </c>
      <c r="G1104" s="689" t="str">
        <f>VLOOKUP(C1104,'Luong VP'!$B$10:$AP$189,2,0)</f>
        <v>Nguyễn Hoàng Phương Thảo</v>
      </c>
    </row>
    <row r="1105" spans="1:12" ht="9.1999999999999993" customHeight="1">
      <c r="B1105" s="699" t="s">
        <v>646</v>
      </c>
      <c r="C1105" s="689" t="str">
        <f>VLOOKUP(C1104,'Luong VP'!$B$10:$AP$189,3,0)</f>
        <v>CV kế hoạch tổng hợp</v>
      </c>
      <c r="F1105" s="1390" t="s">
        <v>647</v>
      </c>
      <c r="G1105" s="689">
        <f>VLOOKUP(C1104,'Luong VP'!$B$10:$AP$189,5,0)</f>
        <v>1</v>
      </c>
    </row>
    <row r="1106" spans="1:12" ht="9.1999999999999993" customHeight="1">
      <c r="B1106" s="703"/>
      <c r="C1106" s="704"/>
      <c r="D1106" s="705"/>
      <c r="F1106" s="706" t="s">
        <v>648</v>
      </c>
      <c r="G1106" s="706"/>
      <c r="H1106" s="706"/>
      <c r="I1106" s="725"/>
      <c r="J1106" s="726"/>
    </row>
    <row r="1107" spans="1:12" ht="9.1999999999999993" customHeight="1">
      <c r="A1107" s="707" t="s">
        <v>216</v>
      </c>
      <c r="B1107" s="707" t="s">
        <v>649</v>
      </c>
      <c r="C1107" s="708" t="s">
        <v>650</v>
      </c>
      <c r="D1107" s="709"/>
      <c r="E1107" s="710" t="s">
        <v>216</v>
      </c>
      <c r="F1107" s="711" t="s">
        <v>649</v>
      </c>
      <c r="G1107" s="710"/>
      <c r="H1107" s="710" t="s">
        <v>651</v>
      </c>
      <c r="I1107" s="727" t="s">
        <v>652</v>
      </c>
      <c r="J1107" s="714"/>
      <c r="L1107" s="694" t="s">
        <v>653</v>
      </c>
    </row>
    <row r="1108" spans="1:12" ht="9.1999999999999993" customHeight="1">
      <c r="A1108" s="712">
        <v>1</v>
      </c>
      <c r="B1108" s="713" t="s">
        <v>654</v>
      </c>
      <c r="C1108" s="714">
        <f>VLOOKUP(C1104,'Luong VP'!$B$10:$AP$189,9,0)</f>
        <v>12000</v>
      </c>
      <c r="D1108" s="715"/>
      <c r="E1108" s="710" t="s">
        <v>655</v>
      </c>
      <c r="F1108" s="716" t="s">
        <v>656</v>
      </c>
      <c r="G1108" s="710"/>
      <c r="H1108" s="710"/>
      <c r="I1108" s="727"/>
      <c r="J1108" s="714">
        <f>VLOOKUP(C1104,'Luong VP'!$B$10:$AP$189,21,0)</f>
        <v>12000</v>
      </c>
    </row>
    <row r="1109" spans="1:12" ht="9.1999999999999993" customHeight="1">
      <c r="A1109" s="712">
        <v>2</v>
      </c>
      <c r="B1109" s="713" t="s">
        <v>658</v>
      </c>
      <c r="C1109" s="714"/>
      <c r="D1109" s="717"/>
      <c r="E1109" s="710">
        <v>1</v>
      </c>
      <c r="F1109" s="718" t="s">
        <v>659</v>
      </c>
      <c r="G1109" s="718"/>
      <c r="H1109" s="710" t="s">
        <v>660</v>
      </c>
      <c r="I1109" s="727">
        <f>VLOOKUP(C1104,'Luong VP'!$B$10:$AP$189,22,0)</f>
        <v>26</v>
      </c>
      <c r="J1109" s="728">
        <f>J1108/'Cham cong'!$AS$3*I1109</f>
        <v>12000</v>
      </c>
    </row>
    <row r="1110" spans="1:12" ht="9.1999999999999993" customHeight="1">
      <c r="A1110" s="712">
        <v>3</v>
      </c>
      <c r="B1110" s="713" t="s">
        <v>661</v>
      </c>
      <c r="C1110" s="714">
        <f>VLOOKUP(C1104,'Luong VP'!$B$10:$AP$189,10,0)</f>
        <v>0</v>
      </c>
      <c r="D1110" s="717"/>
      <c r="E1110" s="710">
        <v>2</v>
      </c>
      <c r="F1110" s="718" t="s">
        <v>662</v>
      </c>
      <c r="G1110" s="718"/>
      <c r="H1110" s="710" t="s">
        <v>660</v>
      </c>
      <c r="I1110" s="727">
        <f>VLOOKUP(C1104,'Luong VP'!$B$10:$AP$189,27,0)</f>
        <v>0</v>
      </c>
      <c r="J1110" s="728">
        <f>J1108/'Cham cong'!$AS$3*I1110*3</f>
        <v>0</v>
      </c>
    </row>
    <row r="1111" spans="1:12" ht="9.1999999999999993" customHeight="1">
      <c r="A1111" s="712">
        <v>4</v>
      </c>
      <c r="B1111" s="713" t="s">
        <v>666</v>
      </c>
      <c r="C1111" s="714">
        <f>VLOOKUP(C1104,'Luong VP'!$B$10:$AP$189,11,0)</f>
        <v>0</v>
      </c>
      <c r="D1111" s="717"/>
      <c r="E1111" s="710">
        <v>3</v>
      </c>
      <c r="F1111" s="718" t="s">
        <v>667</v>
      </c>
      <c r="G1111" s="718"/>
      <c r="H1111" s="710" t="s">
        <v>668</v>
      </c>
      <c r="I1111" s="727">
        <f>VLOOKUP(C1104,'Luong VP'!$B$10:$AP$189,26,0)</f>
        <v>0</v>
      </c>
      <c r="J1111" s="728">
        <f>J1108/'Cham cong'!$AS$3*I1111/8*1.5</f>
        <v>0</v>
      </c>
    </row>
    <row r="1112" spans="1:12" ht="9.1999999999999993" customHeight="1">
      <c r="A1112" s="712">
        <v>5</v>
      </c>
      <c r="B1112" s="713" t="s">
        <v>670</v>
      </c>
      <c r="C1112" s="714">
        <f>VLOOKUP(C1104,'Luong VP'!$B$10:$AP$189,12,0)</f>
        <v>0</v>
      </c>
      <c r="D1112" s="717"/>
      <c r="E1112" s="710">
        <v>4</v>
      </c>
      <c r="F1112" s="718" t="s">
        <v>671</v>
      </c>
      <c r="G1112" s="718"/>
      <c r="H1112" s="710" t="s">
        <v>668</v>
      </c>
      <c r="I1112" s="727">
        <f>VLOOKUP(C1104,'Luong VP'!$B$10:$AP$189,25,0)</f>
        <v>0</v>
      </c>
      <c r="J1112" s="728">
        <f>J1108/'Cham cong'!$AS$3*I1112/8*2</f>
        <v>0</v>
      </c>
    </row>
    <row r="1113" spans="1:12" ht="9.1999999999999993" customHeight="1">
      <c r="A1113" s="712">
        <v>6</v>
      </c>
      <c r="B1113" s="713" t="s">
        <v>673</v>
      </c>
      <c r="C1113" s="714">
        <f>VLOOKUP(C1104,'Luong VP'!$B$10:$AP$189,13,0)</f>
        <v>0</v>
      </c>
      <c r="D1113" s="717"/>
      <c r="E1113" s="710">
        <v>5</v>
      </c>
      <c r="F1113" s="718" t="s">
        <v>674</v>
      </c>
      <c r="G1113" s="718"/>
      <c r="H1113" s="710" t="s">
        <v>660</v>
      </c>
      <c r="I1113" s="727">
        <f>VLOOKUP(C1104,'Luong VP'!$B$10:$AP$189,23,0)</f>
        <v>0</v>
      </c>
      <c r="J1113" s="728">
        <f>C1108/'Cham cong'!$AS$3*I1113</f>
        <v>0</v>
      </c>
      <c r="L1113" s="694" t="str">
        <f>G1104</f>
        <v>Nguyễn Hoàng Phương Thảo</v>
      </c>
    </row>
    <row r="1114" spans="1:12" ht="9.1999999999999993" customHeight="1">
      <c r="A1114" s="712">
        <v>7</v>
      </c>
      <c r="B1114" s="713" t="s">
        <v>676</v>
      </c>
      <c r="C1114" s="714"/>
      <c r="D1114" s="717"/>
      <c r="E1114" s="710">
        <v>6</v>
      </c>
      <c r="F1114" s="718" t="s">
        <v>677</v>
      </c>
      <c r="G1114" s="718"/>
      <c r="H1114" s="710" t="s">
        <v>660</v>
      </c>
      <c r="I1114" s="727">
        <f>VLOOKUP(C1104,'Luong VP'!$B$10:$AP$189,24,0)</f>
        <v>1</v>
      </c>
      <c r="J1114" s="714">
        <f>C1108/'Cham cong'!$AS$3*I1114</f>
        <v>461.53846153846155</v>
      </c>
    </row>
    <row r="1115" spans="1:12" ht="9.1999999999999993" customHeight="1">
      <c r="A1115" s="712">
        <v>8</v>
      </c>
      <c r="B1115" s="713" t="s">
        <v>679</v>
      </c>
      <c r="C1115" s="714">
        <f>VLOOKUP(C1104,'Luong VP'!$B$10:$AP$189,14,0)</f>
        <v>0</v>
      </c>
      <c r="D1115" s="717"/>
      <c r="E1115" s="710">
        <v>7</v>
      </c>
      <c r="F1115" s="718" t="s">
        <v>680</v>
      </c>
      <c r="G1115" s="718"/>
      <c r="H1115" s="718"/>
      <c r="I1115" s="729"/>
      <c r="J1115" s="714">
        <f>VLOOKUP(C1104,'Luong VP'!$B$10:$AP$189,28,0)</f>
        <v>0</v>
      </c>
    </row>
    <row r="1116" spans="1:12" ht="9.1999999999999993" customHeight="1">
      <c r="A1116" s="712">
        <v>9</v>
      </c>
      <c r="B1116" s="713" t="s">
        <v>683</v>
      </c>
      <c r="C1116" s="714">
        <f>VLOOKUP(C1104,'Luong VP'!$B$10:$AP$189,15,0)</f>
        <v>0</v>
      </c>
      <c r="D1116" s="717"/>
      <c r="E1116" s="710">
        <v>8</v>
      </c>
      <c r="F1116" s="718" t="s">
        <v>238</v>
      </c>
      <c r="G1116" s="718"/>
      <c r="H1116" s="718"/>
      <c r="I1116" s="729"/>
      <c r="J1116" s="714">
        <f>VLOOKUP(C1104,'Luong VP'!$B$10:$AP$189,33,0)</f>
        <v>0</v>
      </c>
    </row>
    <row r="1117" spans="1:12" ht="9.1999999999999993" customHeight="1">
      <c r="A1117" s="712">
        <v>10</v>
      </c>
      <c r="B1117" s="713" t="s">
        <v>685</v>
      </c>
      <c r="C1117" s="714">
        <f>VLOOKUP(C1104,'Luong VP'!$B$10:$AP$189,16,0)</f>
        <v>0</v>
      </c>
      <c r="D1117" s="717"/>
      <c r="E1117" s="710" t="s">
        <v>686</v>
      </c>
      <c r="F1117" s="716" t="s">
        <v>687</v>
      </c>
      <c r="G1117" s="719"/>
      <c r="H1117" s="771" t="s">
        <v>660</v>
      </c>
      <c r="I1117" s="787">
        <v>0</v>
      </c>
      <c r="J1117" s="788">
        <v>0</v>
      </c>
    </row>
    <row r="1118" spans="1:12" ht="9.1999999999999993" customHeight="1">
      <c r="A1118" s="712">
        <v>11</v>
      </c>
      <c r="B1118" s="713" t="s">
        <v>688</v>
      </c>
      <c r="C1118" s="714">
        <f>VLOOKUP(C1104,'Luong VP'!$B$10:$AP$189,17,0)</f>
        <v>0</v>
      </c>
      <c r="D1118" s="717"/>
      <c r="E1118" s="710">
        <v>1</v>
      </c>
      <c r="F1118" s="716" t="s">
        <v>689</v>
      </c>
      <c r="G1118" s="719"/>
      <c r="H1118" s="719"/>
      <c r="I1118" s="714">
        <f>VLOOKUP(C1104,'Luong VP'!$B$10:$AP$189,30,0)</f>
        <v>0</v>
      </c>
      <c r="J1118" s="714">
        <f>VLOOKUP(C1104,'Luong VP'!$B$10:$AP$189,30,0)</f>
        <v>0</v>
      </c>
    </row>
    <row r="1119" spans="1:12" ht="9.1999999999999993" customHeight="1">
      <c r="A1119" s="712">
        <v>12</v>
      </c>
      <c r="B1119" s="713" t="s">
        <v>691</v>
      </c>
      <c r="C1119" s="714">
        <f>VLOOKUP(C1104,'Luong VP'!$B$10:$AP$189,18,0)</f>
        <v>0</v>
      </c>
      <c r="D1119" s="717"/>
      <c r="E1119" s="710">
        <v>2</v>
      </c>
      <c r="F1119" s="718" t="s">
        <v>239</v>
      </c>
      <c r="G1119" s="718"/>
      <c r="H1119" s="718"/>
      <c r="I1119" s="727"/>
      <c r="J1119" s="728">
        <f>VLOOKUP(C1104,'Luong VP'!$B$10:$AP$189,34,0)</f>
        <v>0</v>
      </c>
      <c r="K1119" s="731"/>
      <c r="L1119" s="715"/>
    </row>
    <row r="1120" spans="1:12" ht="9.1999999999999993" customHeight="1">
      <c r="A1120" s="712">
        <v>13</v>
      </c>
      <c r="B1120" s="713" t="s">
        <v>692</v>
      </c>
      <c r="C1120" s="714">
        <f>VLOOKUP(C1104,'Luong VP'!$B$10:$AP$189,19,0)</f>
        <v>0</v>
      </c>
      <c r="D1120" s="717"/>
      <c r="E1120" s="710">
        <v>3</v>
      </c>
      <c r="F1120" s="716" t="s">
        <v>693</v>
      </c>
      <c r="G1120" s="719"/>
      <c r="H1120" s="719"/>
      <c r="I1120" s="729"/>
      <c r="J1120" s="714">
        <f>VLOOKUP(C1104,'Luong VP'!$B$10:$AP$189,40,0)</f>
        <v>0</v>
      </c>
      <c r="K1120" s="731"/>
      <c r="L1120" s="715"/>
    </row>
    <row r="1121" spans="1:12" ht="9.1999999999999993" customHeight="1">
      <c r="A1121" s="712">
        <v>14</v>
      </c>
      <c r="B1121" s="713" t="s">
        <v>694</v>
      </c>
      <c r="C1121" s="714">
        <f>VLOOKUP(C1104,'Luong VP'!$B$10:$AP$189,20,0)</f>
        <v>0</v>
      </c>
      <c r="D1121" s="717"/>
      <c r="E1121" s="710">
        <v>4</v>
      </c>
      <c r="F1121" s="718" t="s">
        <v>695</v>
      </c>
      <c r="G1121" s="719"/>
      <c r="H1121" s="719"/>
      <c r="I1121" s="729"/>
      <c r="J1121" s="714">
        <f>VLOOKUP(C1104,'Luong VP'!$B$10:$AP$189,35,0)</f>
        <v>0</v>
      </c>
      <c r="K1121" s="732"/>
      <c r="L1121" s="715"/>
    </row>
    <row r="1122" spans="1:12" ht="9.1999999999999993" customHeight="1">
      <c r="A1122" s="712"/>
      <c r="B1122" s="707" t="s">
        <v>656</v>
      </c>
      <c r="C1122" s="714">
        <f>SUM(C1108:C1121)</f>
        <v>12000</v>
      </c>
      <c r="D1122" s="717"/>
      <c r="E1122" s="710"/>
      <c r="F1122" s="716" t="s">
        <v>241</v>
      </c>
      <c r="G1122" s="719"/>
      <c r="H1122" s="719"/>
      <c r="I1122" s="729"/>
      <c r="J1122" s="730">
        <f>SUM(J1109:J1121)+C1116</f>
        <v>12461.538461538461</v>
      </c>
      <c r="K1122" s="731"/>
      <c r="L1122" s="715"/>
    </row>
    <row r="1123" spans="1:12" ht="9.1999999999999993" customHeight="1">
      <c r="B1123" s="720"/>
      <c r="C1123" s="717"/>
      <c r="D1123" s="717"/>
      <c r="E1123" s="710" t="s">
        <v>696</v>
      </c>
      <c r="F1123" s="711" t="s">
        <v>697</v>
      </c>
      <c r="G1123" s="710"/>
      <c r="H1123" s="710"/>
      <c r="I1123" s="729"/>
      <c r="J1123" s="730">
        <f>SUM(J1124:J1126)</f>
        <v>0</v>
      </c>
      <c r="K1123" s="732"/>
      <c r="L1123" s="715"/>
    </row>
    <row r="1124" spans="1:12" ht="9.1999999999999993" customHeight="1">
      <c r="B1124" s="720"/>
      <c r="C1124" s="717"/>
      <c r="D1124" s="717"/>
      <c r="E1124" s="710">
        <v>1</v>
      </c>
      <c r="F1124" s="718" t="s">
        <v>698</v>
      </c>
      <c r="G1124" s="718"/>
      <c r="H1124" s="718"/>
      <c r="I1124" s="733"/>
      <c r="J1124" s="714">
        <f>VLOOKUP(C1104,'Luong VP'!$B$10:$AP$189,37,0)</f>
        <v>0</v>
      </c>
      <c r="K1124" s="732"/>
      <c r="L1124" s="715"/>
    </row>
    <row r="1125" spans="1:12" ht="9.1999999999999993" customHeight="1">
      <c r="B1125" s="720"/>
      <c r="C1125" s="717"/>
      <c r="D1125" s="717"/>
      <c r="E1125" s="710">
        <v>2</v>
      </c>
      <c r="F1125" s="718" t="s">
        <v>244</v>
      </c>
      <c r="G1125" s="718"/>
      <c r="H1125" s="718"/>
      <c r="I1125" s="729"/>
      <c r="J1125" s="714">
        <f>VLOOKUP(C1104,'Luong VP'!$B$10:$AP$189,39,0)</f>
        <v>0</v>
      </c>
      <c r="K1125" s="734"/>
      <c r="L1125" s="735"/>
    </row>
    <row r="1126" spans="1:12" ht="9.1999999999999993" customHeight="1">
      <c r="B1126" s="720"/>
      <c r="C1126" s="717"/>
      <c r="D1126" s="717"/>
      <c r="E1126" s="710"/>
      <c r="F1126" s="718" t="s">
        <v>699</v>
      </c>
      <c r="G1126" s="718"/>
      <c r="H1126" s="718"/>
      <c r="I1126" s="729"/>
      <c r="J1126" s="714"/>
      <c r="K1126" s="714"/>
      <c r="L1126" s="736"/>
    </row>
    <row r="1127" spans="1:12" ht="9.1999999999999993" customHeight="1">
      <c r="B1127" s="720"/>
      <c r="C1127" s="717"/>
      <c r="D1127" s="717"/>
      <c r="E1127" s="710" t="s">
        <v>700</v>
      </c>
      <c r="F1127" s="710" t="s">
        <v>246</v>
      </c>
      <c r="G1127" s="710"/>
      <c r="H1127" s="710"/>
      <c r="I1127" s="729"/>
      <c r="J1127" s="728">
        <f>J1122-J1123</f>
        <v>12461.538461538461</v>
      </c>
      <c r="K1127" s="728">
        <f>ROUND(J1127,-1)</f>
        <v>12460</v>
      </c>
      <c r="L1127" s="710"/>
    </row>
    <row r="1128" spans="1:12" ht="9.1999999999999993" customHeight="1">
      <c r="B1128" s="720"/>
      <c r="C1128" s="717"/>
      <c r="D1128" s="717"/>
      <c r="E1128" s="715"/>
      <c r="F1128" s="715"/>
      <c r="G1128" s="715"/>
      <c r="I1128" s="715" t="s">
        <v>701</v>
      </c>
      <c r="J1128" s="737"/>
      <c r="K1128" s="737"/>
      <c r="L1128" s="715"/>
    </row>
    <row r="1129" spans="1:12" ht="9.1999999999999993" customHeight="1">
      <c r="B1129" s="720"/>
      <c r="C1129" s="717"/>
      <c r="D1129" s="717"/>
      <c r="E1129" s="715"/>
      <c r="F1129" s="715"/>
      <c r="G1129" s="715"/>
      <c r="I1129" s="715"/>
      <c r="J1129" s="737"/>
      <c r="K1129" s="737"/>
      <c r="L1129" s="715"/>
    </row>
    <row r="1130" spans="1:12" ht="9.1999999999999993" customHeight="1">
      <c r="B1130" s="720"/>
      <c r="C1130" s="717"/>
      <c r="D1130" s="717"/>
      <c r="E1130" s="715"/>
      <c r="F1130" s="715"/>
      <c r="G1130" s="715"/>
      <c r="I1130" s="715"/>
      <c r="J1130" s="737"/>
      <c r="K1130" s="737"/>
      <c r="L1130" s="715"/>
    </row>
    <row r="1131" spans="1:12" ht="9.1999999999999993" customHeight="1">
      <c r="B1131" s="720"/>
      <c r="C1131" s="717"/>
      <c r="D1131" s="717"/>
      <c r="E1131" s="715"/>
      <c r="F1131" s="715"/>
      <c r="G1131" s="715"/>
      <c r="I1131" s="715"/>
      <c r="J1131" s="737"/>
      <c r="K1131" s="737"/>
      <c r="L1131" s="715"/>
    </row>
    <row r="1132" spans="1:12" ht="9.1999999999999993" customHeight="1">
      <c r="B1132" s="720"/>
      <c r="C1132" s="717"/>
      <c r="D1132" s="717"/>
      <c r="E1132" s="715"/>
      <c r="F1132" s="715"/>
      <c r="G1132" s="715"/>
      <c r="I1132" s="715"/>
      <c r="J1132" s="737"/>
      <c r="K1132" s="737"/>
      <c r="L1132" s="715"/>
    </row>
    <row r="1133" spans="1:12" ht="9.1999999999999993" customHeight="1">
      <c r="B1133" s="720"/>
      <c r="C1133" s="717"/>
      <c r="D1133" s="717"/>
      <c r="E1133" s="715"/>
      <c r="F1133" s="715"/>
      <c r="G1133" s="715"/>
      <c r="I1133" s="715"/>
      <c r="J1133" s="737"/>
      <c r="K1133" s="737"/>
      <c r="L1133" s="715"/>
    </row>
    <row r="1134" spans="1:12" ht="9.1999999999999993" customHeight="1">
      <c r="C1134" s="696"/>
      <c r="D1134" s="696"/>
      <c r="E1134" s="697" t="str">
        <f>$E$2</f>
        <v>THẺ LƯƠNG THÁNG 08/2019</v>
      </c>
      <c r="F1134" s="698"/>
      <c r="G1134" s="698"/>
      <c r="H1134" s="698"/>
    </row>
    <row r="1135" spans="1:12" ht="9.1999999999999993" customHeight="1">
      <c r="B1135" s="699" t="s">
        <v>644</v>
      </c>
      <c r="C1135" s="700" t="s">
        <v>342</v>
      </c>
      <c r="D1135" s="701"/>
      <c r="F1135" s="702" t="s">
        <v>645</v>
      </c>
      <c r="G1135" s="689" t="str">
        <f>VLOOKUP(C1135,'Luong VP'!$B$10:$AP$189,2,0)</f>
        <v xml:space="preserve"> Huỳnh Thanh Liêm </v>
      </c>
    </row>
    <row r="1136" spans="1:12" ht="9.1999999999999993" customHeight="1">
      <c r="B1136" s="699" t="s">
        <v>646</v>
      </c>
      <c r="C1136" s="689" t="str">
        <f>VLOOKUP(C1135,'Luong VP'!$B$10:$AP$189,3,0)</f>
        <v>TRƯỞNG BAN DỰ ÁN CÔNG</v>
      </c>
      <c r="F1136" s="702" t="s">
        <v>647</v>
      </c>
      <c r="G1136" s="689">
        <f>VLOOKUP(C1135,'Luong VP'!$B$10:$AP$189,5,0)</f>
        <v>2</v>
      </c>
    </row>
    <row r="1137" spans="1:12" ht="9.1999999999999993" customHeight="1">
      <c r="B1137" s="703"/>
      <c r="C1137" s="704"/>
      <c r="D1137" s="705"/>
      <c r="F1137" s="706" t="s">
        <v>648</v>
      </c>
      <c r="G1137" s="706"/>
      <c r="H1137" s="706"/>
      <c r="I1137" s="725"/>
      <c r="J1137" s="726"/>
    </row>
    <row r="1138" spans="1:12" ht="9.1999999999999993" customHeight="1">
      <c r="A1138" s="707" t="s">
        <v>216</v>
      </c>
      <c r="B1138" s="707" t="s">
        <v>649</v>
      </c>
      <c r="C1138" s="708" t="s">
        <v>650</v>
      </c>
      <c r="D1138" s="709"/>
      <c r="E1138" s="710" t="s">
        <v>216</v>
      </c>
      <c r="F1138" s="711" t="s">
        <v>649</v>
      </c>
      <c r="G1138" s="710"/>
      <c r="H1138" s="710" t="s">
        <v>651</v>
      </c>
      <c r="I1138" s="727" t="s">
        <v>652</v>
      </c>
      <c r="J1138" s="714"/>
      <c r="L1138" s="694" t="s">
        <v>653</v>
      </c>
    </row>
    <row r="1139" spans="1:12" ht="9.1999999999999993" customHeight="1">
      <c r="A1139" s="712">
        <v>1</v>
      </c>
      <c r="B1139" s="713" t="s">
        <v>654</v>
      </c>
      <c r="C1139" s="714">
        <f>VLOOKUP(C1135,'Luong VP'!$B$10:$AP$189,9,0)</f>
        <v>21170</v>
      </c>
      <c r="D1139" s="715"/>
      <c r="E1139" s="710" t="s">
        <v>655</v>
      </c>
      <c r="F1139" s="716" t="s">
        <v>656</v>
      </c>
      <c r="G1139" s="710"/>
      <c r="H1139" s="710"/>
      <c r="I1139" s="727"/>
      <c r="J1139" s="714">
        <f>VLOOKUP(C1135,'Luong VP'!$B$10:$AP$189,21,0)</f>
        <v>26651.9</v>
      </c>
    </row>
    <row r="1140" spans="1:12" ht="9.1999999999999993" customHeight="1">
      <c r="A1140" s="712">
        <v>2</v>
      </c>
      <c r="B1140" s="713" t="s">
        <v>658</v>
      </c>
      <c r="C1140" s="714"/>
      <c r="D1140" s="717"/>
      <c r="E1140" s="710">
        <v>1</v>
      </c>
      <c r="F1140" s="718" t="s">
        <v>659</v>
      </c>
      <c r="G1140" s="718"/>
      <c r="H1140" s="710" t="s">
        <v>660</v>
      </c>
      <c r="I1140" s="727">
        <f>VLOOKUP(C1135,'Luong VP'!$B$10:$AP$189,22,0)</f>
        <v>26</v>
      </c>
      <c r="J1140" s="728">
        <f>J1139/'Cham cong'!$AS$3*I1140</f>
        <v>26651.9</v>
      </c>
    </row>
    <row r="1141" spans="1:12" ht="9.1999999999999993" customHeight="1">
      <c r="A1141" s="712">
        <v>3</v>
      </c>
      <c r="B1141" s="713" t="s">
        <v>661</v>
      </c>
      <c r="C1141" s="714">
        <f>VLOOKUP(C1135,'Luong VP'!$B$10:$AP$189,10,0)</f>
        <v>0</v>
      </c>
      <c r="D1141" s="717"/>
      <c r="E1141" s="710">
        <v>2</v>
      </c>
      <c r="F1141" s="718" t="s">
        <v>662</v>
      </c>
      <c r="G1141" s="718"/>
      <c r="H1141" s="710" t="s">
        <v>660</v>
      </c>
      <c r="I1141" s="727">
        <f>VLOOKUP(C1135,'Luong VP'!$B$10:$AP$189,27,0)</f>
        <v>0</v>
      </c>
      <c r="J1141" s="728">
        <f>J1139/'Cham cong'!$AS$3*I1141*3</f>
        <v>0</v>
      </c>
    </row>
    <row r="1142" spans="1:12" ht="9.1999999999999993" customHeight="1">
      <c r="A1142" s="712">
        <v>4</v>
      </c>
      <c r="B1142" s="713" t="s">
        <v>666</v>
      </c>
      <c r="C1142" s="714">
        <f>VLOOKUP(C1135,'Luong VP'!$B$10:$AP$189,11,0)</f>
        <v>3000</v>
      </c>
      <c r="D1142" s="717"/>
      <c r="E1142" s="710">
        <v>3</v>
      </c>
      <c r="F1142" s="718" t="s">
        <v>667</v>
      </c>
      <c r="G1142" s="718"/>
      <c r="H1142" s="710" t="s">
        <v>668</v>
      </c>
      <c r="I1142" s="727">
        <f>VLOOKUP(C1135,'Luong VP'!$B$10:$AP$189,26,0)</f>
        <v>0</v>
      </c>
      <c r="J1142" s="728">
        <f>J1139/'Cham cong'!$AS$3*I1142/8*1.5</f>
        <v>0</v>
      </c>
    </row>
    <row r="1143" spans="1:12" ht="9.1999999999999993" customHeight="1">
      <c r="A1143" s="712">
        <v>5</v>
      </c>
      <c r="B1143" s="713" t="s">
        <v>670</v>
      </c>
      <c r="C1143" s="714">
        <f>VLOOKUP(C1135,'Luong VP'!$B$10:$AP$189,12,0)</f>
        <v>1481.9</v>
      </c>
      <c r="D1143" s="717"/>
      <c r="E1143" s="710">
        <v>4</v>
      </c>
      <c r="F1143" s="718" t="s">
        <v>671</v>
      </c>
      <c r="G1143" s="718"/>
      <c r="H1143" s="710" t="s">
        <v>668</v>
      </c>
      <c r="I1143" s="727">
        <f>VLOOKUP(C1135,'Luong VP'!$B$10:$AP$189,25,0)</f>
        <v>0</v>
      </c>
      <c r="J1143" s="728">
        <f>J1139/'Cham cong'!$AS$3*I1143/8*2</f>
        <v>0</v>
      </c>
    </row>
    <row r="1144" spans="1:12" ht="9.1999999999999993" customHeight="1">
      <c r="A1144" s="712">
        <v>6</v>
      </c>
      <c r="B1144" s="713" t="s">
        <v>673</v>
      </c>
      <c r="C1144" s="714">
        <f>VLOOKUP(C1135,'Luong VP'!$B$10:$AP$189,13,0)</f>
        <v>0</v>
      </c>
      <c r="D1144" s="717"/>
      <c r="E1144" s="710">
        <v>5</v>
      </c>
      <c r="F1144" s="718" t="s">
        <v>674</v>
      </c>
      <c r="G1144" s="718"/>
      <c r="H1144" s="710" t="s">
        <v>660</v>
      </c>
      <c r="I1144" s="727">
        <f>VLOOKUP(C1135,'Luong VP'!$B$10:$AP$189,23,0)</f>
        <v>0</v>
      </c>
      <c r="J1144" s="728">
        <f>C1139/'Cham cong'!$AS$3*I1144</f>
        <v>0</v>
      </c>
      <c r="L1144" s="694" t="str">
        <f>G1135</f>
        <v xml:space="preserve"> Huỳnh Thanh Liêm </v>
      </c>
    </row>
    <row r="1145" spans="1:12" ht="9.1999999999999993" customHeight="1">
      <c r="A1145" s="712">
        <v>7</v>
      </c>
      <c r="B1145" s="713" t="s">
        <v>676</v>
      </c>
      <c r="C1145" s="714"/>
      <c r="D1145" s="717"/>
      <c r="E1145" s="710">
        <v>6</v>
      </c>
      <c r="F1145" s="718" t="s">
        <v>677</v>
      </c>
      <c r="G1145" s="718"/>
      <c r="H1145" s="710" t="s">
        <v>660</v>
      </c>
      <c r="I1145" s="727">
        <f>VLOOKUP(C1135,'Luong VP'!$B$10:$AP$189,24,0)</f>
        <v>1</v>
      </c>
      <c r="J1145" s="714">
        <f>C1139/'Cham cong'!$AS$3*I1145</f>
        <v>814.23076923076928</v>
      </c>
    </row>
    <row r="1146" spans="1:12" ht="9.1999999999999993" customHeight="1">
      <c r="A1146" s="712">
        <v>8</v>
      </c>
      <c r="B1146" s="713" t="s">
        <v>679</v>
      </c>
      <c r="C1146" s="714">
        <f>VLOOKUP(C1135,'Luong VP'!$B$10:$AP$189,14,0)</f>
        <v>1000</v>
      </c>
      <c r="D1146" s="717"/>
      <c r="E1146" s="710">
        <v>7</v>
      </c>
      <c r="F1146" s="718" t="s">
        <v>680</v>
      </c>
      <c r="G1146" s="718"/>
      <c r="H1146" s="718"/>
      <c r="I1146" s="729"/>
      <c r="J1146" s="714">
        <f>VLOOKUP(C1135,'Luong VP'!$B$10:$AP$189,28,0)</f>
        <v>0</v>
      </c>
    </row>
    <row r="1147" spans="1:12" ht="9.1999999999999993" customHeight="1">
      <c r="A1147" s="712">
        <v>9</v>
      </c>
      <c r="B1147" s="713" t="s">
        <v>683</v>
      </c>
      <c r="C1147" s="714">
        <f>VLOOKUP(C1135,'Luong VP'!$B$10:$AP$189,15,0)</f>
        <v>1000</v>
      </c>
      <c r="D1147" s="717"/>
      <c r="E1147" s="710">
        <v>8</v>
      </c>
      <c r="F1147" s="718" t="s">
        <v>238</v>
      </c>
      <c r="G1147" s="718"/>
      <c r="H1147" s="718"/>
      <c r="I1147" s="729"/>
      <c r="J1147" s="714">
        <f>VLOOKUP(C1135,'Luong VP'!$B$10:$AP$189,33,0)</f>
        <v>0</v>
      </c>
    </row>
    <row r="1148" spans="1:12" ht="9.1999999999999993" customHeight="1">
      <c r="A1148" s="712">
        <v>10</v>
      </c>
      <c r="B1148" s="713" t="s">
        <v>685</v>
      </c>
      <c r="C1148" s="714">
        <f>VLOOKUP(C1135,'Luong VP'!$B$10:$AP$189,16,0)</f>
        <v>0</v>
      </c>
      <c r="D1148" s="717"/>
      <c r="E1148" s="710" t="s">
        <v>686</v>
      </c>
      <c r="F1148" s="716" t="s">
        <v>687</v>
      </c>
      <c r="G1148" s="719"/>
      <c r="H1148" s="719"/>
      <c r="I1148" s="729"/>
      <c r="J1148" s="730"/>
    </row>
    <row r="1149" spans="1:12" ht="9.1999999999999993" customHeight="1">
      <c r="A1149" s="712">
        <v>11</v>
      </c>
      <c r="B1149" s="713" t="s">
        <v>688</v>
      </c>
      <c r="C1149" s="714">
        <f>VLOOKUP(C1135,'Luong VP'!$B$10:$AP$189,17,0)</f>
        <v>0</v>
      </c>
      <c r="D1149" s="717"/>
      <c r="E1149" s="710">
        <v>1</v>
      </c>
      <c r="F1149" s="716" t="s">
        <v>689</v>
      </c>
      <c r="G1149" s="719"/>
      <c r="H1149" s="719"/>
      <c r="I1149" s="714">
        <f>VLOOKUP(C1135,'Luong VP'!$B$10:$AP$189,30,0)</f>
        <v>0</v>
      </c>
      <c r="J1149" s="714">
        <f>VLOOKUP(C1135,'Luong VP'!$B$10:$AP$189,30,0)</f>
        <v>0</v>
      </c>
    </row>
    <row r="1150" spans="1:12" ht="9.1999999999999993" customHeight="1">
      <c r="A1150" s="712">
        <v>12</v>
      </c>
      <c r="B1150" s="713" t="s">
        <v>691</v>
      </c>
      <c r="C1150" s="714">
        <f>VLOOKUP(C1135,'Luong VP'!$B$10:$AP$189,18,0)</f>
        <v>0</v>
      </c>
      <c r="D1150" s="717"/>
      <c r="E1150" s="710">
        <v>2</v>
      </c>
      <c r="F1150" s="718" t="s">
        <v>239</v>
      </c>
      <c r="G1150" s="718"/>
      <c r="H1150" s="718"/>
      <c r="I1150" s="727"/>
      <c r="J1150" s="728">
        <f>VLOOKUP(C1135,'Luong VP'!$B$10:$AP$189,34,0)</f>
        <v>0</v>
      </c>
      <c r="K1150" s="731"/>
      <c r="L1150" s="715"/>
    </row>
    <row r="1151" spans="1:12" ht="9.1999999999999993" customHeight="1">
      <c r="A1151" s="712">
        <v>13</v>
      </c>
      <c r="B1151" s="713" t="s">
        <v>692</v>
      </c>
      <c r="C1151" s="714">
        <f>VLOOKUP(C1135,'Luong VP'!$B$10:$AP$189,19,0)</f>
        <v>0</v>
      </c>
      <c r="D1151" s="717"/>
      <c r="E1151" s="710">
        <v>3</v>
      </c>
      <c r="F1151" s="716" t="s">
        <v>693</v>
      </c>
      <c r="G1151" s="719"/>
      <c r="H1151" s="719"/>
      <c r="I1151" s="729"/>
      <c r="J1151" s="714">
        <f>VLOOKUP(C1135,'Luong VP'!$B$10:$AP$189,40,0)</f>
        <v>0</v>
      </c>
      <c r="K1151" s="731"/>
      <c r="L1151" s="715"/>
    </row>
    <row r="1152" spans="1:12" ht="9.1999999999999993" customHeight="1">
      <c r="A1152" s="712">
        <v>14</v>
      </c>
      <c r="B1152" s="713" t="s">
        <v>694</v>
      </c>
      <c r="C1152" s="714">
        <f>VLOOKUP(C1135,'Luong VP'!$B$10:$AP$189,20,0)</f>
        <v>0</v>
      </c>
      <c r="D1152" s="717"/>
      <c r="E1152" s="710">
        <v>4</v>
      </c>
      <c r="F1152" s="718" t="s">
        <v>695</v>
      </c>
      <c r="G1152" s="719"/>
      <c r="H1152" s="719"/>
      <c r="I1152" s="729"/>
      <c r="J1152" s="714">
        <f>VLOOKUP(C1135,'Luong VP'!$B$10:$AP$189,35,0)</f>
        <v>0</v>
      </c>
      <c r="K1152" s="732"/>
      <c r="L1152" s="715"/>
    </row>
    <row r="1153" spans="1:12" ht="9.1999999999999993" customHeight="1">
      <c r="A1153" s="712"/>
      <c r="B1153" s="707" t="s">
        <v>656</v>
      </c>
      <c r="C1153" s="714">
        <f>SUM(C1139:C1152)</f>
        <v>27651.9</v>
      </c>
      <c r="D1153" s="717"/>
      <c r="E1153" s="710"/>
      <c r="F1153" s="716" t="s">
        <v>241</v>
      </c>
      <c r="G1153" s="719"/>
      <c r="H1153" s="719"/>
      <c r="I1153" s="729"/>
      <c r="J1153" s="730">
        <f>SUM(J1140:J1152)+C1147</f>
        <v>28466.130769230771</v>
      </c>
      <c r="K1153" s="731"/>
      <c r="L1153" s="715"/>
    </row>
    <row r="1154" spans="1:12" ht="9.1999999999999993" customHeight="1">
      <c r="B1154" s="720"/>
      <c r="C1154" s="717"/>
      <c r="D1154" s="717"/>
      <c r="E1154" s="710" t="s">
        <v>696</v>
      </c>
      <c r="F1154" s="711" t="s">
        <v>697</v>
      </c>
      <c r="G1154" s="710"/>
      <c r="H1154" s="710"/>
      <c r="I1154" s="729"/>
      <c r="J1154" s="730">
        <f>SUM(J1155:J1157)</f>
        <v>871.5</v>
      </c>
      <c r="K1154" s="732"/>
      <c r="L1154" s="715"/>
    </row>
    <row r="1155" spans="1:12" ht="9.1999999999999993" customHeight="1">
      <c r="B1155" s="720"/>
      <c r="C1155" s="717"/>
      <c r="D1155" s="717"/>
      <c r="E1155" s="710">
        <v>1</v>
      </c>
      <c r="F1155" s="718" t="s">
        <v>698</v>
      </c>
      <c r="G1155" s="718"/>
      <c r="H1155" s="718"/>
      <c r="I1155" s="733"/>
      <c r="J1155" s="714">
        <f>VLOOKUP(C1135,'Luong VP'!$B$10:$AP$189,37,0)</f>
        <v>871.5</v>
      </c>
      <c r="K1155" s="732"/>
      <c r="L1155" s="715"/>
    </row>
    <row r="1156" spans="1:12" ht="9.1999999999999993" customHeight="1">
      <c r="B1156" s="720"/>
      <c r="C1156" s="717"/>
      <c r="D1156" s="717"/>
      <c r="E1156" s="710">
        <v>2</v>
      </c>
      <c r="F1156" s="718" t="s">
        <v>244</v>
      </c>
      <c r="G1156" s="718"/>
      <c r="H1156" s="718"/>
      <c r="I1156" s="729"/>
      <c r="J1156" s="714">
        <f>VLOOKUP(C1135,'Luong VP'!$B$10:$AP$189,39,0)</f>
        <v>0</v>
      </c>
      <c r="K1156" s="734"/>
      <c r="L1156" s="735"/>
    </row>
    <row r="1157" spans="1:12" ht="9.1999999999999993" customHeight="1">
      <c r="B1157" s="720"/>
      <c r="C1157" s="717"/>
      <c r="D1157" s="717"/>
      <c r="E1157" s="710"/>
      <c r="F1157" s="718" t="s">
        <v>699</v>
      </c>
      <c r="G1157" s="718"/>
      <c r="H1157" s="718"/>
      <c r="I1157" s="729"/>
      <c r="J1157" s="714"/>
      <c r="K1157" s="714"/>
      <c r="L1157" s="736"/>
    </row>
    <row r="1158" spans="1:12" ht="9.1999999999999993" customHeight="1">
      <c r="B1158" s="720"/>
      <c r="C1158" s="717"/>
      <c r="D1158" s="717"/>
      <c r="E1158" s="710" t="s">
        <v>700</v>
      </c>
      <c r="F1158" s="710" t="s">
        <v>246</v>
      </c>
      <c r="G1158" s="710"/>
      <c r="H1158" s="710"/>
      <c r="I1158" s="729"/>
      <c r="J1158" s="728">
        <f>J1153-J1154</f>
        <v>27594.630769230771</v>
      </c>
      <c r="K1158" s="728">
        <f>ROUND(J1158,-1)</f>
        <v>27590</v>
      </c>
      <c r="L1158" s="710"/>
    </row>
    <row r="1159" spans="1:12" ht="9.1999999999999993" customHeight="1">
      <c r="B1159" s="720"/>
      <c r="C1159" s="717"/>
      <c r="D1159" s="717"/>
      <c r="E1159" s="715"/>
      <c r="F1159" s="715"/>
      <c r="G1159" s="715"/>
      <c r="I1159" s="715" t="s">
        <v>701</v>
      </c>
      <c r="J1159" s="737"/>
      <c r="K1159" s="737"/>
      <c r="L1159" s="715"/>
    </row>
    <row r="1160" spans="1:12" ht="9.1999999999999993" customHeight="1">
      <c r="B1160" s="720"/>
      <c r="C1160" s="717"/>
      <c r="D1160" s="717"/>
      <c r="E1160" s="715"/>
      <c r="F1160" s="715"/>
      <c r="G1160" s="715"/>
      <c r="I1160" s="715"/>
      <c r="J1160" s="737"/>
      <c r="K1160" s="737"/>
      <c r="L1160" s="715"/>
    </row>
    <row r="1161" spans="1:12" ht="9.1999999999999993" customHeight="1">
      <c r="B1161" s="720"/>
      <c r="C1161" s="717"/>
      <c r="D1161" s="717"/>
      <c r="E1161" s="715"/>
      <c r="F1161" s="715"/>
      <c r="G1161" s="715"/>
      <c r="I1161" s="715"/>
      <c r="J1161" s="737"/>
      <c r="K1161" s="737"/>
      <c r="L1161" s="715"/>
    </row>
    <row r="1164" spans="1:12" ht="9.1999999999999993" customHeight="1">
      <c r="C1164" s="696"/>
      <c r="D1164" s="696"/>
      <c r="E1164" s="697" t="str">
        <f>$E$2</f>
        <v>THẺ LƯƠNG THÁNG 08/2019</v>
      </c>
      <c r="F1164" s="698"/>
      <c r="G1164" s="698"/>
      <c r="H1164" s="698"/>
    </row>
    <row r="1165" spans="1:12" ht="9.1999999999999993" customHeight="1">
      <c r="B1165" s="699" t="s">
        <v>644</v>
      </c>
      <c r="C1165" s="700" t="s">
        <v>344</v>
      </c>
      <c r="D1165" s="701"/>
      <c r="F1165" s="702" t="s">
        <v>645</v>
      </c>
      <c r="G1165" s="689" t="str">
        <f>VLOOKUP(C1165,'Luong VP'!$B$10:$AP$189,2,0)</f>
        <v xml:space="preserve"> Lê Công Nhất Trung </v>
      </c>
    </row>
    <row r="1166" spans="1:12" ht="9.1999999999999993" customHeight="1">
      <c r="B1166" s="699" t="s">
        <v>646</v>
      </c>
      <c r="C1166" s="689" t="str">
        <f>VLOOKUP(C1165,'Luong VP'!$B$10:$AP$189,3,0)</f>
        <v>NV triển khai thực hiện dự án</v>
      </c>
      <c r="F1166" s="702" t="s">
        <v>647</v>
      </c>
      <c r="G1166" s="689">
        <f>VLOOKUP(C1165,'Luong VP'!$B$10:$AP$189,5,0)</f>
        <v>4</v>
      </c>
    </row>
    <row r="1167" spans="1:12" ht="9.1999999999999993" customHeight="1">
      <c r="B1167" s="703"/>
      <c r="C1167" s="704"/>
      <c r="D1167" s="705"/>
      <c r="F1167" s="706" t="s">
        <v>648</v>
      </c>
      <c r="G1167" s="706"/>
      <c r="H1167" s="706"/>
      <c r="I1167" s="725"/>
      <c r="J1167" s="726"/>
    </row>
    <row r="1168" spans="1:12" ht="9.1999999999999993" customHeight="1">
      <c r="A1168" s="707" t="s">
        <v>216</v>
      </c>
      <c r="B1168" s="707" t="s">
        <v>649</v>
      </c>
      <c r="C1168" s="708" t="s">
        <v>650</v>
      </c>
      <c r="D1168" s="709"/>
      <c r="E1168" s="710" t="s">
        <v>216</v>
      </c>
      <c r="F1168" s="711" t="s">
        <v>649</v>
      </c>
      <c r="G1168" s="710"/>
      <c r="H1168" s="710" t="s">
        <v>651</v>
      </c>
      <c r="I1168" s="727" t="s">
        <v>652</v>
      </c>
      <c r="J1168" s="714"/>
      <c r="L1168" s="694" t="s">
        <v>653</v>
      </c>
    </row>
    <row r="1169" spans="1:12" ht="9.1999999999999993" customHeight="1">
      <c r="A1169" s="712">
        <v>1</v>
      </c>
      <c r="B1169" s="713" t="s">
        <v>654</v>
      </c>
      <c r="C1169" s="714">
        <f>VLOOKUP(C1165,'Luong VP'!$B$10:$AP$189,9,0)</f>
        <v>10520</v>
      </c>
      <c r="D1169" s="715"/>
      <c r="E1169" s="710" t="s">
        <v>655</v>
      </c>
      <c r="F1169" s="716" t="s">
        <v>656</v>
      </c>
      <c r="G1169" s="710"/>
      <c r="H1169" s="710"/>
      <c r="I1169" s="727"/>
      <c r="J1169" s="714">
        <f>VLOOKUP(C1165,'Luong VP'!$B$10:$AP$189,21,0)</f>
        <v>11151.2</v>
      </c>
    </row>
    <row r="1170" spans="1:12" ht="9.1999999999999993" customHeight="1">
      <c r="A1170" s="712">
        <v>2</v>
      </c>
      <c r="B1170" s="713" t="s">
        <v>658</v>
      </c>
      <c r="C1170" s="714"/>
      <c r="D1170" s="717"/>
      <c r="E1170" s="710">
        <v>1</v>
      </c>
      <c r="F1170" s="718" t="s">
        <v>659</v>
      </c>
      <c r="G1170" s="718"/>
      <c r="H1170" s="710" t="s">
        <v>660</v>
      </c>
      <c r="I1170" s="727">
        <f>VLOOKUP(C1165,'Luong VP'!$B$10:$AP$189,22,0)</f>
        <v>26</v>
      </c>
      <c r="J1170" s="728">
        <f>J1169/'Cham cong'!$AS$3*I1170</f>
        <v>11151.2</v>
      </c>
    </row>
    <row r="1171" spans="1:12" ht="9.1999999999999993" customHeight="1">
      <c r="A1171" s="712">
        <v>3</v>
      </c>
      <c r="B1171" s="713" t="s">
        <v>661</v>
      </c>
      <c r="C1171" s="714">
        <f>VLOOKUP(C1165,'Luong VP'!$B$10:$AP$189,10,0)</f>
        <v>0</v>
      </c>
      <c r="D1171" s="717"/>
      <c r="E1171" s="710">
        <v>2</v>
      </c>
      <c r="F1171" s="718" t="s">
        <v>662</v>
      </c>
      <c r="G1171" s="718"/>
      <c r="H1171" s="710" t="s">
        <v>660</v>
      </c>
      <c r="I1171" s="727">
        <f>VLOOKUP(C1165,'Luong VP'!$B$10:$AP$189,27,0)</f>
        <v>0</v>
      </c>
      <c r="J1171" s="728">
        <f>J1169/'Cham cong'!$AS$3*I1171*3</f>
        <v>0</v>
      </c>
    </row>
    <row r="1172" spans="1:12" ht="9.1999999999999993" customHeight="1">
      <c r="A1172" s="712">
        <v>4</v>
      </c>
      <c r="B1172" s="713" t="s">
        <v>666</v>
      </c>
      <c r="C1172" s="714">
        <f>VLOOKUP(C1165,'Luong VP'!$B$10:$AP$189,11,0)</f>
        <v>0</v>
      </c>
      <c r="D1172" s="717"/>
      <c r="E1172" s="710">
        <v>3</v>
      </c>
      <c r="F1172" s="718" t="s">
        <v>667</v>
      </c>
      <c r="G1172" s="718"/>
      <c r="H1172" s="710" t="s">
        <v>668</v>
      </c>
      <c r="I1172" s="727">
        <f>VLOOKUP(C1165,'Luong VP'!$B$10:$AP$189,26,0)</f>
        <v>0</v>
      </c>
      <c r="J1172" s="728">
        <f>J1169/'Cham cong'!$AS$3*I1172/8*1.5</f>
        <v>0</v>
      </c>
    </row>
    <row r="1173" spans="1:12" ht="9.1999999999999993" customHeight="1">
      <c r="A1173" s="712">
        <v>5</v>
      </c>
      <c r="B1173" s="713" t="s">
        <v>670</v>
      </c>
      <c r="C1173" s="714">
        <f>VLOOKUP(C1165,'Luong VP'!$B$10:$AP$189,12,0)</f>
        <v>631.19999999999993</v>
      </c>
      <c r="D1173" s="717"/>
      <c r="E1173" s="710">
        <v>4</v>
      </c>
      <c r="F1173" s="718" t="s">
        <v>671</v>
      </c>
      <c r="G1173" s="718"/>
      <c r="H1173" s="710" t="s">
        <v>668</v>
      </c>
      <c r="I1173" s="727">
        <f>VLOOKUP(C1165,'Luong VP'!$B$10:$AP$189,25,0)</f>
        <v>0</v>
      </c>
      <c r="J1173" s="728">
        <f>J1169/'Cham cong'!$AS$3*I1173/8*2</f>
        <v>0</v>
      </c>
    </row>
    <row r="1174" spans="1:12" ht="9.1999999999999993" customHeight="1">
      <c r="A1174" s="712">
        <v>6</v>
      </c>
      <c r="B1174" s="713" t="s">
        <v>673</v>
      </c>
      <c r="C1174" s="714">
        <f>VLOOKUP(C1165,'Luong VP'!$B$10:$AP$189,13,0)</f>
        <v>0</v>
      </c>
      <c r="D1174" s="717"/>
      <c r="E1174" s="710">
        <v>5</v>
      </c>
      <c r="F1174" s="718" t="s">
        <v>674</v>
      </c>
      <c r="G1174" s="718"/>
      <c r="H1174" s="710" t="s">
        <v>660</v>
      </c>
      <c r="I1174" s="727">
        <f>VLOOKUP(C1165,'Luong VP'!$B$10:$AP$189,23,0)</f>
        <v>0</v>
      </c>
      <c r="J1174" s="728">
        <f>C1169/'Cham cong'!$AS$3*I1174</f>
        <v>0</v>
      </c>
      <c r="L1174" s="694" t="str">
        <f>G1165</f>
        <v xml:space="preserve"> Lê Công Nhất Trung </v>
      </c>
    </row>
    <row r="1175" spans="1:12" ht="9.1999999999999993" customHeight="1">
      <c r="A1175" s="712">
        <v>7</v>
      </c>
      <c r="B1175" s="713" t="s">
        <v>676</v>
      </c>
      <c r="C1175" s="714"/>
      <c r="D1175" s="717"/>
      <c r="E1175" s="710">
        <v>6</v>
      </c>
      <c r="F1175" s="718" t="s">
        <v>677</v>
      </c>
      <c r="G1175" s="718"/>
      <c r="H1175" s="710" t="s">
        <v>660</v>
      </c>
      <c r="I1175" s="727">
        <f>VLOOKUP(C1165,'Luong VP'!$B$10:$AP$189,24,0)</f>
        <v>1</v>
      </c>
      <c r="J1175" s="714">
        <f>C1169/'Cham cong'!$AS$3*I1175</f>
        <v>404.61538461538464</v>
      </c>
    </row>
    <row r="1176" spans="1:12" ht="9.1999999999999993" customHeight="1">
      <c r="A1176" s="712">
        <v>8</v>
      </c>
      <c r="B1176" s="713" t="s">
        <v>679</v>
      </c>
      <c r="C1176" s="714">
        <f>VLOOKUP(C1165,'Luong VP'!$B$10:$AP$189,14,0)</f>
        <v>0</v>
      </c>
      <c r="D1176" s="717"/>
      <c r="E1176" s="710">
        <v>7</v>
      </c>
      <c r="F1176" s="718" t="s">
        <v>680</v>
      </c>
      <c r="G1176" s="718"/>
      <c r="H1176" s="718"/>
      <c r="I1176" s="729"/>
      <c r="J1176" s="714">
        <f>VLOOKUP(C1165,'Luong VP'!$B$10:$AP$189,28,0)</f>
        <v>0</v>
      </c>
    </row>
    <row r="1177" spans="1:12" ht="9.1999999999999993" customHeight="1">
      <c r="A1177" s="712">
        <v>9</v>
      </c>
      <c r="B1177" s="713" t="s">
        <v>683</v>
      </c>
      <c r="C1177" s="714">
        <f>VLOOKUP(C1165,'Luong VP'!$B$10:$AP$189,15,0)</f>
        <v>0</v>
      </c>
      <c r="D1177" s="717"/>
      <c r="E1177" s="710">
        <v>8</v>
      </c>
      <c r="F1177" s="718" t="s">
        <v>238</v>
      </c>
      <c r="G1177" s="718"/>
      <c r="H1177" s="718"/>
      <c r="I1177" s="729"/>
      <c r="J1177" s="714">
        <f>VLOOKUP(C1165,'Luong VP'!$B$10:$AP$189,33,0)</f>
        <v>0</v>
      </c>
    </row>
    <row r="1178" spans="1:12" ht="9.1999999999999993" customHeight="1">
      <c r="A1178" s="712">
        <v>10</v>
      </c>
      <c r="B1178" s="713" t="s">
        <v>685</v>
      </c>
      <c r="C1178" s="714">
        <f>VLOOKUP(C1165,'Luong VP'!$B$10:$AP$189,16,0)</f>
        <v>0</v>
      </c>
      <c r="D1178" s="717"/>
      <c r="E1178" s="710" t="s">
        <v>686</v>
      </c>
      <c r="F1178" s="716" t="s">
        <v>687</v>
      </c>
      <c r="G1178" s="719"/>
      <c r="H1178" s="719"/>
      <c r="I1178" s="729"/>
      <c r="J1178" s="730"/>
    </row>
    <row r="1179" spans="1:12" ht="9.1999999999999993" customHeight="1">
      <c r="A1179" s="712">
        <v>11</v>
      </c>
      <c r="B1179" s="713" t="s">
        <v>688</v>
      </c>
      <c r="C1179" s="714">
        <f>VLOOKUP(C1165,'Luong VP'!$B$10:$AP$189,17,0)</f>
        <v>0</v>
      </c>
      <c r="D1179" s="717"/>
      <c r="E1179" s="710">
        <v>1</v>
      </c>
      <c r="F1179" s="716" t="s">
        <v>689</v>
      </c>
      <c r="G1179" s="719"/>
      <c r="H1179" s="719"/>
      <c r="I1179" s="714">
        <f>VLOOKUP(C1165,'Luong VP'!$B$10:$AP$189,30,0)</f>
        <v>0</v>
      </c>
      <c r="J1179" s="714">
        <f>VLOOKUP(C1165,'Luong VP'!$B$10:$AP$189,30,0)</f>
        <v>0</v>
      </c>
    </row>
    <row r="1180" spans="1:12" ht="9.1999999999999993" customHeight="1">
      <c r="A1180" s="712">
        <v>12</v>
      </c>
      <c r="B1180" s="713" t="s">
        <v>691</v>
      </c>
      <c r="C1180" s="714">
        <f>VLOOKUP(C1165,'Luong VP'!$B$10:$AP$189,18,0)</f>
        <v>0</v>
      </c>
      <c r="D1180" s="717"/>
      <c r="E1180" s="710">
        <v>2</v>
      </c>
      <c r="F1180" s="718" t="s">
        <v>239</v>
      </c>
      <c r="G1180" s="718"/>
      <c r="H1180" s="718"/>
      <c r="I1180" s="727"/>
      <c r="J1180" s="728">
        <f>VLOOKUP(C1165,'Luong VP'!$B$10:$AP$189,34,0)</f>
        <v>0</v>
      </c>
      <c r="K1180" s="731"/>
      <c r="L1180" s="715"/>
    </row>
    <row r="1181" spans="1:12" ht="9.1999999999999993" customHeight="1">
      <c r="A1181" s="712">
        <v>13</v>
      </c>
      <c r="B1181" s="713" t="s">
        <v>692</v>
      </c>
      <c r="C1181" s="714">
        <f>VLOOKUP(C1165,'Luong VP'!$B$10:$AP$189,19,0)</f>
        <v>0</v>
      </c>
      <c r="D1181" s="717"/>
      <c r="E1181" s="710">
        <v>3</v>
      </c>
      <c r="F1181" s="716" t="s">
        <v>693</v>
      </c>
      <c r="G1181" s="719"/>
      <c r="H1181" s="719"/>
      <c r="I1181" s="729"/>
      <c r="J1181" s="714">
        <f>VLOOKUP(C1165,'Luong VP'!$B$10:$AP$189,40,0)</f>
        <v>0</v>
      </c>
      <c r="K1181" s="731"/>
      <c r="L1181" s="715"/>
    </row>
    <row r="1182" spans="1:12" ht="9.1999999999999993" customHeight="1">
      <c r="A1182" s="712">
        <v>14</v>
      </c>
      <c r="B1182" s="713" t="s">
        <v>694</v>
      </c>
      <c r="C1182" s="714">
        <f>VLOOKUP(C1165,'Luong VP'!$B$10:$AP$189,20,0)</f>
        <v>0</v>
      </c>
      <c r="D1182" s="717"/>
      <c r="E1182" s="710">
        <v>4</v>
      </c>
      <c r="F1182" s="718" t="s">
        <v>695</v>
      </c>
      <c r="G1182" s="719"/>
      <c r="H1182" s="719"/>
      <c r="I1182" s="729"/>
      <c r="J1182" s="714">
        <f>VLOOKUP(C1165,'Luong VP'!$B$10:$AP$189,35,0)</f>
        <v>0</v>
      </c>
      <c r="K1182" s="732"/>
      <c r="L1182" s="715"/>
    </row>
    <row r="1183" spans="1:12" ht="9.1999999999999993" customHeight="1">
      <c r="A1183" s="712"/>
      <c r="B1183" s="707" t="s">
        <v>656</v>
      </c>
      <c r="C1183" s="714">
        <f>SUM(C1169:C1182)</f>
        <v>11151.2</v>
      </c>
      <c r="D1183" s="717"/>
      <c r="E1183" s="710"/>
      <c r="F1183" s="716" t="s">
        <v>241</v>
      </c>
      <c r="G1183" s="719"/>
      <c r="H1183" s="719"/>
      <c r="I1183" s="729"/>
      <c r="J1183" s="730">
        <f>SUM(J1170:J1182)+C1177</f>
        <v>11555.815384615385</v>
      </c>
      <c r="K1183" s="731"/>
      <c r="L1183" s="715"/>
    </row>
    <row r="1184" spans="1:12" ht="9.1999999999999993" customHeight="1">
      <c r="B1184" s="720"/>
      <c r="C1184" s="717"/>
      <c r="D1184" s="717"/>
      <c r="E1184" s="710" t="s">
        <v>696</v>
      </c>
      <c r="F1184" s="711" t="s">
        <v>697</v>
      </c>
      <c r="G1184" s="710"/>
      <c r="H1184" s="710"/>
      <c r="I1184" s="729"/>
      <c r="J1184" s="730">
        <f>SUM(J1185:J1187)</f>
        <v>504</v>
      </c>
      <c r="K1184" s="732"/>
      <c r="L1184" s="715"/>
    </row>
    <row r="1185" spans="1:12" ht="9.1999999999999993" customHeight="1">
      <c r="B1185" s="720"/>
      <c r="C1185" s="717"/>
      <c r="D1185" s="717"/>
      <c r="E1185" s="710">
        <v>1</v>
      </c>
      <c r="F1185" s="718" t="s">
        <v>698</v>
      </c>
      <c r="G1185" s="718"/>
      <c r="H1185" s="718"/>
      <c r="I1185" s="733"/>
      <c r="J1185" s="714">
        <f>VLOOKUP(C1165,'Luong VP'!$B$10:$AP$189,37,0)</f>
        <v>504</v>
      </c>
      <c r="K1185" s="732"/>
      <c r="L1185" s="715"/>
    </row>
    <row r="1186" spans="1:12" ht="9.1999999999999993" customHeight="1">
      <c r="B1186" s="720"/>
      <c r="C1186" s="717"/>
      <c r="D1186" s="717"/>
      <c r="E1186" s="710">
        <v>2</v>
      </c>
      <c r="F1186" s="718" t="s">
        <v>244</v>
      </c>
      <c r="G1186" s="718"/>
      <c r="H1186" s="718"/>
      <c r="I1186" s="729"/>
      <c r="J1186" s="714">
        <f>VLOOKUP(C1165,'Luong VP'!$B$10:$AP$189,39,0)</f>
        <v>0</v>
      </c>
      <c r="K1186" s="734"/>
      <c r="L1186" s="735"/>
    </row>
    <row r="1187" spans="1:12" ht="9.1999999999999993" customHeight="1">
      <c r="B1187" s="720"/>
      <c r="C1187" s="717"/>
      <c r="D1187" s="717"/>
      <c r="E1187" s="710"/>
      <c r="F1187" s="718" t="s">
        <v>699</v>
      </c>
      <c r="G1187" s="718"/>
      <c r="H1187" s="718"/>
      <c r="I1187" s="729"/>
      <c r="J1187" s="714"/>
      <c r="K1187" s="714"/>
      <c r="L1187" s="736"/>
    </row>
    <row r="1188" spans="1:12" ht="9.1999999999999993" customHeight="1">
      <c r="B1188" s="720"/>
      <c r="C1188" s="717"/>
      <c r="D1188" s="717"/>
      <c r="E1188" s="710" t="s">
        <v>700</v>
      </c>
      <c r="F1188" s="710" t="s">
        <v>246</v>
      </c>
      <c r="G1188" s="710"/>
      <c r="H1188" s="710"/>
      <c r="I1188" s="729"/>
      <c r="J1188" s="728">
        <f>J1183-J1184</f>
        <v>11051.815384615385</v>
      </c>
      <c r="K1188" s="728">
        <f>ROUND(J1188,-1)</f>
        <v>11050</v>
      </c>
      <c r="L1188" s="710"/>
    </row>
    <row r="1189" spans="1:12" ht="9.1999999999999993" customHeight="1">
      <c r="B1189" s="720"/>
      <c r="C1189" s="717"/>
      <c r="D1189" s="717"/>
      <c r="E1189" s="715"/>
      <c r="F1189" s="715"/>
      <c r="G1189" s="715"/>
      <c r="I1189" s="715" t="s">
        <v>701</v>
      </c>
      <c r="J1189" s="737"/>
      <c r="K1189" s="737"/>
      <c r="L1189" s="715"/>
    </row>
    <row r="1190" spans="1:12" ht="9.1999999999999993" customHeight="1">
      <c r="B1190" s="720"/>
      <c r="C1190" s="717"/>
      <c r="D1190" s="717"/>
      <c r="E1190" s="715"/>
      <c r="F1190" s="715"/>
      <c r="G1190" s="715"/>
      <c r="I1190" s="715"/>
      <c r="J1190" s="737"/>
      <c r="K1190" s="737"/>
      <c r="L1190" s="715"/>
    </row>
    <row r="1191" spans="1:12" ht="9.1999999999999993" customHeight="1">
      <c r="B1191" s="720"/>
      <c r="C1191" s="717"/>
      <c r="D1191" s="717"/>
      <c r="E1191" s="715"/>
      <c r="F1191" s="715"/>
      <c r="G1191" s="715"/>
      <c r="I1191" s="715"/>
      <c r="J1191" s="737"/>
      <c r="K1191" s="737"/>
      <c r="L1191" s="715"/>
    </row>
    <row r="1196" spans="1:12" ht="9.1999999999999993" customHeight="1">
      <c r="C1196" s="696"/>
      <c r="D1196" s="696"/>
      <c r="E1196" s="697" t="str">
        <f>$E$2</f>
        <v>THẺ LƯƠNG THÁNG 08/2019</v>
      </c>
      <c r="F1196" s="698"/>
      <c r="G1196" s="698"/>
      <c r="H1196" s="698"/>
    </row>
    <row r="1197" spans="1:12" ht="9.1999999999999993" customHeight="1">
      <c r="B1197" s="699" t="s">
        <v>644</v>
      </c>
      <c r="C1197" s="700" t="s">
        <v>348</v>
      </c>
      <c r="D1197" s="701"/>
      <c r="F1197" s="702" t="s">
        <v>645</v>
      </c>
      <c r="G1197" s="689" t="str">
        <f>VLOOKUP(C1197,'Luong VP'!$B$10:$AP$189,2,0)</f>
        <v xml:space="preserve"> Trần Ngọc Thạch </v>
      </c>
    </row>
    <row r="1198" spans="1:12" ht="9.1999999999999993" customHeight="1">
      <c r="B1198" s="699" t="s">
        <v>646</v>
      </c>
      <c r="C1198" s="689" t="str">
        <f>VLOOKUP(C1197,'Luong VP'!$B$10:$AP$189,3,0)</f>
        <v>NV triển khai thực hiện dự án</v>
      </c>
      <c r="F1198" s="702" t="s">
        <v>647</v>
      </c>
      <c r="G1198" s="689">
        <f>VLOOKUP(C1197,'Luong VP'!$B$10:$AP$189,5,0)</f>
        <v>1</v>
      </c>
    </row>
    <row r="1199" spans="1:12" ht="9.1999999999999993" customHeight="1">
      <c r="B1199" s="703"/>
      <c r="C1199" s="704"/>
      <c r="D1199" s="705"/>
      <c r="F1199" s="706" t="s">
        <v>648</v>
      </c>
      <c r="G1199" s="706"/>
      <c r="H1199" s="706"/>
      <c r="I1199" s="725"/>
      <c r="J1199" s="726"/>
    </row>
    <row r="1200" spans="1:12" ht="9.1999999999999993" customHeight="1">
      <c r="A1200" s="707" t="s">
        <v>216</v>
      </c>
      <c r="B1200" s="707" t="s">
        <v>649</v>
      </c>
      <c r="C1200" s="708" t="s">
        <v>650</v>
      </c>
      <c r="D1200" s="709"/>
      <c r="E1200" s="710" t="s">
        <v>216</v>
      </c>
      <c r="F1200" s="711" t="s">
        <v>649</v>
      </c>
      <c r="G1200" s="710"/>
      <c r="H1200" s="710" t="s">
        <v>651</v>
      </c>
      <c r="I1200" s="727" t="s">
        <v>652</v>
      </c>
      <c r="J1200" s="714"/>
      <c r="L1200" s="694" t="s">
        <v>653</v>
      </c>
    </row>
    <row r="1201" spans="1:12" ht="9.1999999999999993" customHeight="1">
      <c r="A1201" s="712">
        <v>1</v>
      </c>
      <c r="B1201" s="713" t="s">
        <v>654</v>
      </c>
      <c r="C1201" s="714">
        <f>VLOOKUP(C1197,'Luong VP'!$B$10:$AP$189,9,0)</f>
        <v>7900</v>
      </c>
      <c r="D1201" s="715"/>
      <c r="E1201" s="710" t="s">
        <v>655</v>
      </c>
      <c r="F1201" s="716" t="s">
        <v>656</v>
      </c>
      <c r="G1201" s="710"/>
      <c r="H1201" s="710"/>
      <c r="I1201" s="727"/>
      <c r="J1201" s="714">
        <f>VLOOKUP(C1197,'Luong VP'!$B$10:$AP$189,21,0)</f>
        <v>7900</v>
      </c>
    </row>
    <row r="1202" spans="1:12" ht="9.1999999999999993" customHeight="1">
      <c r="A1202" s="712">
        <v>2</v>
      </c>
      <c r="B1202" s="713" t="s">
        <v>658</v>
      </c>
      <c r="C1202" s="714"/>
      <c r="D1202" s="717"/>
      <c r="E1202" s="710">
        <v>1</v>
      </c>
      <c r="F1202" s="718" t="s">
        <v>659</v>
      </c>
      <c r="G1202" s="718"/>
      <c r="H1202" s="710" t="s">
        <v>660</v>
      </c>
      <c r="I1202" s="727">
        <f>VLOOKUP(C1197,'Luong VP'!$B$10:$AP$189,22,0)</f>
        <v>26</v>
      </c>
      <c r="J1202" s="728">
        <f>J1201/'Cham cong'!$AS$3*I1202</f>
        <v>7900.0000000000009</v>
      </c>
    </row>
    <row r="1203" spans="1:12" ht="9.1999999999999993" customHeight="1">
      <c r="A1203" s="712">
        <v>3</v>
      </c>
      <c r="B1203" s="713" t="s">
        <v>661</v>
      </c>
      <c r="C1203" s="714">
        <f>VLOOKUP(C1197,'Luong VP'!$B$10:$AP$189,10,0)</f>
        <v>0</v>
      </c>
      <c r="D1203" s="717"/>
      <c r="E1203" s="710">
        <v>2</v>
      </c>
      <c r="F1203" s="718" t="s">
        <v>662</v>
      </c>
      <c r="G1203" s="718"/>
      <c r="H1203" s="710" t="s">
        <v>660</v>
      </c>
      <c r="I1203" s="727">
        <f>VLOOKUP(C1197,'Luong VP'!$B$10:$AP$189,27,0)</f>
        <v>0</v>
      </c>
      <c r="J1203" s="728">
        <f>J1201/'Cham cong'!$AS$3*I1203*3</f>
        <v>0</v>
      </c>
    </row>
    <row r="1204" spans="1:12" ht="9.1999999999999993" customHeight="1">
      <c r="A1204" s="712">
        <v>4</v>
      </c>
      <c r="B1204" s="713" t="s">
        <v>666</v>
      </c>
      <c r="C1204" s="714">
        <f>VLOOKUP(C1197,'Luong VP'!$B$10:$AP$189,11,0)</f>
        <v>0</v>
      </c>
      <c r="D1204" s="717"/>
      <c r="E1204" s="710">
        <v>3</v>
      </c>
      <c r="F1204" s="718" t="s">
        <v>667</v>
      </c>
      <c r="G1204" s="718"/>
      <c r="H1204" s="710" t="s">
        <v>668</v>
      </c>
      <c r="I1204" s="727">
        <f>VLOOKUP(C1197,'Luong VP'!$B$10:$AP$189,26,0)</f>
        <v>0</v>
      </c>
      <c r="J1204" s="728">
        <f>J1201/'Cham cong'!$AS$3*I1204/8*1.5</f>
        <v>0</v>
      </c>
    </row>
    <row r="1205" spans="1:12" ht="9.1999999999999993" customHeight="1">
      <c r="A1205" s="712">
        <v>5</v>
      </c>
      <c r="B1205" s="713" t="s">
        <v>670</v>
      </c>
      <c r="C1205" s="714">
        <f>VLOOKUP(C1197,'Luong VP'!$B$10:$AP$189,12,0)</f>
        <v>0</v>
      </c>
      <c r="D1205" s="717"/>
      <c r="E1205" s="710">
        <v>4</v>
      </c>
      <c r="F1205" s="718" t="s">
        <v>671</v>
      </c>
      <c r="G1205" s="718"/>
      <c r="H1205" s="710" t="s">
        <v>668</v>
      </c>
      <c r="I1205" s="727">
        <f>VLOOKUP(C1197,'Luong VP'!$B$10:$AP$189,25,0)</f>
        <v>0</v>
      </c>
      <c r="J1205" s="728">
        <f>J1201/'Cham cong'!$AS$3*I1205/8*2</f>
        <v>0</v>
      </c>
    </row>
    <row r="1206" spans="1:12" ht="9.1999999999999993" customHeight="1">
      <c r="A1206" s="712">
        <v>6</v>
      </c>
      <c r="B1206" s="713" t="s">
        <v>673</v>
      </c>
      <c r="C1206" s="714">
        <f>VLOOKUP(C1197,'Luong VP'!$B$10:$AP$189,13,0)</f>
        <v>0</v>
      </c>
      <c r="D1206" s="717"/>
      <c r="E1206" s="710">
        <v>5</v>
      </c>
      <c r="F1206" s="718" t="s">
        <v>674</v>
      </c>
      <c r="G1206" s="718"/>
      <c r="H1206" s="710" t="s">
        <v>660</v>
      </c>
      <c r="I1206" s="727">
        <f>VLOOKUP(C1197,'Luong VP'!$B$10:$AP$189,23,0)</f>
        <v>0</v>
      </c>
      <c r="J1206" s="728">
        <f>C1201/'Cham cong'!$AS$3*I1206</f>
        <v>0</v>
      </c>
      <c r="L1206" s="694" t="str">
        <f>G1197</f>
        <v xml:space="preserve"> Trần Ngọc Thạch </v>
      </c>
    </row>
    <row r="1207" spans="1:12" ht="9.1999999999999993" customHeight="1">
      <c r="A1207" s="712">
        <v>7</v>
      </c>
      <c r="B1207" s="713" t="s">
        <v>676</v>
      </c>
      <c r="C1207" s="714"/>
      <c r="D1207" s="717"/>
      <c r="E1207" s="710">
        <v>6</v>
      </c>
      <c r="F1207" s="718" t="s">
        <v>677</v>
      </c>
      <c r="G1207" s="718"/>
      <c r="H1207" s="710" t="s">
        <v>660</v>
      </c>
      <c r="I1207" s="727">
        <f>VLOOKUP(C1197,'Luong VP'!$B$10:$AP$189,24,0)</f>
        <v>1</v>
      </c>
      <c r="J1207" s="714">
        <f>C1201/'Cham cong'!$AS$3*I1207</f>
        <v>303.84615384615387</v>
      </c>
    </row>
    <row r="1208" spans="1:12" ht="9.1999999999999993" customHeight="1">
      <c r="A1208" s="712">
        <v>8</v>
      </c>
      <c r="B1208" s="713" t="s">
        <v>679</v>
      </c>
      <c r="C1208" s="714">
        <f>VLOOKUP(C1197,'Luong VP'!$B$10:$AP$189,14,0)</f>
        <v>0</v>
      </c>
      <c r="D1208" s="717"/>
      <c r="E1208" s="710">
        <v>7</v>
      </c>
      <c r="F1208" s="718" t="s">
        <v>680</v>
      </c>
      <c r="G1208" s="718"/>
      <c r="H1208" s="718"/>
      <c r="I1208" s="729"/>
      <c r="J1208" s="714">
        <f>VLOOKUP(C1197,'Luong VP'!$B$10:$AP$189,28,0)</f>
        <v>0</v>
      </c>
    </row>
    <row r="1209" spans="1:12" ht="9.1999999999999993" customHeight="1">
      <c r="A1209" s="712">
        <v>9</v>
      </c>
      <c r="B1209" s="713" t="s">
        <v>683</v>
      </c>
      <c r="C1209" s="714">
        <f>VLOOKUP(C1197,'Luong VP'!$B$10:$AP$189,15,0)</f>
        <v>0</v>
      </c>
      <c r="D1209" s="717"/>
      <c r="E1209" s="710">
        <v>8</v>
      </c>
      <c r="F1209" s="718" t="s">
        <v>238</v>
      </c>
      <c r="G1209" s="718"/>
      <c r="H1209" s="718"/>
      <c r="I1209" s="729"/>
      <c r="J1209" s="714">
        <f>VLOOKUP(C1197,'Luong VP'!$B$10:$AP$189,33,0)</f>
        <v>0</v>
      </c>
    </row>
    <row r="1210" spans="1:12" ht="9.1999999999999993" customHeight="1">
      <c r="A1210" s="712">
        <v>10</v>
      </c>
      <c r="B1210" s="713" t="s">
        <v>685</v>
      </c>
      <c r="C1210" s="714">
        <f>VLOOKUP(C1197,'Luong VP'!$B$10:$AP$189,16,0)</f>
        <v>0</v>
      </c>
      <c r="D1210" s="717"/>
      <c r="E1210" s="710" t="s">
        <v>686</v>
      </c>
      <c r="F1210" s="716" t="s">
        <v>687</v>
      </c>
      <c r="G1210" s="719"/>
      <c r="H1210" s="719"/>
      <c r="I1210" s="729"/>
      <c r="J1210" s="730"/>
    </row>
    <row r="1211" spans="1:12" ht="9.1999999999999993" customHeight="1">
      <c r="A1211" s="712">
        <v>11</v>
      </c>
      <c r="B1211" s="713" t="s">
        <v>688</v>
      </c>
      <c r="C1211" s="714">
        <f>VLOOKUP(C1197,'Luong VP'!$B$10:$AP$189,17,0)</f>
        <v>0</v>
      </c>
      <c r="D1211" s="717"/>
      <c r="E1211" s="710">
        <v>1</v>
      </c>
      <c r="F1211" s="716" t="s">
        <v>689</v>
      </c>
      <c r="G1211" s="719"/>
      <c r="H1211" s="719"/>
      <c r="I1211" s="714">
        <f>VLOOKUP(C1197,'Luong VP'!$B$10:$AP$189,30,0)</f>
        <v>0</v>
      </c>
      <c r="J1211" s="714">
        <f>VLOOKUP(C1197,'Luong VP'!$B$10:$AP$189,30,0)</f>
        <v>0</v>
      </c>
    </row>
    <row r="1212" spans="1:12" ht="9.1999999999999993" customHeight="1">
      <c r="A1212" s="712">
        <v>12</v>
      </c>
      <c r="B1212" s="713" t="s">
        <v>691</v>
      </c>
      <c r="C1212" s="714">
        <f>VLOOKUP(C1197,'Luong VP'!$B$10:$AP$189,18,0)</f>
        <v>0</v>
      </c>
      <c r="D1212" s="717"/>
      <c r="E1212" s="710">
        <v>2</v>
      </c>
      <c r="F1212" s="718" t="s">
        <v>239</v>
      </c>
      <c r="G1212" s="718"/>
      <c r="H1212" s="718"/>
      <c r="I1212" s="727"/>
      <c r="J1212" s="728">
        <f>VLOOKUP(C1197,'Luong VP'!$B$10:$AP$189,34,0)</f>
        <v>0</v>
      </c>
      <c r="K1212" s="731"/>
      <c r="L1212" s="715"/>
    </row>
    <row r="1213" spans="1:12" ht="9.1999999999999993" customHeight="1">
      <c r="A1213" s="712">
        <v>13</v>
      </c>
      <c r="B1213" s="713" t="s">
        <v>692</v>
      </c>
      <c r="C1213" s="714">
        <f>VLOOKUP(C1197,'Luong VP'!$B$10:$AP$189,19,0)</f>
        <v>0</v>
      </c>
      <c r="D1213" s="717"/>
      <c r="E1213" s="710">
        <v>3</v>
      </c>
      <c r="F1213" s="716" t="s">
        <v>693</v>
      </c>
      <c r="G1213" s="719"/>
      <c r="H1213" s="719"/>
      <c r="I1213" s="729"/>
      <c r="J1213" s="714">
        <f>VLOOKUP(C1197,'Luong VP'!$B$10:$AP$189,40,0)</f>
        <v>0</v>
      </c>
      <c r="K1213" s="731"/>
      <c r="L1213" s="715"/>
    </row>
    <row r="1214" spans="1:12" ht="9.1999999999999993" customHeight="1">
      <c r="A1214" s="712">
        <v>14</v>
      </c>
      <c r="B1214" s="713" t="s">
        <v>694</v>
      </c>
      <c r="C1214" s="714">
        <f>VLOOKUP(C1197,'Luong VP'!$B$10:$AP$189,20,0)</f>
        <v>0</v>
      </c>
      <c r="D1214" s="717"/>
      <c r="E1214" s="710">
        <v>4</v>
      </c>
      <c r="F1214" s="718" t="s">
        <v>695</v>
      </c>
      <c r="G1214" s="719"/>
      <c r="H1214" s="719"/>
      <c r="I1214" s="729"/>
      <c r="J1214" s="714">
        <f>VLOOKUP(C1197,'Luong VP'!$B$10:$AP$189,35,0)</f>
        <v>0</v>
      </c>
      <c r="K1214" s="732"/>
      <c r="L1214" s="715"/>
    </row>
    <row r="1215" spans="1:12" ht="9.1999999999999993" customHeight="1">
      <c r="A1215" s="712"/>
      <c r="B1215" s="707" t="s">
        <v>656</v>
      </c>
      <c r="C1215" s="714">
        <f>SUM(C1201:C1214)</f>
        <v>7900</v>
      </c>
      <c r="D1215" s="717"/>
      <c r="E1215" s="710"/>
      <c r="F1215" s="716" t="s">
        <v>241</v>
      </c>
      <c r="G1215" s="719"/>
      <c r="H1215" s="719"/>
      <c r="I1215" s="729"/>
      <c r="J1215" s="730">
        <f>SUM(J1202:J1214)+C1209</f>
        <v>8203.8461538461543</v>
      </c>
      <c r="K1215" s="731"/>
      <c r="L1215" s="715"/>
    </row>
    <row r="1216" spans="1:12" ht="9.1999999999999993" customHeight="1">
      <c r="B1216" s="720"/>
      <c r="C1216" s="717"/>
      <c r="D1216" s="717"/>
      <c r="E1216" s="710" t="s">
        <v>696</v>
      </c>
      <c r="F1216" s="711" t="s">
        <v>697</v>
      </c>
      <c r="G1216" s="710"/>
      <c r="H1216" s="710"/>
      <c r="I1216" s="729"/>
      <c r="J1216" s="730">
        <f>SUM(J1217:J1219)</f>
        <v>504</v>
      </c>
      <c r="K1216" s="732"/>
      <c r="L1216" s="715"/>
    </row>
    <row r="1217" spans="1:12" ht="9.1999999999999993" customHeight="1">
      <c r="B1217" s="720"/>
      <c r="C1217" s="717"/>
      <c r="D1217" s="717"/>
      <c r="E1217" s="710">
        <v>1</v>
      </c>
      <c r="F1217" s="718" t="s">
        <v>698</v>
      </c>
      <c r="G1217" s="718"/>
      <c r="H1217" s="718"/>
      <c r="I1217" s="733"/>
      <c r="J1217" s="714">
        <f>VLOOKUP(C1197,'Luong VP'!$B$10:$AP$189,37,0)</f>
        <v>504</v>
      </c>
      <c r="K1217" s="732"/>
      <c r="L1217" s="715"/>
    </row>
    <row r="1218" spans="1:12" ht="9.1999999999999993" customHeight="1">
      <c r="B1218" s="720"/>
      <c r="C1218" s="717"/>
      <c r="D1218" s="717"/>
      <c r="E1218" s="710">
        <v>2</v>
      </c>
      <c r="F1218" s="718" t="s">
        <v>244</v>
      </c>
      <c r="G1218" s="718"/>
      <c r="H1218" s="718"/>
      <c r="I1218" s="729"/>
      <c r="J1218" s="714">
        <f>VLOOKUP(C1197,'Luong VP'!$B$10:$AP$189,39,0)</f>
        <v>0</v>
      </c>
      <c r="K1218" s="734"/>
      <c r="L1218" s="735"/>
    </row>
    <row r="1219" spans="1:12" ht="9.1999999999999993" customHeight="1">
      <c r="B1219" s="720"/>
      <c r="C1219" s="717"/>
      <c r="D1219" s="717"/>
      <c r="E1219" s="710"/>
      <c r="F1219" s="718" t="s">
        <v>699</v>
      </c>
      <c r="G1219" s="718"/>
      <c r="H1219" s="718"/>
      <c r="I1219" s="729"/>
      <c r="J1219" s="714"/>
      <c r="K1219" s="714"/>
      <c r="L1219" s="736"/>
    </row>
    <row r="1220" spans="1:12" ht="9.1999999999999993" customHeight="1">
      <c r="B1220" s="720"/>
      <c r="C1220" s="717"/>
      <c r="D1220" s="717"/>
      <c r="E1220" s="710" t="s">
        <v>700</v>
      </c>
      <c r="F1220" s="710" t="s">
        <v>246</v>
      </c>
      <c r="G1220" s="710"/>
      <c r="H1220" s="710"/>
      <c r="I1220" s="729"/>
      <c r="J1220" s="728">
        <f>J1215-J1216</f>
        <v>7699.8461538461543</v>
      </c>
      <c r="K1220" s="728">
        <f>ROUND(J1220,-1)</f>
        <v>7700</v>
      </c>
      <c r="L1220" s="710"/>
    </row>
    <row r="1221" spans="1:12" ht="9.1999999999999993" customHeight="1">
      <c r="B1221" s="720"/>
      <c r="C1221" s="717"/>
      <c r="D1221" s="717"/>
      <c r="E1221" s="715"/>
      <c r="F1221" s="715"/>
      <c r="G1221" s="715"/>
      <c r="I1221" s="715" t="s">
        <v>701</v>
      </c>
      <c r="J1221" s="737"/>
      <c r="K1221" s="737"/>
      <c r="L1221" s="715"/>
    </row>
    <row r="1222" spans="1:12" ht="9.1999999999999993" customHeight="1">
      <c r="B1222" s="720"/>
      <c r="C1222" s="717"/>
      <c r="D1222" s="717"/>
      <c r="E1222" s="715"/>
      <c r="F1222" s="715"/>
      <c r="G1222" s="715"/>
      <c r="I1222" s="715"/>
      <c r="J1222" s="737"/>
      <c r="K1222" s="737"/>
      <c r="L1222" s="715"/>
    </row>
    <row r="1223" spans="1:12" ht="9.1999999999999993" customHeight="1">
      <c r="B1223" s="720"/>
      <c r="C1223" s="717"/>
      <c r="D1223" s="717"/>
      <c r="E1223" s="715"/>
      <c r="F1223" s="715"/>
      <c r="G1223" s="715"/>
      <c r="I1223" s="715"/>
      <c r="J1223" s="737"/>
      <c r="K1223" s="737"/>
      <c r="L1223" s="715"/>
    </row>
    <row r="1224" spans="1:12" ht="9.1999999999999993" customHeight="1">
      <c r="B1224" s="720"/>
      <c r="C1224" s="717"/>
      <c r="D1224" s="717"/>
      <c r="E1224" s="715"/>
      <c r="F1224" s="715"/>
      <c r="G1224" s="715"/>
      <c r="I1224" s="715"/>
      <c r="J1224" s="737"/>
      <c r="K1224" s="737"/>
      <c r="L1224" s="715"/>
    </row>
    <row r="1225" spans="1:12" ht="9.1999999999999993" customHeight="1">
      <c r="C1225" s="696"/>
      <c r="D1225" s="696"/>
      <c r="E1225" s="697" t="str">
        <f>$E$2</f>
        <v>THẺ LƯƠNG THÁNG 08/2019</v>
      </c>
      <c r="F1225" s="698"/>
      <c r="G1225" s="698"/>
      <c r="H1225" s="698"/>
    </row>
    <row r="1226" spans="1:12" ht="9.1999999999999993" customHeight="1">
      <c r="B1226" s="699" t="s">
        <v>644</v>
      </c>
      <c r="C1226" s="700" t="s">
        <v>350</v>
      </c>
      <c r="D1226" s="701"/>
      <c r="F1226" s="702" t="s">
        <v>645</v>
      </c>
      <c r="G1226" s="689" t="str">
        <f>VLOOKUP(C1226,'Luong VP'!$B$10:$AP$189,2,0)</f>
        <v xml:space="preserve"> Trần Thị Minh Thương </v>
      </c>
    </row>
    <row r="1227" spans="1:12" ht="9.1999999999999993" customHeight="1">
      <c r="B1227" s="699" t="s">
        <v>646</v>
      </c>
      <c r="C1227" s="689" t="str">
        <f>VLOOKUP(C1226,'Luong VP'!$B$10:$AP$189,3,0)</f>
        <v>NV nghiệm thu thanh toán</v>
      </c>
      <c r="F1227" s="702" t="s">
        <v>647</v>
      </c>
      <c r="G1227" s="689">
        <f>VLOOKUP(C1226,'Luong VP'!$B$10:$AP$189,5,0)</f>
        <v>3</v>
      </c>
    </row>
    <row r="1228" spans="1:12" ht="9.1999999999999993" customHeight="1">
      <c r="B1228" s="703"/>
      <c r="C1228" s="704"/>
      <c r="D1228" s="705"/>
      <c r="F1228" s="706" t="s">
        <v>648</v>
      </c>
      <c r="G1228" s="706"/>
      <c r="H1228" s="706"/>
      <c r="I1228" s="725"/>
      <c r="J1228" s="726"/>
    </row>
    <row r="1229" spans="1:12" ht="9.1999999999999993" customHeight="1">
      <c r="A1229" s="707" t="s">
        <v>216</v>
      </c>
      <c r="B1229" s="707" t="s">
        <v>649</v>
      </c>
      <c r="C1229" s="708" t="s">
        <v>650</v>
      </c>
      <c r="D1229" s="709"/>
      <c r="E1229" s="710" t="s">
        <v>216</v>
      </c>
      <c r="F1229" s="711" t="s">
        <v>649</v>
      </c>
      <c r="G1229" s="710"/>
      <c r="H1229" s="710" t="s">
        <v>651</v>
      </c>
      <c r="I1229" s="727" t="s">
        <v>652</v>
      </c>
      <c r="J1229" s="714"/>
      <c r="L1229" s="694" t="s">
        <v>653</v>
      </c>
    </row>
    <row r="1230" spans="1:12" ht="9.1999999999999993" customHeight="1">
      <c r="A1230" s="712">
        <v>1</v>
      </c>
      <c r="B1230" s="713" t="s">
        <v>654</v>
      </c>
      <c r="C1230" s="714">
        <f>VLOOKUP(C1226,'Luong VP'!$B$10:$AP$189,9,0)</f>
        <v>8120</v>
      </c>
      <c r="D1230" s="715"/>
      <c r="E1230" s="710" t="s">
        <v>655</v>
      </c>
      <c r="F1230" s="716" t="s">
        <v>656</v>
      </c>
      <c r="G1230" s="710"/>
      <c r="H1230" s="710"/>
      <c r="I1230" s="727"/>
      <c r="J1230" s="714">
        <f>VLOOKUP(C1226,'Luong VP'!$B$10:$AP$189,21,0)</f>
        <v>8363.6</v>
      </c>
    </row>
    <row r="1231" spans="1:12" ht="9.1999999999999993" customHeight="1">
      <c r="A1231" s="712">
        <v>2</v>
      </c>
      <c r="B1231" s="713" t="s">
        <v>658</v>
      </c>
      <c r="C1231" s="714"/>
      <c r="D1231" s="717"/>
      <c r="E1231" s="710">
        <v>1</v>
      </c>
      <c r="F1231" s="718" t="s">
        <v>659</v>
      </c>
      <c r="G1231" s="718"/>
      <c r="H1231" s="710" t="s">
        <v>660</v>
      </c>
      <c r="I1231" s="727">
        <f>VLOOKUP(C1226,'Luong VP'!$B$10:$AP$189,22,0)</f>
        <v>26</v>
      </c>
      <c r="J1231" s="728">
        <f>J1230/'Cham cong'!$AS$3*I1231</f>
        <v>8363.6</v>
      </c>
    </row>
    <row r="1232" spans="1:12" ht="9.1999999999999993" customHeight="1">
      <c r="A1232" s="712">
        <v>3</v>
      </c>
      <c r="B1232" s="713" t="s">
        <v>661</v>
      </c>
      <c r="C1232" s="714">
        <f>VLOOKUP(C1226,'Luong VP'!$B$10:$AP$189,10,0)</f>
        <v>0</v>
      </c>
      <c r="D1232" s="717"/>
      <c r="E1232" s="710">
        <v>2</v>
      </c>
      <c r="F1232" s="718" t="s">
        <v>662</v>
      </c>
      <c r="G1232" s="718"/>
      <c r="H1232" s="710" t="s">
        <v>660</v>
      </c>
      <c r="I1232" s="727">
        <f>VLOOKUP(C1226,'Luong VP'!$B$10:$AP$189,27,0)</f>
        <v>0</v>
      </c>
      <c r="J1232" s="728">
        <f>J1230/'Cham cong'!$AS$3*I1232*3</f>
        <v>0</v>
      </c>
    </row>
    <row r="1233" spans="1:12" ht="9.1999999999999993" customHeight="1">
      <c r="A1233" s="712">
        <v>4</v>
      </c>
      <c r="B1233" s="713" t="s">
        <v>666</v>
      </c>
      <c r="C1233" s="714">
        <f>VLOOKUP(C1226,'Luong VP'!$B$10:$AP$189,11,0)</f>
        <v>0</v>
      </c>
      <c r="D1233" s="717"/>
      <c r="E1233" s="710">
        <v>3</v>
      </c>
      <c r="F1233" s="718" t="s">
        <v>667</v>
      </c>
      <c r="G1233" s="718"/>
      <c r="H1233" s="710" t="s">
        <v>668</v>
      </c>
      <c r="I1233" s="727">
        <f>VLOOKUP(C1226,'Luong VP'!$B$10:$AP$189,26,0)</f>
        <v>0</v>
      </c>
      <c r="J1233" s="728">
        <f>J1230/'Cham cong'!$AS$3*I1233/8*1.5</f>
        <v>0</v>
      </c>
    </row>
    <row r="1234" spans="1:12" ht="9.1999999999999993" customHeight="1">
      <c r="A1234" s="712">
        <v>5</v>
      </c>
      <c r="B1234" s="713" t="s">
        <v>670</v>
      </c>
      <c r="C1234" s="714">
        <f>VLOOKUP(C1226,'Luong VP'!$B$10:$AP$189,12,0)</f>
        <v>243.6</v>
      </c>
      <c r="D1234" s="717"/>
      <c r="E1234" s="710">
        <v>4</v>
      </c>
      <c r="F1234" s="718" t="s">
        <v>671</v>
      </c>
      <c r="G1234" s="718"/>
      <c r="H1234" s="710" t="s">
        <v>668</v>
      </c>
      <c r="I1234" s="727">
        <f>VLOOKUP(C1226,'Luong VP'!$B$10:$AP$189,25,0)</f>
        <v>0</v>
      </c>
      <c r="J1234" s="728">
        <f>J1230/'Cham cong'!$AS$3*I1234/8*2</f>
        <v>0</v>
      </c>
    </row>
    <row r="1235" spans="1:12" ht="9.1999999999999993" customHeight="1">
      <c r="A1235" s="712">
        <v>6</v>
      </c>
      <c r="B1235" s="713" t="s">
        <v>673</v>
      </c>
      <c r="C1235" s="714">
        <f>VLOOKUP(C1226,'Luong VP'!$B$10:$AP$189,13,0)</f>
        <v>0</v>
      </c>
      <c r="D1235" s="717"/>
      <c r="E1235" s="710">
        <v>5</v>
      </c>
      <c r="F1235" s="718" t="s">
        <v>674</v>
      </c>
      <c r="G1235" s="718"/>
      <c r="H1235" s="710" t="s">
        <v>660</v>
      </c>
      <c r="I1235" s="727">
        <f>VLOOKUP(C1226,'Luong VP'!$B$10:$AP$189,23,0)</f>
        <v>0</v>
      </c>
      <c r="J1235" s="728">
        <f>C1230/'Cham cong'!$AS$3*I1235</f>
        <v>0</v>
      </c>
      <c r="L1235" s="694" t="str">
        <f>G1226</f>
        <v xml:space="preserve"> Trần Thị Minh Thương </v>
      </c>
    </row>
    <row r="1236" spans="1:12" ht="9.1999999999999993" customHeight="1">
      <c r="A1236" s="712">
        <v>7</v>
      </c>
      <c r="B1236" s="713" t="s">
        <v>676</v>
      </c>
      <c r="C1236" s="714"/>
      <c r="D1236" s="717"/>
      <c r="E1236" s="710">
        <v>6</v>
      </c>
      <c r="F1236" s="718" t="s">
        <v>677</v>
      </c>
      <c r="G1236" s="718"/>
      <c r="H1236" s="710" t="s">
        <v>660</v>
      </c>
      <c r="I1236" s="727">
        <f>VLOOKUP(C1226,'Luong VP'!$B$10:$AP$189,24,0)</f>
        <v>1</v>
      </c>
      <c r="J1236" s="714">
        <f>C1230/'Cham cong'!$AS$3*I1236</f>
        <v>312.30769230769232</v>
      </c>
    </row>
    <row r="1237" spans="1:12" ht="9.1999999999999993" customHeight="1">
      <c r="A1237" s="712">
        <v>8</v>
      </c>
      <c r="B1237" s="713" t="s">
        <v>679</v>
      </c>
      <c r="C1237" s="714">
        <f>VLOOKUP(C1226,'Luong VP'!$B$10:$AP$189,14,0)</f>
        <v>0</v>
      </c>
      <c r="D1237" s="717"/>
      <c r="E1237" s="710">
        <v>7</v>
      </c>
      <c r="F1237" s="718" t="s">
        <v>680</v>
      </c>
      <c r="G1237" s="718"/>
      <c r="H1237" s="718"/>
      <c r="I1237" s="729"/>
      <c r="J1237" s="714">
        <f>VLOOKUP(C1226,'Luong VP'!$B$10:$AP$189,28,0)</f>
        <v>0</v>
      </c>
    </row>
    <row r="1238" spans="1:12" ht="9.1999999999999993" customHeight="1">
      <c r="A1238" s="712">
        <v>9</v>
      </c>
      <c r="B1238" s="713" t="s">
        <v>683</v>
      </c>
      <c r="C1238" s="714">
        <f>VLOOKUP(C1226,'Luong VP'!$B$10:$AP$189,15,0)</f>
        <v>0</v>
      </c>
      <c r="D1238" s="717"/>
      <c r="E1238" s="710">
        <v>8</v>
      </c>
      <c r="F1238" s="718" t="s">
        <v>238</v>
      </c>
      <c r="G1238" s="718"/>
      <c r="H1238" s="718"/>
      <c r="I1238" s="729"/>
      <c r="J1238" s="714">
        <f>VLOOKUP(C1226,'Luong VP'!$B$10:$AP$189,33,0)</f>
        <v>0</v>
      </c>
    </row>
    <row r="1239" spans="1:12" ht="9.1999999999999993" customHeight="1">
      <c r="A1239" s="712">
        <v>10</v>
      </c>
      <c r="B1239" s="713" t="s">
        <v>685</v>
      </c>
      <c r="C1239" s="714">
        <f>VLOOKUP(C1226,'Luong VP'!$B$10:$AP$189,16,0)</f>
        <v>0</v>
      </c>
      <c r="D1239" s="717"/>
      <c r="E1239" s="710" t="s">
        <v>686</v>
      </c>
      <c r="F1239" s="716" t="s">
        <v>687</v>
      </c>
      <c r="G1239" s="719"/>
      <c r="H1239" s="719"/>
      <c r="I1239" s="729"/>
      <c r="J1239" s="730"/>
    </row>
    <row r="1240" spans="1:12" ht="9.1999999999999993" customHeight="1">
      <c r="A1240" s="712">
        <v>11</v>
      </c>
      <c r="B1240" s="713" t="s">
        <v>688</v>
      </c>
      <c r="C1240" s="714">
        <f>VLOOKUP(C1226,'Luong VP'!$B$10:$AP$189,17,0)</f>
        <v>0</v>
      </c>
      <c r="D1240" s="717"/>
      <c r="E1240" s="710">
        <v>1</v>
      </c>
      <c r="F1240" s="716" t="s">
        <v>689</v>
      </c>
      <c r="G1240" s="719"/>
      <c r="H1240" s="719"/>
      <c r="I1240" s="714">
        <f>VLOOKUP(C1226,'Luong VP'!$B$10:$AP$189,30,0)</f>
        <v>0</v>
      </c>
      <c r="J1240" s="714">
        <f>VLOOKUP(C1226,'Luong VP'!$B$10:$AP$189,30,0)</f>
        <v>0</v>
      </c>
    </row>
    <row r="1241" spans="1:12" ht="9.1999999999999993" customHeight="1">
      <c r="A1241" s="712">
        <v>12</v>
      </c>
      <c r="B1241" s="713" t="s">
        <v>691</v>
      </c>
      <c r="C1241" s="714">
        <f>VLOOKUP(C1226,'Luong VP'!$B$10:$AP$189,18,0)</f>
        <v>0</v>
      </c>
      <c r="D1241" s="717"/>
      <c r="E1241" s="710">
        <v>2</v>
      </c>
      <c r="F1241" s="718" t="s">
        <v>239</v>
      </c>
      <c r="G1241" s="718"/>
      <c r="H1241" s="718"/>
      <c r="I1241" s="727"/>
      <c r="J1241" s="728">
        <f>VLOOKUP(C1226,'Luong VP'!$B$10:$AP$189,34,0)</f>
        <v>0</v>
      </c>
      <c r="K1241" s="731"/>
      <c r="L1241" s="715"/>
    </row>
    <row r="1242" spans="1:12" ht="9.1999999999999993" customHeight="1">
      <c r="A1242" s="712">
        <v>13</v>
      </c>
      <c r="B1242" s="713" t="s">
        <v>692</v>
      </c>
      <c r="C1242" s="714">
        <f>VLOOKUP(C1226,'Luong VP'!$B$10:$AP$189,19,0)</f>
        <v>0</v>
      </c>
      <c r="D1242" s="717"/>
      <c r="E1242" s="710">
        <v>3</v>
      </c>
      <c r="F1242" s="716" t="s">
        <v>693</v>
      </c>
      <c r="G1242" s="719"/>
      <c r="H1242" s="719"/>
      <c r="I1242" s="729"/>
      <c r="J1242" s="714">
        <f>VLOOKUP(C1226,'Luong VP'!$B$10:$AP$189,40,0)</f>
        <v>0</v>
      </c>
      <c r="K1242" s="731"/>
      <c r="L1242" s="715"/>
    </row>
    <row r="1243" spans="1:12" ht="9.1999999999999993" customHeight="1">
      <c r="A1243" s="712">
        <v>14</v>
      </c>
      <c r="B1243" s="713" t="s">
        <v>694</v>
      </c>
      <c r="C1243" s="714">
        <f>VLOOKUP(C1226,'Luong VP'!$B$10:$AP$189,20,0)</f>
        <v>0</v>
      </c>
      <c r="D1243" s="717"/>
      <c r="E1243" s="710">
        <v>4</v>
      </c>
      <c r="F1243" s="718" t="s">
        <v>695</v>
      </c>
      <c r="G1243" s="719"/>
      <c r="H1243" s="719"/>
      <c r="I1243" s="729"/>
      <c r="J1243" s="714">
        <f>VLOOKUP(C1226,'Luong VP'!$B$10:$AP$189,35,0)</f>
        <v>0</v>
      </c>
      <c r="K1243" s="732"/>
      <c r="L1243" s="715"/>
    </row>
    <row r="1244" spans="1:12" ht="9.1999999999999993" customHeight="1">
      <c r="A1244" s="712"/>
      <c r="B1244" s="707" t="s">
        <v>656</v>
      </c>
      <c r="C1244" s="714">
        <f>SUM(C1230:C1243)</f>
        <v>8363.6</v>
      </c>
      <c r="D1244" s="717"/>
      <c r="E1244" s="710"/>
      <c r="F1244" s="716" t="s">
        <v>241</v>
      </c>
      <c r="G1244" s="719"/>
      <c r="H1244" s="719"/>
      <c r="I1244" s="729"/>
      <c r="J1244" s="730">
        <f>SUM(J1231:J1243)+C1238</f>
        <v>8675.9076923076918</v>
      </c>
      <c r="K1244" s="731"/>
      <c r="L1244" s="715"/>
    </row>
    <row r="1245" spans="1:12" ht="9.1999999999999993" customHeight="1">
      <c r="B1245" s="720"/>
      <c r="C1245" s="717"/>
      <c r="D1245" s="717"/>
      <c r="E1245" s="710" t="s">
        <v>696</v>
      </c>
      <c r="F1245" s="711" t="s">
        <v>697</v>
      </c>
      <c r="G1245" s="710"/>
      <c r="H1245" s="710"/>
      <c r="I1245" s="729"/>
      <c r="J1245" s="730">
        <f>SUM(J1246:J1248)</f>
        <v>504</v>
      </c>
      <c r="K1245" s="732"/>
      <c r="L1245" s="715"/>
    </row>
    <row r="1246" spans="1:12" ht="9.1999999999999993" customHeight="1">
      <c r="B1246" s="720"/>
      <c r="C1246" s="717"/>
      <c r="D1246" s="717"/>
      <c r="E1246" s="710">
        <v>1</v>
      </c>
      <c r="F1246" s="718" t="s">
        <v>698</v>
      </c>
      <c r="G1246" s="718"/>
      <c r="H1246" s="718"/>
      <c r="I1246" s="733"/>
      <c r="J1246" s="714">
        <f>VLOOKUP(C1226,'Luong VP'!$B$10:$AP$189,37,0)</f>
        <v>504</v>
      </c>
      <c r="K1246" s="732"/>
      <c r="L1246" s="715"/>
    </row>
    <row r="1247" spans="1:12" ht="9.1999999999999993" customHeight="1">
      <c r="B1247" s="720"/>
      <c r="C1247" s="717"/>
      <c r="D1247" s="717"/>
      <c r="E1247" s="710">
        <v>2</v>
      </c>
      <c r="F1247" s="718" t="s">
        <v>244</v>
      </c>
      <c r="G1247" s="718"/>
      <c r="H1247" s="718"/>
      <c r="I1247" s="729"/>
      <c r="J1247" s="714">
        <f>VLOOKUP(C1226,'Luong VP'!$B$10:$AP$189,39,0)</f>
        <v>0</v>
      </c>
      <c r="K1247" s="734"/>
      <c r="L1247" s="735"/>
    </row>
    <row r="1248" spans="1:12" ht="9.1999999999999993" customHeight="1">
      <c r="B1248" s="720"/>
      <c r="C1248" s="717"/>
      <c r="D1248" s="717"/>
      <c r="E1248" s="710"/>
      <c r="F1248" s="718" t="s">
        <v>699</v>
      </c>
      <c r="G1248" s="718"/>
      <c r="H1248" s="718"/>
      <c r="I1248" s="729"/>
      <c r="J1248" s="714"/>
      <c r="K1248" s="714"/>
      <c r="L1248" s="736"/>
    </row>
    <row r="1249" spans="1:12" ht="9.1999999999999993" customHeight="1">
      <c r="B1249" s="720"/>
      <c r="C1249" s="717"/>
      <c r="D1249" s="717"/>
      <c r="E1249" s="710" t="s">
        <v>700</v>
      </c>
      <c r="F1249" s="710" t="s">
        <v>246</v>
      </c>
      <c r="G1249" s="710"/>
      <c r="H1249" s="710"/>
      <c r="I1249" s="729"/>
      <c r="J1249" s="728">
        <f>J1244-J1245</f>
        <v>8171.9076923076918</v>
      </c>
      <c r="K1249" s="728">
        <f>ROUND(J1249,-1)</f>
        <v>8170</v>
      </c>
      <c r="L1249" s="710"/>
    </row>
    <row r="1250" spans="1:12" ht="9.1999999999999993" customHeight="1">
      <c r="B1250" s="720"/>
      <c r="C1250" s="717"/>
      <c r="D1250" s="717"/>
      <c r="E1250" s="715"/>
      <c r="F1250" s="715"/>
      <c r="G1250" s="715"/>
      <c r="I1250" s="715" t="s">
        <v>701</v>
      </c>
      <c r="J1250" s="737"/>
      <c r="K1250" s="737"/>
      <c r="L1250" s="715"/>
    </row>
    <row r="1251" spans="1:12" ht="9.1999999999999993" customHeight="1">
      <c r="B1251" s="720"/>
      <c r="C1251" s="717"/>
      <c r="D1251" s="717"/>
      <c r="E1251" s="715"/>
      <c r="F1251" s="715"/>
      <c r="G1251" s="715"/>
      <c r="I1251" s="715"/>
      <c r="J1251" s="737"/>
      <c r="K1251" s="737"/>
      <c r="L1251" s="715"/>
    </row>
    <row r="1254" spans="1:12" ht="9.1999999999999993" customHeight="1">
      <c r="C1254" s="696"/>
      <c r="D1254" s="696"/>
      <c r="E1254" s="697" t="str">
        <f>$E$2</f>
        <v>THẺ LƯƠNG THÁNG 08/2019</v>
      </c>
      <c r="F1254" s="698"/>
      <c r="G1254" s="698"/>
      <c r="H1254" s="698"/>
    </row>
    <row r="1255" spans="1:12" ht="9.1999999999999993" customHeight="1">
      <c r="B1255" s="699" t="s">
        <v>644</v>
      </c>
      <c r="C1255" s="700" t="s">
        <v>355</v>
      </c>
      <c r="D1255" s="701"/>
      <c r="F1255" s="702" t="s">
        <v>645</v>
      </c>
      <c r="G1255" s="689" t="str">
        <f>VLOOKUP(C1255,'Luong VP'!$B$10:$AP$189,2,0)</f>
        <v xml:space="preserve"> Đỗ Thanh Tú </v>
      </c>
    </row>
    <row r="1256" spans="1:12" ht="9.1999999999999993" customHeight="1">
      <c r="B1256" s="699" t="s">
        <v>646</v>
      </c>
      <c r="C1256" s="689" t="str">
        <f>VLOOKUP(C1255,'Luong VP'!$B$10:$AP$189,3,0)</f>
        <v>Trưởng BP NCUD XLMT</v>
      </c>
      <c r="F1256" s="702" t="s">
        <v>647</v>
      </c>
      <c r="G1256" s="689">
        <f>VLOOKUP(C1255,'Luong VP'!$B$10:$AP$189,5,0)</f>
        <v>2</v>
      </c>
    </row>
    <row r="1257" spans="1:12" ht="9.1999999999999993" customHeight="1">
      <c r="B1257" s="703"/>
      <c r="C1257" s="704"/>
      <c r="D1257" s="705"/>
      <c r="F1257" s="706" t="s">
        <v>648</v>
      </c>
      <c r="G1257" s="706"/>
      <c r="H1257" s="706"/>
      <c r="I1257" s="725"/>
      <c r="J1257" s="726"/>
    </row>
    <row r="1258" spans="1:12" ht="9.1999999999999993" customHeight="1">
      <c r="A1258" s="707" t="s">
        <v>216</v>
      </c>
      <c r="B1258" s="707" t="s">
        <v>649</v>
      </c>
      <c r="C1258" s="708" t="s">
        <v>650</v>
      </c>
      <c r="D1258" s="709"/>
      <c r="E1258" s="710" t="s">
        <v>216</v>
      </c>
      <c r="F1258" s="711" t="s">
        <v>649</v>
      </c>
      <c r="G1258" s="710"/>
      <c r="H1258" s="710" t="s">
        <v>651</v>
      </c>
      <c r="I1258" s="727" t="s">
        <v>652</v>
      </c>
      <c r="J1258" s="714"/>
      <c r="L1258" s="694" t="s">
        <v>653</v>
      </c>
    </row>
    <row r="1259" spans="1:12" ht="9.1999999999999993" customHeight="1">
      <c r="A1259" s="712">
        <v>1</v>
      </c>
      <c r="B1259" s="713" t="s">
        <v>654</v>
      </c>
      <c r="C1259" s="714">
        <f>VLOOKUP(C1255,'Luong VP'!$B$10:$AP$189,9,0)</f>
        <v>10460</v>
      </c>
      <c r="D1259" s="715"/>
      <c r="E1259" s="710" t="s">
        <v>655</v>
      </c>
      <c r="F1259" s="716" t="s">
        <v>656</v>
      </c>
      <c r="G1259" s="710"/>
      <c r="H1259" s="710"/>
      <c r="I1259" s="727"/>
      <c r="J1259" s="714">
        <f>VLOOKUP(C1255,'Luong VP'!$B$10:$AP$189,21,0)</f>
        <v>10773.8</v>
      </c>
    </row>
    <row r="1260" spans="1:12" ht="9.1999999999999993" customHeight="1">
      <c r="A1260" s="712">
        <v>2</v>
      </c>
      <c r="B1260" s="713" t="s">
        <v>658</v>
      </c>
      <c r="C1260" s="714"/>
      <c r="D1260" s="717"/>
      <c r="E1260" s="710">
        <v>1</v>
      </c>
      <c r="F1260" s="718" t="s">
        <v>659</v>
      </c>
      <c r="G1260" s="718"/>
      <c r="H1260" s="710" t="s">
        <v>660</v>
      </c>
      <c r="I1260" s="727">
        <f>VLOOKUP(C1255,'Luong VP'!$B$10:$AP$189,22,0)</f>
        <v>26</v>
      </c>
      <c r="J1260" s="728">
        <f>J1259/'Cham cong'!$AS$3*I1260</f>
        <v>10773.8</v>
      </c>
    </row>
    <row r="1261" spans="1:12" ht="9.1999999999999993" customHeight="1">
      <c r="A1261" s="712">
        <v>3</v>
      </c>
      <c r="B1261" s="713" t="s">
        <v>661</v>
      </c>
      <c r="C1261" s="714">
        <f>VLOOKUP(C1255,'Luong VP'!$B$10:$AP$189,10,0)</f>
        <v>0</v>
      </c>
      <c r="D1261" s="717"/>
      <c r="E1261" s="710">
        <v>2</v>
      </c>
      <c r="F1261" s="718" t="s">
        <v>662</v>
      </c>
      <c r="G1261" s="718"/>
      <c r="H1261" s="710" t="s">
        <v>660</v>
      </c>
      <c r="I1261" s="727">
        <f>VLOOKUP(C1255,'Luong VP'!$B$10:$AP$189,27,0)</f>
        <v>0</v>
      </c>
      <c r="J1261" s="728">
        <f>J1259/'Cham cong'!$AS$3*I1261*3</f>
        <v>0</v>
      </c>
    </row>
    <row r="1262" spans="1:12" ht="9.1999999999999993" customHeight="1">
      <c r="A1262" s="712">
        <v>4</v>
      </c>
      <c r="B1262" s="713" t="s">
        <v>666</v>
      </c>
      <c r="C1262" s="714">
        <f>VLOOKUP(C1255,'Luong VP'!$B$10:$AP$189,11,0)</f>
        <v>0</v>
      </c>
      <c r="D1262" s="717"/>
      <c r="E1262" s="710">
        <v>3</v>
      </c>
      <c r="F1262" s="718" t="s">
        <v>667</v>
      </c>
      <c r="G1262" s="718"/>
      <c r="H1262" s="710" t="s">
        <v>668</v>
      </c>
      <c r="I1262" s="727">
        <f>VLOOKUP(C1255,'Luong VP'!$B$10:$AP$189,26,0)</f>
        <v>0</v>
      </c>
      <c r="J1262" s="728">
        <f>J1259/'Cham cong'!$AS$3*I1262/8*1.5</f>
        <v>0</v>
      </c>
    </row>
    <row r="1263" spans="1:12" ht="9.1999999999999993" customHeight="1">
      <c r="A1263" s="712">
        <v>5</v>
      </c>
      <c r="B1263" s="713" t="s">
        <v>670</v>
      </c>
      <c r="C1263" s="714">
        <f>VLOOKUP(C1255,'Luong VP'!$B$10:$AP$189,12,0)</f>
        <v>313.8</v>
      </c>
      <c r="D1263" s="717"/>
      <c r="E1263" s="710">
        <v>4</v>
      </c>
      <c r="F1263" s="718" t="s">
        <v>671</v>
      </c>
      <c r="G1263" s="718"/>
      <c r="H1263" s="710" t="s">
        <v>668</v>
      </c>
      <c r="I1263" s="727">
        <f>VLOOKUP(C1255,'Luong VP'!$B$10:$AP$189,25,0)</f>
        <v>0</v>
      </c>
      <c r="J1263" s="728">
        <f>J1259/'Cham cong'!$AS$3*I1263/8*2</f>
        <v>0</v>
      </c>
    </row>
    <row r="1264" spans="1:12" ht="9.1999999999999993" customHeight="1">
      <c r="A1264" s="712">
        <v>6</v>
      </c>
      <c r="B1264" s="713" t="s">
        <v>673</v>
      </c>
      <c r="C1264" s="714">
        <f>VLOOKUP(C1255,'Luong VP'!$B$10:$AP$189,13,0)</f>
        <v>0</v>
      </c>
      <c r="D1264" s="717"/>
      <c r="E1264" s="710">
        <v>5</v>
      </c>
      <c r="F1264" s="718" t="s">
        <v>674</v>
      </c>
      <c r="G1264" s="718"/>
      <c r="H1264" s="710" t="s">
        <v>660</v>
      </c>
      <c r="I1264" s="727">
        <f>VLOOKUP(C1255,'Luong VP'!$B$10:$AP$189,23,0)</f>
        <v>0</v>
      </c>
      <c r="J1264" s="728">
        <f>C1259/'Cham cong'!$AS$3*I1264</f>
        <v>0</v>
      </c>
      <c r="L1264" s="694" t="str">
        <f>G1255</f>
        <v xml:space="preserve"> Đỗ Thanh Tú </v>
      </c>
    </row>
    <row r="1265" spans="1:12" ht="9.1999999999999993" customHeight="1">
      <c r="A1265" s="712">
        <v>7</v>
      </c>
      <c r="B1265" s="713" t="s">
        <v>676</v>
      </c>
      <c r="C1265" s="714"/>
      <c r="D1265" s="717"/>
      <c r="E1265" s="710">
        <v>6</v>
      </c>
      <c r="F1265" s="718" t="s">
        <v>677</v>
      </c>
      <c r="G1265" s="718"/>
      <c r="H1265" s="710" t="s">
        <v>660</v>
      </c>
      <c r="I1265" s="727">
        <f>VLOOKUP(C1255,'Luong VP'!$B$10:$AP$189,24,0)</f>
        <v>1</v>
      </c>
      <c r="J1265" s="714">
        <f>C1259/'Cham cong'!$AS$3*I1265</f>
        <v>402.30769230769232</v>
      </c>
    </row>
    <row r="1266" spans="1:12" ht="9.1999999999999993" customHeight="1">
      <c r="A1266" s="712">
        <v>8</v>
      </c>
      <c r="B1266" s="713" t="s">
        <v>679</v>
      </c>
      <c r="C1266" s="714">
        <f>VLOOKUP(C1255,'Luong VP'!$B$10:$AP$189,14,0)</f>
        <v>0</v>
      </c>
      <c r="D1266" s="717"/>
      <c r="E1266" s="710">
        <v>7</v>
      </c>
      <c r="F1266" s="718" t="s">
        <v>680</v>
      </c>
      <c r="G1266" s="718"/>
      <c r="H1266" s="718"/>
      <c r="I1266" s="729"/>
      <c r="J1266" s="714">
        <f>VLOOKUP(C1255,'Luong VP'!$B$10:$AP$189,28,0)</f>
        <v>0</v>
      </c>
    </row>
    <row r="1267" spans="1:12" ht="9.1999999999999993" customHeight="1">
      <c r="A1267" s="712">
        <v>9</v>
      </c>
      <c r="B1267" s="713" t="s">
        <v>683</v>
      </c>
      <c r="C1267" s="714">
        <f>VLOOKUP(C1255,'Luong VP'!$B$10:$AP$189,15,0)</f>
        <v>0</v>
      </c>
      <c r="D1267" s="717"/>
      <c r="E1267" s="710">
        <v>8</v>
      </c>
      <c r="F1267" s="718" t="s">
        <v>238</v>
      </c>
      <c r="G1267" s="718"/>
      <c r="H1267" s="718"/>
      <c r="I1267" s="729"/>
      <c r="J1267" s="714">
        <f>VLOOKUP(C1255,'Luong VP'!$B$10:$AP$189,33,0)</f>
        <v>0</v>
      </c>
    </row>
    <row r="1268" spans="1:12" ht="9.1999999999999993" customHeight="1">
      <c r="A1268" s="712">
        <v>10</v>
      </c>
      <c r="B1268" s="713" t="s">
        <v>685</v>
      </c>
      <c r="C1268" s="714">
        <f>VLOOKUP(C1255,'Luong VP'!$B$10:$AP$189,16,0)</f>
        <v>0</v>
      </c>
      <c r="D1268" s="717"/>
      <c r="E1268" s="710" t="s">
        <v>686</v>
      </c>
      <c r="F1268" s="716" t="s">
        <v>687</v>
      </c>
      <c r="G1268" s="719"/>
      <c r="H1268" s="719"/>
      <c r="I1268" s="729"/>
      <c r="J1268" s="730"/>
    </row>
    <row r="1269" spans="1:12" ht="9.1999999999999993" customHeight="1">
      <c r="A1269" s="712">
        <v>11</v>
      </c>
      <c r="B1269" s="713" t="s">
        <v>688</v>
      </c>
      <c r="C1269" s="714">
        <f>VLOOKUP(C1255,'Luong VP'!$B$10:$AP$189,17,0)</f>
        <v>0</v>
      </c>
      <c r="D1269" s="717"/>
      <c r="E1269" s="710">
        <v>1</v>
      </c>
      <c r="F1269" s="716" t="s">
        <v>689</v>
      </c>
      <c r="G1269" s="719"/>
      <c r="H1269" s="719"/>
      <c r="I1269" s="714">
        <f>VLOOKUP(C1255,'Luong VP'!$B$10:$AP$189,30,0)</f>
        <v>0</v>
      </c>
      <c r="J1269" s="714">
        <f>VLOOKUP(C1255,'Luong VP'!$B$10:$AP$189,30,0)</f>
        <v>0</v>
      </c>
    </row>
    <row r="1270" spans="1:12" ht="9.1999999999999993" customHeight="1">
      <c r="A1270" s="712">
        <v>12</v>
      </c>
      <c r="B1270" s="713" t="s">
        <v>691</v>
      </c>
      <c r="C1270" s="714">
        <f>VLOOKUP(C1255,'Luong VP'!$B$10:$AP$189,18,0)</f>
        <v>0</v>
      </c>
      <c r="D1270" s="717"/>
      <c r="E1270" s="710">
        <v>2</v>
      </c>
      <c r="F1270" s="718" t="s">
        <v>239</v>
      </c>
      <c r="G1270" s="718"/>
      <c r="H1270" s="718"/>
      <c r="I1270" s="727"/>
      <c r="J1270" s="728">
        <f>VLOOKUP(C1255,'Luong VP'!$B$10:$AP$189,34,0)</f>
        <v>0</v>
      </c>
      <c r="K1270" s="731"/>
      <c r="L1270" s="715"/>
    </row>
    <row r="1271" spans="1:12" ht="9.1999999999999993" customHeight="1">
      <c r="A1271" s="712">
        <v>13</v>
      </c>
      <c r="B1271" s="713" t="s">
        <v>692</v>
      </c>
      <c r="C1271" s="714">
        <f>VLOOKUP(C1255,'Luong VP'!$B$10:$AP$189,19,0)</f>
        <v>0</v>
      </c>
      <c r="D1271" s="717"/>
      <c r="E1271" s="710">
        <v>3</v>
      </c>
      <c r="F1271" s="716" t="s">
        <v>693</v>
      </c>
      <c r="G1271" s="719"/>
      <c r="H1271" s="719"/>
      <c r="I1271" s="729"/>
      <c r="J1271" s="714">
        <f>VLOOKUP(C1255,'Luong VP'!$B$10:$AP$189,40,0)</f>
        <v>0</v>
      </c>
      <c r="K1271" s="731"/>
      <c r="L1271" s="715"/>
    </row>
    <row r="1272" spans="1:12" ht="9.1999999999999993" customHeight="1">
      <c r="A1272" s="712">
        <v>14</v>
      </c>
      <c r="B1272" s="713" t="s">
        <v>694</v>
      </c>
      <c r="C1272" s="714">
        <f>VLOOKUP(C1255,'Luong VP'!$B$10:$AP$189,20,0)</f>
        <v>0</v>
      </c>
      <c r="D1272" s="717"/>
      <c r="E1272" s="710">
        <v>4</v>
      </c>
      <c r="F1272" s="718" t="s">
        <v>695</v>
      </c>
      <c r="G1272" s="719"/>
      <c r="H1272" s="719"/>
      <c r="I1272" s="729"/>
      <c r="J1272" s="714">
        <f>VLOOKUP(C1255,'Luong VP'!$B$10:$AP$189,35,0)</f>
        <v>5000</v>
      </c>
      <c r="K1272" s="732"/>
      <c r="L1272" s="715"/>
    </row>
    <row r="1273" spans="1:12" ht="9.1999999999999993" customHeight="1">
      <c r="A1273" s="712"/>
      <c r="B1273" s="707" t="s">
        <v>656</v>
      </c>
      <c r="C1273" s="714">
        <f>SUM(C1259:C1272)</f>
        <v>10773.8</v>
      </c>
      <c r="D1273" s="717"/>
      <c r="E1273" s="710"/>
      <c r="F1273" s="716" t="s">
        <v>241</v>
      </c>
      <c r="G1273" s="719"/>
      <c r="H1273" s="719"/>
      <c r="I1273" s="729"/>
      <c r="J1273" s="730">
        <f>SUM(J1260:J1272)+C1267</f>
        <v>16176.107692307691</v>
      </c>
      <c r="K1273" s="731"/>
      <c r="L1273" s="715"/>
    </row>
    <row r="1274" spans="1:12" ht="9.1999999999999993" customHeight="1">
      <c r="B1274" s="720"/>
      <c r="C1274" s="717"/>
      <c r="D1274" s="717"/>
      <c r="E1274" s="710" t="s">
        <v>696</v>
      </c>
      <c r="F1274" s="711" t="s">
        <v>697</v>
      </c>
      <c r="G1274" s="710"/>
      <c r="H1274" s="710"/>
      <c r="I1274" s="729"/>
      <c r="J1274" s="730">
        <f>SUM(J1275:J1277)</f>
        <v>3525</v>
      </c>
      <c r="K1274" s="732"/>
      <c r="L1274" s="715"/>
    </row>
    <row r="1275" spans="1:12" ht="9.1999999999999993" customHeight="1">
      <c r="B1275" s="720"/>
      <c r="C1275" s="717"/>
      <c r="D1275" s="717"/>
      <c r="E1275" s="710">
        <v>1</v>
      </c>
      <c r="F1275" s="718" t="s">
        <v>698</v>
      </c>
      <c r="G1275" s="718"/>
      <c r="H1275" s="718"/>
      <c r="I1275" s="733"/>
      <c r="J1275" s="714">
        <f>VLOOKUP(C1255,'Luong VP'!$B$10:$AP$189,37,0)</f>
        <v>525</v>
      </c>
      <c r="K1275" s="732"/>
      <c r="L1275" s="715"/>
    </row>
    <row r="1276" spans="1:12" ht="9.1999999999999993" customHeight="1">
      <c r="B1276" s="720"/>
      <c r="C1276" s="717"/>
      <c r="D1276" s="717"/>
      <c r="E1276" s="710">
        <v>2</v>
      </c>
      <c r="F1276" s="718" t="s">
        <v>244</v>
      </c>
      <c r="G1276" s="718"/>
      <c r="H1276" s="718"/>
      <c r="I1276" s="729"/>
      <c r="J1276" s="714">
        <f>VLOOKUP(C1255,'Luong VP'!$B$10:$AP$189,39,0)</f>
        <v>3000</v>
      </c>
      <c r="K1276" s="734"/>
      <c r="L1276" s="735"/>
    </row>
    <row r="1277" spans="1:12" ht="9.1999999999999993" customHeight="1">
      <c r="B1277" s="720"/>
      <c r="C1277" s="717"/>
      <c r="D1277" s="717"/>
      <c r="E1277" s="710"/>
      <c r="F1277" s="718" t="s">
        <v>699</v>
      </c>
      <c r="G1277" s="718"/>
      <c r="H1277" s="718"/>
      <c r="I1277" s="729"/>
      <c r="J1277" s="714"/>
      <c r="K1277" s="714"/>
      <c r="L1277" s="736"/>
    </row>
    <row r="1278" spans="1:12" ht="9.1999999999999993" customHeight="1">
      <c r="B1278" s="720"/>
      <c r="C1278" s="717"/>
      <c r="D1278" s="717"/>
      <c r="E1278" s="710" t="s">
        <v>700</v>
      </c>
      <c r="F1278" s="710" t="s">
        <v>246</v>
      </c>
      <c r="G1278" s="710"/>
      <c r="H1278" s="710"/>
      <c r="I1278" s="729"/>
      <c r="J1278" s="728">
        <f>J1273-J1274</f>
        <v>12651.107692307691</v>
      </c>
      <c r="K1278" s="728">
        <f>ROUND(J1278,-1)</f>
        <v>12650</v>
      </c>
      <c r="L1278" s="710"/>
    </row>
    <row r="1279" spans="1:12" ht="9.1999999999999993" customHeight="1">
      <c r="B1279" s="720"/>
      <c r="C1279" s="717"/>
      <c r="D1279" s="717"/>
      <c r="E1279" s="715"/>
      <c r="F1279" s="715"/>
      <c r="G1279" s="715"/>
      <c r="I1279" s="715" t="s">
        <v>701</v>
      </c>
      <c r="J1279" s="737"/>
      <c r="K1279" s="737"/>
      <c r="L1279" s="715"/>
    </row>
    <row r="1280" spans="1:12" ht="9.1999999999999993" customHeight="1">
      <c r="B1280" s="720"/>
      <c r="C1280" s="717"/>
      <c r="D1280" s="717"/>
      <c r="E1280" s="715"/>
      <c r="F1280" s="715"/>
      <c r="G1280" s="715"/>
      <c r="I1280" s="715"/>
      <c r="J1280" s="737"/>
      <c r="K1280" s="737"/>
      <c r="L1280" s="715"/>
    </row>
    <row r="1281" spans="1:13" ht="9.1999999999999993" customHeight="1">
      <c r="B1281" s="720"/>
      <c r="C1281" s="717"/>
      <c r="D1281" s="717"/>
      <c r="E1281" s="715"/>
      <c r="F1281" s="715"/>
      <c r="G1281" s="715"/>
      <c r="I1281" s="715"/>
      <c r="J1281" s="737"/>
      <c r="K1281" s="737"/>
      <c r="L1281" s="715"/>
    </row>
    <row r="1282" spans="1:13" s="691" customFormat="1" ht="9.1999999999999993" customHeight="1">
      <c r="A1282" s="690"/>
      <c r="B1282" s="720"/>
      <c r="C1282" s="717"/>
      <c r="D1282" s="717"/>
      <c r="E1282" s="715"/>
      <c r="F1282" s="715"/>
      <c r="G1282" s="715"/>
      <c r="H1282" s="689"/>
      <c r="I1282" s="715"/>
      <c r="J1282" s="737"/>
      <c r="K1282" s="737"/>
      <c r="L1282" s="715"/>
      <c r="M1282" s="690"/>
    </row>
    <row r="1283" spans="1:13" s="691" customFormat="1" ht="9.1999999999999993" customHeight="1">
      <c r="A1283" s="690"/>
      <c r="B1283" s="720"/>
      <c r="C1283" s="717"/>
      <c r="D1283" s="717"/>
      <c r="E1283" s="715"/>
      <c r="F1283" s="715"/>
      <c r="G1283" s="715"/>
      <c r="H1283" s="689"/>
      <c r="I1283" s="715"/>
      <c r="J1283" s="737"/>
      <c r="K1283" s="737"/>
      <c r="L1283" s="715"/>
      <c r="M1283" s="690"/>
    </row>
    <row r="1284" spans="1:13" s="691" customFormat="1" ht="9.1999999999999993" customHeight="1">
      <c r="A1284" s="690"/>
      <c r="B1284" s="720"/>
      <c r="C1284" s="717"/>
      <c r="D1284" s="717"/>
      <c r="E1284" s="715"/>
      <c r="F1284" s="715"/>
      <c r="G1284" s="715"/>
      <c r="H1284" s="689"/>
      <c r="I1284" s="715"/>
      <c r="J1284" s="737"/>
      <c r="K1284" s="737"/>
      <c r="L1284" s="715"/>
      <c r="M1284" s="690"/>
    </row>
    <row r="1285" spans="1:13" ht="9.1999999999999993" customHeight="1">
      <c r="C1285" s="696"/>
      <c r="D1285" s="696"/>
      <c r="E1285" s="697" t="str">
        <f>$E$2</f>
        <v>THẺ LƯƠNG THÁNG 08/2019</v>
      </c>
      <c r="F1285" s="698"/>
      <c r="G1285" s="698"/>
      <c r="H1285" s="698"/>
    </row>
    <row r="1286" spans="1:13" ht="9.1999999999999993" customHeight="1">
      <c r="B1286" s="699" t="s">
        <v>644</v>
      </c>
      <c r="C1286" s="700" t="s">
        <v>357</v>
      </c>
      <c r="D1286" s="701"/>
      <c r="F1286" s="702" t="s">
        <v>645</v>
      </c>
      <c r="G1286" s="689" t="str">
        <f>VLOOKUP(C1286,'Luong VP'!$B$10:$AP$189,2,0)</f>
        <v>Ngô Thành Trung</v>
      </c>
    </row>
    <row r="1287" spans="1:13" ht="9.1999999999999993" customHeight="1">
      <c r="B1287" s="699" t="s">
        <v>646</v>
      </c>
      <c r="C1287" s="689" t="str">
        <f>VLOOKUP(C1286,'Luong VP'!$B$10:$AP$189,3,0)</f>
        <v>CV môi trường</v>
      </c>
      <c r="F1287" s="702" t="s">
        <v>647</v>
      </c>
      <c r="G1287" s="689">
        <f>VLOOKUP(C1286,'Luong VP'!$B$10:$AP$189,5,0)</f>
        <v>2</v>
      </c>
    </row>
    <row r="1288" spans="1:13" ht="9.1999999999999993" customHeight="1">
      <c r="B1288" s="703"/>
      <c r="C1288" s="704"/>
      <c r="D1288" s="705"/>
      <c r="F1288" s="706" t="s">
        <v>648</v>
      </c>
      <c r="G1288" s="706"/>
      <c r="H1288" s="706"/>
      <c r="I1288" s="725"/>
      <c r="J1288" s="726"/>
    </row>
    <row r="1289" spans="1:13" ht="9.1999999999999993" customHeight="1">
      <c r="A1289" s="707" t="s">
        <v>216</v>
      </c>
      <c r="B1289" s="707" t="s">
        <v>649</v>
      </c>
      <c r="C1289" s="708" t="s">
        <v>650</v>
      </c>
      <c r="D1289" s="709"/>
      <c r="E1289" s="710" t="s">
        <v>216</v>
      </c>
      <c r="F1289" s="711" t="s">
        <v>649</v>
      </c>
      <c r="G1289" s="710"/>
      <c r="H1289" s="710" t="s">
        <v>651</v>
      </c>
      <c r="I1289" s="727" t="s">
        <v>652</v>
      </c>
      <c r="J1289" s="714"/>
      <c r="L1289" s="694" t="s">
        <v>653</v>
      </c>
    </row>
    <row r="1290" spans="1:13" ht="9.1999999999999993" customHeight="1">
      <c r="A1290" s="712">
        <v>1</v>
      </c>
      <c r="B1290" s="713" t="s">
        <v>654</v>
      </c>
      <c r="C1290" s="714">
        <f>VLOOKUP(C1286,'Luong VP'!$B$10:$AP$189,9,0)</f>
        <v>10460</v>
      </c>
      <c r="D1290" s="715"/>
      <c r="E1290" s="710" t="s">
        <v>655</v>
      </c>
      <c r="F1290" s="716" t="s">
        <v>656</v>
      </c>
      <c r="G1290" s="710"/>
      <c r="H1290" s="710"/>
      <c r="I1290" s="727"/>
      <c r="J1290" s="714">
        <f>VLOOKUP(C1286,'Luong VP'!$B$10:$AP$189,21,0)</f>
        <v>10460</v>
      </c>
    </row>
    <row r="1291" spans="1:13" ht="9.1999999999999993" customHeight="1">
      <c r="A1291" s="712">
        <v>2</v>
      </c>
      <c r="B1291" s="713" t="s">
        <v>658</v>
      </c>
      <c r="C1291" s="714"/>
      <c r="D1291" s="717"/>
      <c r="E1291" s="710">
        <v>1</v>
      </c>
      <c r="F1291" s="718" t="s">
        <v>659</v>
      </c>
      <c r="G1291" s="718"/>
      <c r="H1291" s="710" t="s">
        <v>660</v>
      </c>
      <c r="I1291" s="727">
        <f>VLOOKUP(C1286,'Luong VP'!$B$10:$AP$189,22,0)</f>
        <v>26</v>
      </c>
      <c r="J1291" s="728">
        <f>J1290/'Cham cong'!$AS$3*I1291</f>
        <v>10460</v>
      </c>
    </row>
    <row r="1292" spans="1:13" ht="9.1999999999999993" customHeight="1">
      <c r="A1292" s="712">
        <v>3</v>
      </c>
      <c r="B1292" s="713" t="s">
        <v>661</v>
      </c>
      <c r="C1292" s="714">
        <f>VLOOKUP(C1286,'Luong VP'!$B$10:$AP$189,10,0)</f>
        <v>0</v>
      </c>
      <c r="D1292" s="717"/>
      <c r="E1292" s="710">
        <v>2</v>
      </c>
      <c r="F1292" s="718" t="s">
        <v>662</v>
      </c>
      <c r="G1292" s="718"/>
      <c r="H1292" s="710" t="s">
        <v>660</v>
      </c>
      <c r="I1292" s="727">
        <f>VLOOKUP(C1286,'Luong VP'!$B$10:$AP$189,27,0)</f>
        <v>0</v>
      </c>
      <c r="J1292" s="728">
        <f>J1290/'Cham cong'!$AS$3*I1292*3</f>
        <v>0</v>
      </c>
    </row>
    <row r="1293" spans="1:13" ht="9.1999999999999993" customHeight="1">
      <c r="A1293" s="712">
        <v>4</v>
      </c>
      <c r="B1293" s="713" t="s">
        <v>666</v>
      </c>
      <c r="C1293" s="714">
        <f>VLOOKUP(C1286,'Luong VP'!$B$10:$AP$189,11,0)</f>
        <v>0</v>
      </c>
      <c r="D1293" s="717"/>
      <c r="E1293" s="710">
        <v>3</v>
      </c>
      <c r="F1293" s="718" t="s">
        <v>667</v>
      </c>
      <c r="G1293" s="718"/>
      <c r="H1293" s="710" t="s">
        <v>668</v>
      </c>
      <c r="I1293" s="727">
        <f>VLOOKUP(C1286,'Luong VP'!$B$10:$AP$189,26,0)</f>
        <v>30</v>
      </c>
      <c r="J1293" s="728">
        <f>J1290/'Cham cong'!$AS$3*I1293/8*1.5</f>
        <v>2262.9807692307695</v>
      </c>
    </row>
    <row r="1294" spans="1:13" ht="9.1999999999999993" customHeight="1">
      <c r="A1294" s="712">
        <v>5</v>
      </c>
      <c r="B1294" s="713" t="s">
        <v>670</v>
      </c>
      <c r="C1294" s="714">
        <f>VLOOKUP(C1286,'Luong VP'!$B$10:$AP$189,12,0)</f>
        <v>0</v>
      </c>
      <c r="D1294" s="717"/>
      <c r="E1294" s="710">
        <v>4</v>
      </c>
      <c r="F1294" s="718" t="s">
        <v>671</v>
      </c>
      <c r="G1294" s="718"/>
      <c r="H1294" s="710" t="s">
        <v>668</v>
      </c>
      <c r="I1294" s="727">
        <f>VLOOKUP(C1286,'Luong VP'!$B$10:$AP$189,25,0)</f>
        <v>0</v>
      </c>
      <c r="J1294" s="728">
        <f>J1290/'Cham cong'!$AS$3*I1294/8*2</f>
        <v>0</v>
      </c>
    </row>
    <row r="1295" spans="1:13" ht="9.1999999999999993" customHeight="1">
      <c r="A1295" s="712">
        <v>6</v>
      </c>
      <c r="B1295" s="713" t="s">
        <v>673</v>
      </c>
      <c r="C1295" s="714">
        <f>VLOOKUP(C1286,'Luong VP'!$B$10:$AP$189,13,0)</f>
        <v>0</v>
      </c>
      <c r="D1295" s="717"/>
      <c r="E1295" s="710">
        <v>5</v>
      </c>
      <c r="F1295" s="718" t="s">
        <v>674</v>
      </c>
      <c r="G1295" s="718"/>
      <c r="H1295" s="710" t="s">
        <v>660</v>
      </c>
      <c r="I1295" s="727">
        <f>VLOOKUP(C1286,'Luong VP'!$B$10:$AP$189,23,0)</f>
        <v>0</v>
      </c>
      <c r="J1295" s="728">
        <f>C1290/'Cham cong'!$AS$3*I1295</f>
        <v>0</v>
      </c>
      <c r="L1295" s="694" t="str">
        <f>G1286</f>
        <v>Ngô Thành Trung</v>
      </c>
    </row>
    <row r="1296" spans="1:13" ht="9.1999999999999993" customHeight="1">
      <c r="A1296" s="712">
        <v>7</v>
      </c>
      <c r="B1296" s="713" t="s">
        <v>676</v>
      </c>
      <c r="C1296" s="714"/>
      <c r="D1296" s="717"/>
      <c r="E1296" s="710">
        <v>6</v>
      </c>
      <c r="F1296" s="718" t="s">
        <v>677</v>
      </c>
      <c r="G1296" s="718"/>
      <c r="H1296" s="710" t="s">
        <v>660</v>
      </c>
      <c r="I1296" s="727">
        <f>VLOOKUP(C1286,'Luong VP'!$B$10:$AP$189,24,0)</f>
        <v>1</v>
      </c>
      <c r="J1296" s="714">
        <f>C1290/'Cham cong'!$AS$3*I1296</f>
        <v>402.30769230769232</v>
      </c>
    </row>
    <row r="1297" spans="1:13" ht="9.1999999999999993" customHeight="1">
      <c r="A1297" s="712">
        <v>8</v>
      </c>
      <c r="B1297" s="713" t="s">
        <v>679</v>
      </c>
      <c r="C1297" s="714">
        <f>VLOOKUP(C1286,'Luong VP'!$B$10:$AP$189,14,0)</f>
        <v>0</v>
      </c>
      <c r="D1297" s="717"/>
      <c r="E1297" s="710">
        <v>7</v>
      </c>
      <c r="F1297" s="718" t="s">
        <v>680</v>
      </c>
      <c r="G1297" s="718"/>
      <c r="H1297" s="718"/>
      <c r="I1297" s="729"/>
      <c r="J1297" s="714">
        <f>VLOOKUP(C1286,'Luong VP'!$B$10:$AP$189,28,0)</f>
        <v>0</v>
      </c>
    </row>
    <row r="1298" spans="1:13" ht="9.1999999999999993" customHeight="1">
      <c r="A1298" s="712">
        <v>9</v>
      </c>
      <c r="B1298" s="713" t="s">
        <v>683</v>
      </c>
      <c r="C1298" s="714">
        <f>VLOOKUP(C1286,'Luong VP'!$B$10:$AP$189,15,0)</f>
        <v>0</v>
      </c>
      <c r="D1298" s="717"/>
      <c r="E1298" s="710">
        <v>8</v>
      </c>
      <c r="F1298" s="718" t="s">
        <v>238</v>
      </c>
      <c r="G1298" s="718"/>
      <c r="H1298" s="718" t="s">
        <v>660</v>
      </c>
      <c r="I1298" s="729"/>
      <c r="J1298" s="714">
        <f>VLOOKUP(C1286,'Luong VP'!$B$10:$AP$189,33,0)</f>
        <v>0</v>
      </c>
    </row>
    <row r="1299" spans="1:13" ht="9.1999999999999993" customHeight="1">
      <c r="A1299" s="712">
        <v>10</v>
      </c>
      <c r="B1299" s="713" t="s">
        <v>685</v>
      </c>
      <c r="C1299" s="714">
        <f>VLOOKUP(C1286,'Luong VP'!$B$10:$AP$189,16,0)</f>
        <v>0</v>
      </c>
      <c r="D1299" s="717"/>
      <c r="E1299" s="710" t="s">
        <v>686</v>
      </c>
      <c r="F1299" s="716" t="s">
        <v>687</v>
      </c>
      <c r="G1299" s="719"/>
      <c r="H1299" s="719"/>
      <c r="I1299" s="729"/>
      <c r="J1299" s="730"/>
    </row>
    <row r="1300" spans="1:13" ht="9.1999999999999993" customHeight="1">
      <c r="A1300" s="712">
        <v>11</v>
      </c>
      <c r="B1300" s="713" t="s">
        <v>688</v>
      </c>
      <c r="C1300" s="714">
        <f>VLOOKUP(C1286,'Luong VP'!$B$10:$AP$189,17,0)</f>
        <v>0</v>
      </c>
      <c r="D1300" s="717"/>
      <c r="E1300" s="710">
        <v>1</v>
      </c>
      <c r="F1300" s="716" t="s">
        <v>689</v>
      </c>
      <c r="G1300" s="719"/>
      <c r="H1300" s="719"/>
      <c r="I1300" s="714">
        <f>VLOOKUP(C1286,'Luong VP'!$B$10:$AP$189,30,0)</f>
        <v>0</v>
      </c>
      <c r="J1300" s="714">
        <f>VLOOKUP(C1286,'Luong VP'!$B$10:$AP$189,30,0)</f>
        <v>0</v>
      </c>
    </row>
    <row r="1301" spans="1:13" ht="9.1999999999999993" customHeight="1">
      <c r="A1301" s="712">
        <v>12</v>
      </c>
      <c r="B1301" s="713" t="s">
        <v>691</v>
      </c>
      <c r="C1301" s="714">
        <f>VLOOKUP(C1286,'Luong VP'!$B$10:$AP$189,18,0)</f>
        <v>0</v>
      </c>
      <c r="D1301" s="717"/>
      <c r="E1301" s="710">
        <v>2</v>
      </c>
      <c r="F1301" s="718" t="s">
        <v>239</v>
      </c>
      <c r="G1301" s="718"/>
      <c r="H1301" s="718"/>
      <c r="I1301" s="727"/>
      <c r="J1301" s="728">
        <f>VLOOKUP(C1286,'Luong VP'!$B$10:$AP$189,34,0)</f>
        <v>0</v>
      </c>
      <c r="K1301" s="731"/>
      <c r="L1301" s="715"/>
    </row>
    <row r="1302" spans="1:13" ht="9.1999999999999993" customHeight="1">
      <c r="A1302" s="712">
        <v>13</v>
      </c>
      <c r="B1302" s="713" t="s">
        <v>692</v>
      </c>
      <c r="C1302" s="714">
        <f>VLOOKUP(C1286,'Luong VP'!$B$10:$AP$189,19,0)</f>
        <v>0</v>
      </c>
      <c r="D1302" s="717"/>
      <c r="E1302" s="710">
        <v>3</v>
      </c>
      <c r="F1302" s="716" t="s">
        <v>693</v>
      </c>
      <c r="G1302" s="719"/>
      <c r="H1302" s="719"/>
      <c r="I1302" s="729"/>
      <c r="J1302" s="714">
        <f>VLOOKUP(C1286,'Luong VP'!$B$10:$AP$189,40,0)</f>
        <v>0</v>
      </c>
      <c r="K1302" s="731"/>
      <c r="L1302" s="715"/>
    </row>
    <row r="1303" spans="1:13" ht="9.1999999999999993" customHeight="1">
      <c r="A1303" s="712">
        <v>14</v>
      </c>
      <c r="B1303" s="713" t="s">
        <v>694</v>
      </c>
      <c r="C1303" s="714">
        <f>VLOOKUP(C1286,'Luong VP'!$B$10:$AP$189,20,0)</f>
        <v>0</v>
      </c>
      <c r="D1303" s="717"/>
      <c r="E1303" s="710">
        <v>4</v>
      </c>
      <c r="F1303" s="718" t="s">
        <v>695</v>
      </c>
      <c r="G1303" s="719"/>
      <c r="H1303" s="719"/>
      <c r="I1303" s="729"/>
      <c r="J1303" s="714">
        <f>VLOOKUP(C1286,'Luong VP'!$B$10:$AP$189,35,0)</f>
        <v>0</v>
      </c>
      <c r="K1303" s="732"/>
      <c r="L1303" s="715"/>
    </row>
    <row r="1304" spans="1:13" ht="9.1999999999999993" customHeight="1">
      <c r="A1304" s="712"/>
      <c r="B1304" s="707" t="s">
        <v>656</v>
      </c>
      <c r="C1304" s="714">
        <f>SUM(C1290:C1303)</f>
        <v>10460</v>
      </c>
      <c r="D1304" s="717"/>
      <c r="E1304" s="710"/>
      <c r="F1304" s="716" t="s">
        <v>241</v>
      </c>
      <c r="G1304" s="719"/>
      <c r="H1304" s="719"/>
      <c r="I1304" s="729"/>
      <c r="J1304" s="730">
        <f>SUM(J1291:J1303)+C1298</f>
        <v>13125.288461538461</v>
      </c>
      <c r="K1304" s="731"/>
      <c r="L1304" s="715"/>
    </row>
    <row r="1305" spans="1:13" ht="9.1999999999999993" customHeight="1">
      <c r="B1305" s="720"/>
      <c r="C1305" s="717"/>
      <c r="D1305" s="717"/>
      <c r="E1305" s="710" t="s">
        <v>696</v>
      </c>
      <c r="F1305" s="711" t="s">
        <v>697</v>
      </c>
      <c r="G1305" s="710"/>
      <c r="H1305" s="710"/>
      <c r="I1305" s="729"/>
      <c r="J1305" s="730">
        <f>SUM(J1306:J1308)</f>
        <v>3000</v>
      </c>
      <c r="K1305" s="732"/>
      <c r="L1305" s="715"/>
    </row>
    <row r="1306" spans="1:13" ht="9.1999999999999993" customHeight="1">
      <c r="B1306" s="720"/>
      <c r="C1306" s="717"/>
      <c r="D1306" s="717"/>
      <c r="E1306" s="710">
        <v>1</v>
      </c>
      <c r="F1306" s="718" t="s">
        <v>698</v>
      </c>
      <c r="G1306" s="718"/>
      <c r="H1306" s="718"/>
      <c r="I1306" s="733"/>
      <c r="J1306" s="714">
        <f>VLOOKUP(C1286,'Luong VP'!$B$10:$AP$189,37,0)</f>
        <v>0</v>
      </c>
      <c r="K1306" s="732"/>
      <c r="L1306" s="715"/>
    </row>
    <row r="1307" spans="1:13" ht="9.1999999999999993" customHeight="1">
      <c r="B1307" s="720"/>
      <c r="C1307" s="717"/>
      <c r="D1307" s="717"/>
      <c r="E1307" s="710">
        <v>2</v>
      </c>
      <c r="F1307" s="718" t="s">
        <v>244</v>
      </c>
      <c r="G1307" s="718"/>
      <c r="H1307" s="718"/>
      <c r="I1307" s="729"/>
      <c r="J1307" s="714">
        <f>VLOOKUP(C1286,'Luong VP'!$B$10:$AP$189,39,0)</f>
        <v>3000</v>
      </c>
      <c r="K1307" s="734"/>
      <c r="L1307" s="735"/>
    </row>
    <row r="1308" spans="1:13" ht="9.1999999999999993" customHeight="1">
      <c r="B1308" s="720"/>
      <c r="C1308" s="717"/>
      <c r="D1308" s="717"/>
      <c r="E1308" s="710"/>
      <c r="F1308" s="718" t="s">
        <v>699</v>
      </c>
      <c r="G1308" s="718"/>
      <c r="H1308" s="718"/>
      <c r="I1308" s="729"/>
      <c r="J1308" s="714"/>
      <c r="K1308" s="714"/>
      <c r="L1308" s="736"/>
    </row>
    <row r="1309" spans="1:13" ht="9.1999999999999993" customHeight="1">
      <c r="B1309" s="720"/>
      <c r="C1309" s="717"/>
      <c r="D1309" s="717"/>
      <c r="E1309" s="710" t="s">
        <v>700</v>
      </c>
      <c r="F1309" s="710" t="s">
        <v>246</v>
      </c>
      <c r="G1309" s="710"/>
      <c r="H1309" s="710"/>
      <c r="I1309" s="729"/>
      <c r="J1309" s="728">
        <f>J1304-J1305</f>
        <v>10125.288461538461</v>
      </c>
      <c r="K1309" s="728">
        <f>ROUND(J1309,-1)</f>
        <v>10130</v>
      </c>
      <c r="L1309" s="710"/>
    </row>
    <row r="1310" spans="1:13" ht="9.1999999999999993" customHeight="1">
      <c r="B1310" s="720"/>
      <c r="C1310" s="717"/>
      <c r="D1310" s="717"/>
      <c r="E1310" s="715"/>
      <c r="F1310" s="715"/>
      <c r="G1310" s="715"/>
      <c r="I1310" s="715" t="s">
        <v>701</v>
      </c>
      <c r="J1310" s="737"/>
      <c r="K1310" s="737"/>
      <c r="L1310" s="715"/>
    </row>
    <row r="1311" spans="1:13" s="691" customFormat="1" ht="9.1999999999999993" customHeight="1">
      <c r="A1311" s="690"/>
      <c r="B1311" s="720"/>
      <c r="C1311" s="717"/>
      <c r="D1311" s="717"/>
      <c r="E1311" s="715"/>
      <c r="F1311" s="715"/>
      <c r="G1311" s="715"/>
      <c r="H1311" s="689"/>
      <c r="I1311" s="715"/>
      <c r="J1311" s="737"/>
      <c r="K1311" s="737"/>
      <c r="L1311" s="715"/>
      <c r="M1311" s="690"/>
    </row>
    <row r="1312" spans="1:13" s="691" customFormat="1" ht="9.1999999999999993" customHeight="1">
      <c r="A1312" s="690"/>
      <c r="B1312" s="720"/>
      <c r="C1312" s="717"/>
      <c r="D1312" s="717"/>
      <c r="E1312" s="715"/>
      <c r="F1312" s="715"/>
      <c r="G1312" s="715"/>
      <c r="H1312" s="689"/>
      <c r="I1312" s="715"/>
      <c r="J1312" s="737"/>
      <c r="K1312" s="737"/>
      <c r="L1312" s="715"/>
      <c r="M1312" s="690"/>
    </row>
    <row r="1313" spans="1:13" s="691" customFormat="1" ht="9.1999999999999993" customHeight="1">
      <c r="A1313" s="690"/>
      <c r="B1313" s="720"/>
      <c r="C1313" s="717"/>
      <c r="D1313" s="717"/>
      <c r="E1313" s="715"/>
      <c r="F1313" s="715"/>
      <c r="G1313" s="715"/>
      <c r="H1313" s="689"/>
      <c r="I1313" s="715"/>
      <c r="J1313" s="737"/>
      <c r="K1313" s="737"/>
      <c r="L1313" s="715"/>
      <c r="M1313" s="690"/>
    </row>
    <row r="1314" spans="1:13" s="691" customFormat="1" ht="9.1999999999999993" customHeight="1">
      <c r="A1314" s="690"/>
      <c r="B1314" s="720"/>
      <c r="C1314" s="717"/>
      <c r="D1314" s="717"/>
      <c r="E1314" s="715"/>
      <c r="F1314" s="715"/>
      <c r="G1314" s="715"/>
      <c r="H1314" s="689"/>
      <c r="I1314" s="715"/>
      <c r="J1314" s="737"/>
      <c r="K1314" s="737"/>
      <c r="L1314" s="715"/>
      <c r="M1314" s="690"/>
    </row>
    <row r="1315" spans="1:13" s="691" customFormat="1" ht="9.1999999999999993" customHeight="1">
      <c r="A1315" s="690"/>
      <c r="B1315" s="720"/>
      <c r="C1315" s="717"/>
      <c r="D1315" s="717"/>
      <c r="E1315" s="715"/>
      <c r="F1315" s="715"/>
      <c r="G1315" s="715"/>
      <c r="H1315" s="689"/>
      <c r="I1315" s="715"/>
      <c r="J1315" s="737"/>
      <c r="K1315" s="737"/>
      <c r="L1315" s="715"/>
      <c r="M1315" s="690"/>
    </row>
    <row r="1316" spans="1:13" ht="9.1999999999999993" customHeight="1">
      <c r="C1316" s="696"/>
      <c r="D1316" s="696"/>
      <c r="E1316" s="697" t="str">
        <f>$E$2</f>
        <v>THẺ LƯƠNG THÁNG 08/2019</v>
      </c>
      <c r="F1316" s="698"/>
      <c r="G1316" s="698"/>
      <c r="H1316" s="698"/>
    </row>
    <row r="1317" spans="1:13" ht="9.1999999999999993" customHeight="1">
      <c r="B1317" s="699" t="s">
        <v>644</v>
      </c>
      <c r="C1317" s="700" t="s">
        <v>359</v>
      </c>
      <c r="D1317" s="701"/>
      <c r="F1317" s="702" t="s">
        <v>645</v>
      </c>
      <c r="G1317" s="689" t="str">
        <f>VLOOKUP(C1317,'Luong VP'!$B$10:$AP$189,2,0)</f>
        <v>Nguyễn Tấn Phát</v>
      </c>
    </row>
    <row r="1318" spans="1:13" ht="9.1999999999999993" customHeight="1">
      <c r="B1318" s="699" t="s">
        <v>646</v>
      </c>
      <c r="C1318" s="689" t="str">
        <f>VLOOKUP(C1317,'Luong VP'!$B$10:$AP$189,3,0)</f>
        <v>CV môi trường</v>
      </c>
      <c r="F1318" s="702" t="s">
        <v>647</v>
      </c>
      <c r="G1318" s="689">
        <f>VLOOKUP(C1317,'Luong VP'!$B$10:$AP$189,5,0)</f>
        <v>1</v>
      </c>
    </row>
    <row r="1319" spans="1:13" ht="9.1999999999999993" customHeight="1">
      <c r="B1319" s="703"/>
      <c r="C1319" s="704"/>
      <c r="D1319" s="705"/>
      <c r="F1319" s="706" t="s">
        <v>648</v>
      </c>
      <c r="G1319" s="706"/>
      <c r="H1319" s="706"/>
      <c r="I1319" s="725"/>
      <c r="J1319" s="726"/>
    </row>
    <row r="1320" spans="1:13" ht="9.1999999999999993" customHeight="1">
      <c r="A1320" s="707" t="s">
        <v>216</v>
      </c>
      <c r="B1320" s="707" t="s">
        <v>649</v>
      </c>
      <c r="C1320" s="708" t="s">
        <v>650</v>
      </c>
      <c r="D1320" s="709"/>
      <c r="E1320" s="710" t="s">
        <v>216</v>
      </c>
      <c r="F1320" s="711" t="s">
        <v>649</v>
      </c>
      <c r="G1320" s="710"/>
      <c r="H1320" s="710" t="s">
        <v>651</v>
      </c>
      <c r="I1320" s="727" t="s">
        <v>652</v>
      </c>
      <c r="J1320" s="714"/>
      <c r="L1320" s="694" t="s">
        <v>653</v>
      </c>
    </row>
    <row r="1321" spans="1:13" ht="9.1999999999999993" customHeight="1">
      <c r="A1321" s="712">
        <v>1</v>
      </c>
      <c r="B1321" s="713" t="s">
        <v>654</v>
      </c>
      <c r="C1321" s="714">
        <f>VLOOKUP(C1317,'Luong VP'!$B$10:$AP$189,9,0)</f>
        <v>7310</v>
      </c>
      <c r="D1321" s="715"/>
      <c r="E1321" s="710" t="s">
        <v>655</v>
      </c>
      <c r="F1321" s="716" t="s">
        <v>656</v>
      </c>
      <c r="G1321" s="710"/>
      <c r="H1321" s="710"/>
      <c r="I1321" s="727"/>
      <c r="J1321" s="714">
        <f>VLOOKUP(C1317,'Luong VP'!$B$10:$AP$189,21,0)</f>
        <v>7310</v>
      </c>
    </row>
    <row r="1322" spans="1:13" ht="9.1999999999999993" customHeight="1">
      <c r="A1322" s="712">
        <v>2</v>
      </c>
      <c r="B1322" s="713" t="s">
        <v>658</v>
      </c>
      <c r="C1322" s="714"/>
      <c r="D1322" s="717"/>
      <c r="E1322" s="710">
        <v>1</v>
      </c>
      <c r="F1322" s="718" t="s">
        <v>659</v>
      </c>
      <c r="G1322" s="718"/>
      <c r="H1322" s="710" t="s">
        <v>660</v>
      </c>
      <c r="I1322" s="727">
        <f>VLOOKUP(C1317,'Luong VP'!$B$10:$AP$189,22,0)</f>
        <v>26</v>
      </c>
      <c r="J1322" s="728">
        <f>J1321/'Cham cong'!$AS$3*I1322</f>
        <v>7309.9999999999991</v>
      </c>
    </row>
    <row r="1323" spans="1:13" ht="9.1999999999999993" customHeight="1">
      <c r="A1323" s="712">
        <v>3</v>
      </c>
      <c r="B1323" s="713" t="s">
        <v>661</v>
      </c>
      <c r="C1323" s="714">
        <f>VLOOKUP(C1317,'Luong VP'!$B$10:$AP$189,10,0)</f>
        <v>0</v>
      </c>
      <c r="D1323" s="717"/>
      <c r="E1323" s="710">
        <v>2</v>
      </c>
      <c r="F1323" s="718" t="s">
        <v>662</v>
      </c>
      <c r="G1323" s="718"/>
      <c r="H1323" s="710" t="s">
        <v>660</v>
      </c>
      <c r="I1323" s="727">
        <f>VLOOKUP(C1317,'Luong VP'!$B$10:$AP$189,27,0)</f>
        <v>0</v>
      </c>
      <c r="J1323" s="728">
        <f>J1321/'Cham cong'!$AS$3*I1323*3</f>
        <v>0</v>
      </c>
    </row>
    <row r="1324" spans="1:13" ht="9.1999999999999993" customHeight="1">
      <c r="A1324" s="712">
        <v>4</v>
      </c>
      <c r="B1324" s="713" t="s">
        <v>666</v>
      </c>
      <c r="C1324" s="714">
        <f>VLOOKUP(C1317,'Luong VP'!$B$10:$AP$189,11,0)</f>
        <v>0</v>
      </c>
      <c r="D1324" s="717"/>
      <c r="E1324" s="710">
        <v>3</v>
      </c>
      <c r="F1324" s="718" t="s">
        <v>667</v>
      </c>
      <c r="G1324" s="718"/>
      <c r="H1324" s="710" t="s">
        <v>668</v>
      </c>
      <c r="I1324" s="727">
        <f>VLOOKUP(C1317,'Luong VP'!$B$10:$AP$189,26,0)</f>
        <v>0</v>
      </c>
      <c r="J1324" s="728">
        <f>J1321/'Cham cong'!$AS$3*I1324/8*1.5</f>
        <v>0</v>
      </c>
    </row>
    <row r="1325" spans="1:13" ht="9.1999999999999993" customHeight="1">
      <c r="A1325" s="712">
        <v>5</v>
      </c>
      <c r="B1325" s="713" t="s">
        <v>670</v>
      </c>
      <c r="C1325" s="714">
        <f>VLOOKUP(C1317,'Luong VP'!$B$10:$AP$189,12,0)</f>
        <v>0</v>
      </c>
      <c r="D1325" s="717"/>
      <c r="E1325" s="710">
        <v>4</v>
      </c>
      <c r="F1325" s="718" t="s">
        <v>671</v>
      </c>
      <c r="G1325" s="718"/>
      <c r="H1325" s="710" t="s">
        <v>668</v>
      </c>
      <c r="I1325" s="727">
        <f>VLOOKUP(C1317,'Luong VP'!$B$10:$AP$189,25,0)</f>
        <v>0</v>
      </c>
      <c r="J1325" s="728">
        <f>J1321/'Cham cong'!$AS$3*I1325/8*2</f>
        <v>0</v>
      </c>
    </row>
    <row r="1326" spans="1:13" ht="9.1999999999999993" customHeight="1">
      <c r="A1326" s="712">
        <v>6</v>
      </c>
      <c r="B1326" s="713" t="s">
        <v>673</v>
      </c>
      <c r="C1326" s="714">
        <f>VLOOKUP(C1317,'Luong VP'!$B$10:$AP$189,13,0)</f>
        <v>0</v>
      </c>
      <c r="D1326" s="717"/>
      <c r="E1326" s="710">
        <v>5</v>
      </c>
      <c r="F1326" s="718" t="s">
        <v>674</v>
      </c>
      <c r="G1326" s="718"/>
      <c r="H1326" s="710" t="s">
        <v>660</v>
      </c>
      <c r="I1326" s="727">
        <f>VLOOKUP(C1317,'Luong VP'!$B$10:$AP$189,23,0)</f>
        <v>0</v>
      </c>
      <c r="J1326" s="728">
        <f>C1321/'Cham cong'!$AS$3*I1326</f>
        <v>0</v>
      </c>
      <c r="L1326" s="694" t="str">
        <f>G1317</f>
        <v>Nguyễn Tấn Phát</v>
      </c>
    </row>
    <row r="1327" spans="1:13" ht="9.1999999999999993" customHeight="1">
      <c r="A1327" s="712">
        <v>7</v>
      </c>
      <c r="B1327" s="713" t="s">
        <v>676</v>
      </c>
      <c r="C1327" s="714"/>
      <c r="D1327" s="717"/>
      <c r="E1327" s="710">
        <v>6</v>
      </c>
      <c r="F1327" s="718" t="s">
        <v>677</v>
      </c>
      <c r="G1327" s="718"/>
      <c r="H1327" s="710" t="s">
        <v>660</v>
      </c>
      <c r="I1327" s="727">
        <f>VLOOKUP(C1317,'Luong VP'!$B$10:$AP$189,24,0)</f>
        <v>1</v>
      </c>
      <c r="J1327" s="714">
        <f>C1321/'Cham cong'!$AS$3*I1327</f>
        <v>281.15384615384613</v>
      </c>
    </row>
    <row r="1328" spans="1:13" ht="9.1999999999999993" customHeight="1">
      <c r="A1328" s="712">
        <v>8</v>
      </c>
      <c r="B1328" s="713" t="s">
        <v>679</v>
      </c>
      <c r="C1328" s="714">
        <f>VLOOKUP(C1317,'Luong VP'!$B$10:$AP$189,14,0)</f>
        <v>0</v>
      </c>
      <c r="D1328" s="717"/>
      <c r="E1328" s="710">
        <v>7</v>
      </c>
      <c r="F1328" s="718" t="s">
        <v>680</v>
      </c>
      <c r="G1328" s="718"/>
      <c r="H1328" s="718"/>
      <c r="I1328" s="729"/>
      <c r="J1328" s="714">
        <f>VLOOKUP(C1317,'Luong VP'!$B$10:$AP$189,28,0)</f>
        <v>0</v>
      </c>
    </row>
    <row r="1329" spans="1:13" ht="9.1999999999999993" customHeight="1">
      <c r="A1329" s="712">
        <v>9</v>
      </c>
      <c r="B1329" s="713" t="s">
        <v>683</v>
      </c>
      <c r="C1329" s="714">
        <f>VLOOKUP(C1317,'Luong VP'!$B$10:$AP$189,15,0)</f>
        <v>0</v>
      </c>
      <c r="D1329" s="717"/>
      <c r="E1329" s="710">
        <v>8</v>
      </c>
      <c r="F1329" s="718" t="s">
        <v>238</v>
      </c>
      <c r="G1329" s="718"/>
      <c r="H1329" s="718"/>
      <c r="I1329" s="729"/>
      <c r="J1329" s="714">
        <f>VLOOKUP(C1317,'Luong VP'!$B$10:$AP$189,33,0)</f>
        <v>0</v>
      </c>
    </row>
    <row r="1330" spans="1:13" ht="9.1999999999999993" customHeight="1">
      <c r="A1330" s="712">
        <v>10</v>
      </c>
      <c r="B1330" s="713" t="s">
        <v>685</v>
      </c>
      <c r="C1330" s="714">
        <f>VLOOKUP(C1317,'Luong VP'!$B$10:$AP$189,16,0)</f>
        <v>0</v>
      </c>
      <c r="D1330" s="717"/>
      <c r="E1330" s="710" t="s">
        <v>686</v>
      </c>
      <c r="F1330" s="716" t="s">
        <v>687</v>
      </c>
      <c r="G1330" s="719"/>
      <c r="H1330" s="719"/>
      <c r="I1330" s="729"/>
      <c r="J1330" s="730"/>
    </row>
    <row r="1331" spans="1:13" ht="9.1999999999999993" customHeight="1">
      <c r="A1331" s="712">
        <v>11</v>
      </c>
      <c r="B1331" s="713" t="s">
        <v>688</v>
      </c>
      <c r="C1331" s="714">
        <f>VLOOKUP(C1317,'Luong VP'!$B$10:$AP$189,17,0)</f>
        <v>0</v>
      </c>
      <c r="D1331" s="717"/>
      <c r="E1331" s="710">
        <v>1</v>
      </c>
      <c r="F1331" s="716" t="s">
        <v>689</v>
      </c>
      <c r="G1331" s="719"/>
      <c r="H1331" s="719"/>
      <c r="I1331" s="714">
        <f>VLOOKUP(C1317,'Luong VP'!$B$10:$AP$189,30,0)</f>
        <v>0</v>
      </c>
      <c r="J1331" s="714">
        <f>VLOOKUP(C1317,'Luong VP'!$B$10:$AP$189,30,0)</f>
        <v>0</v>
      </c>
    </row>
    <row r="1332" spans="1:13" ht="9.1999999999999993" customHeight="1">
      <c r="A1332" s="712">
        <v>12</v>
      </c>
      <c r="B1332" s="713" t="s">
        <v>691</v>
      </c>
      <c r="C1332" s="714">
        <f>VLOOKUP(C1317,'Luong VP'!$B$10:$AP$189,18,0)</f>
        <v>0</v>
      </c>
      <c r="D1332" s="717"/>
      <c r="E1332" s="710">
        <v>2</v>
      </c>
      <c r="F1332" s="718" t="s">
        <v>239</v>
      </c>
      <c r="G1332" s="718"/>
      <c r="H1332" s="718"/>
      <c r="I1332" s="727"/>
      <c r="J1332" s="728">
        <f>VLOOKUP(C1317,'Luong VP'!$B$10:$AP$189,34,0)</f>
        <v>0</v>
      </c>
      <c r="K1332" s="731"/>
      <c r="L1332" s="715"/>
    </row>
    <row r="1333" spans="1:13" ht="9.1999999999999993" customHeight="1">
      <c r="A1333" s="712">
        <v>13</v>
      </c>
      <c r="B1333" s="713" t="s">
        <v>692</v>
      </c>
      <c r="C1333" s="714">
        <f>VLOOKUP(C1317,'Luong VP'!$B$10:$AP$189,19,0)</f>
        <v>0</v>
      </c>
      <c r="D1333" s="717"/>
      <c r="E1333" s="710">
        <v>3</v>
      </c>
      <c r="F1333" s="716" t="s">
        <v>693</v>
      </c>
      <c r="G1333" s="719"/>
      <c r="H1333" s="719"/>
      <c r="I1333" s="729"/>
      <c r="J1333" s="714">
        <f>VLOOKUP(C1317,'Luong VP'!$B$10:$AP$189,40,0)</f>
        <v>0</v>
      </c>
      <c r="K1333" s="731"/>
      <c r="L1333" s="715"/>
    </row>
    <row r="1334" spans="1:13" ht="9.1999999999999993" customHeight="1">
      <c r="A1334" s="712">
        <v>14</v>
      </c>
      <c r="B1334" s="713" t="s">
        <v>694</v>
      </c>
      <c r="C1334" s="714">
        <f>VLOOKUP(C1317,'Luong VP'!$B$10:$AP$189,20,0)</f>
        <v>0</v>
      </c>
      <c r="D1334" s="717"/>
      <c r="E1334" s="710">
        <v>4</v>
      </c>
      <c r="F1334" s="718" t="s">
        <v>695</v>
      </c>
      <c r="G1334" s="719"/>
      <c r="H1334" s="719"/>
      <c r="I1334" s="729"/>
      <c r="J1334" s="714">
        <f>VLOOKUP(C1317,'Luong VP'!$B$10:$AP$189,35,0)</f>
        <v>0</v>
      </c>
      <c r="K1334" s="732"/>
      <c r="L1334" s="715"/>
    </row>
    <row r="1335" spans="1:13" ht="9.1999999999999993" customHeight="1">
      <c r="A1335" s="712"/>
      <c r="B1335" s="707" t="s">
        <v>656</v>
      </c>
      <c r="C1335" s="714">
        <f>SUM(C1321:C1334)</f>
        <v>7310</v>
      </c>
      <c r="D1335" s="717"/>
      <c r="E1335" s="710"/>
      <c r="F1335" s="716" t="s">
        <v>241</v>
      </c>
      <c r="G1335" s="719"/>
      <c r="H1335" s="719"/>
      <c r="I1335" s="729"/>
      <c r="J1335" s="730">
        <f>SUM(J1322:J1334)+C1329</f>
        <v>7591.1538461538448</v>
      </c>
      <c r="K1335" s="731"/>
      <c r="L1335" s="715"/>
    </row>
    <row r="1336" spans="1:13" ht="9.1999999999999993" customHeight="1">
      <c r="B1336" s="720"/>
      <c r="C1336" s="717"/>
      <c r="D1336" s="717"/>
      <c r="E1336" s="710" t="s">
        <v>696</v>
      </c>
      <c r="F1336" s="711" t="s">
        <v>697</v>
      </c>
      <c r="G1336" s="710"/>
      <c r="H1336" s="710"/>
      <c r="I1336" s="729"/>
      <c r="J1336" s="730">
        <f>SUM(J1337:J1339)</f>
        <v>0</v>
      </c>
      <c r="K1336" s="732"/>
      <c r="L1336" s="715"/>
    </row>
    <row r="1337" spans="1:13" ht="9.1999999999999993" customHeight="1">
      <c r="B1337" s="720"/>
      <c r="C1337" s="717"/>
      <c r="D1337" s="717"/>
      <c r="E1337" s="710">
        <v>1</v>
      </c>
      <c r="F1337" s="718" t="s">
        <v>698</v>
      </c>
      <c r="G1337" s="718"/>
      <c r="H1337" s="718"/>
      <c r="I1337" s="733"/>
      <c r="J1337" s="714">
        <f>VLOOKUP(C1317,'Luong VP'!$B$10:$AP$189,37,0)</f>
        <v>0</v>
      </c>
      <c r="K1337" s="732"/>
      <c r="L1337" s="715"/>
    </row>
    <row r="1338" spans="1:13" ht="9.1999999999999993" customHeight="1">
      <c r="B1338" s="720"/>
      <c r="C1338" s="717"/>
      <c r="D1338" s="717"/>
      <c r="E1338" s="710">
        <v>2</v>
      </c>
      <c r="F1338" s="718" t="s">
        <v>244</v>
      </c>
      <c r="G1338" s="718"/>
      <c r="H1338" s="718"/>
      <c r="I1338" s="729"/>
      <c r="J1338" s="714">
        <f>VLOOKUP(C1317,'Luong VP'!$B$10:$AP$189,39,0)</f>
        <v>0</v>
      </c>
      <c r="K1338" s="734"/>
      <c r="L1338" s="735"/>
    </row>
    <row r="1339" spans="1:13" ht="9.1999999999999993" customHeight="1">
      <c r="B1339" s="720"/>
      <c r="C1339" s="717"/>
      <c r="D1339" s="717"/>
      <c r="E1339" s="710"/>
      <c r="F1339" s="718" t="s">
        <v>699</v>
      </c>
      <c r="G1339" s="718"/>
      <c r="H1339" s="718"/>
      <c r="I1339" s="729"/>
      <c r="J1339" s="714"/>
      <c r="K1339" s="714"/>
      <c r="L1339" s="736"/>
    </row>
    <row r="1340" spans="1:13" ht="9.1999999999999993" customHeight="1">
      <c r="B1340" s="720"/>
      <c r="C1340" s="717"/>
      <c r="D1340" s="717"/>
      <c r="E1340" s="710" t="s">
        <v>700</v>
      </c>
      <c r="F1340" s="710" t="s">
        <v>246</v>
      </c>
      <c r="G1340" s="710"/>
      <c r="H1340" s="710"/>
      <c r="I1340" s="729"/>
      <c r="J1340" s="728">
        <f>J1335-J1336</f>
        <v>7591.1538461538448</v>
      </c>
      <c r="K1340" s="728">
        <f>ROUND(J1340,-1)</f>
        <v>7590</v>
      </c>
      <c r="L1340" s="710"/>
    </row>
    <row r="1341" spans="1:13" ht="9.1999999999999993" customHeight="1">
      <c r="B1341" s="720"/>
      <c r="C1341" s="717"/>
      <c r="D1341" s="717"/>
      <c r="E1341" s="715"/>
      <c r="F1341" s="715"/>
      <c r="G1341" s="715"/>
      <c r="I1341" s="715" t="s">
        <v>701</v>
      </c>
      <c r="J1341" s="737"/>
      <c r="K1341" s="737"/>
      <c r="L1341" s="715"/>
    </row>
    <row r="1342" spans="1:13" s="691" customFormat="1" ht="9.1999999999999993" customHeight="1">
      <c r="A1342" s="690"/>
      <c r="B1342" s="720"/>
      <c r="C1342" s="717"/>
      <c r="D1342" s="717"/>
      <c r="E1342" s="715"/>
      <c r="F1342" s="715"/>
      <c r="G1342" s="715"/>
      <c r="H1342" s="689"/>
      <c r="I1342" s="715"/>
      <c r="J1342" s="737"/>
      <c r="K1342" s="737"/>
      <c r="L1342" s="715"/>
      <c r="M1342" s="690"/>
    </row>
    <row r="1343" spans="1:13" s="691" customFormat="1" ht="9.1999999999999993" customHeight="1">
      <c r="A1343" s="690"/>
      <c r="B1343" s="720"/>
      <c r="C1343" s="717"/>
      <c r="D1343" s="717"/>
      <c r="E1343" s="715"/>
      <c r="F1343" s="715"/>
      <c r="G1343" s="715"/>
      <c r="H1343" s="689"/>
      <c r="I1343" s="715"/>
      <c r="J1343" s="737"/>
      <c r="K1343" s="737"/>
      <c r="L1343" s="715"/>
      <c r="M1343" s="690"/>
    </row>
    <row r="1344" spans="1:13" s="691" customFormat="1" ht="9.1999999999999993" customHeight="1">
      <c r="A1344" s="690"/>
      <c r="B1344" s="720"/>
      <c r="C1344" s="717"/>
      <c r="D1344" s="717"/>
      <c r="E1344" s="715"/>
      <c r="F1344" s="715"/>
      <c r="G1344" s="715"/>
      <c r="H1344" s="689"/>
      <c r="I1344" s="715"/>
      <c r="J1344" s="737"/>
      <c r="K1344" s="737"/>
      <c r="L1344" s="715"/>
      <c r="M1344" s="690"/>
    </row>
    <row r="1345" spans="1:13" s="691" customFormat="1" ht="9.1999999999999993" customHeight="1">
      <c r="A1345" s="690"/>
      <c r="B1345" s="720"/>
      <c r="C1345" s="717"/>
      <c r="D1345" s="717"/>
      <c r="E1345" s="715"/>
      <c r="F1345" s="715"/>
      <c r="G1345" s="715"/>
      <c r="H1345" s="689"/>
      <c r="I1345" s="715"/>
      <c r="J1345" s="737"/>
      <c r="K1345" s="737"/>
      <c r="L1345" s="715"/>
      <c r="M1345" s="690"/>
    </row>
    <row r="1346" spans="1:13" s="691" customFormat="1" ht="9.1999999999999993" customHeight="1">
      <c r="A1346" s="690"/>
      <c r="B1346" s="720"/>
      <c r="C1346" s="717"/>
      <c r="D1346" s="717"/>
      <c r="E1346" s="715"/>
      <c r="F1346" s="715"/>
      <c r="G1346" s="715"/>
      <c r="H1346" s="689"/>
      <c r="I1346" s="715"/>
      <c r="J1346" s="737"/>
      <c r="K1346" s="737"/>
      <c r="L1346" s="715"/>
      <c r="M1346" s="690"/>
    </row>
    <row r="1347" spans="1:13" ht="9.1999999999999993" customHeight="1">
      <c r="C1347" s="696"/>
      <c r="D1347" s="696"/>
      <c r="E1347" s="697" t="str">
        <f>$E$2</f>
        <v>THẺ LƯƠNG THÁNG 08/2019</v>
      </c>
      <c r="F1347" s="698"/>
      <c r="G1347" s="698"/>
      <c r="H1347" s="698"/>
    </row>
    <row r="1348" spans="1:13" ht="9.1999999999999993" customHeight="1">
      <c r="B1348" s="699" t="s">
        <v>644</v>
      </c>
      <c r="C1348" s="700" t="s">
        <v>361</v>
      </c>
      <c r="D1348" s="701"/>
      <c r="F1348" s="702" t="s">
        <v>645</v>
      </c>
      <c r="G1348" s="689" t="str">
        <f>VLOOKUP(C1348,'Luong VP'!$B$10:$AP$189,2,0)</f>
        <v>Phan Thanh Tú</v>
      </c>
    </row>
    <row r="1349" spans="1:13" ht="9.1999999999999993" customHeight="1">
      <c r="B1349" s="699" t="s">
        <v>646</v>
      </c>
      <c r="C1349" s="689" t="str">
        <f>VLOOKUP(C1348,'Luong VP'!$B$10:$AP$189,3,0)</f>
        <v>CV môi trường</v>
      </c>
      <c r="F1349" s="702" t="s">
        <v>647</v>
      </c>
      <c r="G1349" s="689">
        <f>VLOOKUP(C1348,'Luong VP'!$B$10:$AP$189,5,0)</f>
        <v>1</v>
      </c>
    </row>
    <row r="1350" spans="1:13" ht="9.1999999999999993" customHeight="1">
      <c r="B1350" s="703"/>
      <c r="C1350" s="704"/>
      <c r="D1350" s="705"/>
      <c r="F1350" s="706" t="s">
        <v>648</v>
      </c>
      <c r="G1350" s="706"/>
      <c r="H1350" s="706"/>
      <c r="I1350" s="725"/>
      <c r="J1350" s="726"/>
    </row>
    <row r="1351" spans="1:13" ht="9.1999999999999993" customHeight="1">
      <c r="A1351" s="707" t="s">
        <v>216</v>
      </c>
      <c r="B1351" s="707" t="s">
        <v>649</v>
      </c>
      <c r="C1351" s="708" t="s">
        <v>650</v>
      </c>
      <c r="D1351" s="709"/>
      <c r="E1351" s="710" t="s">
        <v>216</v>
      </c>
      <c r="F1351" s="711" t="s">
        <v>649</v>
      </c>
      <c r="G1351" s="710"/>
      <c r="H1351" s="710" t="s">
        <v>651</v>
      </c>
      <c r="I1351" s="727" t="s">
        <v>652</v>
      </c>
      <c r="J1351" s="714"/>
      <c r="L1351" s="694" t="s">
        <v>653</v>
      </c>
    </row>
    <row r="1352" spans="1:13" ht="9.1999999999999993" customHeight="1">
      <c r="A1352" s="712">
        <v>1</v>
      </c>
      <c r="B1352" s="713" t="s">
        <v>654</v>
      </c>
      <c r="C1352" s="714">
        <f>VLOOKUP(C1348,'Luong VP'!$B$10:$AP$189,9,0)</f>
        <v>9420</v>
      </c>
      <c r="D1352" s="715"/>
      <c r="E1352" s="710" t="s">
        <v>655</v>
      </c>
      <c r="F1352" s="716" t="s">
        <v>656</v>
      </c>
      <c r="G1352" s="710"/>
      <c r="H1352" s="710"/>
      <c r="I1352" s="727"/>
      <c r="J1352" s="714">
        <f>VLOOKUP(C1348,'Luong VP'!$B$10:$AP$189,21,0)</f>
        <v>9420</v>
      </c>
    </row>
    <row r="1353" spans="1:13" ht="9.1999999999999993" customHeight="1">
      <c r="A1353" s="712">
        <v>2</v>
      </c>
      <c r="B1353" s="713" t="s">
        <v>658</v>
      </c>
      <c r="C1353" s="714"/>
      <c r="D1353" s="717"/>
      <c r="E1353" s="710">
        <v>1</v>
      </c>
      <c r="F1353" s="718" t="s">
        <v>659</v>
      </c>
      <c r="G1353" s="718"/>
      <c r="H1353" s="710" t="s">
        <v>660</v>
      </c>
      <c r="I1353" s="727">
        <f>VLOOKUP(C1348,'Luong VP'!$B$10:$AP$189,22,0)</f>
        <v>26</v>
      </c>
      <c r="J1353" s="728">
        <f>J1352/'Cham cong'!$AS$3*I1353</f>
        <v>9420</v>
      </c>
    </row>
    <row r="1354" spans="1:13" ht="9.1999999999999993" customHeight="1">
      <c r="A1354" s="712">
        <v>3</v>
      </c>
      <c r="B1354" s="713" t="s">
        <v>661</v>
      </c>
      <c r="C1354" s="714">
        <f>VLOOKUP(C1348,'Luong VP'!$B$10:$AP$189,10,0)</f>
        <v>0</v>
      </c>
      <c r="D1354" s="717"/>
      <c r="E1354" s="710">
        <v>2</v>
      </c>
      <c r="F1354" s="718" t="s">
        <v>662</v>
      </c>
      <c r="G1354" s="718"/>
      <c r="H1354" s="710" t="s">
        <v>660</v>
      </c>
      <c r="I1354" s="727">
        <f>VLOOKUP(C1348,'Luong VP'!$B$10:$AP$189,27,0)</f>
        <v>0</v>
      </c>
      <c r="J1354" s="728">
        <f>J1352/'Cham cong'!$AS$3*I1354*3</f>
        <v>0</v>
      </c>
    </row>
    <row r="1355" spans="1:13" ht="9.1999999999999993" customHeight="1">
      <c r="A1355" s="712">
        <v>4</v>
      </c>
      <c r="B1355" s="713" t="s">
        <v>666</v>
      </c>
      <c r="C1355" s="714">
        <f>VLOOKUP(C1348,'Luong VP'!$B$10:$AP$189,11,0)</f>
        <v>0</v>
      </c>
      <c r="D1355" s="717"/>
      <c r="E1355" s="710">
        <v>3</v>
      </c>
      <c r="F1355" s="718" t="s">
        <v>667</v>
      </c>
      <c r="G1355" s="718"/>
      <c r="H1355" s="710" t="s">
        <v>668</v>
      </c>
      <c r="I1355" s="727">
        <f>VLOOKUP(C1348,'Luong VP'!$B$10:$AP$189,26,0)</f>
        <v>2.5</v>
      </c>
      <c r="J1355" s="728">
        <f>J1352/'Cham cong'!$AS$3*I1355/8*1.5</f>
        <v>169.83173076923077</v>
      </c>
    </row>
    <row r="1356" spans="1:13" ht="9.1999999999999993" customHeight="1">
      <c r="A1356" s="712">
        <v>5</v>
      </c>
      <c r="B1356" s="713" t="s">
        <v>670</v>
      </c>
      <c r="C1356" s="714">
        <f>VLOOKUP(C1348,'Luong VP'!$B$10:$AP$189,12,0)</f>
        <v>0</v>
      </c>
      <c r="D1356" s="717"/>
      <c r="E1356" s="710">
        <v>4</v>
      </c>
      <c r="F1356" s="718" t="s">
        <v>671</v>
      </c>
      <c r="G1356" s="718"/>
      <c r="H1356" s="710" t="s">
        <v>668</v>
      </c>
      <c r="I1356" s="727">
        <f>VLOOKUP(C1348,'Luong VP'!$B$10:$AP$189,25,0)</f>
        <v>0</v>
      </c>
      <c r="J1356" s="728">
        <f>J1352/'Cham cong'!$AS$3*I1356/8*2</f>
        <v>0</v>
      </c>
    </row>
    <row r="1357" spans="1:13" ht="9.1999999999999993" customHeight="1">
      <c r="A1357" s="712">
        <v>6</v>
      </c>
      <c r="B1357" s="713" t="s">
        <v>673</v>
      </c>
      <c r="C1357" s="714">
        <f>VLOOKUP(C1348,'Luong VP'!$B$10:$AP$189,13,0)</f>
        <v>0</v>
      </c>
      <c r="D1357" s="717"/>
      <c r="E1357" s="710">
        <v>5</v>
      </c>
      <c r="F1357" s="718" t="s">
        <v>674</v>
      </c>
      <c r="G1357" s="718"/>
      <c r="H1357" s="710" t="s">
        <v>660</v>
      </c>
      <c r="I1357" s="727">
        <f>VLOOKUP(C1348,'Luong VP'!$B$10:$AP$189,23,0)</f>
        <v>0</v>
      </c>
      <c r="J1357" s="728">
        <f>C1352/'Cham cong'!$AS$3*I1357</f>
        <v>0</v>
      </c>
      <c r="L1357" s="694" t="str">
        <f>G1348</f>
        <v>Phan Thanh Tú</v>
      </c>
    </row>
    <row r="1358" spans="1:13" ht="9.1999999999999993" customHeight="1">
      <c r="A1358" s="712">
        <v>7</v>
      </c>
      <c r="B1358" s="713" t="s">
        <v>676</v>
      </c>
      <c r="C1358" s="714"/>
      <c r="D1358" s="717"/>
      <c r="E1358" s="710">
        <v>6</v>
      </c>
      <c r="F1358" s="718" t="s">
        <v>677</v>
      </c>
      <c r="G1358" s="718"/>
      <c r="H1358" s="710" t="s">
        <v>660</v>
      </c>
      <c r="I1358" s="727">
        <f>VLOOKUP(C1348,'Luong VP'!$B$10:$AP$189,24,0)</f>
        <v>1</v>
      </c>
      <c r="J1358" s="714">
        <f>C1352/'Cham cong'!$AS$3*I1358</f>
        <v>362.30769230769232</v>
      </c>
    </row>
    <row r="1359" spans="1:13" ht="9.1999999999999993" customHeight="1">
      <c r="A1359" s="712">
        <v>8</v>
      </c>
      <c r="B1359" s="713" t="s">
        <v>679</v>
      </c>
      <c r="C1359" s="714">
        <f>VLOOKUP(C1348,'Luong VP'!$B$10:$AP$189,14,0)</f>
        <v>0</v>
      </c>
      <c r="D1359" s="717"/>
      <c r="E1359" s="710">
        <v>7</v>
      </c>
      <c r="F1359" s="718" t="s">
        <v>680</v>
      </c>
      <c r="G1359" s="718"/>
      <c r="H1359" s="718"/>
      <c r="I1359" s="729"/>
      <c r="J1359" s="714">
        <f>VLOOKUP(C1348,'Luong VP'!$B$10:$AP$189,28,0)</f>
        <v>0</v>
      </c>
    </row>
    <row r="1360" spans="1:13" ht="9.1999999999999993" customHeight="1">
      <c r="A1360" s="712">
        <v>9</v>
      </c>
      <c r="B1360" s="713" t="s">
        <v>683</v>
      </c>
      <c r="C1360" s="714">
        <f>VLOOKUP(C1348,'Luong VP'!$B$10:$AP$189,15,0)</f>
        <v>0</v>
      </c>
      <c r="D1360" s="717"/>
      <c r="E1360" s="710">
        <v>8</v>
      </c>
      <c r="F1360" s="718" t="s">
        <v>238</v>
      </c>
      <c r="G1360" s="718"/>
      <c r="H1360" s="718"/>
      <c r="I1360" s="729"/>
      <c r="J1360" s="714">
        <f>VLOOKUP(C1348,'Luong VP'!$B$10:$AP$189,33,0)</f>
        <v>0</v>
      </c>
    </row>
    <row r="1361" spans="1:12" ht="9.1999999999999993" customHeight="1">
      <c r="A1361" s="712">
        <v>10</v>
      </c>
      <c r="B1361" s="713" t="s">
        <v>685</v>
      </c>
      <c r="C1361" s="714">
        <f>VLOOKUP(C1348,'Luong VP'!$B$10:$AP$189,16,0)</f>
        <v>0</v>
      </c>
      <c r="D1361" s="717"/>
      <c r="E1361" s="710" t="s">
        <v>686</v>
      </c>
      <c r="F1361" s="716" t="s">
        <v>687</v>
      </c>
      <c r="G1361" s="719"/>
      <c r="H1361" s="719"/>
      <c r="I1361" s="729"/>
      <c r="J1361" s="730"/>
    </row>
    <row r="1362" spans="1:12" ht="9.1999999999999993" customHeight="1">
      <c r="A1362" s="712">
        <v>11</v>
      </c>
      <c r="B1362" s="713" t="s">
        <v>688</v>
      </c>
      <c r="C1362" s="714">
        <f>VLOOKUP(C1348,'Luong VP'!$B$10:$AP$189,17,0)</f>
        <v>0</v>
      </c>
      <c r="D1362" s="717"/>
      <c r="E1362" s="710">
        <v>1</v>
      </c>
      <c r="F1362" s="716" t="s">
        <v>689</v>
      </c>
      <c r="G1362" s="719"/>
      <c r="H1362" s="719"/>
      <c r="I1362" s="714">
        <f>VLOOKUP(C1348,'Luong VP'!$B$10:$AP$189,30,0)</f>
        <v>0</v>
      </c>
      <c r="J1362" s="714">
        <f>VLOOKUP(C1348,'Luong VP'!$B$10:$AP$189,30,0)</f>
        <v>0</v>
      </c>
    </row>
    <row r="1363" spans="1:12" ht="9.1999999999999993" customHeight="1">
      <c r="A1363" s="712">
        <v>12</v>
      </c>
      <c r="B1363" s="713" t="s">
        <v>691</v>
      </c>
      <c r="C1363" s="714">
        <f>VLOOKUP(C1348,'Luong VP'!$B$10:$AP$189,18,0)</f>
        <v>0</v>
      </c>
      <c r="D1363" s="717"/>
      <c r="E1363" s="710">
        <v>2</v>
      </c>
      <c r="F1363" s="718" t="s">
        <v>239</v>
      </c>
      <c r="G1363" s="718"/>
      <c r="H1363" s="718"/>
      <c r="I1363" s="727"/>
      <c r="J1363" s="728">
        <f>VLOOKUP(C1348,'Luong VP'!$B$10:$AP$189,34,0)</f>
        <v>0</v>
      </c>
      <c r="K1363" s="731"/>
      <c r="L1363" s="715"/>
    </row>
    <row r="1364" spans="1:12" ht="9.1999999999999993" customHeight="1">
      <c r="A1364" s="712">
        <v>13</v>
      </c>
      <c r="B1364" s="713" t="s">
        <v>692</v>
      </c>
      <c r="C1364" s="714">
        <f>VLOOKUP(C1348,'Luong VP'!$B$10:$AP$189,19,0)</f>
        <v>0</v>
      </c>
      <c r="D1364" s="717"/>
      <c r="E1364" s="710">
        <v>3</v>
      </c>
      <c r="F1364" s="716" t="s">
        <v>693</v>
      </c>
      <c r="G1364" s="719"/>
      <c r="H1364" s="719"/>
      <c r="I1364" s="729"/>
      <c r="J1364" s="714">
        <f>VLOOKUP(C1348,'Luong VP'!$B$10:$AP$189,40,0)</f>
        <v>0</v>
      </c>
      <c r="K1364" s="731"/>
      <c r="L1364" s="715"/>
    </row>
    <row r="1365" spans="1:12" ht="9.1999999999999993" customHeight="1">
      <c r="A1365" s="712">
        <v>14</v>
      </c>
      <c r="B1365" s="713" t="s">
        <v>694</v>
      </c>
      <c r="C1365" s="714">
        <f>VLOOKUP(C1348,'Luong VP'!$B$10:$AP$189,20,0)</f>
        <v>0</v>
      </c>
      <c r="D1365" s="717"/>
      <c r="E1365" s="710">
        <v>4</v>
      </c>
      <c r="F1365" s="718" t="s">
        <v>695</v>
      </c>
      <c r="G1365" s="719"/>
      <c r="H1365" s="719"/>
      <c r="I1365" s="729"/>
      <c r="J1365" s="714">
        <f>VLOOKUP(C1348,'Luong VP'!$B$10:$AP$189,35,0)</f>
        <v>0</v>
      </c>
      <c r="K1365" s="732"/>
      <c r="L1365" s="715"/>
    </row>
    <row r="1366" spans="1:12" ht="9.1999999999999993" customHeight="1">
      <c r="A1366" s="712"/>
      <c r="B1366" s="707" t="s">
        <v>656</v>
      </c>
      <c r="C1366" s="714">
        <f>SUM(C1352:C1365)</f>
        <v>9420</v>
      </c>
      <c r="D1366" s="717"/>
      <c r="E1366" s="710"/>
      <c r="F1366" s="716" t="s">
        <v>241</v>
      </c>
      <c r="G1366" s="719"/>
      <c r="H1366" s="719"/>
      <c r="I1366" s="729"/>
      <c r="J1366" s="730">
        <f>SUM(J1353:J1365)+C1360</f>
        <v>9952.139423076922</v>
      </c>
      <c r="K1366" s="731"/>
      <c r="L1366" s="715"/>
    </row>
    <row r="1367" spans="1:12" ht="9.1999999999999993" customHeight="1">
      <c r="B1367" s="720"/>
      <c r="C1367" s="717"/>
      <c r="D1367" s="717"/>
      <c r="E1367" s="710" t="s">
        <v>696</v>
      </c>
      <c r="F1367" s="711" t="s">
        <v>697</v>
      </c>
      <c r="G1367" s="710"/>
      <c r="H1367" s="710"/>
      <c r="I1367" s="729"/>
      <c r="J1367" s="730">
        <f>SUM(J1368:J1370)</f>
        <v>0</v>
      </c>
      <c r="K1367" s="732"/>
      <c r="L1367" s="715"/>
    </row>
    <row r="1368" spans="1:12" ht="9.1999999999999993" customHeight="1">
      <c r="B1368" s="720"/>
      <c r="C1368" s="717"/>
      <c r="D1368" s="717"/>
      <c r="E1368" s="710">
        <v>1</v>
      </c>
      <c r="F1368" s="718" t="s">
        <v>698</v>
      </c>
      <c r="G1368" s="718"/>
      <c r="H1368" s="718"/>
      <c r="I1368" s="733"/>
      <c r="J1368" s="714">
        <f>VLOOKUP(C1348,'Luong VP'!$B$10:$AP$189,37,0)</f>
        <v>0</v>
      </c>
      <c r="K1368" s="732"/>
      <c r="L1368" s="715"/>
    </row>
    <row r="1369" spans="1:12" ht="9.1999999999999993" customHeight="1">
      <c r="B1369" s="720"/>
      <c r="C1369" s="717"/>
      <c r="D1369" s="717"/>
      <c r="E1369" s="710">
        <v>2</v>
      </c>
      <c r="F1369" s="718" t="s">
        <v>244</v>
      </c>
      <c r="G1369" s="718"/>
      <c r="H1369" s="718"/>
      <c r="I1369" s="729"/>
      <c r="J1369" s="714">
        <f>VLOOKUP(C1348,'Luong VP'!$B$10:$AP$189,39,0)</f>
        <v>0</v>
      </c>
      <c r="K1369" s="734"/>
      <c r="L1369" s="735"/>
    </row>
    <row r="1370" spans="1:12" ht="9.1999999999999993" customHeight="1">
      <c r="B1370" s="720"/>
      <c r="C1370" s="717"/>
      <c r="D1370" s="717"/>
      <c r="E1370" s="710"/>
      <c r="F1370" s="718" t="s">
        <v>699</v>
      </c>
      <c r="G1370" s="718"/>
      <c r="H1370" s="718"/>
      <c r="I1370" s="729"/>
      <c r="J1370" s="714"/>
      <c r="K1370" s="714"/>
      <c r="L1370" s="736"/>
    </row>
    <row r="1371" spans="1:12" ht="9.1999999999999993" customHeight="1">
      <c r="B1371" s="720"/>
      <c r="C1371" s="717"/>
      <c r="D1371" s="717"/>
      <c r="E1371" s="710" t="s">
        <v>700</v>
      </c>
      <c r="F1371" s="710" t="s">
        <v>246</v>
      </c>
      <c r="G1371" s="710"/>
      <c r="H1371" s="710"/>
      <c r="I1371" s="729"/>
      <c r="J1371" s="728">
        <f>J1366-J1367</f>
        <v>9952.139423076922</v>
      </c>
      <c r="K1371" s="728">
        <f>ROUND(J1371,-1)</f>
        <v>9950</v>
      </c>
      <c r="L1371" s="710"/>
    </row>
    <row r="1372" spans="1:12" ht="9.1999999999999993" customHeight="1">
      <c r="B1372" s="720"/>
      <c r="C1372" s="717"/>
      <c r="D1372" s="717"/>
      <c r="E1372" s="715"/>
      <c r="F1372" s="715"/>
      <c r="G1372" s="715"/>
      <c r="I1372" s="715" t="s">
        <v>701</v>
      </c>
      <c r="J1372" s="737"/>
      <c r="K1372" s="737"/>
      <c r="L1372" s="715"/>
    </row>
    <row r="1373" spans="1:12" ht="9.1999999999999993" customHeight="1">
      <c r="B1373" s="720"/>
      <c r="C1373" s="717"/>
      <c r="D1373" s="717"/>
      <c r="E1373" s="715"/>
      <c r="F1373" s="715"/>
      <c r="G1373" s="715"/>
      <c r="I1373" s="715"/>
      <c r="J1373" s="737"/>
      <c r="K1373" s="737"/>
      <c r="L1373" s="715"/>
    </row>
    <row r="1374" spans="1:12" ht="9.1999999999999993" customHeight="1">
      <c r="B1374" s="720"/>
      <c r="C1374" s="717"/>
      <c r="D1374" s="717"/>
      <c r="E1374" s="715"/>
      <c r="F1374" s="715"/>
      <c r="G1374" s="715"/>
      <c r="I1374" s="715"/>
      <c r="J1374" s="737"/>
      <c r="K1374" s="737"/>
      <c r="L1374" s="715"/>
    </row>
    <row r="1375" spans="1:12" ht="9.1999999999999993" customHeight="1">
      <c r="B1375" s="720"/>
      <c r="C1375" s="717"/>
      <c r="D1375" s="717"/>
      <c r="E1375" s="715"/>
      <c r="F1375" s="715"/>
      <c r="G1375" s="715"/>
      <c r="I1375" s="715"/>
      <c r="J1375" s="737"/>
      <c r="K1375" s="737"/>
      <c r="L1375" s="715"/>
    </row>
    <row r="1376" spans="1:12" ht="9.1999999999999993" customHeight="1">
      <c r="B1376" s="720"/>
      <c r="C1376" s="717"/>
      <c r="D1376" s="717"/>
      <c r="E1376" s="715"/>
      <c r="F1376" s="715"/>
      <c r="G1376" s="715"/>
      <c r="I1376" s="715"/>
      <c r="J1376" s="737"/>
      <c r="K1376" s="737"/>
      <c r="L1376" s="715"/>
    </row>
    <row r="1377" spans="1:12" ht="9.1999999999999993" customHeight="1">
      <c r="B1377" s="720"/>
      <c r="C1377" s="717"/>
      <c r="D1377" s="717"/>
      <c r="E1377" s="715"/>
      <c r="F1377" s="715"/>
      <c r="G1377" s="715"/>
      <c r="I1377" s="715"/>
      <c r="J1377" s="737"/>
      <c r="K1377" s="737"/>
      <c r="L1377" s="715"/>
    </row>
    <row r="1378" spans="1:12" ht="9.1999999999999993" customHeight="1">
      <c r="C1378" s="696"/>
      <c r="D1378" s="696"/>
      <c r="E1378" s="697" t="str">
        <f>$E$2</f>
        <v>THẺ LƯƠNG THÁNG 08/2019</v>
      </c>
      <c r="F1378" s="698"/>
      <c r="G1378" s="698"/>
      <c r="H1378" s="698"/>
    </row>
    <row r="1379" spans="1:12" ht="9.1999999999999993" customHeight="1">
      <c r="B1379" s="699" t="s">
        <v>644</v>
      </c>
      <c r="C1379" s="700" t="s">
        <v>1314</v>
      </c>
      <c r="D1379" s="701"/>
      <c r="F1379" s="1523" t="s">
        <v>645</v>
      </c>
      <c r="G1379" s="689" t="str">
        <f>VLOOKUP(C1379,'Luong VP'!$B$10:$AP$189,2,0)</f>
        <v>Đặng Toan</v>
      </c>
    </row>
    <row r="1380" spans="1:12" ht="9.1999999999999993" customHeight="1">
      <c r="B1380" s="699" t="s">
        <v>646</v>
      </c>
      <c r="C1380" s="689" t="str">
        <f>VLOOKUP(C1379,'Luong VP'!$B$10:$AP$189,3,0)</f>
        <v>CV môi trường</v>
      </c>
      <c r="F1380" s="1523" t="s">
        <v>647</v>
      </c>
      <c r="G1380" s="689">
        <f>VLOOKUP(C1379,'Luong VP'!$B$10:$AP$189,5,0)</f>
        <v>2</v>
      </c>
    </row>
    <row r="1381" spans="1:12" ht="9.1999999999999993" customHeight="1">
      <c r="B1381" s="703"/>
      <c r="C1381" s="704"/>
      <c r="D1381" s="705"/>
      <c r="F1381" s="706" t="s">
        <v>648</v>
      </c>
      <c r="G1381" s="706"/>
      <c r="H1381" s="706"/>
      <c r="I1381" s="725"/>
      <c r="J1381" s="726"/>
    </row>
    <row r="1382" spans="1:12" ht="9.1999999999999993" customHeight="1">
      <c r="A1382" s="707" t="s">
        <v>216</v>
      </c>
      <c r="B1382" s="707" t="s">
        <v>649</v>
      </c>
      <c r="C1382" s="708" t="s">
        <v>650</v>
      </c>
      <c r="D1382" s="709"/>
      <c r="E1382" s="710" t="s">
        <v>216</v>
      </c>
      <c r="F1382" s="711" t="s">
        <v>649</v>
      </c>
      <c r="G1382" s="710"/>
      <c r="H1382" s="710" t="s">
        <v>651</v>
      </c>
      <c r="I1382" s="727" t="s">
        <v>652</v>
      </c>
      <c r="J1382" s="714"/>
      <c r="L1382" s="694" t="s">
        <v>653</v>
      </c>
    </row>
    <row r="1383" spans="1:12" ht="9.1999999999999993" customHeight="1">
      <c r="A1383" s="712">
        <v>1</v>
      </c>
      <c r="B1383" s="713" t="s">
        <v>654</v>
      </c>
      <c r="C1383" s="714">
        <f>VLOOKUP(C1379,'Luong VP'!$B$10:$AP$189,9,0)</f>
        <v>10770</v>
      </c>
      <c r="D1383" s="715"/>
      <c r="E1383" s="710" t="s">
        <v>655</v>
      </c>
      <c r="F1383" s="716" t="s">
        <v>656</v>
      </c>
      <c r="G1383" s="710"/>
      <c r="H1383" s="710"/>
      <c r="I1383" s="727"/>
      <c r="J1383" s="714">
        <f>VLOOKUP(C1379,'Luong VP'!$B$10:$AP$189,21,0)</f>
        <v>9154.5</v>
      </c>
    </row>
    <row r="1384" spans="1:12" ht="9.1999999999999993" customHeight="1">
      <c r="A1384" s="712">
        <v>2</v>
      </c>
      <c r="B1384" s="713" t="s">
        <v>658</v>
      </c>
      <c r="C1384" s="714"/>
      <c r="D1384" s="717"/>
      <c r="E1384" s="710">
        <v>1</v>
      </c>
      <c r="F1384" s="718" t="s">
        <v>659</v>
      </c>
      <c r="G1384" s="718"/>
      <c r="H1384" s="710" t="s">
        <v>660</v>
      </c>
      <c r="I1384" s="727">
        <f>VLOOKUP(C1379,'Luong VP'!$B$10:$AP$189,22,0)</f>
        <v>26</v>
      </c>
      <c r="J1384" s="728">
        <f>J1383/'Cham cong'!$AS$3*I1384</f>
        <v>9154.5</v>
      </c>
    </row>
    <row r="1385" spans="1:12" ht="9.1999999999999993" customHeight="1">
      <c r="A1385" s="712">
        <v>3</v>
      </c>
      <c r="B1385" s="713" t="s">
        <v>661</v>
      </c>
      <c r="C1385" s="714">
        <f>VLOOKUP(C1379,'Luong VP'!$B$10:$AP$189,10,0)</f>
        <v>0</v>
      </c>
      <c r="D1385" s="717"/>
      <c r="E1385" s="710">
        <v>2</v>
      </c>
      <c r="F1385" s="718" t="s">
        <v>662</v>
      </c>
      <c r="G1385" s="718"/>
      <c r="H1385" s="710" t="s">
        <v>660</v>
      </c>
      <c r="I1385" s="727">
        <f>VLOOKUP(C1379,'Luong VP'!$B$10:$AP$189,27,0)</f>
        <v>0</v>
      </c>
      <c r="J1385" s="728">
        <f>J1383/'Cham cong'!$AS$3*I1385*3</f>
        <v>0</v>
      </c>
    </row>
    <row r="1386" spans="1:12" ht="9.1999999999999993" customHeight="1">
      <c r="A1386" s="712">
        <v>4</v>
      </c>
      <c r="B1386" s="713" t="s">
        <v>666</v>
      </c>
      <c r="C1386" s="714">
        <f>VLOOKUP(C1379,'Luong VP'!$B$10:$AP$189,11,0)</f>
        <v>0</v>
      </c>
      <c r="D1386" s="717"/>
      <c r="E1386" s="710">
        <v>3</v>
      </c>
      <c r="F1386" s="718" t="s">
        <v>667</v>
      </c>
      <c r="G1386" s="718"/>
      <c r="H1386" s="710" t="s">
        <v>668</v>
      </c>
      <c r="I1386" s="727">
        <f>VLOOKUP(C1379,'Luong VP'!$B$10:$AP$189,26,0)</f>
        <v>0</v>
      </c>
      <c r="J1386" s="728">
        <f>J1383/'Cham cong'!$AS$3*I1386/8*1.5</f>
        <v>0</v>
      </c>
    </row>
    <row r="1387" spans="1:12" ht="9.1999999999999993" customHeight="1">
      <c r="A1387" s="712">
        <v>5</v>
      </c>
      <c r="B1387" s="713" t="s">
        <v>670</v>
      </c>
      <c r="C1387" s="714">
        <f>VLOOKUP(C1379,'Luong VP'!$B$10:$AP$189,12,0)</f>
        <v>0</v>
      </c>
      <c r="D1387" s="717"/>
      <c r="E1387" s="710">
        <v>4</v>
      </c>
      <c r="F1387" s="718" t="s">
        <v>671</v>
      </c>
      <c r="G1387" s="718"/>
      <c r="H1387" s="710" t="s">
        <v>668</v>
      </c>
      <c r="I1387" s="727">
        <f>VLOOKUP(C1379,'Luong VP'!$B$10:$AP$189,25,0)</f>
        <v>0</v>
      </c>
      <c r="J1387" s="728">
        <f>J1383/'Cham cong'!$AS$3*I1387/8*2</f>
        <v>0</v>
      </c>
    </row>
    <row r="1388" spans="1:12" ht="9.1999999999999993" customHeight="1">
      <c r="A1388" s="712">
        <v>6</v>
      </c>
      <c r="B1388" s="713" t="s">
        <v>673</v>
      </c>
      <c r="C1388" s="714">
        <f>VLOOKUP(C1379,'Luong VP'!$B$10:$AP$189,13,0)</f>
        <v>0</v>
      </c>
      <c r="D1388" s="717"/>
      <c r="E1388" s="710">
        <v>5</v>
      </c>
      <c r="F1388" s="718" t="s">
        <v>674</v>
      </c>
      <c r="G1388" s="718"/>
      <c r="H1388" s="710" t="s">
        <v>660</v>
      </c>
      <c r="I1388" s="727">
        <f>VLOOKUP(C1379,'Luong VP'!$B$10:$AP$189,23,0)</f>
        <v>0</v>
      </c>
      <c r="J1388" s="728">
        <f>C1383/'Cham cong'!$AS$3*I1388</f>
        <v>0</v>
      </c>
      <c r="L1388" s="694" t="str">
        <f>G1379</f>
        <v>Đặng Toan</v>
      </c>
    </row>
    <row r="1389" spans="1:12" ht="9.1999999999999993" customHeight="1">
      <c r="A1389" s="712">
        <v>7</v>
      </c>
      <c r="B1389" s="713" t="s">
        <v>676</v>
      </c>
      <c r="C1389" s="714"/>
      <c r="D1389" s="717"/>
      <c r="E1389" s="710">
        <v>6</v>
      </c>
      <c r="F1389" s="718" t="s">
        <v>677</v>
      </c>
      <c r="G1389" s="718"/>
      <c r="H1389" s="710" t="s">
        <v>660</v>
      </c>
      <c r="I1389" s="727">
        <f>VLOOKUP(C1379,'Luong VP'!$B$10:$AP$189,24,0)</f>
        <v>1</v>
      </c>
      <c r="J1389" s="714">
        <f>C1383/'Cham cong'!$AS$3*I1389</f>
        <v>414.23076923076923</v>
      </c>
    </row>
    <row r="1390" spans="1:12" ht="9.1999999999999993" customHeight="1">
      <c r="A1390" s="712">
        <v>8</v>
      </c>
      <c r="B1390" s="713" t="s">
        <v>679</v>
      </c>
      <c r="C1390" s="714">
        <f>VLOOKUP(C1379,'Luong VP'!$B$10:$AP$189,14,0)</f>
        <v>0</v>
      </c>
      <c r="D1390" s="717"/>
      <c r="E1390" s="710">
        <v>7</v>
      </c>
      <c r="F1390" s="718" t="s">
        <v>680</v>
      </c>
      <c r="G1390" s="718"/>
      <c r="H1390" s="718"/>
      <c r="I1390" s="729"/>
      <c r="J1390" s="714">
        <f>VLOOKUP(C1379,'Luong VP'!$B$10:$AP$189,28,0)</f>
        <v>0</v>
      </c>
    </row>
    <row r="1391" spans="1:12" ht="9.1999999999999993" customHeight="1">
      <c r="A1391" s="712">
        <v>9</v>
      </c>
      <c r="B1391" s="713" t="s">
        <v>683</v>
      </c>
      <c r="C1391" s="714">
        <f>VLOOKUP(C1379,'Luong VP'!$B$10:$AP$189,15,0)</f>
        <v>0</v>
      </c>
      <c r="D1391" s="717"/>
      <c r="E1391" s="710">
        <v>8</v>
      </c>
      <c r="F1391" s="718" t="s">
        <v>238</v>
      </c>
      <c r="G1391" s="718"/>
      <c r="H1391" s="718"/>
      <c r="I1391" s="729"/>
      <c r="J1391" s="714">
        <f>VLOOKUP(C1379,'Luong VP'!$B$10:$AP$189,33,0)</f>
        <v>0</v>
      </c>
    </row>
    <row r="1392" spans="1:12" ht="9.1999999999999993" customHeight="1">
      <c r="A1392" s="712">
        <v>10</v>
      </c>
      <c r="B1392" s="713" t="s">
        <v>685</v>
      </c>
      <c r="C1392" s="714">
        <f>VLOOKUP(C1379,'Luong VP'!$B$10:$AP$189,16,0)</f>
        <v>0</v>
      </c>
      <c r="D1392" s="717"/>
      <c r="E1392" s="710" t="s">
        <v>686</v>
      </c>
      <c r="F1392" s="716" t="s">
        <v>687</v>
      </c>
      <c r="G1392" s="719"/>
      <c r="H1392" s="719"/>
      <c r="I1392" s="729"/>
      <c r="J1392" s="730"/>
    </row>
    <row r="1393" spans="1:12" ht="9.1999999999999993" customHeight="1">
      <c r="A1393" s="712">
        <v>11</v>
      </c>
      <c r="B1393" s="713" t="s">
        <v>688</v>
      </c>
      <c r="C1393" s="714">
        <f>VLOOKUP(C1379,'Luong VP'!$B$10:$AP$189,17,0)</f>
        <v>0</v>
      </c>
      <c r="D1393" s="717"/>
      <c r="E1393" s="710">
        <v>1</v>
      </c>
      <c r="F1393" s="716" t="s">
        <v>689</v>
      </c>
      <c r="G1393" s="719"/>
      <c r="H1393" s="719"/>
      <c r="I1393" s="714">
        <f>VLOOKUP(C1379,'Luong VP'!$B$10:$AP$189,30,0)</f>
        <v>0</v>
      </c>
      <c r="J1393" s="714">
        <f>VLOOKUP(C1379,'Luong VP'!$B$10:$AP$189,30,0)</f>
        <v>0</v>
      </c>
    </row>
    <row r="1394" spans="1:12" ht="9.1999999999999993" customHeight="1">
      <c r="A1394" s="712">
        <v>12</v>
      </c>
      <c r="B1394" s="713" t="s">
        <v>691</v>
      </c>
      <c r="C1394" s="714">
        <f>VLOOKUP(C1379,'Luong VP'!$B$10:$AP$189,18,0)</f>
        <v>0</v>
      </c>
      <c r="D1394" s="717"/>
      <c r="E1394" s="710">
        <v>2</v>
      </c>
      <c r="F1394" s="718" t="s">
        <v>239</v>
      </c>
      <c r="G1394" s="718"/>
      <c r="H1394" s="718"/>
      <c r="I1394" s="727"/>
      <c r="J1394" s="728">
        <f>VLOOKUP(C1379,'Luong VP'!$B$10:$AP$189,34,0)</f>
        <v>0</v>
      </c>
      <c r="K1394" s="731"/>
      <c r="L1394" s="715"/>
    </row>
    <row r="1395" spans="1:12" ht="9.1999999999999993" customHeight="1">
      <c r="A1395" s="712">
        <v>13</v>
      </c>
      <c r="B1395" s="713" t="s">
        <v>692</v>
      </c>
      <c r="C1395" s="714">
        <f>VLOOKUP(C1379,'Luong VP'!$B$10:$AP$189,19,0)</f>
        <v>0</v>
      </c>
      <c r="D1395" s="717"/>
      <c r="E1395" s="710">
        <v>3</v>
      </c>
      <c r="F1395" s="716" t="s">
        <v>693</v>
      </c>
      <c r="G1395" s="719"/>
      <c r="H1395" s="719"/>
      <c r="I1395" s="729"/>
      <c r="J1395" s="714">
        <f>VLOOKUP(C1379,'Luong VP'!$B$10:$AP$189,40,0)</f>
        <v>0</v>
      </c>
      <c r="K1395" s="731"/>
      <c r="L1395" s="715"/>
    </row>
    <row r="1396" spans="1:12" ht="9.1999999999999993" customHeight="1">
      <c r="A1396" s="712">
        <v>14</v>
      </c>
      <c r="B1396" s="713" t="s">
        <v>694</v>
      </c>
      <c r="C1396" s="714">
        <f>VLOOKUP(C1379,'Luong VP'!$B$10:$AP$189,20,0)</f>
        <v>0</v>
      </c>
      <c r="D1396" s="717"/>
      <c r="E1396" s="710">
        <v>4</v>
      </c>
      <c r="F1396" s="718" t="s">
        <v>695</v>
      </c>
      <c r="G1396" s="719"/>
      <c r="H1396" s="719"/>
      <c r="I1396" s="729"/>
      <c r="J1396" s="714">
        <f>VLOOKUP(C1379,'Luong VP'!$B$10:$AP$189,35,0)</f>
        <v>0</v>
      </c>
      <c r="K1396" s="732"/>
      <c r="L1396" s="715"/>
    </row>
    <row r="1397" spans="1:12" ht="9.1999999999999993" customHeight="1">
      <c r="A1397" s="712"/>
      <c r="B1397" s="707" t="s">
        <v>656</v>
      </c>
      <c r="C1397" s="714">
        <f>SUM(C1383:C1396)</f>
        <v>10770</v>
      </c>
      <c r="D1397" s="717"/>
      <c r="E1397" s="710"/>
      <c r="F1397" s="716" t="s">
        <v>241</v>
      </c>
      <c r="G1397" s="719"/>
      <c r="H1397" s="719"/>
      <c r="I1397" s="729"/>
      <c r="J1397" s="730">
        <f>SUM(J1384:J1396)+C1391</f>
        <v>9568.7307692307695</v>
      </c>
      <c r="K1397" s="731"/>
      <c r="L1397" s="715"/>
    </row>
    <row r="1398" spans="1:12" ht="9.1999999999999993" customHeight="1">
      <c r="B1398" s="720"/>
      <c r="C1398" s="717"/>
      <c r="D1398" s="717"/>
      <c r="E1398" s="710" t="s">
        <v>696</v>
      </c>
      <c r="F1398" s="711" t="s">
        <v>697</v>
      </c>
      <c r="G1398" s="710"/>
      <c r="H1398" s="710"/>
      <c r="I1398" s="729"/>
      <c r="J1398" s="730">
        <f>SUM(J1399:J1401)</f>
        <v>0</v>
      </c>
      <c r="K1398" s="732"/>
      <c r="L1398" s="715"/>
    </row>
    <row r="1399" spans="1:12" ht="9.1999999999999993" customHeight="1">
      <c r="B1399" s="720"/>
      <c r="C1399" s="717"/>
      <c r="D1399" s="717"/>
      <c r="E1399" s="710">
        <v>1</v>
      </c>
      <c r="F1399" s="718" t="s">
        <v>698</v>
      </c>
      <c r="G1399" s="718"/>
      <c r="H1399" s="718"/>
      <c r="I1399" s="733"/>
      <c r="J1399" s="714">
        <f>VLOOKUP(C1379,'Luong VP'!$B$10:$AP$189,37,0)</f>
        <v>0</v>
      </c>
      <c r="K1399" s="732"/>
      <c r="L1399" s="715"/>
    </row>
    <row r="1400" spans="1:12" ht="9.1999999999999993" customHeight="1">
      <c r="B1400" s="720"/>
      <c r="C1400" s="717"/>
      <c r="D1400" s="717"/>
      <c r="E1400" s="710">
        <v>2</v>
      </c>
      <c r="F1400" s="718" t="s">
        <v>244</v>
      </c>
      <c r="G1400" s="718"/>
      <c r="H1400" s="718"/>
      <c r="I1400" s="729"/>
      <c r="J1400" s="714">
        <f>VLOOKUP(C1379,'Luong VP'!$B$10:$AP$189,39,0)</f>
        <v>0</v>
      </c>
      <c r="K1400" s="734"/>
      <c r="L1400" s="735"/>
    </row>
    <row r="1401" spans="1:12" ht="9.1999999999999993" customHeight="1">
      <c r="B1401" s="720"/>
      <c r="C1401" s="717"/>
      <c r="D1401" s="717"/>
      <c r="E1401" s="710"/>
      <c r="F1401" s="718" t="s">
        <v>699</v>
      </c>
      <c r="G1401" s="718"/>
      <c r="H1401" s="718"/>
      <c r="I1401" s="729"/>
      <c r="J1401" s="714"/>
      <c r="K1401" s="714"/>
      <c r="L1401" s="736"/>
    </row>
    <row r="1402" spans="1:12" ht="9.1999999999999993" customHeight="1">
      <c r="B1402" s="720"/>
      <c r="C1402" s="717"/>
      <c r="D1402" s="717"/>
      <c r="E1402" s="710" t="s">
        <v>700</v>
      </c>
      <c r="F1402" s="710" t="s">
        <v>246</v>
      </c>
      <c r="G1402" s="710"/>
      <c r="H1402" s="710"/>
      <c r="I1402" s="729"/>
      <c r="J1402" s="728">
        <f>J1397-J1398</f>
        <v>9568.7307692307695</v>
      </c>
      <c r="K1402" s="728">
        <f>ROUND(J1402,-1)</f>
        <v>9570</v>
      </c>
      <c r="L1402" s="710"/>
    </row>
    <row r="1403" spans="1:12" ht="9.1999999999999993" customHeight="1">
      <c r="B1403" s="720"/>
      <c r="C1403" s="717"/>
      <c r="D1403" s="717"/>
      <c r="E1403" s="715"/>
      <c r="F1403" s="715"/>
      <c r="G1403" s="715"/>
      <c r="I1403" s="715" t="s">
        <v>701</v>
      </c>
      <c r="J1403" s="737"/>
      <c r="K1403" s="737"/>
      <c r="L1403" s="715"/>
    </row>
    <row r="1404" spans="1:12" ht="9.1999999999999993" customHeight="1">
      <c r="B1404" s="720"/>
      <c r="C1404" s="717"/>
      <c r="D1404" s="717"/>
      <c r="E1404" s="715"/>
      <c r="F1404" s="715"/>
      <c r="G1404" s="715"/>
      <c r="I1404" s="715"/>
      <c r="J1404" s="737"/>
      <c r="K1404" s="737"/>
      <c r="L1404" s="715"/>
    </row>
    <row r="1405" spans="1:12" ht="9.1999999999999993" customHeight="1">
      <c r="B1405" s="720"/>
      <c r="C1405" s="717"/>
      <c r="D1405" s="717"/>
      <c r="E1405" s="715"/>
      <c r="F1405" s="715"/>
      <c r="G1405" s="715"/>
      <c r="I1405" s="715"/>
      <c r="J1405" s="737"/>
      <c r="K1405" s="737"/>
      <c r="L1405" s="715"/>
    </row>
    <row r="1406" spans="1:12" ht="9.1999999999999993" customHeight="1">
      <c r="B1406" s="720"/>
      <c r="C1406" s="717"/>
      <c r="D1406" s="717"/>
      <c r="E1406" s="715"/>
      <c r="F1406" s="715"/>
      <c r="G1406" s="715"/>
      <c r="I1406" s="715"/>
      <c r="J1406" s="737"/>
      <c r="K1406" s="737"/>
      <c r="L1406" s="715"/>
    </row>
    <row r="1407" spans="1:12" ht="9.1999999999999993" customHeight="1">
      <c r="B1407" s="720"/>
      <c r="C1407" s="717"/>
      <c r="D1407" s="717"/>
      <c r="E1407" s="715"/>
      <c r="F1407" s="715"/>
      <c r="G1407" s="715"/>
      <c r="I1407" s="715"/>
      <c r="J1407" s="737"/>
      <c r="K1407" s="737"/>
      <c r="L1407" s="715"/>
    </row>
    <row r="1408" spans="1:12" ht="9.1999999999999993" customHeight="1">
      <c r="B1408" s="720"/>
      <c r="C1408" s="717"/>
      <c r="D1408" s="717"/>
      <c r="E1408" s="715"/>
      <c r="F1408" s="715"/>
      <c r="G1408" s="715"/>
      <c r="I1408" s="715"/>
      <c r="J1408" s="737"/>
      <c r="K1408" s="737"/>
      <c r="L1408" s="715"/>
    </row>
    <row r="1409" spans="1:12" ht="9.1999999999999993" customHeight="1">
      <c r="C1409" s="696"/>
      <c r="D1409" s="696"/>
      <c r="E1409" s="697" t="str">
        <f>$E$2</f>
        <v>THẺ LƯƠNG THÁNG 08/2019</v>
      </c>
      <c r="F1409" s="698"/>
      <c r="G1409" s="698"/>
      <c r="H1409" s="698"/>
    </row>
    <row r="1410" spans="1:12" ht="9.1999999999999993" customHeight="1">
      <c r="B1410" s="699" t="s">
        <v>644</v>
      </c>
      <c r="C1410" s="700" t="s">
        <v>1251</v>
      </c>
      <c r="D1410" s="701"/>
      <c r="F1410" s="1348" t="s">
        <v>645</v>
      </c>
      <c r="G1410" s="689" t="str">
        <f>VLOOKUP(C1410,'Luong VP'!$B$10:$AP$189,2,0)</f>
        <v>Tạ Chí Thuận</v>
      </c>
    </row>
    <row r="1411" spans="1:12" ht="9.1999999999999993" customHeight="1">
      <c r="B1411" s="699" t="s">
        <v>646</v>
      </c>
      <c r="C1411" s="689" t="str">
        <f>VLOOKUP(C1410,'Luong VP'!$B$10:$AP$189,3,0)</f>
        <v>Công nhân Biogas</v>
      </c>
      <c r="F1411" s="1348" t="s">
        <v>647</v>
      </c>
      <c r="G1411" s="689">
        <f>VLOOKUP(C1410,'Luong VP'!$B$10:$AP$189,5,0)</f>
        <v>2</v>
      </c>
    </row>
    <row r="1412" spans="1:12" ht="9.1999999999999993" customHeight="1">
      <c r="B1412" s="703"/>
      <c r="C1412" s="704"/>
      <c r="D1412" s="705"/>
      <c r="F1412" s="706" t="s">
        <v>648</v>
      </c>
      <c r="G1412" s="706"/>
      <c r="H1412" s="706"/>
      <c r="I1412" s="725"/>
      <c r="J1412" s="726"/>
    </row>
    <row r="1413" spans="1:12" ht="9.1999999999999993" customHeight="1">
      <c r="A1413" s="707" t="s">
        <v>216</v>
      </c>
      <c r="B1413" s="707" t="s">
        <v>649</v>
      </c>
      <c r="C1413" s="708" t="s">
        <v>650</v>
      </c>
      <c r="D1413" s="709"/>
      <c r="E1413" s="710" t="s">
        <v>216</v>
      </c>
      <c r="F1413" s="711" t="s">
        <v>649</v>
      </c>
      <c r="G1413" s="710"/>
      <c r="H1413" s="710" t="s">
        <v>651</v>
      </c>
      <c r="I1413" s="727" t="s">
        <v>652</v>
      </c>
      <c r="J1413" s="714"/>
      <c r="L1413" s="694" t="s">
        <v>653</v>
      </c>
    </row>
    <row r="1414" spans="1:12" ht="9.1999999999999993" customHeight="1">
      <c r="A1414" s="712">
        <v>1</v>
      </c>
      <c r="B1414" s="713" t="s">
        <v>654</v>
      </c>
      <c r="C1414" s="714">
        <f>VLOOKUP(C1410,'Luong VP'!$B$10:$AP$189,9,0)</f>
        <v>6950</v>
      </c>
      <c r="D1414" s="715"/>
      <c r="E1414" s="710" t="s">
        <v>655</v>
      </c>
      <c r="F1414" s="716" t="s">
        <v>656</v>
      </c>
      <c r="G1414" s="710"/>
      <c r="H1414" s="710"/>
      <c r="I1414" s="727"/>
      <c r="J1414" s="714">
        <f>VLOOKUP(C1410,'Luong VP'!$B$10:$AP$189,21,0)</f>
        <v>6950</v>
      </c>
    </row>
    <row r="1415" spans="1:12" ht="9.1999999999999993" customHeight="1">
      <c r="A1415" s="712">
        <v>2</v>
      </c>
      <c r="B1415" s="713" t="s">
        <v>658</v>
      </c>
      <c r="C1415" s="714"/>
      <c r="D1415" s="717"/>
      <c r="E1415" s="710">
        <v>1</v>
      </c>
      <c r="F1415" s="718" t="s">
        <v>659</v>
      </c>
      <c r="G1415" s="718"/>
      <c r="H1415" s="710" t="s">
        <v>660</v>
      </c>
      <c r="I1415" s="727">
        <f>VLOOKUP(C1410,'Luong VP'!$B$10:$AP$189,22,0)</f>
        <v>26</v>
      </c>
      <c r="J1415" s="728">
        <f>J1414/'Cham cong'!$AS$3*I1415</f>
        <v>6950</v>
      </c>
    </row>
    <row r="1416" spans="1:12" ht="9.1999999999999993" customHeight="1">
      <c r="A1416" s="712">
        <v>3</v>
      </c>
      <c r="B1416" s="713" t="s">
        <v>661</v>
      </c>
      <c r="C1416" s="714">
        <f>VLOOKUP(C1410,'Luong VP'!$B$10:$AP$189,10,0)</f>
        <v>0</v>
      </c>
      <c r="D1416" s="717"/>
      <c r="E1416" s="710">
        <v>2</v>
      </c>
      <c r="F1416" s="718" t="s">
        <v>662</v>
      </c>
      <c r="G1416" s="718"/>
      <c r="H1416" s="710" t="s">
        <v>660</v>
      </c>
      <c r="I1416" s="727">
        <f>VLOOKUP(C1410,'Luong VP'!$B$10:$AP$189,27,0)</f>
        <v>0</v>
      </c>
      <c r="J1416" s="728">
        <f>J1414/'Cham cong'!$AS$3*I1416*3</f>
        <v>0</v>
      </c>
    </row>
    <row r="1417" spans="1:12" ht="9.1999999999999993" customHeight="1">
      <c r="A1417" s="712">
        <v>4</v>
      </c>
      <c r="B1417" s="713" t="s">
        <v>666</v>
      </c>
      <c r="C1417" s="714">
        <f>VLOOKUP(C1410,'Luong VP'!$B$10:$AP$189,11,0)</f>
        <v>0</v>
      </c>
      <c r="D1417" s="717"/>
      <c r="E1417" s="710">
        <v>3</v>
      </c>
      <c r="F1417" s="718" t="s">
        <v>667</v>
      </c>
      <c r="G1417" s="718"/>
      <c r="H1417" s="710" t="s">
        <v>668</v>
      </c>
      <c r="I1417" s="727">
        <f>VLOOKUP(C1410,'Luong VP'!$B$10:$AP$189,26,0)</f>
        <v>0</v>
      </c>
      <c r="J1417" s="728">
        <f>J1414/'Cham cong'!$AS$3*I1417/8*1.5</f>
        <v>0</v>
      </c>
    </row>
    <row r="1418" spans="1:12" ht="9.1999999999999993" customHeight="1">
      <c r="A1418" s="712">
        <v>5</v>
      </c>
      <c r="B1418" s="713" t="s">
        <v>670</v>
      </c>
      <c r="C1418" s="714">
        <f>VLOOKUP(C1410,'Luong VP'!$B$10:$AP$189,12,0)</f>
        <v>0</v>
      </c>
      <c r="D1418" s="717"/>
      <c r="E1418" s="710">
        <v>4</v>
      </c>
      <c r="F1418" s="718" t="s">
        <v>671</v>
      </c>
      <c r="G1418" s="718"/>
      <c r="H1418" s="710" t="s">
        <v>668</v>
      </c>
      <c r="I1418" s="727">
        <f>VLOOKUP(C1410,'Luong VP'!$B$10:$AP$189,25,0)</f>
        <v>0</v>
      </c>
      <c r="J1418" s="728">
        <f>J1414/'Cham cong'!$AS$3*I1418/8*2</f>
        <v>0</v>
      </c>
    </row>
    <row r="1419" spans="1:12" ht="9.1999999999999993" customHeight="1">
      <c r="A1419" s="712">
        <v>6</v>
      </c>
      <c r="B1419" s="713" t="s">
        <v>673</v>
      </c>
      <c r="C1419" s="714">
        <f>VLOOKUP(C1410,'Luong VP'!$B$10:$AP$189,13,0)</f>
        <v>0</v>
      </c>
      <c r="D1419" s="717"/>
      <c r="E1419" s="710">
        <v>5</v>
      </c>
      <c r="F1419" s="718" t="s">
        <v>674</v>
      </c>
      <c r="G1419" s="718"/>
      <c r="H1419" s="710" t="s">
        <v>660</v>
      </c>
      <c r="I1419" s="727">
        <f>VLOOKUP(C1410,'Luong VP'!$B$10:$AP$189,23,0)</f>
        <v>0</v>
      </c>
      <c r="J1419" s="728">
        <f>C1414/'Cham cong'!$AS$3*I1419</f>
        <v>0</v>
      </c>
      <c r="L1419" s="694" t="str">
        <f>G1410</f>
        <v>Tạ Chí Thuận</v>
      </c>
    </row>
    <row r="1420" spans="1:12" ht="9.1999999999999993" customHeight="1">
      <c r="A1420" s="712">
        <v>7</v>
      </c>
      <c r="B1420" s="713" t="s">
        <v>676</v>
      </c>
      <c r="C1420" s="714"/>
      <c r="D1420" s="717"/>
      <c r="E1420" s="710">
        <v>6</v>
      </c>
      <c r="F1420" s="718" t="s">
        <v>677</v>
      </c>
      <c r="G1420" s="718"/>
      <c r="H1420" s="710" t="s">
        <v>660</v>
      </c>
      <c r="I1420" s="727">
        <f>VLOOKUP(C1410,'Luong VP'!$B$10:$AP$189,24,0)</f>
        <v>1</v>
      </c>
      <c r="J1420" s="714">
        <f>C1414/'Cham cong'!$AS$3*I1420</f>
        <v>267.30769230769232</v>
      </c>
    </row>
    <row r="1421" spans="1:12" ht="9.1999999999999993" customHeight="1">
      <c r="A1421" s="712">
        <v>8</v>
      </c>
      <c r="B1421" s="713" t="s">
        <v>679</v>
      </c>
      <c r="C1421" s="714">
        <f>VLOOKUP(C1410,'Luong VP'!$B$10:$AP$189,14,0)</f>
        <v>0</v>
      </c>
      <c r="D1421" s="717"/>
      <c r="E1421" s="710">
        <v>7</v>
      </c>
      <c r="F1421" s="718" t="s">
        <v>680</v>
      </c>
      <c r="G1421" s="718"/>
      <c r="H1421" s="718"/>
      <c r="I1421" s="729"/>
      <c r="J1421" s="714">
        <f>VLOOKUP(C1410,'Luong VP'!$B$10:$AP$189,28,0)</f>
        <v>0</v>
      </c>
    </row>
    <row r="1422" spans="1:12" ht="9.1999999999999993" customHeight="1">
      <c r="A1422" s="712">
        <v>9</v>
      </c>
      <c r="B1422" s="713" t="s">
        <v>683</v>
      </c>
      <c r="C1422" s="714">
        <f>VLOOKUP(C1410,'Luong VP'!$B$10:$AP$189,15,0)</f>
        <v>0</v>
      </c>
      <c r="D1422" s="717"/>
      <c r="E1422" s="710">
        <v>8</v>
      </c>
      <c r="F1422" s="718" t="s">
        <v>238</v>
      </c>
      <c r="G1422" s="718"/>
      <c r="H1422" s="718"/>
      <c r="I1422" s="729"/>
      <c r="J1422" s="714">
        <f>VLOOKUP(C1410,'Luong VP'!$B$10:$AP$189,33,0)</f>
        <v>0</v>
      </c>
    </row>
    <row r="1423" spans="1:12" ht="9.1999999999999993" customHeight="1">
      <c r="A1423" s="712">
        <v>10</v>
      </c>
      <c r="B1423" s="713" t="s">
        <v>685</v>
      </c>
      <c r="C1423" s="714">
        <f>VLOOKUP(C1410,'Luong VP'!$B$10:$AP$189,16,0)</f>
        <v>0</v>
      </c>
      <c r="D1423" s="717"/>
      <c r="E1423" s="710" t="s">
        <v>686</v>
      </c>
      <c r="F1423" s="716" t="s">
        <v>687</v>
      </c>
      <c r="G1423" s="719"/>
      <c r="H1423" s="719"/>
      <c r="I1423" s="729"/>
      <c r="J1423" s="730"/>
    </row>
    <row r="1424" spans="1:12" ht="9.1999999999999993" customHeight="1">
      <c r="A1424" s="712">
        <v>11</v>
      </c>
      <c r="B1424" s="713" t="s">
        <v>688</v>
      </c>
      <c r="C1424" s="714">
        <f>VLOOKUP(C1410,'Luong VP'!$B$10:$AP$189,17,0)</f>
        <v>0</v>
      </c>
      <c r="D1424" s="717"/>
      <c r="E1424" s="710">
        <v>1</v>
      </c>
      <c r="F1424" s="716" t="s">
        <v>689</v>
      </c>
      <c r="G1424" s="719"/>
      <c r="H1424" s="719"/>
      <c r="I1424" s="714">
        <f>VLOOKUP(C1410,'Luong VP'!$B$10:$AP$189,30,0)</f>
        <v>0</v>
      </c>
      <c r="J1424" s="714">
        <f>VLOOKUP(C1410,'Luong VP'!$B$10:$AP$189,30,0)</f>
        <v>0</v>
      </c>
    </row>
    <row r="1425" spans="1:12" ht="9.1999999999999993" customHeight="1">
      <c r="A1425" s="712">
        <v>12</v>
      </c>
      <c r="B1425" s="713" t="s">
        <v>691</v>
      </c>
      <c r="C1425" s="714">
        <f>VLOOKUP(C1410,'Luong VP'!$B$10:$AP$189,18,0)</f>
        <v>0</v>
      </c>
      <c r="D1425" s="717"/>
      <c r="E1425" s="710">
        <v>2</v>
      </c>
      <c r="F1425" s="718" t="s">
        <v>239</v>
      </c>
      <c r="G1425" s="718"/>
      <c r="H1425" s="718"/>
      <c r="I1425" s="727"/>
      <c r="J1425" s="728">
        <f>VLOOKUP(C1410,'Luong VP'!$B$10:$AP$189,34,0)</f>
        <v>0</v>
      </c>
      <c r="K1425" s="731"/>
      <c r="L1425" s="715"/>
    </row>
    <row r="1426" spans="1:12" ht="9.1999999999999993" customHeight="1">
      <c r="A1426" s="712">
        <v>13</v>
      </c>
      <c r="B1426" s="713" t="s">
        <v>692</v>
      </c>
      <c r="C1426" s="714">
        <f>VLOOKUP(C1410,'Luong VP'!$B$10:$AP$189,19,0)</f>
        <v>0</v>
      </c>
      <c r="D1426" s="717"/>
      <c r="E1426" s="710">
        <v>3</v>
      </c>
      <c r="F1426" s="716" t="s">
        <v>693</v>
      </c>
      <c r="G1426" s="719"/>
      <c r="H1426" s="719"/>
      <c r="I1426" s="729"/>
      <c r="J1426" s="714">
        <f>VLOOKUP(C1410,'Luong VP'!$B$10:$AP$189,40,0)</f>
        <v>0</v>
      </c>
      <c r="K1426" s="731"/>
      <c r="L1426" s="715"/>
    </row>
    <row r="1427" spans="1:12" ht="9.1999999999999993" customHeight="1">
      <c r="A1427" s="712">
        <v>14</v>
      </c>
      <c r="B1427" s="713" t="s">
        <v>694</v>
      </c>
      <c r="C1427" s="714">
        <f>VLOOKUP(C1410,'Luong VP'!$B$10:$AP$189,20,0)</f>
        <v>0</v>
      </c>
      <c r="D1427" s="717"/>
      <c r="E1427" s="710">
        <v>4</v>
      </c>
      <c r="F1427" s="718" t="s">
        <v>695</v>
      </c>
      <c r="G1427" s="719"/>
      <c r="H1427" s="719"/>
      <c r="I1427" s="729"/>
      <c r="J1427" s="714">
        <f>VLOOKUP(C1410,'Luong VP'!$B$10:$AP$189,35,0)</f>
        <v>0</v>
      </c>
      <c r="K1427" s="732"/>
      <c r="L1427" s="715"/>
    </row>
    <row r="1428" spans="1:12" ht="9.1999999999999993" customHeight="1">
      <c r="A1428" s="712"/>
      <c r="B1428" s="707" t="s">
        <v>656</v>
      </c>
      <c r="C1428" s="714">
        <f>SUM(C1414:C1427)</f>
        <v>6950</v>
      </c>
      <c r="D1428" s="717"/>
      <c r="E1428" s="710"/>
      <c r="F1428" s="716" t="s">
        <v>241</v>
      </c>
      <c r="G1428" s="719"/>
      <c r="H1428" s="719"/>
      <c r="I1428" s="729"/>
      <c r="J1428" s="730">
        <f>SUM(J1415:J1427)+C1422</f>
        <v>7217.3076923076924</v>
      </c>
      <c r="K1428" s="731"/>
      <c r="L1428" s="715"/>
    </row>
    <row r="1429" spans="1:12" ht="9.1999999999999993" customHeight="1">
      <c r="B1429" s="720"/>
      <c r="C1429" s="717"/>
      <c r="D1429" s="717"/>
      <c r="E1429" s="710" t="s">
        <v>696</v>
      </c>
      <c r="F1429" s="711" t="s">
        <v>697</v>
      </c>
      <c r="G1429" s="710"/>
      <c r="H1429" s="710"/>
      <c r="I1429" s="729"/>
      <c r="J1429" s="730">
        <f>SUM(J1430:J1432)</f>
        <v>2480.585</v>
      </c>
      <c r="K1429" s="732"/>
      <c r="L1429" s="715"/>
    </row>
    <row r="1430" spans="1:12" ht="9.1999999999999993" customHeight="1">
      <c r="B1430" s="720"/>
      <c r="C1430" s="717"/>
      <c r="D1430" s="717"/>
      <c r="E1430" s="710">
        <v>1</v>
      </c>
      <c r="F1430" s="718" t="s">
        <v>698</v>
      </c>
      <c r="G1430" s="718"/>
      <c r="H1430" s="718"/>
      <c r="I1430" s="733"/>
      <c r="J1430" s="714">
        <f>VLOOKUP(C1410,'Luong VP'!$B$10:$AP$189,37,0)</f>
        <v>480.58499999999998</v>
      </c>
      <c r="K1430" s="732"/>
      <c r="L1430" s="715"/>
    </row>
    <row r="1431" spans="1:12" ht="9.1999999999999993" customHeight="1">
      <c r="B1431" s="720"/>
      <c r="C1431" s="717"/>
      <c r="D1431" s="717"/>
      <c r="E1431" s="710">
        <v>2</v>
      </c>
      <c r="F1431" s="718" t="s">
        <v>244</v>
      </c>
      <c r="G1431" s="718"/>
      <c r="H1431" s="718"/>
      <c r="I1431" s="729"/>
      <c r="J1431" s="714">
        <f>VLOOKUP(C1410,'Luong VP'!$B$10:$AP$189,39,0)</f>
        <v>2000</v>
      </c>
      <c r="K1431" s="734"/>
      <c r="L1431" s="735"/>
    </row>
    <row r="1432" spans="1:12" ht="9.1999999999999993" customHeight="1">
      <c r="B1432" s="720"/>
      <c r="C1432" s="717"/>
      <c r="D1432" s="717"/>
      <c r="E1432" s="710"/>
      <c r="F1432" s="718" t="s">
        <v>699</v>
      </c>
      <c r="G1432" s="718"/>
      <c r="H1432" s="718"/>
      <c r="I1432" s="729"/>
      <c r="J1432" s="714"/>
      <c r="K1432" s="714"/>
      <c r="L1432" s="736"/>
    </row>
    <row r="1433" spans="1:12" ht="9.1999999999999993" customHeight="1">
      <c r="B1433" s="720"/>
      <c r="C1433" s="717"/>
      <c r="D1433" s="717"/>
      <c r="E1433" s="710" t="s">
        <v>700</v>
      </c>
      <c r="F1433" s="710" t="s">
        <v>246</v>
      </c>
      <c r="G1433" s="710"/>
      <c r="H1433" s="710"/>
      <c r="I1433" s="729"/>
      <c r="J1433" s="728">
        <f>J1428-J1429</f>
        <v>4736.7226923076923</v>
      </c>
      <c r="K1433" s="728">
        <f>ROUND(J1433,-1)</f>
        <v>4740</v>
      </c>
      <c r="L1433" s="710"/>
    </row>
    <row r="1434" spans="1:12" ht="9.1999999999999993" customHeight="1">
      <c r="B1434" s="720"/>
      <c r="C1434" s="717"/>
      <c r="D1434" s="717"/>
      <c r="E1434" s="715"/>
      <c r="F1434" s="715"/>
      <c r="G1434" s="715"/>
      <c r="I1434" s="715" t="s">
        <v>701</v>
      </c>
      <c r="J1434" s="737"/>
      <c r="K1434" s="737"/>
      <c r="L1434" s="715"/>
    </row>
    <row r="1435" spans="1:12" ht="9.1999999999999993" customHeight="1">
      <c r="B1435" s="720"/>
      <c r="C1435" s="717"/>
      <c r="D1435" s="717"/>
      <c r="E1435" s="715"/>
      <c r="F1435" s="715"/>
      <c r="G1435" s="715"/>
      <c r="I1435" s="715"/>
      <c r="J1435" s="737"/>
      <c r="K1435" s="737"/>
      <c r="L1435" s="715"/>
    </row>
    <row r="1436" spans="1:12" ht="9.1999999999999993" customHeight="1">
      <c r="B1436" s="720"/>
      <c r="C1436" s="717"/>
      <c r="D1436" s="717"/>
      <c r="E1436" s="715"/>
      <c r="F1436" s="715"/>
      <c r="G1436" s="715"/>
      <c r="I1436" s="715"/>
      <c r="J1436" s="737"/>
      <c r="K1436" s="737"/>
      <c r="L1436" s="715"/>
    </row>
    <row r="1437" spans="1:12" ht="9.1999999999999993" customHeight="1">
      <c r="B1437" s="720"/>
      <c r="C1437" s="717"/>
      <c r="D1437" s="717"/>
      <c r="E1437" s="715"/>
      <c r="F1437" s="715"/>
      <c r="G1437" s="715"/>
      <c r="I1437" s="715"/>
      <c r="J1437" s="737"/>
      <c r="K1437" s="737"/>
      <c r="L1437" s="715"/>
    </row>
    <row r="1438" spans="1:12" ht="9.1999999999999993" customHeight="1">
      <c r="B1438" s="720"/>
      <c r="C1438" s="717"/>
      <c r="D1438" s="717"/>
      <c r="E1438" s="715"/>
      <c r="F1438" s="715"/>
      <c r="G1438" s="715"/>
      <c r="I1438" s="715"/>
      <c r="J1438" s="737"/>
      <c r="K1438" s="737"/>
      <c r="L1438" s="715"/>
    </row>
    <row r="1439" spans="1:12" ht="9.1999999999999993" customHeight="1">
      <c r="C1439" s="696"/>
      <c r="D1439" s="696"/>
      <c r="E1439" s="697" t="str">
        <f>$E$2</f>
        <v>THẺ LƯƠNG THÁNG 08/2019</v>
      </c>
      <c r="F1439" s="698"/>
      <c r="G1439" s="698"/>
      <c r="H1439" s="698"/>
    </row>
    <row r="1440" spans="1:12" ht="9.1999999999999993" customHeight="1">
      <c r="B1440" s="699" t="s">
        <v>644</v>
      </c>
      <c r="C1440" s="700" t="s">
        <v>1284</v>
      </c>
      <c r="D1440" s="701"/>
      <c r="F1440" s="1475" t="s">
        <v>645</v>
      </c>
      <c r="G1440" s="689" t="str">
        <f>VLOOKUP(C1440,'Luong VP'!$B$10:$AP$189,2,0)</f>
        <v>Võ Quang Tuấn</v>
      </c>
    </row>
    <row r="1441" spans="1:12" ht="9.1999999999999993" customHeight="1">
      <c r="B1441" s="699" t="s">
        <v>646</v>
      </c>
      <c r="C1441" s="689" t="str">
        <f>VLOOKUP(C1440,'Luong VP'!$B$10:$AP$189,3,0)</f>
        <v>Công nhân Biogas</v>
      </c>
      <c r="F1441" s="1475" t="s">
        <v>647</v>
      </c>
      <c r="G1441" s="689">
        <f>VLOOKUP(C1440,'Luong VP'!$B$10:$AP$189,5,0)</f>
        <v>2</v>
      </c>
    </row>
    <row r="1442" spans="1:12" ht="9.1999999999999993" customHeight="1">
      <c r="B1442" s="703"/>
      <c r="C1442" s="704"/>
      <c r="D1442" s="705"/>
      <c r="F1442" s="706" t="s">
        <v>648</v>
      </c>
      <c r="G1442" s="706"/>
      <c r="H1442" s="706"/>
      <c r="I1442" s="725"/>
      <c r="J1442" s="726"/>
    </row>
    <row r="1443" spans="1:12" ht="9.1999999999999993" customHeight="1">
      <c r="A1443" s="707" t="s">
        <v>216</v>
      </c>
      <c r="B1443" s="707" t="s">
        <v>649</v>
      </c>
      <c r="C1443" s="708" t="s">
        <v>650</v>
      </c>
      <c r="D1443" s="709"/>
      <c r="E1443" s="710" t="s">
        <v>216</v>
      </c>
      <c r="F1443" s="711" t="s">
        <v>649</v>
      </c>
      <c r="G1443" s="710"/>
      <c r="H1443" s="710" t="s">
        <v>651</v>
      </c>
      <c r="I1443" s="727" t="s">
        <v>652</v>
      </c>
      <c r="J1443" s="714"/>
      <c r="L1443" s="694" t="s">
        <v>653</v>
      </c>
    </row>
    <row r="1444" spans="1:12" ht="9.1999999999999993" customHeight="1">
      <c r="A1444" s="712">
        <v>1</v>
      </c>
      <c r="B1444" s="713" t="s">
        <v>654</v>
      </c>
      <c r="C1444" s="714">
        <f>VLOOKUP(C1440,'Luong VP'!$B$10:$AP$189,9,0)</f>
        <v>6950</v>
      </c>
      <c r="D1444" s="715"/>
      <c r="E1444" s="710" t="s">
        <v>655</v>
      </c>
      <c r="F1444" s="716" t="s">
        <v>656</v>
      </c>
      <c r="G1444" s="710"/>
      <c r="H1444" s="710"/>
      <c r="I1444" s="727"/>
      <c r="J1444" s="714">
        <f>VLOOKUP(C1440,'Luong VP'!$B$10:$AP$189,21,0)</f>
        <v>6950</v>
      </c>
    </row>
    <row r="1445" spans="1:12" ht="9.1999999999999993" customHeight="1">
      <c r="A1445" s="712">
        <v>2</v>
      </c>
      <c r="B1445" s="713" t="s">
        <v>658</v>
      </c>
      <c r="C1445" s="714"/>
      <c r="D1445" s="717"/>
      <c r="E1445" s="710">
        <v>1</v>
      </c>
      <c r="F1445" s="718" t="s">
        <v>659</v>
      </c>
      <c r="G1445" s="718"/>
      <c r="H1445" s="710" t="s">
        <v>660</v>
      </c>
      <c r="I1445" s="727">
        <f>VLOOKUP(C1440,'Luong VP'!$B$10:$AP$189,22,0)</f>
        <v>26</v>
      </c>
      <c r="J1445" s="728">
        <f>J1444/'Cham cong'!$AS$3*I1445</f>
        <v>6950</v>
      </c>
    </row>
    <row r="1446" spans="1:12" ht="9.1999999999999993" customHeight="1">
      <c r="A1446" s="712">
        <v>3</v>
      </c>
      <c r="B1446" s="713" t="s">
        <v>661</v>
      </c>
      <c r="C1446" s="714">
        <f>VLOOKUP(C1440,'Luong VP'!$B$10:$AP$189,10,0)</f>
        <v>0</v>
      </c>
      <c r="D1446" s="717"/>
      <c r="E1446" s="710">
        <v>2</v>
      </c>
      <c r="F1446" s="718" t="s">
        <v>662</v>
      </c>
      <c r="G1446" s="718"/>
      <c r="H1446" s="710" t="s">
        <v>660</v>
      </c>
      <c r="I1446" s="727">
        <f>VLOOKUP(C1440,'Luong VP'!$B$10:$AP$189,27,0)</f>
        <v>0</v>
      </c>
      <c r="J1446" s="728">
        <f>J1444/'Cham cong'!$AS$3*I1446*3</f>
        <v>0</v>
      </c>
    </row>
    <row r="1447" spans="1:12" ht="9.1999999999999993" customHeight="1">
      <c r="A1447" s="712">
        <v>4</v>
      </c>
      <c r="B1447" s="713" t="s">
        <v>666</v>
      </c>
      <c r="C1447" s="714">
        <f>VLOOKUP(C1440,'Luong VP'!$B$10:$AP$189,11,0)</f>
        <v>0</v>
      </c>
      <c r="D1447" s="717"/>
      <c r="E1447" s="710">
        <v>3</v>
      </c>
      <c r="F1447" s="718" t="s">
        <v>667</v>
      </c>
      <c r="G1447" s="718"/>
      <c r="H1447" s="710" t="s">
        <v>668</v>
      </c>
      <c r="I1447" s="727">
        <f>VLOOKUP(C1440,'Luong VP'!$B$10:$AP$189,26,0)</f>
        <v>0</v>
      </c>
      <c r="J1447" s="728">
        <f>J1444/'Cham cong'!$AS$3*I1447/8*1.5</f>
        <v>0</v>
      </c>
    </row>
    <row r="1448" spans="1:12" ht="9.1999999999999993" customHeight="1">
      <c r="A1448" s="712">
        <v>5</v>
      </c>
      <c r="B1448" s="713" t="s">
        <v>670</v>
      </c>
      <c r="C1448" s="714">
        <f>VLOOKUP(C1440,'Luong VP'!$B$10:$AP$189,12,0)</f>
        <v>0</v>
      </c>
      <c r="D1448" s="717"/>
      <c r="E1448" s="710">
        <v>4</v>
      </c>
      <c r="F1448" s="718" t="s">
        <v>671</v>
      </c>
      <c r="G1448" s="718"/>
      <c r="H1448" s="710" t="s">
        <v>668</v>
      </c>
      <c r="I1448" s="727">
        <f>VLOOKUP(C1440,'Luong VP'!$B$10:$AP$189,25,0)</f>
        <v>0</v>
      </c>
      <c r="J1448" s="728">
        <f>J1444/'Cham cong'!$AS$3*I1448/8*2</f>
        <v>0</v>
      </c>
    </row>
    <row r="1449" spans="1:12" ht="9.1999999999999993" customHeight="1">
      <c r="A1449" s="712">
        <v>6</v>
      </c>
      <c r="B1449" s="713" t="s">
        <v>673</v>
      </c>
      <c r="C1449" s="714">
        <f>VLOOKUP(C1440,'Luong VP'!$B$10:$AP$189,13,0)</f>
        <v>0</v>
      </c>
      <c r="D1449" s="717"/>
      <c r="E1449" s="710">
        <v>5</v>
      </c>
      <c r="F1449" s="718" t="s">
        <v>674</v>
      </c>
      <c r="G1449" s="718"/>
      <c r="H1449" s="710" t="s">
        <v>660</v>
      </c>
      <c r="I1449" s="727">
        <f>VLOOKUP(C1440,'Luong VP'!$B$10:$AP$189,23,0)</f>
        <v>0</v>
      </c>
      <c r="J1449" s="728">
        <f>C1444/'Cham cong'!$AS$3*I1449</f>
        <v>0</v>
      </c>
      <c r="L1449" s="694" t="str">
        <f>G1440</f>
        <v>Võ Quang Tuấn</v>
      </c>
    </row>
    <row r="1450" spans="1:12" ht="9.1999999999999993" customHeight="1">
      <c r="A1450" s="712">
        <v>7</v>
      </c>
      <c r="B1450" s="713" t="s">
        <v>676</v>
      </c>
      <c r="C1450" s="714"/>
      <c r="D1450" s="717"/>
      <c r="E1450" s="710">
        <v>6</v>
      </c>
      <c r="F1450" s="718" t="s">
        <v>677</v>
      </c>
      <c r="G1450" s="718"/>
      <c r="H1450" s="710" t="s">
        <v>660</v>
      </c>
      <c r="I1450" s="727">
        <f>VLOOKUP(C1440,'Luong VP'!$B$10:$AP$189,24,0)</f>
        <v>1</v>
      </c>
      <c r="J1450" s="714">
        <f>C1444/'Cham cong'!$AS$3*I1450</f>
        <v>267.30769230769232</v>
      </c>
    </row>
    <row r="1451" spans="1:12" ht="9.1999999999999993" customHeight="1">
      <c r="A1451" s="712">
        <v>8</v>
      </c>
      <c r="B1451" s="713" t="s">
        <v>679</v>
      </c>
      <c r="C1451" s="714">
        <f>VLOOKUP(C1440,'Luong VP'!$B$10:$AP$189,14,0)</f>
        <v>0</v>
      </c>
      <c r="D1451" s="717"/>
      <c r="E1451" s="710">
        <v>7</v>
      </c>
      <c r="F1451" s="718" t="s">
        <v>680</v>
      </c>
      <c r="G1451" s="718"/>
      <c r="H1451" s="718"/>
      <c r="I1451" s="729"/>
      <c r="J1451" s="714">
        <f>VLOOKUP(C1440,'Luong VP'!$B$10:$AP$189,28,0)</f>
        <v>0</v>
      </c>
    </row>
    <row r="1452" spans="1:12" ht="9.1999999999999993" customHeight="1">
      <c r="A1452" s="712">
        <v>9</v>
      </c>
      <c r="B1452" s="713" t="s">
        <v>683</v>
      </c>
      <c r="C1452" s="714">
        <f>VLOOKUP(C1440,'Luong VP'!$B$10:$AP$189,15,0)</f>
        <v>0</v>
      </c>
      <c r="D1452" s="717"/>
      <c r="E1452" s="710">
        <v>8</v>
      </c>
      <c r="F1452" s="718" t="s">
        <v>238</v>
      </c>
      <c r="G1452" s="718"/>
      <c r="H1452" s="718"/>
      <c r="I1452" s="729"/>
      <c r="J1452" s="714">
        <f>VLOOKUP(C1440,'Luong VP'!$B$10:$AP$189,33,0)</f>
        <v>0</v>
      </c>
    </row>
    <row r="1453" spans="1:12" ht="9.1999999999999993" customHeight="1">
      <c r="A1453" s="712">
        <v>10</v>
      </c>
      <c r="B1453" s="713" t="s">
        <v>685</v>
      </c>
      <c r="C1453" s="714">
        <f>VLOOKUP(C1440,'Luong VP'!$B$10:$AP$189,16,0)</f>
        <v>0</v>
      </c>
      <c r="D1453" s="717"/>
      <c r="E1453" s="710" t="s">
        <v>686</v>
      </c>
      <c r="F1453" s="716" t="s">
        <v>687</v>
      </c>
      <c r="G1453" s="719"/>
      <c r="H1453" s="719"/>
      <c r="I1453" s="729"/>
      <c r="J1453" s="730"/>
    </row>
    <row r="1454" spans="1:12" ht="9.1999999999999993" customHeight="1">
      <c r="A1454" s="712">
        <v>11</v>
      </c>
      <c r="B1454" s="713" t="s">
        <v>688</v>
      </c>
      <c r="C1454" s="714">
        <f>VLOOKUP(C1440,'Luong VP'!$B$10:$AP$189,17,0)</f>
        <v>0</v>
      </c>
      <c r="D1454" s="717"/>
      <c r="E1454" s="710">
        <v>1</v>
      </c>
      <c r="F1454" s="716" t="s">
        <v>689</v>
      </c>
      <c r="G1454" s="719"/>
      <c r="H1454" s="719"/>
      <c r="I1454" s="714">
        <f>VLOOKUP(C1440,'Luong VP'!$B$10:$AP$189,30,0)</f>
        <v>0</v>
      </c>
      <c r="J1454" s="714">
        <f>VLOOKUP(C1440,'Luong VP'!$B$10:$AP$189,30,0)</f>
        <v>0</v>
      </c>
    </row>
    <row r="1455" spans="1:12" ht="9.1999999999999993" customHeight="1">
      <c r="A1455" s="712">
        <v>12</v>
      </c>
      <c r="B1455" s="713" t="s">
        <v>691</v>
      </c>
      <c r="C1455" s="714">
        <f>VLOOKUP(C1440,'Luong VP'!$B$10:$AP$189,18,0)</f>
        <v>0</v>
      </c>
      <c r="D1455" s="717"/>
      <c r="E1455" s="710">
        <v>2</v>
      </c>
      <c r="F1455" s="718" t="s">
        <v>239</v>
      </c>
      <c r="G1455" s="718"/>
      <c r="H1455" s="718"/>
      <c r="I1455" s="727"/>
      <c r="J1455" s="728">
        <f>VLOOKUP(C1440,'Luong VP'!$B$10:$AP$189,34,0)</f>
        <v>0</v>
      </c>
      <c r="K1455" s="731"/>
      <c r="L1455" s="715"/>
    </row>
    <row r="1456" spans="1:12" ht="9.1999999999999993" customHeight="1">
      <c r="A1456" s="712">
        <v>13</v>
      </c>
      <c r="B1456" s="713" t="s">
        <v>692</v>
      </c>
      <c r="C1456" s="714">
        <f>VLOOKUP(C1440,'Luong VP'!$B$10:$AP$189,19,0)</f>
        <v>0</v>
      </c>
      <c r="D1456" s="717"/>
      <c r="E1456" s="710">
        <v>3</v>
      </c>
      <c r="F1456" s="716" t="s">
        <v>693</v>
      </c>
      <c r="G1456" s="719"/>
      <c r="H1456" s="719"/>
      <c r="I1456" s="729"/>
      <c r="J1456" s="714">
        <f>VLOOKUP(C1440,'Luong VP'!$B$10:$AP$189,40,0)</f>
        <v>0</v>
      </c>
      <c r="K1456" s="731"/>
      <c r="L1456" s="715"/>
    </row>
    <row r="1457" spans="1:13" ht="9.1999999999999993" customHeight="1">
      <c r="A1457" s="712">
        <v>14</v>
      </c>
      <c r="B1457" s="713" t="s">
        <v>694</v>
      </c>
      <c r="C1457" s="714">
        <f>VLOOKUP(C1440,'Luong VP'!$B$10:$AP$189,20,0)</f>
        <v>0</v>
      </c>
      <c r="D1457" s="717"/>
      <c r="E1457" s="710">
        <v>4</v>
      </c>
      <c r="F1457" s="718" t="s">
        <v>695</v>
      </c>
      <c r="G1457" s="719"/>
      <c r="H1457" s="719"/>
      <c r="I1457" s="729"/>
      <c r="J1457" s="714">
        <f>VLOOKUP(C1440,'Luong VP'!$B$10:$AP$189,35,0)</f>
        <v>0</v>
      </c>
      <c r="K1457" s="732"/>
      <c r="L1457" s="715"/>
    </row>
    <row r="1458" spans="1:13" ht="9.1999999999999993" customHeight="1">
      <c r="A1458" s="712"/>
      <c r="B1458" s="707" t="s">
        <v>656</v>
      </c>
      <c r="C1458" s="714">
        <f>SUM(C1444:C1457)</f>
        <v>6950</v>
      </c>
      <c r="D1458" s="717"/>
      <c r="E1458" s="710"/>
      <c r="F1458" s="716" t="s">
        <v>241</v>
      </c>
      <c r="G1458" s="719"/>
      <c r="H1458" s="719"/>
      <c r="I1458" s="729"/>
      <c r="J1458" s="730">
        <f>SUM(J1445:J1457)+C1452</f>
        <v>7217.3076923076924</v>
      </c>
      <c r="K1458" s="731"/>
      <c r="L1458" s="715"/>
    </row>
    <row r="1459" spans="1:13" ht="9.1999999999999993" customHeight="1">
      <c r="B1459" s="720"/>
      <c r="C1459" s="717"/>
      <c r="D1459" s="717"/>
      <c r="E1459" s="710" t="s">
        <v>696</v>
      </c>
      <c r="F1459" s="711" t="s">
        <v>697</v>
      </c>
      <c r="G1459" s="710"/>
      <c r="H1459" s="710"/>
      <c r="I1459" s="729"/>
      <c r="J1459" s="730">
        <f>SUM(J1460:J1462)</f>
        <v>3480.585</v>
      </c>
      <c r="K1459" s="732"/>
      <c r="L1459" s="715"/>
    </row>
    <row r="1460" spans="1:13" ht="9.1999999999999993" customHeight="1">
      <c r="B1460" s="720"/>
      <c r="C1460" s="717"/>
      <c r="D1460" s="717"/>
      <c r="E1460" s="710">
        <v>1</v>
      </c>
      <c r="F1460" s="718" t="s">
        <v>698</v>
      </c>
      <c r="G1460" s="718"/>
      <c r="H1460" s="718"/>
      <c r="I1460" s="733"/>
      <c r="J1460" s="714">
        <f>VLOOKUP(C1440,'Luong VP'!$B$10:$AP$189,37,0)</f>
        <v>480.58499999999998</v>
      </c>
      <c r="K1460" s="732"/>
      <c r="L1460" s="715"/>
    </row>
    <row r="1461" spans="1:13" ht="9.1999999999999993" customHeight="1">
      <c r="B1461" s="720"/>
      <c r="C1461" s="717"/>
      <c r="D1461" s="717"/>
      <c r="E1461" s="710">
        <v>2</v>
      </c>
      <c r="F1461" s="718" t="s">
        <v>244</v>
      </c>
      <c r="G1461" s="718"/>
      <c r="H1461" s="718"/>
      <c r="I1461" s="729"/>
      <c r="J1461" s="714">
        <f>VLOOKUP(C1440,'Luong VP'!$B$10:$AP$189,39,0)</f>
        <v>3000</v>
      </c>
      <c r="K1461" s="734"/>
      <c r="L1461" s="735"/>
    </row>
    <row r="1462" spans="1:13" ht="9.1999999999999993" customHeight="1">
      <c r="B1462" s="720"/>
      <c r="C1462" s="717"/>
      <c r="D1462" s="717"/>
      <c r="E1462" s="710"/>
      <c r="F1462" s="718" t="s">
        <v>699</v>
      </c>
      <c r="G1462" s="718"/>
      <c r="H1462" s="718"/>
      <c r="I1462" s="729"/>
      <c r="J1462" s="714"/>
      <c r="K1462" s="714"/>
      <c r="L1462" s="736"/>
    </row>
    <row r="1463" spans="1:13" ht="9.1999999999999993" customHeight="1">
      <c r="B1463" s="720"/>
      <c r="C1463" s="717"/>
      <c r="D1463" s="717"/>
      <c r="E1463" s="710" t="s">
        <v>700</v>
      </c>
      <c r="F1463" s="710" t="s">
        <v>246</v>
      </c>
      <c r="G1463" s="710"/>
      <c r="H1463" s="710"/>
      <c r="I1463" s="729"/>
      <c r="J1463" s="728">
        <f>J1458-J1459</f>
        <v>3736.7226923076923</v>
      </c>
      <c r="K1463" s="728">
        <f>ROUND(J1463,-1)</f>
        <v>3740</v>
      </c>
      <c r="L1463" s="710"/>
    </row>
    <row r="1464" spans="1:13" ht="9.1999999999999993" customHeight="1">
      <c r="B1464" s="720"/>
      <c r="C1464" s="717"/>
      <c r="D1464" s="717"/>
      <c r="E1464" s="715"/>
      <c r="F1464" s="715"/>
      <c r="G1464" s="715"/>
      <c r="I1464" s="715" t="s">
        <v>701</v>
      </c>
      <c r="J1464" s="737"/>
      <c r="K1464" s="737"/>
      <c r="L1464" s="715"/>
    </row>
    <row r="1465" spans="1:13" ht="9.1999999999999993" customHeight="1">
      <c r="B1465" s="720"/>
      <c r="C1465" s="717"/>
      <c r="D1465" s="717"/>
      <c r="E1465" s="715"/>
      <c r="F1465" s="715"/>
      <c r="G1465" s="715"/>
      <c r="I1465" s="715"/>
      <c r="J1465" s="737"/>
      <c r="K1465" s="737"/>
      <c r="L1465" s="715"/>
    </row>
    <row r="1466" spans="1:13" ht="9.1999999999999993" customHeight="1">
      <c r="B1466" s="720"/>
      <c r="C1466" s="717"/>
      <c r="D1466" s="717"/>
      <c r="E1466" s="715"/>
      <c r="F1466" s="715"/>
      <c r="G1466" s="715"/>
      <c r="I1466" s="715"/>
      <c r="J1466" s="737"/>
      <c r="K1466" s="737"/>
      <c r="L1466" s="715"/>
    </row>
    <row r="1467" spans="1:13" s="691" customFormat="1" ht="9.1999999999999993" customHeight="1">
      <c r="A1467" s="690"/>
      <c r="B1467" s="720"/>
      <c r="C1467" s="717"/>
      <c r="D1467" s="717"/>
      <c r="E1467" s="715"/>
      <c r="F1467" s="715"/>
      <c r="G1467" s="715"/>
      <c r="H1467" s="689"/>
      <c r="I1467" s="715"/>
      <c r="J1467" s="737"/>
      <c r="K1467" s="737"/>
      <c r="L1467" s="715"/>
      <c r="M1467" s="690"/>
    </row>
    <row r="1468" spans="1:13" s="691" customFormat="1" ht="9.1999999999999993" customHeight="1">
      <c r="A1468" s="690"/>
      <c r="B1468" s="720"/>
      <c r="C1468" s="717"/>
      <c r="D1468" s="717"/>
      <c r="E1468" s="715"/>
      <c r="F1468" s="715"/>
      <c r="G1468" s="715"/>
      <c r="H1468" s="689"/>
      <c r="I1468" s="715"/>
      <c r="J1468" s="737"/>
      <c r="K1468" s="737"/>
      <c r="L1468" s="715"/>
      <c r="M1468" s="690"/>
    </row>
    <row r="1469" spans="1:13" s="691" customFormat="1" ht="9.1999999999999993" customHeight="1">
      <c r="A1469" s="690"/>
      <c r="B1469" s="690"/>
      <c r="C1469" s="696"/>
      <c r="D1469" s="696"/>
      <c r="E1469" s="697" t="str">
        <f>$E$2</f>
        <v>THẺ LƯƠNG THÁNG 08/2019</v>
      </c>
      <c r="F1469" s="698"/>
      <c r="G1469" s="698"/>
      <c r="H1469" s="698"/>
      <c r="I1469" s="689"/>
      <c r="J1469" s="689"/>
      <c r="K1469" s="689"/>
      <c r="L1469" s="694"/>
      <c r="M1469" s="690"/>
    </row>
    <row r="1470" spans="1:13" s="691" customFormat="1" ht="9.1999999999999993" customHeight="1">
      <c r="A1470" s="690"/>
      <c r="B1470" s="699" t="s">
        <v>644</v>
      </c>
      <c r="C1470" s="700" t="s">
        <v>466</v>
      </c>
      <c r="D1470" s="701"/>
      <c r="E1470" s="689"/>
      <c r="F1470" s="702" t="s">
        <v>645</v>
      </c>
      <c r="G1470" s="689" t="str">
        <f>VLOOKUP(C1470,'Luong VP'!$B$10:$AP$189,2,0)</f>
        <v xml:space="preserve"> Trần Văn Hà </v>
      </c>
      <c r="H1470" s="689"/>
      <c r="I1470" s="689"/>
      <c r="J1470" s="689"/>
      <c r="K1470" s="689"/>
      <c r="L1470" s="694"/>
      <c r="M1470" s="690"/>
    </row>
    <row r="1471" spans="1:13" s="691" customFormat="1" ht="9.1999999999999993" customHeight="1">
      <c r="A1471" s="690"/>
      <c r="B1471" s="699" t="s">
        <v>646</v>
      </c>
      <c r="C1471" s="689" t="str">
        <f>VLOOKUP(C1470,'Luong VP'!$B$10:$AP$189,3,0)</f>
        <v>Trưởng BP môi trường</v>
      </c>
      <c r="D1471" s="689"/>
      <c r="E1471" s="689"/>
      <c r="F1471" s="702" t="s">
        <v>647</v>
      </c>
      <c r="G1471" s="689">
        <f>VLOOKUP(C1470,'Luong VP'!$B$10:$AP$189,5,0)</f>
        <v>2</v>
      </c>
      <c r="H1471" s="689"/>
      <c r="I1471" s="689"/>
      <c r="J1471" s="689"/>
      <c r="K1471" s="689"/>
      <c r="L1471" s="694"/>
      <c r="M1471" s="690"/>
    </row>
    <row r="1472" spans="1:13" s="691" customFormat="1" ht="9.1999999999999993" customHeight="1">
      <c r="A1472" s="690"/>
      <c r="B1472" s="703"/>
      <c r="C1472" s="704"/>
      <c r="D1472" s="705"/>
      <c r="E1472" s="689"/>
      <c r="F1472" s="706" t="s">
        <v>648</v>
      </c>
      <c r="G1472" s="706"/>
      <c r="H1472" s="706"/>
      <c r="I1472" s="725"/>
      <c r="J1472" s="726"/>
      <c r="K1472" s="689"/>
      <c r="L1472" s="694"/>
      <c r="M1472" s="690"/>
    </row>
    <row r="1473" spans="1:13" s="691" customFormat="1" ht="9.1999999999999993" customHeight="1">
      <c r="A1473" s="707" t="s">
        <v>216</v>
      </c>
      <c r="B1473" s="707" t="s">
        <v>649</v>
      </c>
      <c r="C1473" s="708" t="s">
        <v>650</v>
      </c>
      <c r="D1473" s="709"/>
      <c r="E1473" s="710" t="s">
        <v>216</v>
      </c>
      <c r="F1473" s="711" t="s">
        <v>649</v>
      </c>
      <c r="G1473" s="710"/>
      <c r="H1473" s="710" t="s">
        <v>651</v>
      </c>
      <c r="I1473" s="727" t="s">
        <v>652</v>
      </c>
      <c r="J1473" s="714"/>
      <c r="K1473" s="689"/>
      <c r="L1473" s="694" t="s">
        <v>653</v>
      </c>
      <c r="M1473" s="690"/>
    </row>
    <row r="1474" spans="1:13" s="691" customFormat="1" ht="9.1999999999999993" customHeight="1">
      <c r="A1474" s="712">
        <v>1</v>
      </c>
      <c r="B1474" s="713" t="s">
        <v>654</v>
      </c>
      <c r="C1474" s="714">
        <f>VLOOKUP(C1470,'Luong VP'!$B$10:$AP$189,9,0)</f>
        <v>13080</v>
      </c>
      <c r="D1474" s="715"/>
      <c r="E1474" s="710" t="s">
        <v>655</v>
      </c>
      <c r="F1474" s="716" t="s">
        <v>656</v>
      </c>
      <c r="G1474" s="710"/>
      <c r="H1474" s="710"/>
      <c r="I1474" s="727"/>
      <c r="J1474" s="714">
        <f>VLOOKUP(C1470,'Luong VP'!$B$10:$AP$189,21,0)</f>
        <v>14172.4</v>
      </c>
      <c r="K1474" s="689"/>
      <c r="L1474" s="694"/>
      <c r="M1474" s="690"/>
    </row>
    <row r="1475" spans="1:13" s="691" customFormat="1" ht="9.1999999999999993" customHeight="1">
      <c r="A1475" s="712">
        <v>2</v>
      </c>
      <c r="B1475" s="713" t="s">
        <v>658</v>
      </c>
      <c r="C1475" s="714"/>
      <c r="D1475" s="717"/>
      <c r="E1475" s="710">
        <v>1</v>
      </c>
      <c r="F1475" s="718" t="s">
        <v>659</v>
      </c>
      <c r="G1475" s="718"/>
      <c r="H1475" s="710" t="s">
        <v>660</v>
      </c>
      <c r="I1475" s="727">
        <f>VLOOKUP(C1470,'Luong VP'!$B$10:$AP$189,22,0)</f>
        <v>26</v>
      </c>
      <c r="J1475" s="728">
        <f>J1474/'Cham cong'!$AS$3*I1475</f>
        <v>14172.400000000001</v>
      </c>
      <c r="K1475" s="689"/>
      <c r="L1475" s="694"/>
      <c r="M1475" s="690"/>
    </row>
    <row r="1476" spans="1:13" s="691" customFormat="1" ht="9.1999999999999993" customHeight="1">
      <c r="A1476" s="712">
        <v>3</v>
      </c>
      <c r="B1476" s="713" t="s">
        <v>661</v>
      </c>
      <c r="C1476" s="714">
        <f>VLOOKUP(C1470,'Luong VP'!$B$10:$AP$189,10,0)</f>
        <v>0</v>
      </c>
      <c r="D1476" s="717"/>
      <c r="E1476" s="710">
        <v>2</v>
      </c>
      <c r="F1476" s="718" t="s">
        <v>662</v>
      </c>
      <c r="G1476" s="718"/>
      <c r="H1476" s="710" t="s">
        <v>660</v>
      </c>
      <c r="I1476" s="727">
        <f>VLOOKUP(C1470,'Luong VP'!$B$10:$AP$189,27,0)</f>
        <v>0</v>
      </c>
      <c r="J1476" s="728">
        <f>J1474/'Cham cong'!$AS$3*I1476*3</f>
        <v>0</v>
      </c>
      <c r="K1476" s="689"/>
      <c r="L1476" s="694"/>
      <c r="M1476" s="690"/>
    </row>
    <row r="1477" spans="1:13" s="691" customFormat="1" ht="9.1999999999999993" customHeight="1">
      <c r="A1477" s="712">
        <v>4</v>
      </c>
      <c r="B1477" s="713" t="s">
        <v>666</v>
      </c>
      <c r="C1477" s="714">
        <f>VLOOKUP(C1470,'Luong VP'!$B$10:$AP$189,11,0)</f>
        <v>500</v>
      </c>
      <c r="D1477" s="717"/>
      <c r="E1477" s="710">
        <v>3</v>
      </c>
      <c r="F1477" s="718" t="s">
        <v>667</v>
      </c>
      <c r="G1477" s="718"/>
      <c r="H1477" s="710" t="s">
        <v>668</v>
      </c>
      <c r="I1477" s="727">
        <f>VLOOKUP(C1470,'Luong VP'!$B$10:$AP$189,26,0)</f>
        <v>0</v>
      </c>
      <c r="J1477" s="728">
        <f>J1474/'Cham cong'!$AS$3*I1477/8*1.5</f>
        <v>0</v>
      </c>
      <c r="K1477" s="689"/>
      <c r="L1477" s="694"/>
      <c r="M1477" s="690"/>
    </row>
    <row r="1478" spans="1:13" s="691" customFormat="1" ht="9.1999999999999993" customHeight="1">
      <c r="A1478" s="712">
        <v>5</v>
      </c>
      <c r="B1478" s="713" t="s">
        <v>670</v>
      </c>
      <c r="C1478" s="714">
        <f>VLOOKUP(C1470,'Luong VP'!$B$10:$AP$189,12,0)</f>
        <v>392.4</v>
      </c>
      <c r="D1478" s="717"/>
      <c r="E1478" s="710">
        <v>4</v>
      </c>
      <c r="F1478" s="718" t="s">
        <v>671</v>
      </c>
      <c r="G1478" s="718"/>
      <c r="H1478" s="710" t="s">
        <v>668</v>
      </c>
      <c r="I1478" s="727">
        <f>VLOOKUP(C1470,'Luong VP'!$B$10:$AP$189,25,0)</f>
        <v>0</v>
      </c>
      <c r="J1478" s="728">
        <f>J1474/'Cham cong'!$AS$3*I1478/8*2</f>
        <v>0</v>
      </c>
      <c r="K1478" s="689"/>
      <c r="L1478" s="694"/>
      <c r="M1478" s="690"/>
    </row>
    <row r="1479" spans="1:13" s="691" customFormat="1" ht="9.1999999999999993" customHeight="1">
      <c r="A1479" s="712">
        <v>6</v>
      </c>
      <c r="B1479" s="713" t="s">
        <v>673</v>
      </c>
      <c r="C1479" s="714">
        <f>VLOOKUP(C1470,'Luong VP'!$B$10:$AP$189,13,0)</f>
        <v>0</v>
      </c>
      <c r="D1479" s="717"/>
      <c r="E1479" s="710">
        <v>5</v>
      </c>
      <c r="F1479" s="718" t="s">
        <v>674</v>
      </c>
      <c r="G1479" s="718"/>
      <c r="H1479" s="710" t="s">
        <v>660</v>
      </c>
      <c r="I1479" s="727">
        <f>VLOOKUP(C1470,'Luong VP'!$B$10:$AP$189,23,0)</f>
        <v>0</v>
      </c>
      <c r="J1479" s="728">
        <f>C1474/'Cham cong'!$AS$3*I1479</f>
        <v>0</v>
      </c>
      <c r="K1479" s="689"/>
      <c r="L1479" s="694" t="str">
        <f>G1470</f>
        <v xml:space="preserve"> Trần Văn Hà </v>
      </c>
      <c r="M1479" s="690"/>
    </row>
    <row r="1480" spans="1:13" s="691" customFormat="1" ht="9.1999999999999993" customHeight="1">
      <c r="A1480" s="712">
        <v>7</v>
      </c>
      <c r="B1480" s="713" t="s">
        <v>676</v>
      </c>
      <c r="C1480" s="714"/>
      <c r="D1480" s="717"/>
      <c r="E1480" s="710">
        <v>6</v>
      </c>
      <c r="F1480" s="718" t="s">
        <v>677</v>
      </c>
      <c r="G1480" s="718"/>
      <c r="H1480" s="710" t="s">
        <v>660</v>
      </c>
      <c r="I1480" s="727">
        <f>VLOOKUP(C1470,'Luong VP'!$B$10:$AP$189,24,0)</f>
        <v>1</v>
      </c>
      <c r="J1480" s="714">
        <f>C1474/'Cham cong'!$AS$3*I1480</f>
        <v>503.07692307692309</v>
      </c>
      <c r="K1480" s="689"/>
      <c r="L1480" s="694"/>
      <c r="M1480" s="690"/>
    </row>
    <row r="1481" spans="1:13" s="691" customFormat="1" ht="9.1999999999999993" customHeight="1">
      <c r="A1481" s="712">
        <v>8</v>
      </c>
      <c r="B1481" s="713" t="s">
        <v>679</v>
      </c>
      <c r="C1481" s="714">
        <f>VLOOKUP(C1470,'Luong VP'!$B$10:$AP$189,14,0)</f>
        <v>200</v>
      </c>
      <c r="D1481" s="717"/>
      <c r="E1481" s="710">
        <v>7</v>
      </c>
      <c r="F1481" s="718" t="s">
        <v>680</v>
      </c>
      <c r="G1481" s="718"/>
      <c r="H1481" s="718"/>
      <c r="I1481" s="729"/>
      <c r="J1481" s="714">
        <f>VLOOKUP(C1470,'Luong VP'!$B$10:$AP$189,28,0)</f>
        <v>0</v>
      </c>
      <c r="K1481" s="689"/>
      <c r="L1481" s="694"/>
      <c r="M1481" s="690"/>
    </row>
    <row r="1482" spans="1:13" s="691" customFormat="1" ht="9.1999999999999993" customHeight="1">
      <c r="A1482" s="712">
        <v>9</v>
      </c>
      <c r="B1482" s="713" t="s">
        <v>683</v>
      </c>
      <c r="C1482" s="714">
        <f>VLOOKUP(C1470,'Luong VP'!$B$10:$AP$189,15,0)</f>
        <v>300</v>
      </c>
      <c r="D1482" s="717"/>
      <c r="E1482" s="710">
        <v>8</v>
      </c>
      <c r="F1482" s="718" t="s">
        <v>238</v>
      </c>
      <c r="G1482" s="718"/>
      <c r="H1482" s="718"/>
      <c r="I1482" s="729"/>
      <c r="J1482" s="714">
        <f>VLOOKUP(C1470,'Luong VP'!$B$10:$AP$189,33,0)</f>
        <v>0</v>
      </c>
      <c r="K1482" s="689"/>
      <c r="L1482" s="694"/>
      <c r="M1482" s="690"/>
    </row>
    <row r="1483" spans="1:13" s="691" customFormat="1" ht="9.1999999999999993" customHeight="1">
      <c r="A1483" s="712">
        <v>10</v>
      </c>
      <c r="B1483" s="713" t="s">
        <v>685</v>
      </c>
      <c r="C1483" s="714">
        <f>VLOOKUP(C1470,'Luong VP'!$B$10:$AP$189,16,0)</f>
        <v>0</v>
      </c>
      <c r="D1483" s="717"/>
      <c r="E1483" s="710" t="s">
        <v>686</v>
      </c>
      <c r="F1483" s="716" t="s">
        <v>687</v>
      </c>
      <c r="G1483" s="719"/>
      <c r="H1483" s="719"/>
      <c r="I1483" s="729"/>
      <c r="J1483" s="730"/>
      <c r="K1483" s="689"/>
      <c r="L1483" s="694"/>
      <c r="M1483" s="690"/>
    </row>
    <row r="1484" spans="1:13" s="691" customFormat="1" ht="9.1999999999999993" customHeight="1">
      <c r="A1484" s="712">
        <v>11</v>
      </c>
      <c r="B1484" s="713" t="s">
        <v>688</v>
      </c>
      <c r="C1484" s="714">
        <f>VLOOKUP(C1470,'Luong VP'!$B$10:$AP$189,17,0)</f>
        <v>0</v>
      </c>
      <c r="D1484" s="717"/>
      <c r="E1484" s="710">
        <v>1</v>
      </c>
      <c r="F1484" s="716" t="s">
        <v>689</v>
      </c>
      <c r="G1484" s="719"/>
      <c r="H1484" s="719"/>
      <c r="I1484" s="714">
        <f>VLOOKUP(C1470,'Luong VP'!$B$10:$AP$189,30,0)</f>
        <v>0</v>
      </c>
      <c r="J1484" s="714">
        <f>VLOOKUP(C1470,'Luong VP'!$B$10:$AP$189,30,0)</f>
        <v>0</v>
      </c>
      <c r="K1484" s="689"/>
      <c r="L1484" s="694"/>
      <c r="M1484" s="690"/>
    </row>
    <row r="1485" spans="1:13" s="691" customFormat="1" ht="9.1999999999999993" customHeight="1">
      <c r="A1485" s="712">
        <v>12</v>
      </c>
      <c r="B1485" s="713" t="s">
        <v>691</v>
      </c>
      <c r="C1485" s="714">
        <f>VLOOKUP(C1470,'Luong VP'!$B$10:$AP$189,18,0)</f>
        <v>0</v>
      </c>
      <c r="D1485" s="717"/>
      <c r="E1485" s="710">
        <v>2</v>
      </c>
      <c r="F1485" s="718" t="s">
        <v>239</v>
      </c>
      <c r="G1485" s="718"/>
      <c r="H1485" s="718"/>
      <c r="I1485" s="727"/>
      <c r="J1485" s="728">
        <f>VLOOKUP(C1470,'Luong VP'!$B$10:$AP$189,34,0)</f>
        <v>0</v>
      </c>
      <c r="K1485" s="731"/>
      <c r="L1485" s="715"/>
      <c r="M1485" s="690"/>
    </row>
    <row r="1486" spans="1:13" s="691" customFormat="1" ht="9.1999999999999993" customHeight="1">
      <c r="A1486" s="712">
        <v>13</v>
      </c>
      <c r="B1486" s="713" t="s">
        <v>692</v>
      </c>
      <c r="C1486" s="714">
        <f>VLOOKUP(C1470,'Luong VP'!$B$10:$AP$189,19,0)</f>
        <v>0</v>
      </c>
      <c r="D1486" s="717"/>
      <c r="E1486" s="710">
        <v>3</v>
      </c>
      <c r="F1486" s="716" t="s">
        <v>693</v>
      </c>
      <c r="G1486" s="719"/>
      <c r="H1486" s="719"/>
      <c r="I1486" s="729"/>
      <c r="J1486" s="714">
        <f>VLOOKUP(C1470,'Luong VP'!$B$10:$AP$189,40,0)</f>
        <v>0</v>
      </c>
      <c r="K1486" s="731"/>
      <c r="L1486" s="715"/>
      <c r="M1486" s="690"/>
    </row>
    <row r="1487" spans="1:13" s="691" customFormat="1" ht="9.1999999999999993" customHeight="1">
      <c r="A1487" s="712">
        <v>14</v>
      </c>
      <c r="B1487" s="713" t="s">
        <v>694</v>
      </c>
      <c r="C1487" s="714">
        <f>VLOOKUP(C1470,'Luong VP'!$B$10:$AP$189,20,0)</f>
        <v>0</v>
      </c>
      <c r="D1487" s="717"/>
      <c r="E1487" s="710">
        <v>4</v>
      </c>
      <c r="F1487" s="718" t="s">
        <v>695</v>
      </c>
      <c r="G1487" s="719"/>
      <c r="H1487" s="719"/>
      <c r="I1487" s="729"/>
      <c r="J1487" s="714">
        <f>VLOOKUP(C1470,'Luong VP'!$B$10:$AP$189,35,0)</f>
        <v>0</v>
      </c>
      <c r="K1487" s="732"/>
      <c r="L1487" s="715"/>
      <c r="M1487" s="690"/>
    </row>
    <row r="1488" spans="1:13" s="691" customFormat="1" ht="9.1999999999999993" customHeight="1">
      <c r="A1488" s="712"/>
      <c r="B1488" s="707" t="s">
        <v>656</v>
      </c>
      <c r="C1488" s="714">
        <f>SUM(C1474:C1487)</f>
        <v>14472.4</v>
      </c>
      <c r="D1488" s="717"/>
      <c r="E1488" s="710"/>
      <c r="F1488" s="716" t="s">
        <v>241</v>
      </c>
      <c r="G1488" s="719"/>
      <c r="H1488" s="719"/>
      <c r="I1488" s="729"/>
      <c r="J1488" s="730">
        <f>SUM(J1475:J1487)+C1482</f>
        <v>14975.476923076925</v>
      </c>
      <c r="K1488" s="731"/>
      <c r="L1488" s="715"/>
      <c r="M1488" s="690"/>
    </row>
    <row r="1489" spans="1:13" s="691" customFormat="1" ht="9.1999999999999993" customHeight="1">
      <c r="A1489" s="690"/>
      <c r="B1489" s="720"/>
      <c r="C1489" s="717"/>
      <c r="D1489" s="717"/>
      <c r="E1489" s="710" t="s">
        <v>696</v>
      </c>
      <c r="F1489" s="711" t="s">
        <v>697</v>
      </c>
      <c r="G1489" s="710"/>
      <c r="H1489" s="710"/>
      <c r="I1489" s="729"/>
      <c r="J1489" s="730">
        <f>SUM(J1490:J1492)</f>
        <v>535.5</v>
      </c>
      <c r="K1489" s="732"/>
      <c r="L1489" s="715"/>
      <c r="M1489" s="690"/>
    </row>
    <row r="1490" spans="1:13" s="691" customFormat="1" ht="9.1999999999999993" customHeight="1">
      <c r="A1490" s="690"/>
      <c r="B1490" s="720"/>
      <c r="C1490" s="717"/>
      <c r="D1490" s="717"/>
      <c r="E1490" s="710">
        <v>1</v>
      </c>
      <c r="F1490" s="718" t="s">
        <v>698</v>
      </c>
      <c r="G1490" s="718"/>
      <c r="H1490" s="718"/>
      <c r="I1490" s="733"/>
      <c r="J1490" s="714">
        <f>VLOOKUP(C1470,'Luong VP'!$B$10:$AP$189,37,0)</f>
        <v>535.5</v>
      </c>
      <c r="K1490" s="732"/>
      <c r="L1490" s="715"/>
      <c r="M1490" s="690"/>
    </row>
    <row r="1491" spans="1:13" s="691" customFormat="1" ht="9.1999999999999993" customHeight="1">
      <c r="A1491" s="690"/>
      <c r="B1491" s="720"/>
      <c r="C1491" s="717"/>
      <c r="D1491" s="717"/>
      <c r="E1491" s="710">
        <v>2</v>
      </c>
      <c r="F1491" s="718" t="s">
        <v>244</v>
      </c>
      <c r="G1491" s="718"/>
      <c r="H1491" s="718"/>
      <c r="I1491" s="729"/>
      <c r="J1491" s="714">
        <f>VLOOKUP(C1470,'Luong VP'!$B$10:$AP$189,39,0)</f>
        <v>0</v>
      </c>
      <c r="K1491" s="734"/>
      <c r="L1491" s="735"/>
      <c r="M1491" s="690"/>
    </row>
    <row r="1492" spans="1:13" s="691" customFormat="1" ht="9.1999999999999993" customHeight="1">
      <c r="A1492" s="690"/>
      <c r="B1492" s="720"/>
      <c r="C1492" s="717"/>
      <c r="D1492" s="717"/>
      <c r="E1492" s="710"/>
      <c r="F1492" s="718" t="s">
        <v>699</v>
      </c>
      <c r="G1492" s="718"/>
      <c r="H1492" s="718"/>
      <c r="I1492" s="729"/>
      <c r="J1492" s="714"/>
      <c r="K1492" s="714"/>
      <c r="L1492" s="736"/>
      <c r="M1492" s="690"/>
    </row>
    <row r="1493" spans="1:13" s="691" customFormat="1" ht="9.1999999999999993" customHeight="1">
      <c r="A1493" s="690"/>
      <c r="B1493" s="720"/>
      <c r="C1493" s="717"/>
      <c r="D1493" s="717"/>
      <c r="E1493" s="710" t="s">
        <v>700</v>
      </c>
      <c r="F1493" s="710" t="s">
        <v>246</v>
      </c>
      <c r="G1493" s="710"/>
      <c r="H1493" s="710"/>
      <c r="I1493" s="729"/>
      <c r="J1493" s="728">
        <f>J1488-J1489</f>
        <v>14439.976923076925</v>
      </c>
      <c r="K1493" s="728">
        <f>ROUND(J1493,-1)</f>
        <v>14440</v>
      </c>
      <c r="L1493" s="710"/>
      <c r="M1493" s="690"/>
    </row>
    <row r="1494" spans="1:13" s="691" customFormat="1" ht="9.1999999999999993" customHeight="1">
      <c r="A1494" s="690"/>
      <c r="B1494" s="720"/>
      <c r="C1494" s="717"/>
      <c r="D1494" s="717"/>
      <c r="E1494" s="715"/>
      <c r="F1494" s="715"/>
      <c r="G1494" s="715"/>
      <c r="H1494" s="689"/>
      <c r="I1494" s="715" t="s">
        <v>701</v>
      </c>
      <c r="J1494" s="737"/>
      <c r="K1494" s="737"/>
      <c r="L1494" s="715"/>
      <c r="M1494" s="690"/>
    </row>
    <row r="1495" spans="1:13" s="691" customFormat="1" ht="9.1999999999999993" customHeight="1">
      <c r="A1495" s="690"/>
      <c r="B1495" s="720"/>
      <c r="C1495" s="717"/>
      <c r="D1495" s="717"/>
      <c r="E1495" s="715"/>
      <c r="F1495" s="715"/>
      <c r="G1495" s="715"/>
      <c r="H1495" s="689"/>
      <c r="I1495" s="715"/>
      <c r="J1495" s="737"/>
      <c r="K1495" s="737"/>
      <c r="L1495" s="715"/>
      <c r="M1495" s="690"/>
    </row>
    <row r="1496" spans="1:13" s="691" customFormat="1" ht="9.1999999999999993" customHeight="1">
      <c r="A1496" s="690"/>
      <c r="B1496" s="720"/>
      <c r="C1496" s="717"/>
      <c r="D1496" s="717"/>
      <c r="E1496" s="715"/>
      <c r="F1496" s="715"/>
      <c r="G1496" s="715"/>
      <c r="H1496" s="689"/>
      <c r="I1496" s="715"/>
      <c r="J1496" s="737"/>
      <c r="K1496" s="737"/>
      <c r="L1496" s="715"/>
      <c r="M1496" s="690"/>
    </row>
    <row r="1497" spans="1:13" s="691" customFormat="1" ht="9.1999999999999993" customHeight="1">
      <c r="A1497" s="690"/>
      <c r="B1497" s="720"/>
      <c r="C1497" s="717"/>
      <c r="D1497" s="717"/>
      <c r="E1497" s="715"/>
      <c r="F1497" s="715"/>
      <c r="G1497" s="715"/>
      <c r="H1497" s="689"/>
      <c r="I1497" s="715"/>
      <c r="J1497" s="737"/>
      <c r="K1497" s="737"/>
      <c r="L1497" s="715"/>
      <c r="M1497" s="690"/>
    </row>
    <row r="1498" spans="1:13" s="691" customFormat="1" ht="9.1999999999999993" customHeight="1">
      <c r="A1498" s="690"/>
      <c r="B1498" s="720"/>
      <c r="C1498" s="717"/>
      <c r="D1498" s="717"/>
      <c r="E1498" s="715"/>
      <c r="F1498" s="715"/>
      <c r="G1498" s="715"/>
      <c r="H1498" s="689"/>
      <c r="I1498" s="715"/>
      <c r="J1498" s="737"/>
      <c r="K1498" s="737"/>
      <c r="L1498" s="715"/>
      <c r="M1498" s="690"/>
    </row>
    <row r="1499" spans="1:13" s="691" customFormat="1" ht="9.1999999999999993" customHeight="1">
      <c r="A1499" s="690"/>
      <c r="B1499" s="720"/>
      <c r="C1499" s="717"/>
      <c r="D1499" s="717"/>
      <c r="E1499" s="715"/>
      <c r="F1499" s="715"/>
      <c r="G1499" s="715"/>
      <c r="H1499" s="689"/>
      <c r="I1499" s="715"/>
      <c r="J1499" s="737"/>
      <c r="K1499" s="737"/>
      <c r="L1499" s="715"/>
      <c r="M1499" s="690"/>
    </row>
    <row r="1500" spans="1:13" s="691" customFormat="1" ht="9.1999999999999993" customHeight="1">
      <c r="A1500" s="690"/>
      <c r="B1500" s="690"/>
      <c r="C1500" s="696"/>
      <c r="D1500" s="696"/>
      <c r="E1500" s="697" t="str">
        <f>$E$2</f>
        <v>THẺ LƯƠNG THÁNG 08/2019</v>
      </c>
      <c r="F1500" s="698"/>
      <c r="G1500" s="698"/>
      <c r="H1500" s="698"/>
      <c r="I1500" s="689"/>
      <c r="J1500" s="689"/>
      <c r="K1500" s="689"/>
      <c r="L1500" s="694"/>
      <c r="M1500" s="690"/>
    </row>
    <row r="1501" spans="1:13" s="691" customFormat="1" ht="9.1999999999999993" customHeight="1">
      <c r="A1501" s="690"/>
      <c r="B1501" s="699" t="s">
        <v>644</v>
      </c>
      <c r="C1501" s="700" t="s">
        <v>468</v>
      </c>
      <c r="D1501" s="701"/>
      <c r="E1501" s="689"/>
      <c r="F1501" s="702" t="s">
        <v>645</v>
      </c>
      <c r="G1501" s="689" t="str">
        <f>VLOOKUP(C1501,'Luong VP'!$B$10:$AP$189,2,0)</f>
        <v>Đinh Thanh Trí</v>
      </c>
      <c r="H1501" s="689"/>
      <c r="I1501" s="689"/>
      <c r="J1501" s="689"/>
      <c r="K1501" s="689"/>
      <c r="L1501" s="694"/>
      <c r="M1501" s="690"/>
    </row>
    <row r="1502" spans="1:13" s="691" customFormat="1" ht="9.1999999999999993" customHeight="1">
      <c r="A1502" s="690"/>
      <c r="B1502" s="699" t="s">
        <v>646</v>
      </c>
      <c r="C1502" s="689" t="str">
        <f>VLOOKUP(C1501,'Luong VP'!$B$10:$AP$189,3,0)</f>
        <v>NV vận hành trạm xử lý nước thải</v>
      </c>
      <c r="D1502" s="689"/>
      <c r="E1502" s="689"/>
      <c r="F1502" s="702" t="s">
        <v>647</v>
      </c>
      <c r="G1502" s="689">
        <f>VLOOKUP(C1501,'Luong VP'!$B$10:$AP$189,5,0)</f>
        <v>1</v>
      </c>
      <c r="H1502" s="689"/>
      <c r="I1502" s="689"/>
      <c r="J1502" s="689"/>
      <c r="K1502" s="689"/>
      <c r="L1502" s="694"/>
      <c r="M1502" s="690"/>
    </row>
    <row r="1503" spans="1:13" s="691" customFormat="1" ht="9.1999999999999993" customHeight="1">
      <c r="A1503" s="690"/>
      <c r="B1503" s="703"/>
      <c r="C1503" s="704"/>
      <c r="D1503" s="705"/>
      <c r="E1503" s="689"/>
      <c r="F1503" s="706" t="s">
        <v>648</v>
      </c>
      <c r="G1503" s="706"/>
      <c r="H1503" s="706"/>
      <c r="I1503" s="725"/>
      <c r="J1503" s="726"/>
      <c r="K1503" s="689"/>
      <c r="L1503" s="694"/>
      <c r="M1503" s="690"/>
    </row>
    <row r="1504" spans="1:13" s="691" customFormat="1" ht="9.1999999999999993" customHeight="1">
      <c r="A1504" s="707" t="s">
        <v>216</v>
      </c>
      <c r="B1504" s="707" t="s">
        <v>649</v>
      </c>
      <c r="C1504" s="708" t="s">
        <v>650</v>
      </c>
      <c r="D1504" s="709"/>
      <c r="E1504" s="710" t="s">
        <v>216</v>
      </c>
      <c r="F1504" s="711" t="s">
        <v>649</v>
      </c>
      <c r="G1504" s="710"/>
      <c r="H1504" s="710" t="s">
        <v>651</v>
      </c>
      <c r="I1504" s="727" t="s">
        <v>652</v>
      </c>
      <c r="J1504" s="714"/>
      <c r="K1504" s="689"/>
      <c r="L1504" s="694" t="s">
        <v>653</v>
      </c>
      <c r="M1504" s="690"/>
    </row>
    <row r="1505" spans="1:13" s="691" customFormat="1" ht="9.1999999999999993" customHeight="1">
      <c r="A1505" s="712">
        <v>1</v>
      </c>
      <c r="B1505" s="713" t="s">
        <v>654</v>
      </c>
      <c r="C1505" s="714">
        <f>VLOOKUP(C1501,'Luong VP'!$B$10:$AP$189,9,0)</f>
        <v>8000</v>
      </c>
      <c r="D1505" s="715"/>
      <c r="E1505" s="710" t="s">
        <v>655</v>
      </c>
      <c r="F1505" s="716" t="s">
        <v>656</v>
      </c>
      <c r="G1505" s="710"/>
      <c r="H1505" s="710"/>
      <c r="I1505" s="727"/>
      <c r="J1505" s="714">
        <f>VLOOKUP(C1501,'Luong VP'!$B$10:$AP$189,21,0)</f>
        <v>8000</v>
      </c>
      <c r="K1505" s="689"/>
      <c r="L1505" s="694"/>
      <c r="M1505" s="690"/>
    </row>
    <row r="1506" spans="1:13" s="691" customFormat="1" ht="9.1999999999999993" customHeight="1">
      <c r="A1506" s="712">
        <v>2</v>
      </c>
      <c r="B1506" s="713" t="s">
        <v>658</v>
      </c>
      <c r="C1506" s="714"/>
      <c r="D1506" s="717"/>
      <c r="E1506" s="710">
        <v>1</v>
      </c>
      <c r="F1506" s="718" t="s">
        <v>659</v>
      </c>
      <c r="G1506" s="718"/>
      <c r="H1506" s="710" t="s">
        <v>660</v>
      </c>
      <c r="I1506" s="727">
        <f>VLOOKUP(C1501,'Luong VP'!$B$10:$AP$189,22,0)</f>
        <v>26</v>
      </c>
      <c r="J1506" s="728">
        <f>J1505/'Cham cong'!$AS$3*I1506</f>
        <v>8000</v>
      </c>
      <c r="K1506" s="689"/>
      <c r="L1506" s="694"/>
      <c r="M1506" s="690"/>
    </row>
    <row r="1507" spans="1:13" s="691" customFormat="1" ht="9.1999999999999993" customHeight="1">
      <c r="A1507" s="712">
        <v>3</v>
      </c>
      <c r="B1507" s="713" t="s">
        <v>661</v>
      </c>
      <c r="C1507" s="714">
        <f>VLOOKUP(C1501,'Luong VP'!$B$10:$AP$189,10,0)</f>
        <v>0</v>
      </c>
      <c r="D1507" s="717"/>
      <c r="E1507" s="710">
        <v>2</v>
      </c>
      <c r="F1507" s="718" t="s">
        <v>662</v>
      </c>
      <c r="G1507" s="718"/>
      <c r="H1507" s="710" t="s">
        <v>660</v>
      </c>
      <c r="I1507" s="727">
        <f>VLOOKUP(C1501,'Luong VP'!$B$10:$AP$189,27,0)</f>
        <v>0</v>
      </c>
      <c r="J1507" s="728">
        <f>J1505/'Cham cong'!$AS$3*I1507*3</f>
        <v>0</v>
      </c>
      <c r="K1507" s="689"/>
      <c r="L1507" s="694"/>
      <c r="M1507" s="690"/>
    </row>
    <row r="1508" spans="1:13" s="691" customFormat="1" ht="9.1999999999999993" customHeight="1">
      <c r="A1508" s="712">
        <v>4</v>
      </c>
      <c r="B1508" s="713" t="s">
        <v>666</v>
      </c>
      <c r="C1508" s="714">
        <f>VLOOKUP(C1501,'Luong VP'!$B$10:$AP$189,11,0)</f>
        <v>0</v>
      </c>
      <c r="D1508" s="717"/>
      <c r="E1508" s="710">
        <v>3</v>
      </c>
      <c r="F1508" s="718" t="s">
        <v>667</v>
      </c>
      <c r="G1508" s="718"/>
      <c r="H1508" s="710" t="s">
        <v>668</v>
      </c>
      <c r="I1508" s="727">
        <f>VLOOKUP(C1501,'Luong VP'!$B$10:$AP$189,26,0)</f>
        <v>0</v>
      </c>
      <c r="J1508" s="728">
        <f>J1505/'Cham cong'!$AS$3*I1508/8*1.5</f>
        <v>0</v>
      </c>
      <c r="K1508" s="689"/>
      <c r="L1508" s="694"/>
      <c r="M1508" s="690"/>
    </row>
    <row r="1509" spans="1:13" s="691" customFormat="1" ht="9.1999999999999993" customHeight="1">
      <c r="A1509" s="712">
        <v>5</v>
      </c>
      <c r="B1509" s="713" t="s">
        <v>670</v>
      </c>
      <c r="C1509" s="714">
        <f>VLOOKUP(C1501,'Luong VP'!$B$10:$AP$189,12,0)</f>
        <v>0</v>
      </c>
      <c r="D1509" s="717"/>
      <c r="E1509" s="710">
        <v>4</v>
      </c>
      <c r="F1509" s="718" t="s">
        <v>671</v>
      </c>
      <c r="G1509" s="718"/>
      <c r="H1509" s="710" t="s">
        <v>668</v>
      </c>
      <c r="I1509" s="727">
        <f>VLOOKUP(C1501,'Luong VP'!$B$10:$AP$189,25,0)</f>
        <v>0</v>
      </c>
      <c r="J1509" s="728">
        <f>J1505/'Cham cong'!$AS$3*I1509/8*2</f>
        <v>0</v>
      </c>
      <c r="K1509" s="689"/>
      <c r="L1509" s="694"/>
      <c r="M1509" s="690"/>
    </row>
    <row r="1510" spans="1:13" s="691" customFormat="1" ht="9.1999999999999993" customHeight="1">
      <c r="A1510" s="712">
        <v>6</v>
      </c>
      <c r="B1510" s="713" t="s">
        <v>673</v>
      </c>
      <c r="C1510" s="714">
        <f>VLOOKUP(C1501,'Luong VP'!$B$10:$AP$189,13,0)</f>
        <v>0</v>
      </c>
      <c r="D1510" s="717"/>
      <c r="E1510" s="710">
        <v>5</v>
      </c>
      <c r="F1510" s="718" t="s">
        <v>674</v>
      </c>
      <c r="G1510" s="718"/>
      <c r="H1510" s="710" t="s">
        <v>660</v>
      </c>
      <c r="I1510" s="727">
        <f>VLOOKUP(C1501,'Luong VP'!$B$10:$AP$189,23,0)</f>
        <v>0</v>
      </c>
      <c r="J1510" s="728">
        <f>C1505/'Cham cong'!$AS$3*I1510</f>
        <v>0</v>
      </c>
      <c r="K1510" s="689"/>
      <c r="L1510" s="694" t="str">
        <f>G1501</f>
        <v>Đinh Thanh Trí</v>
      </c>
      <c r="M1510" s="690"/>
    </row>
    <row r="1511" spans="1:13" s="691" customFormat="1" ht="9.1999999999999993" customHeight="1">
      <c r="A1511" s="712">
        <v>7</v>
      </c>
      <c r="B1511" s="713" t="s">
        <v>676</v>
      </c>
      <c r="C1511" s="714"/>
      <c r="D1511" s="717"/>
      <c r="E1511" s="710">
        <v>6</v>
      </c>
      <c r="F1511" s="718" t="s">
        <v>677</v>
      </c>
      <c r="G1511" s="718"/>
      <c r="H1511" s="821" t="s">
        <v>660</v>
      </c>
      <c r="I1511" s="727">
        <f>VLOOKUP(C1501,'Luong VP'!$B$10:$AP$189,24,0)</f>
        <v>0</v>
      </c>
      <c r="J1511" s="714">
        <f>C1505/'Cham cong'!$AS$3*I1511</f>
        <v>0</v>
      </c>
      <c r="K1511" s="689"/>
      <c r="L1511" s="694"/>
      <c r="M1511" s="690"/>
    </row>
    <row r="1512" spans="1:13" s="691" customFormat="1" ht="9.1999999999999993" customHeight="1">
      <c r="A1512" s="712">
        <v>8</v>
      </c>
      <c r="B1512" s="713" t="s">
        <v>679</v>
      </c>
      <c r="C1512" s="714">
        <f>VLOOKUP(C1501,'Luong VP'!$B$10:$AP$189,14,0)</f>
        <v>0</v>
      </c>
      <c r="D1512" s="717"/>
      <c r="E1512" s="710">
        <v>7</v>
      </c>
      <c r="F1512" s="718" t="s">
        <v>680</v>
      </c>
      <c r="G1512" s="718"/>
      <c r="H1512" s="828"/>
      <c r="I1512" s="729"/>
      <c r="J1512" s="714">
        <f>VLOOKUP(C1501,'Luong VP'!$B$10:$AP$189,28,0)</f>
        <v>0</v>
      </c>
      <c r="K1512" s="689"/>
      <c r="L1512" s="694"/>
      <c r="M1512" s="690"/>
    </row>
    <row r="1513" spans="1:13" s="691" customFormat="1" ht="9.1999999999999993" customHeight="1">
      <c r="A1513" s="712">
        <v>9</v>
      </c>
      <c r="B1513" s="713" t="s">
        <v>683</v>
      </c>
      <c r="C1513" s="714">
        <f>VLOOKUP(C1501,'Luong VP'!$B$10:$AP$189,15,0)</f>
        <v>0</v>
      </c>
      <c r="D1513" s="717"/>
      <c r="E1513" s="710">
        <v>8</v>
      </c>
      <c r="F1513" s="718" t="s">
        <v>238</v>
      </c>
      <c r="G1513" s="718"/>
      <c r="H1513" s="828" t="s">
        <v>660</v>
      </c>
      <c r="I1513" s="729"/>
      <c r="J1513" s="714">
        <f>VLOOKUP(C1501,'Luong VP'!$B$10:$AP$189,33,0)</f>
        <v>0</v>
      </c>
      <c r="K1513" s="689"/>
      <c r="L1513" s="694"/>
      <c r="M1513" s="690"/>
    </row>
    <row r="1514" spans="1:13" s="691" customFormat="1" ht="9.1999999999999993" customHeight="1">
      <c r="A1514" s="712">
        <v>10</v>
      </c>
      <c r="B1514" s="713" t="s">
        <v>685</v>
      </c>
      <c r="C1514" s="714">
        <f>VLOOKUP(C1501,'Luong VP'!$B$10:$AP$189,16,0)</f>
        <v>0</v>
      </c>
      <c r="D1514" s="717"/>
      <c r="E1514" s="710" t="s">
        <v>686</v>
      </c>
      <c r="F1514" s="716" t="s">
        <v>687</v>
      </c>
      <c r="G1514" s="719"/>
      <c r="H1514" s="719"/>
      <c r="I1514" s="729"/>
      <c r="J1514" s="730"/>
      <c r="K1514" s="689"/>
      <c r="L1514" s="694"/>
      <c r="M1514" s="690"/>
    </row>
    <row r="1515" spans="1:13" s="691" customFormat="1" ht="9.1999999999999993" customHeight="1">
      <c r="A1515" s="712">
        <v>11</v>
      </c>
      <c r="B1515" s="713" t="s">
        <v>688</v>
      </c>
      <c r="C1515" s="714">
        <f>VLOOKUP(C1501,'Luong VP'!$B$10:$AP$189,17,0)</f>
        <v>0</v>
      </c>
      <c r="D1515" s="717"/>
      <c r="E1515" s="710">
        <v>1</v>
      </c>
      <c r="F1515" s="716" t="s">
        <v>689</v>
      </c>
      <c r="G1515" s="719"/>
      <c r="H1515" s="719"/>
      <c r="I1515" s="714">
        <f>VLOOKUP(C1501,'Luong VP'!$B$10:$AP$189,30,0)</f>
        <v>0</v>
      </c>
      <c r="J1515" s="714">
        <f>VLOOKUP(C1501,'Luong VP'!$B$10:$AP$189,30,0)</f>
        <v>0</v>
      </c>
      <c r="K1515" s="689"/>
      <c r="L1515" s="694"/>
      <c r="M1515" s="690"/>
    </row>
    <row r="1516" spans="1:13" s="691" customFormat="1" ht="9.1999999999999993" customHeight="1">
      <c r="A1516" s="712">
        <v>12</v>
      </c>
      <c r="B1516" s="713" t="s">
        <v>691</v>
      </c>
      <c r="C1516" s="714">
        <f>VLOOKUP(C1501,'Luong VP'!$B$10:$AP$189,18,0)</f>
        <v>0</v>
      </c>
      <c r="D1516" s="717"/>
      <c r="E1516" s="710">
        <v>2</v>
      </c>
      <c r="F1516" s="718" t="s">
        <v>239</v>
      </c>
      <c r="G1516" s="718"/>
      <c r="H1516" s="718"/>
      <c r="I1516" s="727"/>
      <c r="J1516" s="728">
        <f>VLOOKUP(C1501,'Luong VP'!$B$10:$AP$189,34,0)</f>
        <v>0</v>
      </c>
      <c r="K1516" s="731"/>
      <c r="L1516" s="715"/>
      <c r="M1516" s="690"/>
    </row>
    <row r="1517" spans="1:13" s="691" customFormat="1" ht="9.1999999999999993" customHeight="1">
      <c r="A1517" s="712">
        <v>13</v>
      </c>
      <c r="B1517" s="713" t="s">
        <v>692</v>
      </c>
      <c r="C1517" s="714">
        <f>VLOOKUP(C1501,'Luong VP'!$B$10:$AP$189,19,0)</f>
        <v>0</v>
      </c>
      <c r="D1517" s="717"/>
      <c r="E1517" s="710">
        <v>3</v>
      </c>
      <c r="F1517" s="716" t="s">
        <v>693</v>
      </c>
      <c r="G1517" s="719"/>
      <c r="H1517" s="719"/>
      <c r="I1517" s="729"/>
      <c r="J1517" s="714">
        <f>VLOOKUP(C1501,'Luong VP'!$B$10:$AP$189,40,0)</f>
        <v>0</v>
      </c>
      <c r="K1517" s="731"/>
      <c r="L1517" s="715"/>
      <c r="M1517" s="690"/>
    </row>
    <row r="1518" spans="1:13" s="691" customFormat="1" ht="9.1999999999999993" customHeight="1">
      <c r="A1518" s="712">
        <v>14</v>
      </c>
      <c r="B1518" s="713" t="s">
        <v>694</v>
      </c>
      <c r="C1518" s="714">
        <f>VLOOKUP(C1501,'Luong VP'!$B$10:$AP$189,20,0)</f>
        <v>0</v>
      </c>
      <c r="D1518" s="717"/>
      <c r="E1518" s="710">
        <v>4</v>
      </c>
      <c r="F1518" s="718" t="s">
        <v>695</v>
      </c>
      <c r="G1518" s="719"/>
      <c r="H1518" s="719"/>
      <c r="I1518" s="729"/>
      <c r="J1518" s="714">
        <f>VLOOKUP(C1501,'Luong VP'!$B$10:$AP$189,35,0)</f>
        <v>0</v>
      </c>
      <c r="K1518" s="732"/>
      <c r="L1518" s="715"/>
      <c r="M1518" s="690"/>
    </row>
    <row r="1519" spans="1:13" s="691" customFormat="1" ht="9.1999999999999993" customHeight="1">
      <c r="A1519" s="712"/>
      <c r="B1519" s="707" t="s">
        <v>656</v>
      </c>
      <c r="C1519" s="714">
        <f>SUM(C1505:C1518)</f>
        <v>8000</v>
      </c>
      <c r="D1519" s="717"/>
      <c r="E1519" s="710"/>
      <c r="F1519" s="716" t="s">
        <v>241</v>
      </c>
      <c r="G1519" s="719"/>
      <c r="H1519" s="719"/>
      <c r="I1519" s="729"/>
      <c r="J1519" s="730">
        <f>SUM(J1506:J1518)+C1513</f>
        <v>8000</v>
      </c>
      <c r="K1519" s="731"/>
      <c r="L1519" s="715"/>
      <c r="M1519" s="690"/>
    </row>
    <row r="1520" spans="1:13" s="691" customFormat="1" ht="9.1999999999999993" customHeight="1">
      <c r="A1520" s="690"/>
      <c r="B1520" s="720"/>
      <c r="C1520" s="717"/>
      <c r="D1520" s="717"/>
      <c r="E1520" s="710" t="s">
        <v>696</v>
      </c>
      <c r="F1520" s="711" t="s">
        <v>697</v>
      </c>
      <c r="G1520" s="710"/>
      <c r="H1520" s="710"/>
      <c r="I1520" s="729"/>
      <c r="J1520" s="730">
        <f>SUM(J1521:J1523)</f>
        <v>4000</v>
      </c>
      <c r="K1520" s="732"/>
      <c r="L1520" s="715"/>
      <c r="M1520" s="690"/>
    </row>
    <row r="1521" spans="1:13" s="691" customFormat="1" ht="9.1999999999999993" customHeight="1">
      <c r="A1521" s="690"/>
      <c r="B1521" s="720"/>
      <c r="C1521" s="717"/>
      <c r="D1521" s="717"/>
      <c r="E1521" s="710">
        <v>1</v>
      </c>
      <c r="F1521" s="718" t="s">
        <v>698</v>
      </c>
      <c r="G1521" s="718"/>
      <c r="H1521" s="718"/>
      <c r="I1521" s="733"/>
      <c r="J1521" s="714">
        <f>VLOOKUP(C1501,'Luong VP'!$B$10:$AP$189,37,0)</f>
        <v>0</v>
      </c>
      <c r="K1521" s="732"/>
      <c r="L1521" s="715"/>
      <c r="M1521" s="690"/>
    </row>
    <row r="1522" spans="1:13" s="691" customFormat="1" ht="9.1999999999999993" customHeight="1">
      <c r="A1522" s="690"/>
      <c r="B1522" s="720"/>
      <c r="C1522" s="717"/>
      <c r="D1522" s="717"/>
      <c r="E1522" s="710">
        <v>2</v>
      </c>
      <c r="F1522" s="718" t="s">
        <v>244</v>
      </c>
      <c r="G1522" s="718"/>
      <c r="H1522" s="718"/>
      <c r="I1522" s="729"/>
      <c r="J1522" s="714">
        <f>VLOOKUP(C1501,'Luong VP'!$B$10:$AP$189,39,0)</f>
        <v>4000</v>
      </c>
      <c r="K1522" s="734"/>
      <c r="L1522" s="735"/>
      <c r="M1522" s="690"/>
    </row>
    <row r="1523" spans="1:13" s="691" customFormat="1" ht="9.1999999999999993" customHeight="1">
      <c r="A1523" s="690"/>
      <c r="B1523" s="720"/>
      <c r="C1523" s="717"/>
      <c r="D1523" s="717"/>
      <c r="E1523" s="710"/>
      <c r="F1523" s="718" t="s">
        <v>699</v>
      </c>
      <c r="G1523" s="718"/>
      <c r="H1523" s="718"/>
      <c r="I1523" s="729"/>
      <c r="J1523" s="714"/>
      <c r="K1523" s="714"/>
      <c r="L1523" s="736"/>
      <c r="M1523" s="690"/>
    </row>
    <row r="1524" spans="1:13" s="691" customFormat="1" ht="9.1999999999999993" customHeight="1">
      <c r="A1524" s="690"/>
      <c r="B1524" s="720"/>
      <c r="C1524" s="717"/>
      <c r="D1524" s="717"/>
      <c r="E1524" s="710" t="s">
        <v>700</v>
      </c>
      <c r="F1524" s="710" t="s">
        <v>246</v>
      </c>
      <c r="G1524" s="710"/>
      <c r="H1524" s="710"/>
      <c r="I1524" s="729"/>
      <c r="J1524" s="728">
        <f>J1519-J1520</f>
        <v>4000</v>
      </c>
      <c r="K1524" s="728">
        <f>ROUND(J1524,-1)</f>
        <v>4000</v>
      </c>
      <c r="L1524" s="710"/>
      <c r="M1524" s="690"/>
    </row>
    <row r="1525" spans="1:13" s="691" customFormat="1" ht="9.1999999999999993" customHeight="1">
      <c r="A1525" s="690"/>
      <c r="B1525" s="720"/>
      <c r="C1525" s="717"/>
      <c r="D1525" s="717"/>
      <c r="E1525" s="715"/>
      <c r="F1525" s="715"/>
      <c r="G1525" s="715"/>
      <c r="H1525" s="689"/>
      <c r="I1525" s="715" t="s">
        <v>701</v>
      </c>
      <c r="J1525" s="737"/>
      <c r="K1525" s="737"/>
      <c r="L1525" s="715"/>
      <c r="M1525" s="690"/>
    </row>
    <row r="1526" spans="1:13" s="691" customFormat="1" ht="9.1999999999999993" customHeight="1">
      <c r="A1526" s="690"/>
      <c r="B1526" s="720"/>
      <c r="C1526" s="717"/>
      <c r="D1526" s="717"/>
      <c r="E1526" s="715"/>
      <c r="F1526" s="715"/>
      <c r="G1526" s="715"/>
      <c r="H1526" s="689"/>
      <c r="I1526" s="715"/>
      <c r="J1526" s="737"/>
      <c r="K1526" s="737"/>
      <c r="L1526" s="715"/>
      <c r="M1526" s="690"/>
    </row>
    <row r="1527" spans="1:13" s="691" customFormat="1" ht="9.1999999999999993" customHeight="1">
      <c r="A1527" s="690"/>
      <c r="B1527" s="690"/>
      <c r="C1527" s="689"/>
      <c r="D1527" s="689"/>
      <c r="E1527" s="689"/>
      <c r="F1527" s="689"/>
      <c r="G1527" s="689"/>
      <c r="H1527" s="689"/>
      <c r="I1527" s="689"/>
      <c r="J1527" s="689"/>
      <c r="K1527" s="689"/>
      <c r="L1527" s="694"/>
      <c r="M1527" s="690"/>
    </row>
    <row r="1528" spans="1:13" s="691" customFormat="1" ht="9.1999999999999993" customHeight="1">
      <c r="A1528" s="690"/>
      <c r="B1528" s="720"/>
      <c r="C1528" s="717"/>
      <c r="D1528" s="717"/>
      <c r="E1528" s="715"/>
      <c r="F1528" s="715"/>
      <c r="G1528" s="715"/>
      <c r="H1528" s="689"/>
      <c r="I1528" s="715"/>
      <c r="J1528" s="737"/>
      <c r="K1528" s="737"/>
      <c r="L1528" s="715"/>
      <c r="M1528" s="690"/>
    </row>
    <row r="1529" spans="1:13" s="691" customFormat="1" ht="9.1999999999999993" customHeight="1">
      <c r="A1529" s="690"/>
      <c r="B1529" s="720"/>
      <c r="C1529" s="717"/>
      <c r="D1529" s="717"/>
      <c r="E1529" s="715"/>
      <c r="F1529" s="715"/>
      <c r="G1529" s="715"/>
      <c r="H1529" s="689"/>
      <c r="I1529" s="715"/>
      <c r="J1529" s="737"/>
      <c r="K1529" s="737"/>
      <c r="L1529" s="715"/>
      <c r="M1529" s="690"/>
    </row>
    <row r="1530" spans="1:13" s="691" customFormat="1" ht="9.1999999999999993" customHeight="1">
      <c r="A1530" s="690"/>
      <c r="B1530" s="720"/>
      <c r="C1530" s="717"/>
      <c r="D1530" s="717"/>
      <c r="E1530" s="715"/>
      <c r="F1530" s="715"/>
      <c r="G1530" s="715"/>
      <c r="H1530" s="689"/>
      <c r="I1530" s="715"/>
      <c r="J1530" s="737"/>
      <c r="K1530" s="737"/>
      <c r="L1530" s="715"/>
      <c r="M1530" s="690"/>
    </row>
    <row r="1531" spans="1:13" s="691" customFormat="1" ht="9.1999999999999993" customHeight="1">
      <c r="A1531" s="690"/>
      <c r="B1531" s="720"/>
      <c r="C1531" s="717"/>
      <c r="D1531" s="717"/>
      <c r="E1531" s="715"/>
      <c r="F1531" s="715"/>
      <c r="G1531" s="715"/>
      <c r="H1531" s="689"/>
      <c r="I1531" s="715"/>
      <c r="J1531" s="737"/>
      <c r="K1531" s="737"/>
      <c r="L1531" s="715"/>
      <c r="M1531" s="690"/>
    </row>
    <row r="1532" spans="1:13" s="691" customFormat="1" ht="9.1999999999999993" customHeight="1">
      <c r="A1532" s="690"/>
      <c r="B1532" s="690"/>
      <c r="C1532" s="689"/>
      <c r="D1532" s="689"/>
      <c r="E1532" s="689"/>
      <c r="F1532" s="689"/>
      <c r="G1532" s="689"/>
      <c r="H1532" s="689"/>
      <c r="I1532" s="689"/>
      <c r="J1532" s="689"/>
      <c r="K1532" s="689"/>
      <c r="L1532" s="694"/>
      <c r="M1532" s="690"/>
    </row>
    <row r="1533" spans="1:13" s="691" customFormat="1" ht="9.1999999999999993" customHeight="1">
      <c r="A1533" s="690"/>
      <c r="B1533" s="690"/>
      <c r="C1533" s="696"/>
      <c r="D1533" s="696"/>
      <c r="E1533" s="697" t="str">
        <f>$E$2</f>
        <v>THẺ LƯƠNG THÁNG 08/2019</v>
      </c>
      <c r="F1533" s="698"/>
      <c r="G1533" s="698"/>
      <c r="H1533" s="698"/>
      <c r="I1533" s="689"/>
      <c r="J1533" s="689"/>
      <c r="K1533" s="689"/>
      <c r="L1533" s="694"/>
      <c r="M1533" s="690"/>
    </row>
    <row r="1534" spans="1:13" s="691" customFormat="1" ht="9.1999999999999993" customHeight="1">
      <c r="A1534" s="690"/>
      <c r="B1534" s="699" t="s">
        <v>644</v>
      </c>
      <c r="C1534" s="700" t="s">
        <v>1272</v>
      </c>
      <c r="D1534" s="701"/>
      <c r="E1534" s="689"/>
      <c r="F1534" s="702" t="s">
        <v>645</v>
      </c>
      <c r="G1534" s="689" t="str">
        <f>VLOOKUP(C1534,'Luong VP'!$B$10:$AP$189,2,0)</f>
        <v>Nguyễn Duy Bình</v>
      </c>
      <c r="H1534" s="689"/>
      <c r="I1534" s="689"/>
      <c r="J1534" s="689"/>
      <c r="K1534" s="689"/>
      <c r="L1534" s="694"/>
      <c r="M1534" s="690"/>
    </row>
    <row r="1535" spans="1:13" s="691" customFormat="1" ht="9.1999999999999993" customHeight="1">
      <c r="A1535" s="690"/>
      <c r="B1535" s="699" t="s">
        <v>646</v>
      </c>
      <c r="C1535" s="689" t="str">
        <f>VLOOKUP(C1534,'Luong VP'!$B$10:$AP$189,3,0)</f>
        <v>NV Phòng thí nghiệm</v>
      </c>
      <c r="D1535" s="689"/>
      <c r="E1535" s="689"/>
      <c r="F1535" s="702" t="s">
        <v>647</v>
      </c>
      <c r="G1535" s="689">
        <f>VLOOKUP(C1534,'Luong VP'!$B$10:$AP$189,5,0)</f>
        <v>4</v>
      </c>
      <c r="H1535" s="689"/>
      <c r="I1535" s="689"/>
      <c r="J1535" s="689"/>
      <c r="K1535" s="689"/>
      <c r="L1535" s="694"/>
      <c r="M1535" s="690"/>
    </row>
    <row r="1536" spans="1:13" s="691" customFormat="1" ht="9.1999999999999993" customHeight="1">
      <c r="A1536" s="690"/>
      <c r="B1536" s="703"/>
      <c r="C1536" s="704"/>
      <c r="D1536" s="705"/>
      <c r="E1536" s="689"/>
      <c r="F1536" s="706" t="s">
        <v>648</v>
      </c>
      <c r="G1536" s="706"/>
      <c r="H1536" s="706"/>
      <c r="I1536" s="725"/>
      <c r="J1536" s="726"/>
      <c r="K1536" s="689"/>
      <c r="L1536" s="694"/>
      <c r="M1536" s="690"/>
    </row>
    <row r="1537" spans="1:13" s="691" customFormat="1" ht="9.1999999999999993" customHeight="1">
      <c r="A1537" s="707" t="s">
        <v>216</v>
      </c>
      <c r="B1537" s="707" t="s">
        <v>649</v>
      </c>
      <c r="C1537" s="708" t="s">
        <v>650</v>
      </c>
      <c r="D1537" s="709"/>
      <c r="E1537" s="710" t="s">
        <v>216</v>
      </c>
      <c r="F1537" s="711" t="s">
        <v>649</v>
      </c>
      <c r="G1537" s="710"/>
      <c r="H1537" s="710" t="s">
        <v>651</v>
      </c>
      <c r="I1537" s="727" t="s">
        <v>652</v>
      </c>
      <c r="J1537" s="714"/>
      <c r="K1537" s="689"/>
      <c r="L1537" s="694" t="s">
        <v>653</v>
      </c>
      <c r="M1537" s="690"/>
    </row>
    <row r="1538" spans="1:13" s="691" customFormat="1" ht="9.1999999999999993" customHeight="1">
      <c r="A1538" s="712">
        <v>1</v>
      </c>
      <c r="B1538" s="713" t="s">
        <v>654</v>
      </c>
      <c r="C1538" s="714">
        <f>VLOOKUP(C1534,'Luong VP'!$B$10:$AP$189,9,0)</f>
        <v>9720</v>
      </c>
      <c r="D1538" s="715"/>
      <c r="E1538" s="710" t="s">
        <v>655</v>
      </c>
      <c r="F1538" s="716" t="s">
        <v>656</v>
      </c>
      <c r="G1538" s="710"/>
      <c r="H1538" s="710"/>
      <c r="I1538" s="727"/>
      <c r="J1538" s="714">
        <f>VLOOKUP(C1534,'Luong VP'!$B$10:$AP$189,21,0)</f>
        <v>8262</v>
      </c>
      <c r="K1538" s="689"/>
      <c r="L1538" s="694"/>
      <c r="M1538" s="690"/>
    </row>
    <row r="1539" spans="1:13" s="691" customFormat="1" ht="9.1999999999999993" customHeight="1">
      <c r="A1539" s="712">
        <v>2</v>
      </c>
      <c r="B1539" s="713" t="s">
        <v>658</v>
      </c>
      <c r="C1539" s="714"/>
      <c r="D1539" s="717"/>
      <c r="E1539" s="710">
        <v>1</v>
      </c>
      <c r="F1539" s="718" t="s">
        <v>659</v>
      </c>
      <c r="G1539" s="718"/>
      <c r="H1539" s="710" t="s">
        <v>660</v>
      </c>
      <c r="I1539" s="727">
        <f>VLOOKUP(C1534,'Luong VP'!$B$10:$AP$189,22,0)</f>
        <v>14</v>
      </c>
      <c r="J1539" s="728">
        <f>J1538/'Cham cong'!$AS$3*I1539</f>
        <v>4448.7692307692305</v>
      </c>
      <c r="K1539" s="689"/>
      <c r="L1539" s="694"/>
      <c r="M1539" s="690"/>
    </row>
    <row r="1540" spans="1:13" s="691" customFormat="1" ht="9.1999999999999993" customHeight="1">
      <c r="A1540" s="712">
        <v>3</v>
      </c>
      <c r="B1540" s="713" t="s">
        <v>661</v>
      </c>
      <c r="C1540" s="714">
        <f>VLOOKUP(C1534,'Luong VP'!$B$10:$AP$189,10,0)</f>
        <v>0</v>
      </c>
      <c r="D1540" s="717"/>
      <c r="E1540" s="710">
        <v>2</v>
      </c>
      <c r="F1540" s="718" t="s">
        <v>662</v>
      </c>
      <c r="G1540" s="718"/>
      <c r="H1540" s="710" t="s">
        <v>660</v>
      </c>
      <c r="I1540" s="727">
        <f>VLOOKUP(C1534,'Luong VP'!$B$10:$AP$189,27,0)</f>
        <v>0</v>
      </c>
      <c r="J1540" s="728">
        <f>J1538/'Cham cong'!$AS$3*I1540*3</f>
        <v>0</v>
      </c>
      <c r="K1540" s="689"/>
      <c r="L1540" s="694"/>
      <c r="M1540" s="690"/>
    </row>
    <row r="1541" spans="1:13" s="691" customFormat="1" ht="9.1999999999999993" customHeight="1">
      <c r="A1541" s="712">
        <v>4</v>
      </c>
      <c r="B1541" s="713" t="s">
        <v>666</v>
      </c>
      <c r="C1541" s="714">
        <f>VLOOKUP(C1534,'Luong VP'!$B$10:$AP$189,11,0)</f>
        <v>0</v>
      </c>
      <c r="D1541" s="717"/>
      <c r="E1541" s="710">
        <v>3</v>
      </c>
      <c r="F1541" s="718" t="s">
        <v>667</v>
      </c>
      <c r="G1541" s="718"/>
      <c r="H1541" s="710" t="s">
        <v>668</v>
      </c>
      <c r="I1541" s="727">
        <f>VLOOKUP(C1534,'Luong VP'!$B$10:$AP$189,26,0)</f>
        <v>0</v>
      </c>
      <c r="J1541" s="728">
        <f>J1538/'Cham cong'!$AS$3*I1541/8*1.5</f>
        <v>0</v>
      </c>
      <c r="K1541" s="689"/>
      <c r="L1541" s="694"/>
      <c r="M1541" s="690"/>
    </row>
    <row r="1542" spans="1:13" s="691" customFormat="1" ht="9.1999999999999993" customHeight="1">
      <c r="A1542" s="712">
        <v>5</v>
      </c>
      <c r="B1542" s="713" t="s">
        <v>670</v>
      </c>
      <c r="C1542" s="714">
        <f>VLOOKUP(C1534,'Luong VP'!$B$10:$AP$189,12,0)</f>
        <v>0</v>
      </c>
      <c r="D1542" s="717"/>
      <c r="E1542" s="710">
        <v>4</v>
      </c>
      <c r="F1542" s="718" t="s">
        <v>671</v>
      </c>
      <c r="G1542" s="718"/>
      <c r="H1542" s="710" t="s">
        <v>668</v>
      </c>
      <c r="I1542" s="727">
        <f>VLOOKUP(C1534,'Luong VP'!$B$10:$AP$189,25,0)</f>
        <v>0</v>
      </c>
      <c r="J1542" s="728">
        <f>J1538/'Cham cong'!$AS$3*I1542/8*2</f>
        <v>0</v>
      </c>
      <c r="K1542" s="689"/>
      <c r="L1542" s="694"/>
      <c r="M1542" s="690"/>
    </row>
    <row r="1543" spans="1:13" s="691" customFormat="1" ht="9.1999999999999993" customHeight="1">
      <c r="A1543" s="712">
        <v>6</v>
      </c>
      <c r="B1543" s="713" t="s">
        <v>673</v>
      </c>
      <c r="C1543" s="714">
        <f>VLOOKUP(C1534,'Luong VP'!$B$10:$AP$189,13,0)</f>
        <v>0</v>
      </c>
      <c r="D1543" s="717"/>
      <c r="E1543" s="710">
        <v>5</v>
      </c>
      <c r="F1543" s="718" t="s">
        <v>674</v>
      </c>
      <c r="G1543" s="718"/>
      <c r="H1543" s="710" t="s">
        <v>660</v>
      </c>
      <c r="I1543" s="727">
        <f>VLOOKUP(C1534,'Luong VP'!$B$10:$AP$189,23,0)</f>
        <v>0</v>
      </c>
      <c r="J1543" s="728">
        <f>C1538/'Cham cong'!$AS$3*I1543</f>
        <v>0</v>
      </c>
      <c r="K1543" s="689"/>
      <c r="L1543" s="694" t="str">
        <f>G1534</f>
        <v>Nguyễn Duy Bình</v>
      </c>
      <c r="M1543" s="690"/>
    </row>
    <row r="1544" spans="1:13" s="691" customFormat="1" ht="9.1999999999999993" customHeight="1">
      <c r="A1544" s="712">
        <v>7</v>
      </c>
      <c r="B1544" s="713" t="s">
        <v>676</v>
      </c>
      <c r="C1544" s="714"/>
      <c r="D1544" s="717"/>
      <c r="E1544" s="710">
        <v>6</v>
      </c>
      <c r="F1544" s="718" t="s">
        <v>677</v>
      </c>
      <c r="G1544" s="718"/>
      <c r="H1544" s="710" t="s">
        <v>660</v>
      </c>
      <c r="I1544" s="727">
        <f>VLOOKUP(C1534,'Luong VP'!$B$10:$AP$189,24,0)</f>
        <v>1</v>
      </c>
      <c r="J1544" s="714">
        <f>C1538/'Cham cong'!$AS$3*I1544</f>
        <v>373.84615384615387</v>
      </c>
      <c r="K1544" s="689"/>
      <c r="L1544" s="694"/>
      <c r="M1544" s="690"/>
    </row>
    <row r="1545" spans="1:13" s="691" customFormat="1" ht="9.1999999999999993" customHeight="1">
      <c r="A1545" s="712">
        <v>8</v>
      </c>
      <c r="B1545" s="713" t="s">
        <v>679</v>
      </c>
      <c r="C1545" s="714">
        <f>VLOOKUP(C1534,'Luong VP'!$B$10:$AP$189,14,0)</f>
        <v>0</v>
      </c>
      <c r="D1545" s="717"/>
      <c r="E1545" s="710">
        <v>7</v>
      </c>
      <c r="F1545" s="718" t="s">
        <v>680</v>
      </c>
      <c r="G1545" s="718"/>
      <c r="H1545" s="718"/>
      <c r="I1545" s="729"/>
      <c r="J1545" s="714">
        <f>VLOOKUP(C1534,'Luong VP'!$B$10:$AP$189,28,0)</f>
        <v>0</v>
      </c>
      <c r="K1545" s="689"/>
      <c r="L1545" s="694"/>
      <c r="M1545" s="690"/>
    </row>
    <row r="1546" spans="1:13" s="691" customFormat="1" ht="9.1999999999999993" customHeight="1">
      <c r="A1546" s="712">
        <v>9</v>
      </c>
      <c r="B1546" s="713" t="s">
        <v>683</v>
      </c>
      <c r="C1546" s="714">
        <f>VLOOKUP(C1534,'Luong VP'!$B$10:$AP$189,15,0)</f>
        <v>0</v>
      </c>
      <c r="D1546" s="717"/>
      <c r="E1546" s="710">
        <v>8</v>
      </c>
      <c r="F1546" s="718" t="s">
        <v>238</v>
      </c>
      <c r="G1546" s="718"/>
      <c r="H1546" s="710" t="s">
        <v>660</v>
      </c>
      <c r="I1546" s="729">
        <v>10.5</v>
      </c>
      <c r="J1546" s="714">
        <v>3930</v>
      </c>
      <c r="K1546" s="689"/>
      <c r="L1546" s="694"/>
      <c r="M1546" s="690"/>
    </row>
    <row r="1547" spans="1:13" s="691" customFormat="1" ht="9.1999999999999993" customHeight="1">
      <c r="A1547" s="712">
        <v>10</v>
      </c>
      <c r="B1547" s="713" t="s">
        <v>685</v>
      </c>
      <c r="C1547" s="714">
        <f>VLOOKUP(C1534,'Luong VP'!$B$10:$AP$189,16,0)</f>
        <v>0</v>
      </c>
      <c r="D1547" s="717"/>
      <c r="E1547" s="710" t="s">
        <v>686</v>
      </c>
      <c r="F1547" s="716" t="s">
        <v>687</v>
      </c>
      <c r="G1547" s="719"/>
      <c r="H1547" s="719"/>
      <c r="I1547" s="728"/>
      <c r="J1547" s="730">
        <v>0</v>
      </c>
      <c r="K1547" s="689"/>
      <c r="L1547" s="694"/>
      <c r="M1547" s="690"/>
    </row>
    <row r="1548" spans="1:13" s="691" customFormat="1" ht="9.1999999999999993" customHeight="1">
      <c r="A1548" s="712">
        <v>11</v>
      </c>
      <c r="B1548" s="713" t="s">
        <v>688</v>
      </c>
      <c r="C1548" s="714">
        <f>VLOOKUP(C1534,'Luong VP'!$B$10:$AP$189,17,0)</f>
        <v>0</v>
      </c>
      <c r="D1548" s="717"/>
      <c r="E1548" s="710">
        <v>1</v>
      </c>
      <c r="F1548" s="716" t="s">
        <v>689</v>
      </c>
      <c r="G1548" s="719"/>
      <c r="H1548" s="719"/>
      <c r="I1548" s="714">
        <f>VLOOKUP(C1534,'Luong VP'!$B$10:$AP$189,30,0)</f>
        <v>0</v>
      </c>
      <c r="J1548" s="714">
        <f>VLOOKUP(C1534,'Luong VP'!$B$10:$AP$189,30,0)</f>
        <v>0</v>
      </c>
      <c r="K1548" s="689"/>
      <c r="L1548" s="694"/>
      <c r="M1548" s="690"/>
    </row>
    <row r="1549" spans="1:13" s="691" customFormat="1" ht="9.1999999999999993" customHeight="1">
      <c r="A1549" s="712">
        <v>12</v>
      </c>
      <c r="B1549" s="713" t="s">
        <v>691</v>
      </c>
      <c r="C1549" s="714">
        <f>VLOOKUP(C1534,'Luong VP'!$B$10:$AP$189,18,0)</f>
        <v>0</v>
      </c>
      <c r="D1549" s="717"/>
      <c r="E1549" s="710">
        <v>2</v>
      </c>
      <c r="F1549" s="718" t="s">
        <v>239</v>
      </c>
      <c r="G1549" s="718"/>
      <c r="H1549" s="718"/>
      <c r="I1549" s="727"/>
      <c r="J1549" s="728">
        <f>VLOOKUP(C1534,'Luong VP'!$B$10:$AP$189,34,0)</f>
        <v>0</v>
      </c>
      <c r="K1549" s="731"/>
      <c r="L1549" s="715"/>
      <c r="M1549" s="690"/>
    </row>
    <row r="1550" spans="1:13" s="691" customFormat="1" ht="9.1999999999999993" customHeight="1">
      <c r="A1550" s="712">
        <v>13</v>
      </c>
      <c r="B1550" s="713" t="s">
        <v>692</v>
      </c>
      <c r="C1550" s="714">
        <f>VLOOKUP(C1534,'Luong VP'!$B$10:$AP$189,19,0)</f>
        <v>0</v>
      </c>
      <c r="D1550" s="717"/>
      <c r="E1550" s="710">
        <v>3</v>
      </c>
      <c r="F1550" s="716" t="s">
        <v>693</v>
      </c>
      <c r="G1550" s="719"/>
      <c r="H1550" s="719"/>
      <c r="I1550" s="729"/>
      <c r="J1550" s="714">
        <f>VLOOKUP(C1534,'Luong VP'!$B$10:$AP$189,40,0)</f>
        <v>0</v>
      </c>
      <c r="K1550" s="731"/>
      <c r="L1550" s="715"/>
      <c r="M1550" s="690"/>
    </row>
    <row r="1551" spans="1:13" s="691" customFormat="1" ht="9.1999999999999993" customHeight="1">
      <c r="A1551" s="712">
        <v>14</v>
      </c>
      <c r="B1551" s="713" t="s">
        <v>694</v>
      </c>
      <c r="C1551" s="714">
        <f>VLOOKUP(C1534,'Luong VP'!$B$10:$AP$189,20,0)</f>
        <v>0</v>
      </c>
      <c r="D1551" s="717"/>
      <c r="E1551" s="710">
        <v>4</v>
      </c>
      <c r="F1551" s="718" t="s">
        <v>695</v>
      </c>
      <c r="G1551" s="719"/>
      <c r="H1551" s="719"/>
      <c r="I1551" s="729"/>
      <c r="J1551" s="714">
        <f>VLOOKUP(C1534,'Luong VP'!$B$10:$AP$189,35,0)</f>
        <v>0</v>
      </c>
      <c r="K1551" s="732"/>
      <c r="L1551" s="715"/>
      <c r="M1551" s="690"/>
    </row>
    <row r="1552" spans="1:13" s="691" customFormat="1" ht="9.1999999999999993" customHeight="1">
      <c r="A1552" s="712"/>
      <c r="B1552" s="707" t="s">
        <v>656</v>
      </c>
      <c r="C1552" s="714">
        <f>SUM(C1538:C1551)</f>
        <v>9720</v>
      </c>
      <c r="D1552" s="717"/>
      <c r="E1552" s="710"/>
      <c r="F1552" s="716" t="s">
        <v>241</v>
      </c>
      <c r="G1552" s="719"/>
      <c r="H1552" s="719"/>
      <c r="I1552" s="729"/>
      <c r="J1552" s="730">
        <f>SUM(J1539:J1551)+C1546</f>
        <v>8752.6153846153848</v>
      </c>
      <c r="K1552" s="731"/>
      <c r="L1552" s="715"/>
      <c r="M1552" s="690"/>
    </row>
    <row r="1553" spans="1:13" s="691" customFormat="1" ht="9.1999999999999993" customHeight="1">
      <c r="A1553" s="690"/>
      <c r="B1553" s="720"/>
      <c r="C1553" s="717"/>
      <c r="D1553" s="717"/>
      <c r="E1553" s="710" t="s">
        <v>696</v>
      </c>
      <c r="F1553" s="711" t="s">
        <v>697</v>
      </c>
      <c r="G1553" s="710"/>
      <c r="H1553" s="710"/>
      <c r="I1553" s="729"/>
      <c r="J1553" s="730">
        <f>SUM(J1554:J1556)</f>
        <v>0</v>
      </c>
      <c r="K1553" s="732"/>
      <c r="L1553" s="715"/>
      <c r="M1553" s="690"/>
    </row>
    <row r="1554" spans="1:13" s="691" customFormat="1" ht="9.1999999999999993" customHeight="1">
      <c r="A1554" s="690"/>
      <c r="B1554" s="720"/>
      <c r="C1554" s="717"/>
      <c r="D1554" s="717"/>
      <c r="E1554" s="710">
        <v>1</v>
      </c>
      <c r="F1554" s="718" t="s">
        <v>698</v>
      </c>
      <c r="G1554" s="718"/>
      <c r="H1554" s="718"/>
      <c r="I1554" s="733"/>
      <c r="J1554" s="714">
        <f>VLOOKUP(C1534,'Luong VP'!$B$10:$AP$189,37,0)</f>
        <v>0</v>
      </c>
      <c r="K1554" s="732"/>
      <c r="L1554" s="715"/>
      <c r="M1554" s="690"/>
    </row>
    <row r="1555" spans="1:13" s="691" customFormat="1" ht="9.1999999999999993" customHeight="1">
      <c r="A1555" s="690"/>
      <c r="B1555" s="720"/>
      <c r="C1555" s="717"/>
      <c r="D1555" s="717"/>
      <c r="E1555" s="710">
        <v>2</v>
      </c>
      <c r="F1555" s="718" t="s">
        <v>244</v>
      </c>
      <c r="G1555" s="718"/>
      <c r="H1555" s="718"/>
      <c r="I1555" s="729"/>
      <c r="J1555" s="714">
        <f>VLOOKUP(C1534,'Luong VP'!$B$10:$AP$189,39,0)</f>
        <v>0</v>
      </c>
      <c r="K1555" s="734"/>
      <c r="L1555" s="735"/>
      <c r="M1555" s="690"/>
    </row>
    <row r="1556" spans="1:13" s="691" customFormat="1" ht="9.1999999999999993" customHeight="1">
      <c r="A1556" s="690"/>
      <c r="B1556" s="720"/>
      <c r="C1556" s="717"/>
      <c r="D1556" s="717"/>
      <c r="E1556" s="710"/>
      <c r="F1556" s="718" t="s">
        <v>699</v>
      </c>
      <c r="G1556" s="718"/>
      <c r="H1556" s="718"/>
      <c r="I1556" s="729"/>
      <c r="J1556" s="714"/>
      <c r="K1556" s="714"/>
      <c r="L1556" s="736"/>
      <c r="M1556" s="690"/>
    </row>
    <row r="1557" spans="1:13" s="691" customFormat="1" ht="9.1999999999999993" customHeight="1">
      <c r="A1557" s="690"/>
      <c r="B1557" s="720"/>
      <c r="C1557" s="717"/>
      <c r="D1557" s="717"/>
      <c r="E1557" s="710" t="s">
        <v>700</v>
      </c>
      <c r="F1557" s="710" t="s">
        <v>246</v>
      </c>
      <c r="G1557" s="710"/>
      <c r="H1557" s="710"/>
      <c r="I1557" s="729"/>
      <c r="J1557" s="728">
        <f>J1552-J1553</f>
        <v>8752.6153846153848</v>
      </c>
      <c r="K1557" s="728">
        <f>ROUND(J1557,-1)</f>
        <v>8750</v>
      </c>
      <c r="L1557" s="710"/>
      <c r="M1557" s="690"/>
    </row>
    <row r="1558" spans="1:13" s="691" customFormat="1" ht="9.1999999999999993" customHeight="1">
      <c r="A1558" s="690"/>
      <c r="B1558" s="720"/>
      <c r="C1558" s="717"/>
      <c r="D1558" s="717"/>
      <c r="E1558" s="715"/>
      <c r="F1558" s="715"/>
      <c r="G1558" s="715"/>
      <c r="H1558" s="689"/>
      <c r="I1558" s="715" t="s">
        <v>701</v>
      </c>
      <c r="J1558" s="737"/>
      <c r="K1558" s="737"/>
      <c r="L1558" s="715"/>
      <c r="M1558" s="690"/>
    </row>
    <row r="1559" spans="1:13" s="691" customFormat="1" ht="9.1999999999999993" customHeight="1">
      <c r="A1559" s="690"/>
      <c r="B1559" s="720"/>
      <c r="C1559" s="717"/>
      <c r="D1559" s="717"/>
      <c r="E1559" s="715"/>
      <c r="F1559" s="715"/>
      <c r="G1559" s="715"/>
      <c r="H1559" s="689"/>
      <c r="I1559" s="715"/>
      <c r="J1559" s="737"/>
      <c r="K1559" s="737"/>
      <c r="L1559" s="715"/>
      <c r="M1559" s="690"/>
    </row>
    <row r="1560" spans="1:13" s="691" customFormat="1" ht="9.1999999999999993" customHeight="1">
      <c r="A1560" s="690"/>
      <c r="B1560" s="720"/>
      <c r="C1560" s="717"/>
      <c r="D1560" s="717"/>
      <c r="E1560" s="715"/>
      <c r="F1560" s="715"/>
      <c r="G1560" s="715"/>
      <c r="H1560" s="689"/>
      <c r="I1560" s="715"/>
      <c r="J1560" s="737"/>
      <c r="K1560" s="737"/>
      <c r="L1560" s="715"/>
      <c r="M1560" s="690"/>
    </row>
    <row r="1561" spans="1:13" s="691" customFormat="1" ht="9.1999999999999993" customHeight="1">
      <c r="A1561" s="690"/>
      <c r="B1561" s="720"/>
      <c r="C1561" s="717"/>
      <c r="D1561" s="717"/>
      <c r="E1561" s="715"/>
      <c r="F1561" s="715"/>
      <c r="G1561" s="715"/>
      <c r="H1561" s="689"/>
      <c r="I1561" s="715"/>
      <c r="J1561" s="737"/>
      <c r="K1561" s="737"/>
      <c r="L1561" s="715"/>
      <c r="M1561" s="690"/>
    </row>
    <row r="1562" spans="1:13" s="691" customFormat="1" ht="9.1999999999999993" customHeight="1">
      <c r="A1562" s="690"/>
      <c r="B1562" s="690"/>
      <c r="C1562" s="689"/>
      <c r="D1562" s="689"/>
      <c r="E1562" s="689"/>
      <c r="F1562" s="689"/>
      <c r="G1562" s="689"/>
      <c r="H1562" s="689"/>
      <c r="I1562" s="689"/>
      <c r="J1562" s="689"/>
      <c r="K1562" s="689"/>
      <c r="L1562" s="694"/>
      <c r="M1562" s="690"/>
    </row>
    <row r="1563" spans="1:13" s="691" customFormat="1" ht="9.1999999999999993" customHeight="1">
      <c r="A1563" s="690"/>
      <c r="B1563" s="690"/>
      <c r="C1563" s="696"/>
      <c r="D1563" s="696"/>
      <c r="E1563" s="697" t="str">
        <f>$E$2</f>
        <v>THẺ LƯƠNG THÁNG 08/2019</v>
      </c>
      <c r="F1563" s="698"/>
      <c r="G1563" s="698"/>
      <c r="H1563" s="698"/>
      <c r="I1563" s="689"/>
      <c r="J1563" s="689"/>
      <c r="K1563" s="689"/>
      <c r="L1563" s="694"/>
      <c r="M1563" s="690"/>
    </row>
    <row r="1564" spans="1:13" s="691" customFormat="1" ht="9.1999999999999993" customHeight="1">
      <c r="A1564" s="690"/>
      <c r="B1564" s="699" t="s">
        <v>644</v>
      </c>
      <c r="C1564" s="700" t="s">
        <v>370</v>
      </c>
      <c r="D1564" s="701"/>
      <c r="E1564" s="689"/>
      <c r="F1564" s="702" t="s">
        <v>645</v>
      </c>
      <c r="G1564" s="689" t="str">
        <f>VLOOKUP(C1564,'Luong VP'!$B$10:$AP$189,2,0)</f>
        <v>Dương Ngọc Bảo Phương</v>
      </c>
      <c r="H1564" s="689"/>
      <c r="I1564" s="689"/>
      <c r="J1564" s="689"/>
      <c r="K1564" s="689"/>
      <c r="L1564" s="694"/>
      <c r="M1564" s="690"/>
    </row>
    <row r="1565" spans="1:13" s="691" customFormat="1" ht="9.1999999999999993" customHeight="1">
      <c r="A1565" s="690"/>
      <c r="B1565" s="699" t="s">
        <v>646</v>
      </c>
      <c r="C1565" s="689" t="str">
        <f>VLOOKUP(C1564,'Luong VP'!$B$10:$AP$189,3,0)</f>
        <v>CV Phòng thí nghiệm (Quản lý PTN)</v>
      </c>
      <c r="D1565" s="689"/>
      <c r="E1565" s="689"/>
      <c r="F1565" s="702" t="s">
        <v>647</v>
      </c>
      <c r="G1565" s="689">
        <f>VLOOKUP(C1564,'Luong VP'!$B$10:$AP$189,5,0)</f>
        <v>1</v>
      </c>
      <c r="H1565" s="689"/>
      <c r="I1565" s="689"/>
      <c r="J1565" s="689"/>
      <c r="K1565" s="689"/>
      <c r="L1565" s="694"/>
      <c r="M1565" s="690"/>
    </row>
    <row r="1566" spans="1:13" s="691" customFormat="1" ht="9.1999999999999993" customHeight="1">
      <c r="A1566" s="690"/>
      <c r="B1566" s="703"/>
      <c r="C1566" s="704"/>
      <c r="D1566" s="705"/>
      <c r="E1566" s="689"/>
      <c r="F1566" s="706" t="s">
        <v>648</v>
      </c>
      <c r="G1566" s="706"/>
      <c r="H1566" s="706"/>
      <c r="I1566" s="725"/>
      <c r="J1566" s="726"/>
      <c r="K1566" s="689"/>
      <c r="L1566" s="694"/>
      <c r="M1566" s="690"/>
    </row>
    <row r="1567" spans="1:13" s="691" customFormat="1" ht="9.1999999999999993" customHeight="1">
      <c r="A1567" s="707" t="s">
        <v>216</v>
      </c>
      <c r="B1567" s="707" t="s">
        <v>649</v>
      </c>
      <c r="C1567" s="708" t="s">
        <v>650</v>
      </c>
      <c r="D1567" s="709"/>
      <c r="E1567" s="710" t="s">
        <v>216</v>
      </c>
      <c r="F1567" s="711" t="s">
        <v>649</v>
      </c>
      <c r="G1567" s="710"/>
      <c r="H1567" s="710" t="s">
        <v>651</v>
      </c>
      <c r="I1567" s="727" t="s">
        <v>652</v>
      </c>
      <c r="J1567" s="714"/>
      <c r="K1567" s="689"/>
      <c r="L1567" s="694" t="s">
        <v>653</v>
      </c>
      <c r="M1567" s="690"/>
    </row>
    <row r="1568" spans="1:13" s="691" customFormat="1" ht="9.1999999999999993" customHeight="1">
      <c r="A1568" s="712">
        <v>1</v>
      </c>
      <c r="B1568" s="713" t="s">
        <v>654</v>
      </c>
      <c r="C1568" s="714">
        <f>VLOOKUP(C1564,'Luong VP'!$B$10:$AP$189,9,0)</f>
        <v>10340</v>
      </c>
      <c r="D1568" s="715"/>
      <c r="E1568" s="710" t="s">
        <v>655</v>
      </c>
      <c r="F1568" s="716" t="s">
        <v>656</v>
      </c>
      <c r="G1568" s="710"/>
      <c r="H1568" s="710"/>
      <c r="I1568" s="727"/>
      <c r="J1568" s="714">
        <f>VLOOKUP(C1564,'Luong VP'!$B$10:$AP$189,21,0)</f>
        <v>10340</v>
      </c>
      <c r="K1568" s="689"/>
      <c r="L1568" s="694"/>
      <c r="M1568" s="690"/>
    </row>
    <row r="1569" spans="1:13" s="691" customFormat="1" ht="9.1999999999999993" customHeight="1">
      <c r="A1569" s="712">
        <v>2</v>
      </c>
      <c r="B1569" s="713" t="s">
        <v>658</v>
      </c>
      <c r="C1569" s="714"/>
      <c r="D1569" s="717"/>
      <c r="E1569" s="710">
        <v>1</v>
      </c>
      <c r="F1569" s="718" t="s">
        <v>659</v>
      </c>
      <c r="G1569" s="718"/>
      <c r="H1569" s="710" t="s">
        <v>660</v>
      </c>
      <c r="I1569" s="727">
        <f>VLOOKUP(C1564,'Luong VP'!$B$10:$AP$189,22,0)</f>
        <v>26</v>
      </c>
      <c r="J1569" s="728">
        <f>J1568/'Cham cong'!$AS$3*I1569</f>
        <v>10340</v>
      </c>
      <c r="K1569" s="689"/>
      <c r="L1569" s="694"/>
      <c r="M1569" s="690"/>
    </row>
    <row r="1570" spans="1:13" s="691" customFormat="1" ht="9.1999999999999993" customHeight="1">
      <c r="A1570" s="712">
        <v>3</v>
      </c>
      <c r="B1570" s="713" t="s">
        <v>661</v>
      </c>
      <c r="C1570" s="714">
        <f>VLOOKUP(C1564,'Luong VP'!$B$10:$AP$189,10,0)</f>
        <v>0</v>
      </c>
      <c r="D1570" s="717"/>
      <c r="E1570" s="710">
        <v>2</v>
      </c>
      <c r="F1570" s="718" t="s">
        <v>662</v>
      </c>
      <c r="G1570" s="718"/>
      <c r="H1570" s="710" t="s">
        <v>660</v>
      </c>
      <c r="I1570" s="727">
        <f>VLOOKUP(C1564,'Luong VP'!$B$10:$AP$189,27,0)</f>
        <v>0</v>
      </c>
      <c r="J1570" s="728">
        <f>J1568/'Cham cong'!$AS$3*I1570*3</f>
        <v>0</v>
      </c>
      <c r="K1570" s="689"/>
      <c r="L1570" s="694"/>
      <c r="M1570" s="690"/>
    </row>
    <row r="1571" spans="1:13" s="691" customFormat="1" ht="9.1999999999999993" customHeight="1">
      <c r="A1571" s="712">
        <v>4</v>
      </c>
      <c r="B1571" s="713" t="s">
        <v>666</v>
      </c>
      <c r="C1571" s="714">
        <f>VLOOKUP(C1564,'Luong VP'!$B$10:$AP$189,11,0)</f>
        <v>0</v>
      </c>
      <c r="D1571" s="717"/>
      <c r="E1571" s="710">
        <v>3</v>
      </c>
      <c r="F1571" s="718" t="s">
        <v>667</v>
      </c>
      <c r="G1571" s="718"/>
      <c r="H1571" s="710" t="s">
        <v>668</v>
      </c>
      <c r="I1571" s="727">
        <f>VLOOKUP(C1564,'Luong VP'!$B$10:$AP$189,26,0)</f>
        <v>0</v>
      </c>
      <c r="J1571" s="728">
        <f>J1568/'Cham cong'!$AS$3*I1571/8*1.5</f>
        <v>0</v>
      </c>
      <c r="K1571" s="689"/>
      <c r="L1571" s="694"/>
      <c r="M1571" s="690"/>
    </row>
    <row r="1572" spans="1:13" s="691" customFormat="1" ht="9.1999999999999993" customHeight="1">
      <c r="A1572" s="712">
        <v>5</v>
      </c>
      <c r="B1572" s="713" t="s">
        <v>670</v>
      </c>
      <c r="C1572" s="714">
        <f>VLOOKUP(C1564,'Luong VP'!$B$10:$AP$189,12,0)</f>
        <v>0</v>
      </c>
      <c r="D1572" s="717"/>
      <c r="E1572" s="710">
        <v>4</v>
      </c>
      <c r="F1572" s="718" t="s">
        <v>671</v>
      </c>
      <c r="G1572" s="718"/>
      <c r="H1572" s="710" t="s">
        <v>668</v>
      </c>
      <c r="I1572" s="727">
        <f>VLOOKUP(C1564,'Luong VP'!$B$10:$AP$189,25,0)</f>
        <v>0</v>
      </c>
      <c r="J1572" s="728">
        <f>J1568/'Cham cong'!$AS$3*I1572/8*2</f>
        <v>0</v>
      </c>
      <c r="K1572" s="689"/>
      <c r="L1572" s="694"/>
      <c r="M1572" s="690"/>
    </row>
    <row r="1573" spans="1:13" s="691" customFormat="1" ht="9.1999999999999993" customHeight="1">
      <c r="A1573" s="712">
        <v>6</v>
      </c>
      <c r="B1573" s="713" t="s">
        <v>673</v>
      </c>
      <c r="C1573" s="714">
        <f>VLOOKUP(C1564,'Luong VP'!$B$10:$AP$189,13,0)</f>
        <v>0</v>
      </c>
      <c r="D1573" s="717"/>
      <c r="E1573" s="710">
        <v>5</v>
      </c>
      <c r="F1573" s="718" t="s">
        <v>674</v>
      </c>
      <c r="G1573" s="718"/>
      <c r="H1573" s="710" t="s">
        <v>660</v>
      </c>
      <c r="I1573" s="727">
        <f>VLOOKUP(C1564,'Luong VP'!$B$10:$AP$189,23,0)</f>
        <v>0</v>
      </c>
      <c r="J1573" s="728">
        <f>C1568/'Cham cong'!$AS$3*I1573</f>
        <v>0</v>
      </c>
      <c r="K1573" s="689"/>
      <c r="L1573" s="694" t="str">
        <f>G1564</f>
        <v>Dương Ngọc Bảo Phương</v>
      </c>
      <c r="M1573" s="690"/>
    </row>
    <row r="1574" spans="1:13" s="691" customFormat="1" ht="9.1999999999999993" customHeight="1">
      <c r="A1574" s="712">
        <v>7</v>
      </c>
      <c r="B1574" s="713" t="s">
        <v>676</v>
      </c>
      <c r="C1574" s="714"/>
      <c r="D1574" s="717"/>
      <c r="E1574" s="710">
        <v>6</v>
      </c>
      <c r="F1574" s="718" t="s">
        <v>677</v>
      </c>
      <c r="G1574" s="718"/>
      <c r="H1574" s="710" t="s">
        <v>660</v>
      </c>
      <c r="I1574" s="727">
        <f>VLOOKUP(C1564,'Luong VP'!$B$10:$AP$189,24,0)</f>
        <v>1</v>
      </c>
      <c r="J1574" s="714">
        <f>C1568/'Cham cong'!$AS$3*I1574</f>
        <v>397.69230769230768</v>
      </c>
      <c r="K1574" s="689"/>
      <c r="L1574" s="694"/>
      <c r="M1574" s="690"/>
    </row>
    <row r="1575" spans="1:13" s="691" customFormat="1" ht="9.1999999999999993" customHeight="1">
      <c r="A1575" s="712">
        <v>8</v>
      </c>
      <c r="B1575" s="713" t="s">
        <v>679</v>
      </c>
      <c r="C1575" s="714">
        <f>VLOOKUP(C1564,'Luong VP'!$B$10:$AP$189,14,0)</f>
        <v>0</v>
      </c>
      <c r="D1575" s="717"/>
      <c r="E1575" s="710">
        <v>7</v>
      </c>
      <c r="F1575" s="718" t="s">
        <v>680</v>
      </c>
      <c r="G1575" s="718"/>
      <c r="H1575" s="718"/>
      <c r="I1575" s="729"/>
      <c r="J1575" s="714">
        <f>VLOOKUP(C1564,'Luong VP'!$B$10:$AP$189,28,0)</f>
        <v>0</v>
      </c>
      <c r="K1575" s="689"/>
      <c r="L1575" s="694"/>
      <c r="M1575" s="690"/>
    </row>
    <row r="1576" spans="1:13" s="691" customFormat="1" ht="9.1999999999999993" customHeight="1">
      <c r="A1576" s="712">
        <v>9</v>
      </c>
      <c r="B1576" s="713" t="s">
        <v>683</v>
      </c>
      <c r="C1576" s="714">
        <f>VLOOKUP(C1564,'Luong VP'!$B$10:$AP$189,15,0)</f>
        <v>0</v>
      </c>
      <c r="D1576" s="717"/>
      <c r="E1576" s="710">
        <v>8</v>
      </c>
      <c r="F1576" s="718" t="s">
        <v>238</v>
      </c>
      <c r="G1576" s="718"/>
      <c r="H1576" s="710" t="s">
        <v>660</v>
      </c>
      <c r="I1576" s="729"/>
      <c r="J1576" s="714">
        <f>VLOOKUP(C1564,'Luong VP'!$B$10:$AP$189,33,0)</f>
        <v>0</v>
      </c>
      <c r="K1576" s="689"/>
      <c r="L1576" s="694"/>
      <c r="M1576" s="690"/>
    </row>
    <row r="1577" spans="1:13" s="691" customFormat="1" ht="9.1999999999999993" customHeight="1">
      <c r="A1577" s="712">
        <v>10</v>
      </c>
      <c r="B1577" s="713" t="s">
        <v>685</v>
      </c>
      <c r="C1577" s="714">
        <f>VLOOKUP(C1564,'Luong VP'!$B$10:$AP$189,16,0)</f>
        <v>0</v>
      </c>
      <c r="D1577" s="717"/>
      <c r="E1577" s="710" t="s">
        <v>686</v>
      </c>
      <c r="F1577" s="716" t="s">
        <v>687</v>
      </c>
      <c r="G1577" s="719"/>
      <c r="H1577" s="719"/>
      <c r="I1577" s="728"/>
      <c r="J1577" s="730">
        <v>0</v>
      </c>
      <c r="K1577" s="689"/>
      <c r="L1577" s="694"/>
      <c r="M1577" s="690"/>
    </row>
    <row r="1578" spans="1:13" s="691" customFormat="1" ht="9.1999999999999993" customHeight="1">
      <c r="A1578" s="712">
        <v>11</v>
      </c>
      <c r="B1578" s="713" t="s">
        <v>688</v>
      </c>
      <c r="C1578" s="714">
        <f>VLOOKUP(C1564,'Luong VP'!$B$10:$AP$189,17,0)</f>
        <v>0</v>
      </c>
      <c r="D1578" s="717"/>
      <c r="E1578" s="710">
        <v>1</v>
      </c>
      <c r="F1578" s="716" t="s">
        <v>689</v>
      </c>
      <c r="G1578" s="719"/>
      <c r="H1578" s="719"/>
      <c r="I1578" s="714">
        <f>VLOOKUP(C1564,'Luong VP'!$B$10:$AP$189,30,0)</f>
        <v>0</v>
      </c>
      <c r="J1578" s="714">
        <f>VLOOKUP(C1564,'Luong VP'!$B$10:$AP$189,30,0)</f>
        <v>0</v>
      </c>
      <c r="K1578" s="689"/>
      <c r="L1578" s="694"/>
      <c r="M1578" s="690"/>
    </row>
    <row r="1579" spans="1:13" s="691" customFormat="1" ht="9.1999999999999993" customHeight="1">
      <c r="A1579" s="712">
        <v>12</v>
      </c>
      <c r="B1579" s="713" t="s">
        <v>691</v>
      </c>
      <c r="C1579" s="714">
        <f>VLOOKUP(C1564,'Luong VP'!$B$10:$AP$189,18,0)</f>
        <v>0</v>
      </c>
      <c r="D1579" s="717"/>
      <c r="E1579" s="710">
        <v>2</v>
      </c>
      <c r="F1579" s="718" t="s">
        <v>239</v>
      </c>
      <c r="G1579" s="718"/>
      <c r="H1579" s="718"/>
      <c r="I1579" s="727"/>
      <c r="J1579" s="728">
        <f>VLOOKUP(C1564,'Luong VP'!$B$10:$AP$189,34,0)</f>
        <v>0</v>
      </c>
      <c r="K1579" s="731"/>
      <c r="L1579" s="715"/>
      <c r="M1579" s="690"/>
    </row>
    <row r="1580" spans="1:13" s="691" customFormat="1" ht="9.1999999999999993" customHeight="1">
      <c r="A1580" s="712">
        <v>13</v>
      </c>
      <c r="B1580" s="713" t="s">
        <v>692</v>
      </c>
      <c r="C1580" s="714">
        <f>VLOOKUP(C1564,'Luong VP'!$B$10:$AP$189,19,0)</f>
        <v>0</v>
      </c>
      <c r="D1580" s="717"/>
      <c r="E1580" s="710">
        <v>3</v>
      </c>
      <c r="F1580" s="716" t="s">
        <v>693</v>
      </c>
      <c r="G1580" s="719"/>
      <c r="H1580" s="719"/>
      <c r="I1580" s="729"/>
      <c r="J1580" s="714">
        <f>VLOOKUP(C1564,'Luong VP'!$B$10:$AP$189,40,0)</f>
        <v>0</v>
      </c>
      <c r="K1580" s="731"/>
      <c r="L1580" s="715"/>
      <c r="M1580" s="690"/>
    </row>
    <row r="1581" spans="1:13" ht="9.1999999999999993" customHeight="1">
      <c r="A1581" s="712">
        <v>14</v>
      </c>
      <c r="B1581" s="713" t="s">
        <v>694</v>
      </c>
      <c r="C1581" s="714">
        <f>VLOOKUP(C1564,'Luong VP'!$B$10:$AP$189,20,0)</f>
        <v>0</v>
      </c>
      <c r="D1581" s="717"/>
      <c r="E1581" s="710">
        <v>4</v>
      </c>
      <c r="F1581" s="718" t="s">
        <v>695</v>
      </c>
      <c r="G1581" s="719"/>
      <c r="H1581" s="719"/>
      <c r="I1581" s="729"/>
      <c r="J1581" s="714">
        <f>VLOOKUP(C1564,'Luong VP'!$B$10:$AP$189,35,0)</f>
        <v>0</v>
      </c>
      <c r="K1581" s="732"/>
      <c r="L1581" s="715"/>
    </row>
    <row r="1582" spans="1:13" ht="9.1999999999999993" customHeight="1">
      <c r="A1582" s="712"/>
      <c r="B1582" s="707" t="s">
        <v>656</v>
      </c>
      <c r="C1582" s="714">
        <f>SUM(C1568:C1581)</f>
        <v>10340</v>
      </c>
      <c r="D1582" s="717"/>
      <c r="E1582" s="710"/>
      <c r="F1582" s="716" t="s">
        <v>241</v>
      </c>
      <c r="G1582" s="719"/>
      <c r="H1582" s="719"/>
      <c r="I1582" s="729"/>
      <c r="J1582" s="730">
        <f>SUM(J1569:J1581)+C1576</f>
        <v>10737.692307692309</v>
      </c>
      <c r="K1582" s="731"/>
      <c r="L1582" s="715"/>
    </row>
    <row r="1583" spans="1:13" ht="9.1999999999999993" customHeight="1">
      <c r="B1583" s="720"/>
      <c r="C1583" s="717"/>
      <c r="D1583" s="717"/>
      <c r="E1583" s="710" t="s">
        <v>696</v>
      </c>
      <c r="F1583" s="711" t="s">
        <v>697</v>
      </c>
      <c r="G1583" s="710"/>
      <c r="H1583" s="710"/>
      <c r="I1583" s="729"/>
      <c r="J1583" s="730">
        <f>SUM(J1584:J1586)</f>
        <v>535.5</v>
      </c>
      <c r="K1583" s="732"/>
      <c r="L1583" s="715"/>
    </row>
    <row r="1584" spans="1:13" ht="9.1999999999999993" customHeight="1">
      <c r="B1584" s="720"/>
      <c r="C1584" s="717"/>
      <c r="D1584" s="717"/>
      <c r="E1584" s="710">
        <v>1</v>
      </c>
      <c r="F1584" s="718" t="s">
        <v>698</v>
      </c>
      <c r="G1584" s="718"/>
      <c r="H1584" s="718"/>
      <c r="I1584" s="733"/>
      <c r="J1584" s="714">
        <f>VLOOKUP(C1564,'Luong VP'!$B$10:$AP$189,37,0)</f>
        <v>535.5</v>
      </c>
      <c r="K1584" s="732"/>
      <c r="L1584" s="715"/>
    </row>
    <row r="1585" spans="1:12" ht="9.1999999999999993" customHeight="1">
      <c r="B1585" s="720"/>
      <c r="C1585" s="717"/>
      <c r="D1585" s="717"/>
      <c r="E1585" s="710">
        <v>2</v>
      </c>
      <c r="F1585" s="718" t="s">
        <v>244</v>
      </c>
      <c r="G1585" s="718"/>
      <c r="H1585" s="718"/>
      <c r="I1585" s="729"/>
      <c r="J1585" s="714">
        <f>VLOOKUP(C1564,'Luong VP'!$B$10:$AP$189,39,0)</f>
        <v>0</v>
      </c>
      <c r="K1585" s="734"/>
      <c r="L1585" s="735"/>
    </row>
    <row r="1586" spans="1:12" ht="9.1999999999999993" customHeight="1">
      <c r="B1586" s="720"/>
      <c r="C1586" s="717"/>
      <c r="D1586" s="717"/>
      <c r="E1586" s="710"/>
      <c r="F1586" s="718" t="s">
        <v>699</v>
      </c>
      <c r="G1586" s="718"/>
      <c r="H1586" s="718"/>
      <c r="I1586" s="729"/>
      <c r="J1586" s="714"/>
      <c r="K1586" s="714"/>
      <c r="L1586" s="736"/>
    </row>
    <row r="1587" spans="1:12" ht="9.1999999999999993" customHeight="1">
      <c r="B1587" s="720"/>
      <c r="C1587" s="717"/>
      <c r="D1587" s="717"/>
      <c r="E1587" s="710" t="s">
        <v>700</v>
      </c>
      <c r="F1587" s="710" t="s">
        <v>246</v>
      </c>
      <c r="G1587" s="710"/>
      <c r="H1587" s="710"/>
      <c r="I1587" s="729"/>
      <c r="J1587" s="728">
        <f>J1582-J1583</f>
        <v>10202.192307692309</v>
      </c>
      <c r="K1587" s="728">
        <f>ROUND(J1587,-1)</f>
        <v>10200</v>
      </c>
      <c r="L1587" s="710"/>
    </row>
    <row r="1588" spans="1:12" ht="9.1999999999999993" customHeight="1">
      <c r="B1588" s="720"/>
      <c r="C1588" s="717"/>
      <c r="D1588" s="717"/>
      <c r="E1588" s="715"/>
      <c r="F1588" s="715"/>
      <c r="G1588" s="715"/>
      <c r="I1588" s="715" t="s">
        <v>701</v>
      </c>
      <c r="J1588" s="737"/>
      <c r="K1588" s="737"/>
      <c r="L1588" s="715"/>
    </row>
    <row r="1589" spans="1:12" ht="9.1999999999999993" customHeight="1">
      <c r="B1589" s="720"/>
      <c r="C1589" s="717"/>
      <c r="D1589" s="717"/>
      <c r="E1589" s="715"/>
      <c r="F1589" s="715"/>
      <c r="G1589" s="715"/>
      <c r="I1589" s="715"/>
      <c r="J1589" s="737"/>
      <c r="K1589" s="737"/>
      <c r="L1589" s="715"/>
    </row>
    <row r="1590" spans="1:12" ht="9.1999999999999993" customHeight="1">
      <c r="B1590" s="720"/>
      <c r="C1590" s="717"/>
      <c r="D1590" s="717"/>
      <c r="E1590" s="715"/>
      <c r="F1590" s="715"/>
      <c r="G1590" s="715"/>
      <c r="I1590" s="715"/>
      <c r="J1590" s="737"/>
      <c r="K1590" s="737"/>
      <c r="L1590" s="715"/>
    </row>
    <row r="1591" spans="1:12" ht="9.1999999999999993" customHeight="1">
      <c r="B1591" s="720"/>
      <c r="C1591" s="717"/>
      <c r="D1591" s="717"/>
      <c r="E1591" s="715"/>
      <c r="F1591" s="715"/>
      <c r="G1591" s="715"/>
      <c r="I1591" s="715"/>
      <c r="J1591" s="737"/>
      <c r="K1591" s="737"/>
      <c r="L1591" s="715"/>
    </row>
    <row r="1592" spans="1:12" ht="9.1999999999999993" customHeight="1">
      <c r="B1592" s="720"/>
      <c r="C1592" s="717"/>
      <c r="D1592" s="717"/>
      <c r="E1592" s="715"/>
      <c r="F1592" s="715"/>
      <c r="G1592" s="715"/>
      <c r="I1592" s="715"/>
      <c r="J1592" s="737"/>
      <c r="K1592" s="737"/>
      <c r="L1592" s="715"/>
    </row>
    <row r="1593" spans="1:12" ht="9.1999999999999993" customHeight="1">
      <c r="B1593" s="720"/>
      <c r="C1593" s="717"/>
      <c r="D1593" s="717"/>
      <c r="E1593" s="715"/>
      <c r="F1593" s="715"/>
      <c r="G1593" s="715"/>
      <c r="I1593" s="715"/>
      <c r="J1593" s="737"/>
      <c r="K1593" s="737"/>
      <c r="L1593" s="715"/>
    </row>
    <row r="1594" spans="1:12" ht="9.1999999999999993" customHeight="1">
      <c r="C1594" s="696"/>
      <c r="D1594" s="696"/>
      <c r="E1594" s="697" t="str">
        <f>$E$2</f>
        <v>THẺ LƯƠNG THÁNG 08/2019</v>
      </c>
      <c r="F1594" s="698"/>
      <c r="G1594" s="698"/>
      <c r="H1594" s="698"/>
    </row>
    <row r="1595" spans="1:12" ht="9.1999999999999993" customHeight="1">
      <c r="B1595" s="699" t="s">
        <v>644</v>
      </c>
      <c r="C1595" s="700" t="s">
        <v>372</v>
      </c>
      <c r="D1595" s="701"/>
      <c r="F1595" s="702" t="s">
        <v>645</v>
      </c>
      <c r="G1595" s="689" t="str">
        <f>VLOOKUP(C1595,'Luong VP'!$B$10:$AP$189,2,0)</f>
        <v>Võ Thị Thanh Thủy</v>
      </c>
    </row>
    <row r="1596" spans="1:12" ht="9.1999999999999993" customHeight="1">
      <c r="B1596" s="699" t="s">
        <v>646</v>
      </c>
      <c r="C1596" s="689" t="str">
        <f>VLOOKUP(C1595,'Luong VP'!$B$10:$AP$189,3,0)</f>
        <v>NV Phòng thí nghiệm</v>
      </c>
      <c r="F1596" s="702" t="s">
        <v>647</v>
      </c>
      <c r="G1596" s="689">
        <f>VLOOKUP(C1595,'Luong VP'!$B$10:$AP$189,5,0)</f>
        <v>1</v>
      </c>
    </row>
    <row r="1597" spans="1:12" ht="9.1999999999999993" customHeight="1">
      <c r="B1597" s="703"/>
      <c r="C1597" s="704"/>
      <c r="D1597" s="705"/>
      <c r="F1597" s="706" t="s">
        <v>648</v>
      </c>
      <c r="G1597" s="706"/>
      <c r="H1597" s="706"/>
      <c r="I1597" s="725"/>
      <c r="J1597" s="726"/>
    </row>
    <row r="1598" spans="1:12" ht="9.1999999999999993" customHeight="1">
      <c r="A1598" s="707" t="s">
        <v>216</v>
      </c>
      <c r="B1598" s="707" t="s">
        <v>649</v>
      </c>
      <c r="C1598" s="708" t="s">
        <v>650</v>
      </c>
      <c r="D1598" s="709"/>
      <c r="E1598" s="710" t="s">
        <v>216</v>
      </c>
      <c r="F1598" s="711" t="s">
        <v>649</v>
      </c>
      <c r="G1598" s="710"/>
      <c r="H1598" s="710" t="s">
        <v>651</v>
      </c>
      <c r="I1598" s="727" t="s">
        <v>652</v>
      </c>
      <c r="J1598" s="714"/>
      <c r="L1598" s="694" t="s">
        <v>653</v>
      </c>
    </row>
    <row r="1599" spans="1:12" ht="9.1999999999999993" customHeight="1">
      <c r="A1599" s="712">
        <v>1</v>
      </c>
      <c r="B1599" s="713" t="s">
        <v>654</v>
      </c>
      <c r="C1599" s="714">
        <f>VLOOKUP(C1595,'Luong VP'!$B$10:$AP$189,9,0)</f>
        <v>7310</v>
      </c>
      <c r="D1599" s="715"/>
      <c r="E1599" s="710" t="s">
        <v>655</v>
      </c>
      <c r="F1599" s="716" t="s">
        <v>656</v>
      </c>
      <c r="G1599" s="710"/>
      <c r="H1599" s="710"/>
      <c r="I1599" s="727"/>
      <c r="J1599" s="714">
        <f>VLOOKUP(C1595,'Luong VP'!$B$10:$AP$189,21,0)</f>
        <v>7310</v>
      </c>
    </row>
    <row r="1600" spans="1:12" ht="9.1999999999999993" customHeight="1">
      <c r="A1600" s="712">
        <v>2</v>
      </c>
      <c r="B1600" s="713" t="s">
        <v>658</v>
      </c>
      <c r="C1600" s="714"/>
      <c r="D1600" s="717"/>
      <c r="E1600" s="710">
        <v>1</v>
      </c>
      <c r="F1600" s="718" t="s">
        <v>659</v>
      </c>
      <c r="G1600" s="718"/>
      <c r="H1600" s="710" t="s">
        <v>660</v>
      </c>
      <c r="I1600" s="727">
        <f>VLOOKUP(C1595,'Luong VP'!$B$10:$AP$189,22,0)</f>
        <v>26</v>
      </c>
      <c r="J1600" s="728">
        <f>J1599/'Cham cong'!$AS$3*I1600</f>
        <v>7309.9999999999991</v>
      </c>
    </row>
    <row r="1601" spans="1:12" ht="9.1999999999999993" customHeight="1">
      <c r="A1601" s="712">
        <v>3</v>
      </c>
      <c r="B1601" s="713" t="s">
        <v>661</v>
      </c>
      <c r="C1601" s="714">
        <f>VLOOKUP(C1595,'Luong VP'!$B$10:$AP$189,10,0)</f>
        <v>0</v>
      </c>
      <c r="D1601" s="717"/>
      <c r="E1601" s="710">
        <v>2</v>
      </c>
      <c r="F1601" s="718" t="s">
        <v>662</v>
      </c>
      <c r="G1601" s="718"/>
      <c r="H1601" s="710" t="s">
        <v>660</v>
      </c>
      <c r="I1601" s="727">
        <f>VLOOKUP(C1595,'Luong VP'!$B$10:$AP$189,27,0)</f>
        <v>0</v>
      </c>
      <c r="J1601" s="728">
        <f>J1599/'Cham cong'!$AS$3*I1601*3</f>
        <v>0</v>
      </c>
    </row>
    <row r="1602" spans="1:12" ht="9.1999999999999993" customHeight="1">
      <c r="A1602" s="712">
        <v>4</v>
      </c>
      <c r="B1602" s="713" t="s">
        <v>666</v>
      </c>
      <c r="C1602" s="714">
        <f>VLOOKUP(C1595,'Luong VP'!$B$10:$AP$189,11,0)</f>
        <v>0</v>
      </c>
      <c r="D1602" s="717"/>
      <c r="E1602" s="710">
        <v>3</v>
      </c>
      <c r="F1602" s="718" t="s">
        <v>667</v>
      </c>
      <c r="G1602" s="718"/>
      <c r="H1602" s="710" t="s">
        <v>668</v>
      </c>
      <c r="I1602" s="727">
        <f>VLOOKUP(C1595,'Luong VP'!$B$10:$AP$189,26,0)</f>
        <v>0</v>
      </c>
      <c r="J1602" s="728">
        <f>J1599/'Cham cong'!$AS$3*I1602/8*1.5</f>
        <v>0</v>
      </c>
    </row>
    <row r="1603" spans="1:12" ht="9.1999999999999993" customHeight="1">
      <c r="A1603" s="712">
        <v>5</v>
      </c>
      <c r="B1603" s="713" t="s">
        <v>670</v>
      </c>
      <c r="C1603" s="714">
        <f>VLOOKUP(C1595,'Luong VP'!$B$10:$AP$189,12,0)</f>
        <v>0</v>
      </c>
      <c r="D1603" s="717"/>
      <c r="E1603" s="710">
        <v>4</v>
      </c>
      <c r="F1603" s="718" t="s">
        <v>671</v>
      </c>
      <c r="G1603" s="718"/>
      <c r="H1603" s="710" t="s">
        <v>668</v>
      </c>
      <c r="I1603" s="727">
        <f>VLOOKUP(C1595,'Luong VP'!$B$10:$AP$189,25,0)</f>
        <v>0</v>
      </c>
      <c r="J1603" s="728">
        <f>J1599/'Cham cong'!$AS$3*I1603/8*2</f>
        <v>0</v>
      </c>
    </row>
    <row r="1604" spans="1:12" ht="9.1999999999999993" customHeight="1">
      <c r="A1604" s="712">
        <v>6</v>
      </c>
      <c r="B1604" s="713" t="s">
        <v>673</v>
      </c>
      <c r="C1604" s="714">
        <f>VLOOKUP(C1595,'Luong VP'!$B$10:$AP$189,13,0)</f>
        <v>0</v>
      </c>
      <c r="D1604" s="717"/>
      <c r="E1604" s="710">
        <v>5</v>
      </c>
      <c r="F1604" s="718" t="s">
        <v>674</v>
      </c>
      <c r="G1604" s="718"/>
      <c r="H1604" s="710" t="s">
        <v>660</v>
      </c>
      <c r="I1604" s="727">
        <f>VLOOKUP(C1595,'Luong VP'!$B$10:$AP$189,23,0)</f>
        <v>0</v>
      </c>
      <c r="J1604" s="728">
        <f>C1599/'Cham cong'!$AS$3*I1604</f>
        <v>0</v>
      </c>
      <c r="L1604" s="694" t="str">
        <f>G1595</f>
        <v>Võ Thị Thanh Thủy</v>
      </c>
    </row>
    <row r="1605" spans="1:12" ht="9.1999999999999993" customHeight="1">
      <c r="A1605" s="712">
        <v>7</v>
      </c>
      <c r="B1605" s="713" t="s">
        <v>676</v>
      </c>
      <c r="C1605" s="714"/>
      <c r="D1605" s="717"/>
      <c r="E1605" s="710">
        <v>6</v>
      </c>
      <c r="F1605" s="718" t="s">
        <v>677</v>
      </c>
      <c r="G1605" s="718"/>
      <c r="H1605" s="710" t="s">
        <v>660</v>
      </c>
      <c r="I1605" s="727">
        <f>VLOOKUP(C1595,'Luong VP'!$B$10:$AP$189,24,0)</f>
        <v>1</v>
      </c>
      <c r="J1605" s="714">
        <f>C1599/'Cham cong'!$AS$3*I1605</f>
        <v>281.15384615384613</v>
      </c>
    </row>
    <row r="1606" spans="1:12" ht="9.1999999999999993" customHeight="1">
      <c r="A1606" s="712">
        <v>8</v>
      </c>
      <c r="B1606" s="713" t="s">
        <v>679</v>
      </c>
      <c r="C1606" s="714">
        <f>VLOOKUP(C1595,'Luong VP'!$B$10:$AP$189,14,0)</f>
        <v>0</v>
      </c>
      <c r="D1606" s="717"/>
      <c r="E1606" s="710">
        <v>7</v>
      </c>
      <c r="F1606" s="718" t="s">
        <v>680</v>
      </c>
      <c r="G1606" s="718"/>
      <c r="H1606" s="718"/>
      <c r="I1606" s="729"/>
      <c r="J1606" s="714">
        <f>VLOOKUP(C1595,'Luong VP'!$B$10:$AP$189,28,0)</f>
        <v>0</v>
      </c>
    </row>
    <row r="1607" spans="1:12" ht="9.1999999999999993" customHeight="1">
      <c r="A1607" s="712">
        <v>9</v>
      </c>
      <c r="B1607" s="713" t="s">
        <v>683</v>
      </c>
      <c r="C1607" s="714">
        <f>VLOOKUP(C1595,'Luong VP'!$B$10:$AP$189,15,0)</f>
        <v>0</v>
      </c>
      <c r="D1607" s="717"/>
      <c r="E1607" s="710">
        <v>8</v>
      </c>
      <c r="F1607" s="779" t="s">
        <v>238</v>
      </c>
      <c r="G1607" s="779"/>
      <c r="H1607" s="771"/>
      <c r="I1607" s="787"/>
      <c r="J1607" s="775"/>
    </row>
    <row r="1608" spans="1:12" ht="9.1999999999999993" customHeight="1">
      <c r="A1608" s="712">
        <v>10</v>
      </c>
      <c r="B1608" s="713" t="s">
        <v>685</v>
      </c>
      <c r="C1608" s="714">
        <f>VLOOKUP(C1595,'Luong VP'!$B$10:$AP$189,16,0)</f>
        <v>0</v>
      </c>
      <c r="D1608" s="717"/>
      <c r="E1608" s="710" t="s">
        <v>686</v>
      </c>
      <c r="F1608" s="716" t="s">
        <v>687</v>
      </c>
      <c r="G1608" s="719"/>
      <c r="H1608" s="719"/>
      <c r="I1608" s="729"/>
      <c r="J1608" s="730"/>
    </row>
    <row r="1609" spans="1:12" ht="9.1999999999999993" customHeight="1">
      <c r="A1609" s="712">
        <v>11</v>
      </c>
      <c r="B1609" s="713" t="s">
        <v>688</v>
      </c>
      <c r="C1609" s="714">
        <f>VLOOKUP(C1595,'Luong VP'!$B$10:$AP$189,17,0)</f>
        <v>0</v>
      </c>
      <c r="D1609" s="717"/>
      <c r="E1609" s="710">
        <v>1</v>
      </c>
      <c r="F1609" s="716" t="s">
        <v>689</v>
      </c>
      <c r="G1609" s="719"/>
      <c r="H1609" s="719"/>
      <c r="I1609" s="714">
        <f>VLOOKUP(C1595,'Luong VP'!$B$10:$AP$189,30,0)</f>
        <v>0</v>
      </c>
      <c r="J1609" s="714">
        <f>VLOOKUP(C1595,'Luong VP'!$B$10:$AP$189,30,0)</f>
        <v>0</v>
      </c>
    </row>
    <row r="1610" spans="1:12" ht="9.1999999999999993" customHeight="1">
      <c r="A1610" s="712">
        <v>12</v>
      </c>
      <c r="B1610" s="713" t="s">
        <v>691</v>
      </c>
      <c r="C1610" s="714">
        <f>VLOOKUP(C1595,'Luong VP'!$B$10:$AP$189,18,0)</f>
        <v>0</v>
      </c>
      <c r="D1610" s="717"/>
      <c r="E1610" s="710">
        <v>2</v>
      </c>
      <c r="F1610" s="718" t="s">
        <v>239</v>
      </c>
      <c r="G1610" s="718"/>
      <c r="H1610" s="718"/>
      <c r="I1610" s="727"/>
      <c r="J1610" s="728">
        <f>VLOOKUP(C1595,'Luong VP'!$B$10:$AP$189,34,0)</f>
        <v>0</v>
      </c>
      <c r="K1610" s="731"/>
      <c r="L1610" s="715"/>
    </row>
    <row r="1611" spans="1:12" ht="9.1999999999999993" customHeight="1">
      <c r="A1611" s="712">
        <v>13</v>
      </c>
      <c r="B1611" s="713" t="s">
        <v>692</v>
      </c>
      <c r="C1611" s="714">
        <f>VLOOKUP(C1595,'Luong VP'!$B$10:$AP$189,19,0)</f>
        <v>0</v>
      </c>
      <c r="D1611" s="717"/>
      <c r="E1611" s="710">
        <v>3</v>
      </c>
      <c r="F1611" s="716" t="s">
        <v>693</v>
      </c>
      <c r="G1611" s="719"/>
      <c r="H1611" s="719"/>
      <c r="I1611" s="729"/>
      <c r="J1611" s="714">
        <f>VLOOKUP(C1595,'Luong VP'!$B$10:$AP$189,40,0)</f>
        <v>0</v>
      </c>
      <c r="K1611" s="731"/>
      <c r="L1611" s="715"/>
    </row>
    <row r="1612" spans="1:12" ht="9.1999999999999993" customHeight="1">
      <c r="A1612" s="712">
        <v>14</v>
      </c>
      <c r="B1612" s="713" t="s">
        <v>694</v>
      </c>
      <c r="C1612" s="714">
        <f>VLOOKUP(C1595,'Luong VP'!$B$10:$AP$189,20,0)</f>
        <v>0</v>
      </c>
      <c r="D1612" s="717"/>
      <c r="E1612" s="710">
        <v>4</v>
      </c>
      <c r="F1612" s="718" t="s">
        <v>695</v>
      </c>
      <c r="G1612" s="719"/>
      <c r="H1612" s="719"/>
      <c r="I1612" s="729"/>
      <c r="J1612" s="714">
        <f>VLOOKUP(C1595,'Luong VP'!$B$10:$AP$189,35,0)</f>
        <v>0</v>
      </c>
      <c r="K1612" s="732"/>
      <c r="L1612" s="715"/>
    </row>
    <row r="1613" spans="1:12" ht="9.1999999999999993" customHeight="1">
      <c r="A1613" s="712"/>
      <c r="B1613" s="707" t="s">
        <v>656</v>
      </c>
      <c r="C1613" s="714">
        <f>SUM(C1599:C1612)</f>
        <v>7310</v>
      </c>
      <c r="D1613" s="717"/>
      <c r="E1613" s="710"/>
      <c r="F1613" s="716" t="s">
        <v>241</v>
      </c>
      <c r="G1613" s="719"/>
      <c r="H1613" s="719"/>
      <c r="I1613" s="729"/>
      <c r="J1613" s="730">
        <f>SUM(J1600:J1612)+C1607</f>
        <v>7591.1538461538448</v>
      </c>
      <c r="K1613" s="731"/>
      <c r="L1613" s="715"/>
    </row>
    <row r="1614" spans="1:12" ht="9.1999999999999993" customHeight="1">
      <c r="B1614" s="720"/>
      <c r="C1614" s="717"/>
      <c r="D1614" s="717"/>
      <c r="E1614" s="710" t="s">
        <v>696</v>
      </c>
      <c r="F1614" s="711" t="s">
        <v>697</v>
      </c>
      <c r="G1614" s="710"/>
      <c r="H1614" s="710"/>
      <c r="I1614" s="729"/>
      <c r="J1614" s="730">
        <f>SUM(J1615:J1617)</f>
        <v>504</v>
      </c>
      <c r="K1614" s="732"/>
      <c r="L1614" s="715"/>
    </row>
    <row r="1615" spans="1:12" ht="9.1999999999999993" customHeight="1">
      <c r="B1615" s="720"/>
      <c r="C1615" s="717"/>
      <c r="D1615" s="717"/>
      <c r="E1615" s="710">
        <v>1</v>
      </c>
      <c r="F1615" s="718" t="s">
        <v>698</v>
      </c>
      <c r="G1615" s="718"/>
      <c r="H1615" s="718"/>
      <c r="I1615" s="733"/>
      <c r="J1615" s="714">
        <f>VLOOKUP(C1595,'Luong VP'!$B$10:$AP$189,37,0)</f>
        <v>504</v>
      </c>
      <c r="K1615" s="732"/>
      <c r="L1615" s="715"/>
    </row>
    <row r="1616" spans="1:12" ht="9.1999999999999993" customHeight="1">
      <c r="B1616" s="720"/>
      <c r="C1616" s="717"/>
      <c r="D1616" s="717"/>
      <c r="E1616" s="710">
        <v>2</v>
      </c>
      <c r="F1616" s="718" t="s">
        <v>244</v>
      </c>
      <c r="G1616" s="718"/>
      <c r="H1616" s="718"/>
      <c r="I1616" s="729"/>
      <c r="J1616" s="714">
        <f>VLOOKUP(C1595,'Luong VP'!$B$10:$AP$189,39,0)</f>
        <v>0</v>
      </c>
      <c r="K1616" s="734"/>
      <c r="L1616" s="735"/>
    </row>
    <row r="1617" spans="1:12" ht="9.1999999999999993" customHeight="1">
      <c r="B1617" s="720"/>
      <c r="C1617" s="717"/>
      <c r="D1617" s="717"/>
      <c r="E1617" s="710"/>
      <c r="F1617" s="718" t="s">
        <v>699</v>
      </c>
      <c r="G1617" s="718"/>
      <c r="H1617" s="718"/>
      <c r="I1617" s="729"/>
      <c r="J1617" s="714"/>
      <c r="K1617" s="714"/>
      <c r="L1617" s="736"/>
    </row>
    <row r="1618" spans="1:12" ht="9.1999999999999993" customHeight="1">
      <c r="B1618" s="720"/>
      <c r="C1618" s="717"/>
      <c r="D1618" s="717"/>
      <c r="E1618" s="710" t="s">
        <v>700</v>
      </c>
      <c r="F1618" s="710" t="s">
        <v>246</v>
      </c>
      <c r="G1618" s="710"/>
      <c r="H1618" s="710"/>
      <c r="I1618" s="729"/>
      <c r="J1618" s="728">
        <f>J1613-J1614</f>
        <v>7087.1538461538448</v>
      </c>
      <c r="K1618" s="728">
        <f>ROUND(J1618,-1)</f>
        <v>7090</v>
      </c>
      <c r="L1618" s="710"/>
    </row>
    <row r="1619" spans="1:12" ht="9.1999999999999993" customHeight="1">
      <c r="B1619" s="720"/>
      <c r="C1619" s="717"/>
      <c r="D1619" s="717"/>
      <c r="E1619" s="715"/>
      <c r="F1619" s="715"/>
      <c r="G1619" s="715"/>
      <c r="I1619" s="715" t="s">
        <v>701</v>
      </c>
      <c r="J1619" s="737"/>
      <c r="K1619" s="737"/>
      <c r="L1619" s="715"/>
    </row>
    <row r="1620" spans="1:12" ht="9.1999999999999993" customHeight="1">
      <c r="B1620" s="720"/>
      <c r="C1620" s="717"/>
      <c r="D1620" s="717"/>
      <c r="E1620" s="715"/>
      <c r="F1620" s="715"/>
      <c r="G1620" s="715"/>
      <c r="I1620" s="715"/>
      <c r="J1620" s="737"/>
      <c r="K1620" s="737"/>
      <c r="L1620" s="715"/>
    </row>
    <row r="1621" spans="1:12" ht="9.1999999999999993" customHeight="1">
      <c r="B1621" s="720"/>
      <c r="C1621" s="717"/>
      <c r="D1621" s="717"/>
      <c r="E1621" s="715"/>
      <c r="F1621" s="715"/>
      <c r="G1621" s="715"/>
      <c r="I1621" s="715"/>
      <c r="J1621" s="737"/>
      <c r="K1621" s="737"/>
      <c r="L1621" s="715"/>
    </row>
    <row r="1622" spans="1:12" ht="9.1999999999999993" customHeight="1">
      <c r="B1622" s="720"/>
      <c r="C1622" s="717"/>
      <c r="D1622" s="717"/>
      <c r="E1622" s="715"/>
      <c r="F1622" s="715"/>
      <c r="G1622" s="715"/>
      <c r="I1622" s="715"/>
      <c r="J1622" s="737"/>
      <c r="K1622" s="737"/>
      <c r="L1622" s="715"/>
    </row>
    <row r="1623" spans="1:12" ht="9.1999999999999993" customHeight="1">
      <c r="B1623" s="720"/>
      <c r="C1623" s="717"/>
      <c r="D1623" s="717"/>
      <c r="E1623" s="715"/>
      <c r="F1623" s="715"/>
      <c r="G1623" s="715"/>
      <c r="I1623" s="715"/>
      <c r="J1623" s="737"/>
      <c r="K1623" s="737"/>
      <c r="L1623" s="715"/>
    </row>
    <row r="1624" spans="1:12" ht="9.1999999999999993" customHeight="1">
      <c r="B1624" s="720"/>
      <c r="C1624" s="717"/>
      <c r="D1624" s="717"/>
      <c r="E1624" s="715"/>
      <c r="F1624" s="715"/>
      <c r="G1624" s="715"/>
      <c r="I1624" s="715"/>
      <c r="J1624" s="737"/>
      <c r="K1624" s="737"/>
      <c r="L1624" s="715"/>
    </row>
    <row r="1625" spans="1:12" ht="9.1999999999999993" customHeight="1">
      <c r="C1625" s="696"/>
      <c r="D1625" s="696"/>
      <c r="E1625" s="697" t="str">
        <f>$E$2</f>
        <v>THẺ LƯƠNG THÁNG 08/2019</v>
      </c>
      <c r="F1625" s="698"/>
      <c r="G1625" s="698"/>
      <c r="H1625" s="698"/>
    </row>
    <row r="1626" spans="1:12" ht="9.1999999999999993" customHeight="1">
      <c r="B1626" s="699" t="s">
        <v>644</v>
      </c>
      <c r="C1626" s="700" t="s">
        <v>363</v>
      </c>
      <c r="D1626" s="701"/>
      <c r="F1626" s="702" t="s">
        <v>645</v>
      </c>
      <c r="G1626" s="689" t="str">
        <f>VLOOKUP(C1626,'Luong VP'!$B$10:$AP$189,2,0)</f>
        <v>Trần Thành Lập</v>
      </c>
    </row>
    <row r="1627" spans="1:12" ht="9.1999999999999993" customHeight="1">
      <c r="B1627" s="699" t="s">
        <v>646</v>
      </c>
      <c r="C1627" s="689" t="str">
        <f>VLOOKUP(C1626,'Luong VP'!$B$10:$AP$189,3,0)</f>
        <v>GIÁM ĐỐC NCPTSP</v>
      </c>
      <c r="F1627" s="702" t="s">
        <v>647</v>
      </c>
      <c r="G1627" s="689">
        <f>VLOOKUP(C1626,'Luong VP'!$B$10:$AP$189,5,0)</f>
        <v>1</v>
      </c>
    </row>
    <row r="1628" spans="1:12" ht="9.1999999999999993" customHeight="1">
      <c r="B1628" s="703"/>
      <c r="C1628" s="704"/>
      <c r="D1628" s="705"/>
      <c r="F1628" s="706" t="s">
        <v>648</v>
      </c>
      <c r="G1628" s="706"/>
      <c r="H1628" s="706"/>
      <c r="I1628" s="725"/>
      <c r="J1628" s="726"/>
    </row>
    <row r="1629" spans="1:12" ht="9.1999999999999993" customHeight="1">
      <c r="A1629" s="707" t="s">
        <v>216</v>
      </c>
      <c r="B1629" s="707" t="s">
        <v>649</v>
      </c>
      <c r="C1629" s="708" t="s">
        <v>650</v>
      </c>
      <c r="D1629" s="709"/>
      <c r="E1629" s="710" t="s">
        <v>216</v>
      </c>
      <c r="F1629" s="711" t="s">
        <v>649</v>
      </c>
      <c r="G1629" s="710"/>
      <c r="H1629" s="710" t="s">
        <v>651</v>
      </c>
      <c r="I1629" s="727" t="s">
        <v>652</v>
      </c>
      <c r="J1629" s="714"/>
      <c r="L1629" s="694" t="s">
        <v>653</v>
      </c>
    </row>
    <row r="1630" spans="1:12" ht="9.1999999999999993" customHeight="1">
      <c r="A1630" s="712">
        <v>1</v>
      </c>
      <c r="B1630" s="713" t="s">
        <v>654</v>
      </c>
      <c r="C1630" s="714">
        <f>VLOOKUP(C1626,'Luong VP'!$B$10:$AP$189,9,0)</f>
        <v>27330</v>
      </c>
      <c r="D1630" s="715"/>
      <c r="E1630" s="710" t="s">
        <v>655</v>
      </c>
      <c r="F1630" s="716" t="s">
        <v>656</v>
      </c>
      <c r="G1630" s="710"/>
      <c r="H1630" s="710"/>
      <c r="I1630" s="727"/>
      <c r="J1630" s="714">
        <f>VLOOKUP(C1626,'Luong VP'!$B$10:$AP$189,21,0)</f>
        <v>31330</v>
      </c>
    </row>
    <row r="1631" spans="1:12" ht="9.1999999999999993" customHeight="1">
      <c r="A1631" s="712">
        <v>2</v>
      </c>
      <c r="B1631" s="713" t="s">
        <v>658</v>
      </c>
      <c r="C1631" s="714"/>
      <c r="D1631" s="717"/>
      <c r="E1631" s="710">
        <v>1</v>
      </c>
      <c r="F1631" s="718" t="s">
        <v>659</v>
      </c>
      <c r="G1631" s="718"/>
      <c r="H1631" s="710" t="s">
        <v>660</v>
      </c>
      <c r="I1631" s="727">
        <f>VLOOKUP(C1626,'Luong VP'!$B$10:$AP$189,22,0)</f>
        <v>26</v>
      </c>
      <c r="J1631" s="728">
        <f>J1630/'Cham cong'!$AS$3*I1631</f>
        <v>31330</v>
      </c>
    </row>
    <row r="1632" spans="1:12" ht="9.1999999999999993" customHeight="1">
      <c r="A1632" s="712">
        <v>3</v>
      </c>
      <c r="B1632" s="713" t="s">
        <v>661</v>
      </c>
      <c r="C1632" s="714">
        <f>VLOOKUP(C1626,'Luong VP'!$B$10:$AP$189,10,0)</f>
        <v>0</v>
      </c>
      <c r="D1632" s="717"/>
      <c r="E1632" s="710">
        <v>2</v>
      </c>
      <c r="F1632" s="718" t="s">
        <v>662</v>
      </c>
      <c r="G1632" s="718"/>
      <c r="H1632" s="710" t="s">
        <v>660</v>
      </c>
      <c r="I1632" s="727">
        <f>VLOOKUP(C1626,'Luong VP'!$B$10:$AP$189,27,0)</f>
        <v>0</v>
      </c>
      <c r="J1632" s="728">
        <f>J1630/'Cham cong'!$AS$3*I1632*3</f>
        <v>0</v>
      </c>
    </row>
    <row r="1633" spans="1:12" ht="9.1999999999999993" customHeight="1">
      <c r="A1633" s="712">
        <v>4</v>
      </c>
      <c r="B1633" s="713" t="s">
        <v>666</v>
      </c>
      <c r="C1633" s="714">
        <f>VLOOKUP(C1626,'Luong VP'!$B$10:$AP$189,11,0)</f>
        <v>3000</v>
      </c>
      <c r="D1633" s="717"/>
      <c r="E1633" s="710">
        <v>3</v>
      </c>
      <c r="F1633" s="718" t="s">
        <v>667</v>
      </c>
      <c r="G1633" s="718"/>
      <c r="H1633" s="710" t="s">
        <v>668</v>
      </c>
      <c r="I1633" s="727">
        <f>VLOOKUP(C1626,'Luong VP'!$B$10:$AP$189,26,0)</f>
        <v>0</v>
      </c>
      <c r="J1633" s="728">
        <f>J1630/'Cham cong'!$AS$3*I1633/8*1.5</f>
        <v>0</v>
      </c>
    </row>
    <row r="1634" spans="1:12" ht="9.1999999999999993" customHeight="1">
      <c r="A1634" s="712">
        <v>5</v>
      </c>
      <c r="B1634" s="713" t="s">
        <v>670</v>
      </c>
      <c r="C1634" s="714">
        <f>VLOOKUP(C1626,'Luong VP'!$B$10:$AP$189,12,0)</f>
        <v>0</v>
      </c>
      <c r="D1634" s="717"/>
      <c r="E1634" s="710">
        <v>4</v>
      </c>
      <c r="F1634" s="718" t="s">
        <v>671</v>
      </c>
      <c r="G1634" s="718"/>
      <c r="H1634" s="710" t="s">
        <v>668</v>
      </c>
      <c r="I1634" s="727">
        <f>VLOOKUP(C1626,'Luong VP'!$B$10:$AP$189,25,0)</f>
        <v>0</v>
      </c>
      <c r="J1634" s="728">
        <f>J1630/'Cham cong'!$AS$3*I1634/8*2</f>
        <v>0</v>
      </c>
    </row>
    <row r="1635" spans="1:12" ht="9.1999999999999993" customHeight="1">
      <c r="A1635" s="712">
        <v>6</v>
      </c>
      <c r="B1635" s="713" t="s">
        <v>673</v>
      </c>
      <c r="C1635" s="714">
        <f>VLOOKUP(C1626,'Luong VP'!$B$10:$AP$189,13,0)</f>
        <v>0</v>
      </c>
      <c r="D1635" s="717"/>
      <c r="E1635" s="710">
        <v>5</v>
      </c>
      <c r="F1635" s="718" t="s">
        <v>674</v>
      </c>
      <c r="G1635" s="718"/>
      <c r="H1635" s="710" t="s">
        <v>660</v>
      </c>
      <c r="I1635" s="727">
        <f>VLOOKUP(C1626,'Luong VP'!$B$10:$AP$189,23,0)</f>
        <v>0</v>
      </c>
      <c r="J1635" s="728">
        <f>C1630/'Cham cong'!$AS$3*I1635</f>
        <v>0</v>
      </c>
      <c r="L1635" s="694" t="str">
        <f>G1626</f>
        <v>Trần Thành Lập</v>
      </c>
    </row>
    <row r="1636" spans="1:12" ht="9.1999999999999993" customHeight="1">
      <c r="A1636" s="712">
        <v>7</v>
      </c>
      <c r="B1636" s="713" t="s">
        <v>676</v>
      </c>
      <c r="C1636" s="714"/>
      <c r="D1636" s="717"/>
      <c r="E1636" s="710">
        <v>6</v>
      </c>
      <c r="F1636" s="718" t="s">
        <v>677</v>
      </c>
      <c r="G1636" s="718"/>
      <c r="H1636" s="710" t="s">
        <v>660</v>
      </c>
      <c r="I1636" s="727">
        <f>VLOOKUP(C1626,'Luong VP'!$B$10:$AP$189,24,0)</f>
        <v>1</v>
      </c>
      <c r="J1636" s="714">
        <f>C1630/'Cham cong'!$AS$3*I1636</f>
        <v>1051.1538461538462</v>
      </c>
    </row>
    <row r="1637" spans="1:12" ht="9.1999999999999993" customHeight="1">
      <c r="A1637" s="712">
        <v>8</v>
      </c>
      <c r="B1637" s="713" t="s">
        <v>679</v>
      </c>
      <c r="C1637" s="714">
        <f>VLOOKUP(C1626,'Luong VP'!$B$10:$AP$189,14,0)</f>
        <v>1000</v>
      </c>
      <c r="D1637" s="717"/>
      <c r="E1637" s="710">
        <v>7</v>
      </c>
      <c r="F1637" s="718" t="s">
        <v>680</v>
      </c>
      <c r="G1637" s="718"/>
      <c r="H1637" s="718"/>
      <c r="I1637" s="729"/>
      <c r="J1637" s="714">
        <f>VLOOKUP(C1626,'Luong VP'!$B$10:$AP$189,28,0)</f>
        <v>0</v>
      </c>
    </row>
    <row r="1638" spans="1:12" ht="9.1999999999999993" customHeight="1">
      <c r="A1638" s="712">
        <v>9</v>
      </c>
      <c r="B1638" s="713" t="s">
        <v>683</v>
      </c>
      <c r="C1638" s="714">
        <f>VLOOKUP(C1626,'Luong VP'!$B$10:$AP$189,15,0)</f>
        <v>1000</v>
      </c>
      <c r="D1638" s="717"/>
      <c r="E1638" s="710">
        <v>8</v>
      </c>
      <c r="F1638" s="779" t="s">
        <v>238</v>
      </c>
      <c r="G1638" s="718"/>
      <c r="H1638" s="771"/>
      <c r="I1638" s="787"/>
      <c r="J1638" s="775"/>
    </row>
    <row r="1639" spans="1:12" ht="9.1999999999999993" customHeight="1">
      <c r="A1639" s="712">
        <v>10</v>
      </c>
      <c r="B1639" s="713" t="s">
        <v>685</v>
      </c>
      <c r="C1639" s="714">
        <f>VLOOKUP(C1626,'Luong VP'!$B$10:$AP$189,16,0)</f>
        <v>0</v>
      </c>
      <c r="D1639" s="717"/>
      <c r="E1639" s="710" t="s">
        <v>686</v>
      </c>
      <c r="F1639" s="716" t="s">
        <v>687</v>
      </c>
      <c r="G1639" s="719"/>
      <c r="H1639" s="719"/>
      <c r="I1639" s="729"/>
      <c r="J1639" s="730"/>
    </row>
    <row r="1640" spans="1:12" ht="9.1999999999999993" customHeight="1">
      <c r="A1640" s="712">
        <v>11</v>
      </c>
      <c r="B1640" s="713" t="s">
        <v>688</v>
      </c>
      <c r="C1640" s="714">
        <f>VLOOKUP(C1626,'Luong VP'!$B$10:$AP$189,17,0)</f>
        <v>0</v>
      </c>
      <c r="D1640" s="717"/>
      <c r="E1640" s="710">
        <v>1</v>
      </c>
      <c r="F1640" s="716" t="s">
        <v>689</v>
      </c>
      <c r="G1640" s="719"/>
      <c r="H1640" s="719"/>
      <c r="I1640" s="714">
        <f>VLOOKUP(C1626,'Luong VP'!$B$10:$AP$189,30,0)</f>
        <v>0</v>
      </c>
      <c r="J1640" s="714">
        <f>VLOOKUP(C1626,'Luong VP'!$B$10:$AP$189,30,0)</f>
        <v>0</v>
      </c>
    </row>
    <row r="1641" spans="1:12" ht="9.1999999999999993" customHeight="1">
      <c r="A1641" s="712">
        <v>12</v>
      </c>
      <c r="B1641" s="713" t="s">
        <v>691</v>
      </c>
      <c r="C1641" s="714">
        <f>VLOOKUP(C1626,'Luong VP'!$B$10:$AP$189,18,0)</f>
        <v>0</v>
      </c>
      <c r="D1641" s="717"/>
      <c r="E1641" s="710">
        <v>2</v>
      </c>
      <c r="F1641" s="718" t="s">
        <v>239</v>
      </c>
      <c r="G1641" s="718"/>
      <c r="H1641" s="718"/>
      <c r="I1641" s="727"/>
      <c r="J1641" s="728">
        <f>VLOOKUP(C1626,'Luong VP'!$B$10:$AP$189,34,0)</f>
        <v>0</v>
      </c>
      <c r="K1641" s="731"/>
      <c r="L1641" s="715"/>
    </row>
    <row r="1642" spans="1:12" ht="9.1999999999999993" customHeight="1">
      <c r="A1642" s="712">
        <v>13</v>
      </c>
      <c r="B1642" s="713" t="s">
        <v>692</v>
      </c>
      <c r="C1642" s="714">
        <f>VLOOKUP(C1626,'Luong VP'!$B$10:$AP$189,19,0)</f>
        <v>0</v>
      </c>
      <c r="D1642" s="717"/>
      <c r="E1642" s="710">
        <v>3</v>
      </c>
      <c r="F1642" s="716" t="s">
        <v>693</v>
      </c>
      <c r="G1642" s="719"/>
      <c r="H1642" s="719"/>
      <c r="I1642" s="729"/>
      <c r="J1642" s="714">
        <f>VLOOKUP(C1626,'Luong VP'!$B$10:$AP$189,40,0)</f>
        <v>0</v>
      </c>
      <c r="K1642" s="731"/>
      <c r="L1642" s="715"/>
    </row>
    <row r="1643" spans="1:12" ht="9.1999999999999993" customHeight="1">
      <c r="A1643" s="712">
        <v>14</v>
      </c>
      <c r="B1643" s="713" t="s">
        <v>694</v>
      </c>
      <c r="C1643" s="714">
        <f>VLOOKUP(C1626,'Luong VP'!$B$10:$AP$189,20,0)</f>
        <v>0</v>
      </c>
      <c r="D1643" s="717"/>
      <c r="E1643" s="710">
        <v>4</v>
      </c>
      <c r="F1643" s="718" t="s">
        <v>695</v>
      </c>
      <c r="G1643" s="719"/>
      <c r="H1643" s="719"/>
      <c r="I1643" s="729"/>
      <c r="J1643" s="714">
        <f>VLOOKUP(C1626,'Luong VP'!$B$10:$AP$189,35,0)</f>
        <v>0</v>
      </c>
      <c r="K1643" s="732"/>
      <c r="L1643" s="715"/>
    </row>
    <row r="1644" spans="1:12" ht="9.1999999999999993" customHeight="1">
      <c r="A1644" s="712"/>
      <c r="B1644" s="707" t="s">
        <v>656</v>
      </c>
      <c r="C1644" s="714">
        <f>SUM(C1630:C1643)</f>
        <v>32330</v>
      </c>
      <c r="D1644" s="717"/>
      <c r="E1644" s="710"/>
      <c r="F1644" s="716" t="s">
        <v>241</v>
      </c>
      <c r="G1644" s="719"/>
      <c r="H1644" s="719"/>
      <c r="I1644" s="729"/>
      <c r="J1644" s="730">
        <f>SUM(J1631:J1643)+C1638</f>
        <v>33381.153846153844</v>
      </c>
      <c r="K1644" s="731"/>
      <c r="L1644" s="715"/>
    </row>
    <row r="1645" spans="1:12" ht="9.1999999999999993" customHeight="1">
      <c r="B1645" s="720"/>
      <c r="C1645" s="717"/>
      <c r="D1645" s="717"/>
      <c r="E1645" s="710" t="s">
        <v>696</v>
      </c>
      <c r="F1645" s="711" t="s">
        <v>697</v>
      </c>
      <c r="G1645" s="710"/>
      <c r="H1645" s="710"/>
      <c r="I1645" s="729"/>
      <c r="J1645" s="730">
        <f>SUM(J1646:J1648)</f>
        <v>0</v>
      </c>
      <c r="K1645" s="732"/>
      <c r="L1645" s="715"/>
    </row>
    <row r="1646" spans="1:12" ht="9.1999999999999993" customHeight="1">
      <c r="B1646" s="720"/>
      <c r="C1646" s="717"/>
      <c r="D1646" s="717"/>
      <c r="E1646" s="710">
        <v>1</v>
      </c>
      <c r="F1646" s="718" t="s">
        <v>698</v>
      </c>
      <c r="G1646" s="718"/>
      <c r="H1646" s="718"/>
      <c r="I1646" s="733"/>
      <c r="J1646" s="714">
        <f>VLOOKUP(C1626,'Luong VP'!$B$10:$AP$189,37,0)</f>
        <v>0</v>
      </c>
      <c r="K1646" s="732"/>
      <c r="L1646" s="715"/>
    </row>
    <row r="1647" spans="1:12" ht="9.1999999999999993" customHeight="1">
      <c r="B1647" s="720"/>
      <c r="C1647" s="717"/>
      <c r="D1647" s="717"/>
      <c r="E1647" s="710">
        <v>2</v>
      </c>
      <c r="F1647" s="718" t="s">
        <v>244</v>
      </c>
      <c r="G1647" s="718"/>
      <c r="H1647" s="718"/>
      <c r="I1647" s="729"/>
      <c r="J1647" s="714">
        <f>VLOOKUP(C1626,'Luong VP'!$B$10:$AP$189,39,0)</f>
        <v>0</v>
      </c>
      <c r="K1647" s="734"/>
      <c r="L1647" s="735"/>
    </row>
    <row r="1648" spans="1:12" ht="9.1999999999999993" customHeight="1">
      <c r="B1648" s="720"/>
      <c r="C1648" s="717"/>
      <c r="D1648" s="717"/>
      <c r="E1648" s="710"/>
      <c r="F1648" s="718" t="s">
        <v>699</v>
      </c>
      <c r="G1648" s="718"/>
      <c r="H1648" s="718"/>
      <c r="I1648" s="729"/>
      <c r="J1648" s="714"/>
      <c r="K1648" s="714"/>
      <c r="L1648" s="736"/>
    </row>
    <row r="1649" spans="1:12" ht="9.1999999999999993" customHeight="1">
      <c r="B1649" s="720"/>
      <c r="C1649" s="717"/>
      <c r="D1649" s="717"/>
      <c r="E1649" s="710" t="s">
        <v>700</v>
      </c>
      <c r="F1649" s="710" t="s">
        <v>246</v>
      </c>
      <c r="G1649" s="710"/>
      <c r="H1649" s="710"/>
      <c r="I1649" s="729"/>
      <c r="J1649" s="728">
        <f>J1644-J1645</f>
        <v>33381.153846153844</v>
      </c>
      <c r="K1649" s="728">
        <f>ROUND(J1649,-1)</f>
        <v>33380</v>
      </c>
      <c r="L1649" s="710"/>
    </row>
    <row r="1650" spans="1:12" ht="9.1999999999999993" customHeight="1">
      <c r="B1650" s="720"/>
      <c r="C1650" s="717"/>
      <c r="D1650" s="717"/>
      <c r="E1650" s="715"/>
      <c r="F1650" s="715"/>
      <c r="G1650" s="715"/>
      <c r="I1650" s="715" t="s">
        <v>701</v>
      </c>
      <c r="J1650" s="737"/>
      <c r="K1650" s="737"/>
      <c r="L1650" s="715"/>
    </row>
    <row r="1651" spans="1:12" ht="9.1999999999999993" customHeight="1">
      <c r="B1651" s="720"/>
      <c r="C1651" s="717"/>
      <c r="D1651" s="717"/>
      <c r="E1651" s="715"/>
      <c r="F1651" s="715"/>
      <c r="G1651" s="715"/>
      <c r="I1651" s="715"/>
      <c r="J1651" s="737"/>
      <c r="K1651" s="737"/>
      <c r="L1651" s="715"/>
    </row>
    <row r="1652" spans="1:12" ht="9.1999999999999993" customHeight="1">
      <c r="B1652" s="720"/>
      <c r="C1652" s="717"/>
      <c r="D1652" s="717"/>
      <c r="E1652" s="715"/>
      <c r="F1652" s="715"/>
      <c r="G1652" s="715"/>
      <c r="I1652" s="715"/>
      <c r="J1652" s="737"/>
      <c r="K1652" s="737"/>
      <c r="L1652" s="715"/>
    </row>
    <row r="1653" spans="1:12" ht="9.1999999999999993" customHeight="1">
      <c r="B1653" s="720"/>
      <c r="C1653" s="717"/>
      <c r="D1653" s="717"/>
      <c r="E1653" s="715"/>
      <c r="F1653" s="715"/>
      <c r="G1653" s="715"/>
      <c r="I1653" s="715"/>
      <c r="J1653" s="737"/>
      <c r="K1653" s="737"/>
      <c r="L1653" s="715"/>
    </row>
    <row r="1655" spans="1:12" ht="9.1999999999999993" customHeight="1">
      <c r="C1655" s="696"/>
      <c r="D1655" s="696"/>
      <c r="E1655" s="697" t="str">
        <f>$E$2</f>
        <v>THẺ LƯƠNG THÁNG 08/2019</v>
      </c>
      <c r="F1655" s="698"/>
      <c r="G1655" s="698"/>
      <c r="H1655" s="698"/>
    </row>
    <row r="1656" spans="1:12" ht="9.1999999999999993" customHeight="1">
      <c r="B1656" s="699" t="s">
        <v>644</v>
      </c>
      <c r="C1656" s="700" t="s">
        <v>366</v>
      </c>
      <c r="D1656" s="701"/>
      <c r="F1656" s="702" t="s">
        <v>645</v>
      </c>
      <c r="G1656" s="689" t="str">
        <f>VLOOKUP(C1656,'Luong VP'!$B$10:$AP$189,2,0)</f>
        <v xml:space="preserve"> Nguyễn Anh Tuấn </v>
      </c>
    </row>
    <row r="1657" spans="1:12" ht="9.1999999999999993" customHeight="1">
      <c r="B1657" s="699" t="s">
        <v>646</v>
      </c>
      <c r="C1657" s="689" t="str">
        <f>VLOOKUP(C1656,'Luong VP'!$B$10:$AP$189,3,0)</f>
        <v>Trưởng BP NCUDSP</v>
      </c>
      <c r="F1657" s="702" t="s">
        <v>647</v>
      </c>
      <c r="G1657" s="689">
        <f>VLOOKUP(C1656,'Luong VP'!$B$10:$AP$189,5,0)</f>
        <v>1</v>
      </c>
    </row>
    <row r="1658" spans="1:12" ht="9.1999999999999993" customHeight="1">
      <c r="B1658" s="703"/>
      <c r="C1658" s="704"/>
      <c r="D1658" s="705"/>
      <c r="F1658" s="706" t="s">
        <v>648</v>
      </c>
      <c r="G1658" s="706"/>
      <c r="H1658" s="706"/>
      <c r="I1658" s="725"/>
      <c r="J1658" s="726"/>
    </row>
    <row r="1659" spans="1:12" ht="9.1999999999999993" customHeight="1">
      <c r="A1659" s="707" t="s">
        <v>216</v>
      </c>
      <c r="B1659" s="707" t="s">
        <v>649</v>
      </c>
      <c r="C1659" s="708" t="s">
        <v>650</v>
      </c>
      <c r="D1659" s="709"/>
      <c r="E1659" s="710" t="s">
        <v>216</v>
      </c>
      <c r="F1659" s="711" t="s">
        <v>649</v>
      </c>
      <c r="G1659" s="710"/>
      <c r="H1659" s="710" t="s">
        <v>651</v>
      </c>
      <c r="I1659" s="727" t="s">
        <v>652</v>
      </c>
      <c r="J1659" s="714"/>
      <c r="L1659" s="694" t="s">
        <v>653</v>
      </c>
    </row>
    <row r="1660" spans="1:12" ht="9.1999999999999993" customHeight="1">
      <c r="A1660" s="712">
        <v>1</v>
      </c>
      <c r="B1660" s="713" t="s">
        <v>654</v>
      </c>
      <c r="C1660" s="714">
        <f>VLOOKUP(C1656,'Luong VP'!$B$10:$AP$189,9,0)</f>
        <v>12030</v>
      </c>
      <c r="D1660" s="715"/>
      <c r="E1660" s="710" t="s">
        <v>655</v>
      </c>
      <c r="F1660" s="716" t="s">
        <v>656</v>
      </c>
      <c r="G1660" s="710"/>
      <c r="H1660" s="710"/>
      <c r="I1660" s="727"/>
      <c r="J1660" s="714">
        <f>VLOOKUP(C1656,'Luong VP'!$B$10:$AP$189,21,0)</f>
        <v>12030</v>
      </c>
    </row>
    <row r="1661" spans="1:12" ht="9.1999999999999993" customHeight="1">
      <c r="A1661" s="712">
        <v>2</v>
      </c>
      <c r="B1661" s="713" t="s">
        <v>658</v>
      </c>
      <c r="C1661" s="714"/>
      <c r="D1661" s="717"/>
      <c r="E1661" s="710">
        <v>1</v>
      </c>
      <c r="F1661" s="718" t="s">
        <v>659</v>
      </c>
      <c r="G1661" s="718"/>
      <c r="H1661" s="710" t="s">
        <v>660</v>
      </c>
      <c r="I1661" s="727">
        <f>VLOOKUP(C1656,'Luong VP'!$B$10:$AP$189,22,0)</f>
        <v>26</v>
      </c>
      <c r="J1661" s="728">
        <f>J1660/'Cham cong'!$AS$3*I1661</f>
        <v>12030</v>
      </c>
    </row>
    <row r="1662" spans="1:12" ht="9.1999999999999993" customHeight="1">
      <c r="A1662" s="712">
        <v>3</v>
      </c>
      <c r="B1662" s="713" t="s">
        <v>661</v>
      </c>
      <c r="C1662" s="714">
        <f>VLOOKUP(C1656,'Luong VP'!$B$10:$AP$189,10,0)</f>
        <v>0</v>
      </c>
      <c r="D1662" s="717"/>
      <c r="E1662" s="710">
        <v>2</v>
      </c>
      <c r="F1662" s="718" t="s">
        <v>662</v>
      </c>
      <c r="G1662" s="718"/>
      <c r="H1662" s="710" t="s">
        <v>660</v>
      </c>
      <c r="I1662" s="727">
        <f>VLOOKUP(C1656,'Luong VP'!$B$10:$AP$189,27,0)</f>
        <v>0</v>
      </c>
      <c r="J1662" s="728">
        <f>J1660/'Cham cong'!$AS$3*I1662*3</f>
        <v>0</v>
      </c>
    </row>
    <row r="1663" spans="1:12" ht="9.1999999999999993" customHeight="1">
      <c r="A1663" s="712">
        <v>4</v>
      </c>
      <c r="B1663" s="713" t="s">
        <v>666</v>
      </c>
      <c r="C1663" s="714">
        <f>VLOOKUP(C1656,'Luong VP'!$B$10:$AP$189,11,0)</f>
        <v>0</v>
      </c>
      <c r="D1663" s="717"/>
      <c r="E1663" s="710">
        <v>3</v>
      </c>
      <c r="F1663" s="718" t="s">
        <v>667</v>
      </c>
      <c r="G1663" s="718"/>
      <c r="H1663" s="710" t="s">
        <v>668</v>
      </c>
      <c r="I1663" s="727">
        <f>VLOOKUP(C1656,'Luong VP'!$B$10:$AP$189,26,0)</f>
        <v>0</v>
      </c>
      <c r="J1663" s="728">
        <f>J1660/'Cham cong'!$AS$3*I1663/8*1.5</f>
        <v>0</v>
      </c>
    </row>
    <row r="1664" spans="1:12" ht="9.1999999999999993" customHeight="1">
      <c r="A1664" s="712">
        <v>5</v>
      </c>
      <c r="B1664" s="713" t="s">
        <v>670</v>
      </c>
      <c r="C1664" s="714">
        <f>VLOOKUP(C1656,'Luong VP'!$B$10:$AP$189,12,0)</f>
        <v>0</v>
      </c>
      <c r="D1664" s="717"/>
      <c r="E1664" s="710">
        <v>4</v>
      </c>
      <c r="F1664" s="718" t="s">
        <v>671</v>
      </c>
      <c r="G1664" s="718"/>
      <c r="H1664" s="710" t="s">
        <v>668</v>
      </c>
      <c r="I1664" s="727">
        <f>VLOOKUP(C1656,'Luong VP'!$B$10:$AP$189,25,0)</f>
        <v>0</v>
      </c>
      <c r="J1664" s="728">
        <f>J1660/'Cham cong'!$AS$3*I1664/8*2</f>
        <v>0</v>
      </c>
    </row>
    <row r="1665" spans="1:12" ht="9.1999999999999993" customHeight="1">
      <c r="A1665" s="712">
        <v>6</v>
      </c>
      <c r="B1665" s="713" t="s">
        <v>673</v>
      </c>
      <c r="C1665" s="714">
        <f>VLOOKUP(C1656,'Luong VP'!$B$10:$AP$189,13,0)</f>
        <v>0</v>
      </c>
      <c r="D1665" s="717"/>
      <c r="E1665" s="710">
        <v>5</v>
      </c>
      <c r="F1665" s="718" t="s">
        <v>674</v>
      </c>
      <c r="G1665" s="718"/>
      <c r="H1665" s="710" t="s">
        <v>660</v>
      </c>
      <c r="I1665" s="727">
        <f>VLOOKUP(C1656,'Luong VP'!$B$10:$AP$189,23,0)</f>
        <v>0</v>
      </c>
      <c r="J1665" s="728">
        <f>C1660/'Cham cong'!$AS$3*I1665</f>
        <v>0</v>
      </c>
      <c r="L1665" s="694" t="str">
        <f>G1656</f>
        <v xml:space="preserve"> Nguyễn Anh Tuấn </v>
      </c>
    </row>
    <row r="1666" spans="1:12" ht="9.1999999999999993" customHeight="1">
      <c r="A1666" s="712">
        <v>7</v>
      </c>
      <c r="B1666" s="713" t="s">
        <v>676</v>
      </c>
      <c r="C1666" s="714"/>
      <c r="D1666" s="717"/>
      <c r="E1666" s="710">
        <v>6</v>
      </c>
      <c r="F1666" s="718" t="s">
        <v>677</v>
      </c>
      <c r="G1666" s="718"/>
      <c r="H1666" s="710" t="s">
        <v>660</v>
      </c>
      <c r="I1666" s="727">
        <f>VLOOKUP(C1656,'Luong VP'!$B$10:$AP$189,24,0)</f>
        <v>1</v>
      </c>
      <c r="J1666" s="714">
        <f>C1660/'Cham cong'!$AS$3*I1666</f>
        <v>462.69230769230768</v>
      </c>
    </row>
    <row r="1667" spans="1:12" ht="9.1999999999999993" customHeight="1">
      <c r="A1667" s="712">
        <v>8</v>
      </c>
      <c r="B1667" s="713" t="s">
        <v>679</v>
      </c>
      <c r="C1667" s="714">
        <f>VLOOKUP(C1656,'Luong VP'!$B$10:$AP$189,14,0)</f>
        <v>0</v>
      </c>
      <c r="D1667" s="717"/>
      <c r="E1667" s="710">
        <v>7</v>
      </c>
      <c r="F1667" s="718" t="s">
        <v>680</v>
      </c>
      <c r="G1667" s="718"/>
      <c r="H1667" s="718"/>
      <c r="I1667" s="729"/>
      <c r="J1667" s="714">
        <f>VLOOKUP(C1656,'Luong VP'!$B$10:$AP$189,28,0)</f>
        <v>0</v>
      </c>
    </row>
    <row r="1668" spans="1:12" ht="9.1999999999999993" customHeight="1">
      <c r="A1668" s="712">
        <v>9</v>
      </c>
      <c r="B1668" s="713" t="s">
        <v>683</v>
      </c>
      <c r="C1668" s="714">
        <f>VLOOKUP(C1656,'Luong VP'!$B$10:$AP$189,15,0)</f>
        <v>0</v>
      </c>
      <c r="D1668" s="717"/>
      <c r="E1668" s="710">
        <v>8</v>
      </c>
      <c r="F1668" s="718" t="s">
        <v>238</v>
      </c>
      <c r="G1668" s="718"/>
      <c r="H1668" s="718"/>
      <c r="I1668" s="729"/>
      <c r="J1668" s="714">
        <f>VLOOKUP(C1656,'Luong VP'!$B$10:$AP$189,33,0)</f>
        <v>0</v>
      </c>
    </row>
    <row r="1669" spans="1:12" ht="9.1999999999999993" customHeight="1">
      <c r="A1669" s="712">
        <v>10</v>
      </c>
      <c r="B1669" s="713" t="s">
        <v>685</v>
      </c>
      <c r="C1669" s="714">
        <f>VLOOKUP(C1656,'Luong VP'!$B$10:$AP$189,16,0)</f>
        <v>0</v>
      </c>
      <c r="D1669" s="717"/>
      <c r="E1669" s="710" t="s">
        <v>686</v>
      </c>
      <c r="F1669" s="716" t="s">
        <v>687</v>
      </c>
      <c r="G1669" s="719"/>
      <c r="H1669" s="719"/>
      <c r="I1669" s="729"/>
      <c r="J1669" s="730"/>
    </row>
    <row r="1670" spans="1:12" ht="9.1999999999999993" customHeight="1">
      <c r="A1670" s="712">
        <v>11</v>
      </c>
      <c r="B1670" s="713" t="s">
        <v>688</v>
      </c>
      <c r="C1670" s="714">
        <f>VLOOKUP(C1656,'Luong VP'!$B$10:$AP$189,17,0)</f>
        <v>0</v>
      </c>
      <c r="D1670" s="717"/>
      <c r="E1670" s="710">
        <v>1</v>
      </c>
      <c r="F1670" s="716" t="s">
        <v>689</v>
      </c>
      <c r="G1670" s="719"/>
      <c r="H1670" s="719"/>
      <c r="I1670" s="714">
        <f>VLOOKUP(C1656,'Luong VP'!$B$10:$AP$189,30,0)</f>
        <v>0</v>
      </c>
      <c r="J1670" s="714">
        <f>VLOOKUP(C1656,'Luong VP'!$B$10:$AP$189,30,0)</f>
        <v>0</v>
      </c>
    </row>
    <row r="1671" spans="1:12" ht="9.1999999999999993" customHeight="1">
      <c r="A1671" s="712">
        <v>12</v>
      </c>
      <c r="B1671" s="713" t="s">
        <v>691</v>
      </c>
      <c r="C1671" s="714">
        <f>VLOOKUP(C1656,'Luong VP'!$B$10:$AP$189,18,0)</f>
        <v>0</v>
      </c>
      <c r="D1671" s="717"/>
      <c r="E1671" s="710">
        <v>2</v>
      </c>
      <c r="F1671" s="718" t="s">
        <v>239</v>
      </c>
      <c r="G1671" s="718"/>
      <c r="H1671" s="718"/>
      <c r="I1671" s="727"/>
      <c r="J1671" s="728">
        <f>VLOOKUP(C1656,'Luong VP'!$B$10:$AP$189,34,0)</f>
        <v>0</v>
      </c>
      <c r="K1671" s="731"/>
      <c r="L1671" s="715"/>
    </row>
    <row r="1672" spans="1:12" ht="9.1999999999999993" customHeight="1">
      <c r="A1672" s="712">
        <v>13</v>
      </c>
      <c r="B1672" s="713" t="s">
        <v>692</v>
      </c>
      <c r="C1672" s="714">
        <f>VLOOKUP(C1656,'Luong VP'!$B$10:$AP$189,19,0)</f>
        <v>0</v>
      </c>
      <c r="D1672" s="717"/>
      <c r="E1672" s="710">
        <v>3</v>
      </c>
      <c r="F1672" s="716" t="s">
        <v>693</v>
      </c>
      <c r="G1672" s="719"/>
      <c r="H1672" s="719"/>
      <c r="I1672" s="729"/>
      <c r="J1672" s="714">
        <f>VLOOKUP(C1656,'Luong VP'!$B$10:$AP$189,40,0)</f>
        <v>0</v>
      </c>
      <c r="K1672" s="731"/>
      <c r="L1672" s="715"/>
    </row>
    <row r="1673" spans="1:12" ht="9.1999999999999993" customHeight="1">
      <c r="A1673" s="712">
        <v>14</v>
      </c>
      <c r="B1673" s="713" t="s">
        <v>694</v>
      </c>
      <c r="C1673" s="714">
        <f>VLOOKUP(C1656,'Luong VP'!$B$10:$AP$189,20,0)</f>
        <v>0</v>
      </c>
      <c r="D1673" s="717"/>
      <c r="E1673" s="710">
        <v>4</v>
      </c>
      <c r="F1673" s="718" t="s">
        <v>695</v>
      </c>
      <c r="G1673" s="719"/>
      <c r="H1673" s="719"/>
      <c r="I1673" s="729"/>
      <c r="J1673" s="714">
        <f>VLOOKUP(C1656,'Luong VP'!$B$10:$AP$189,35,0)</f>
        <v>3000</v>
      </c>
      <c r="K1673" s="732"/>
      <c r="L1673" s="715"/>
    </row>
    <row r="1674" spans="1:12" ht="9.1999999999999993" customHeight="1">
      <c r="A1674" s="712"/>
      <c r="B1674" s="707" t="s">
        <v>656</v>
      </c>
      <c r="C1674" s="714">
        <f>SUM(C1660:C1673)</f>
        <v>12030</v>
      </c>
      <c r="D1674" s="717"/>
      <c r="E1674" s="710"/>
      <c r="F1674" s="716" t="s">
        <v>241</v>
      </c>
      <c r="G1674" s="719"/>
      <c r="H1674" s="719"/>
      <c r="I1674" s="729"/>
      <c r="J1674" s="730">
        <f>SUM(J1661:J1673)+C1668</f>
        <v>15492.692307692309</v>
      </c>
      <c r="K1674" s="731"/>
      <c r="L1674" s="715"/>
    </row>
    <row r="1675" spans="1:12" ht="9.1999999999999993" customHeight="1">
      <c r="B1675" s="720"/>
      <c r="C1675" s="717"/>
      <c r="D1675" s="717"/>
      <c r="E1675" s="710" t="s">
        <v>696</v>
      </c>
      <c r="F1675" s="711" t="s">
        <v>697</v>
      </c>
      <c r="G1675" s="710"/>
      <c r="H1675" s="710"/>
      <c r="I1675" s="729"/>
      <c r="J1675" s="730">
        <f>SUM(J1676:J1678)</f>
        <v>5525</v>
      </c>
      <c r="K1675" s="732"/>
      <c r="L1675" s="715"/>
    </row>
    <row r="1676" spans="1:12" ht="9.1999999999999993" customHeight="1">
      <c r="B1676" s="720"/>
      <c r="C1676" s="717"/>
      <c r="D1676" s="717"/>
      <c r="E1676" s="710">
        <v>1</v>
      </c>
      <c r="F1676" s="718" t="s">
        <v>698</v>
      </c>
      <c r="G1676" s="718"/>
      <c r="H1676" s="718"/>
      <c r="I1676" s="733"/>
      <c r="J1676" s="714">
        <f>VLOOKUP(C1656,'Luong VP'!$B$10:$AP$189,37,0)</f>
        <v>525</v>
      </c>
      <c r="K1676" s="732"/>
      <c r="L1676" s="715"/>
    </row>
    <row r="1677" spans="1:12" ht="9.1999999999999993" customHeight="1">
      <c r="B1677" s="720"/>
      <c r="C1677" s="717"/>
      <c r="D1677" s="717"/>
      <c r="E1677" s="710">
        <v>2</v>
      </c>
      <c r="F1677" s="718" t="s">
        <v>244</v>
      </c>
      <c r="G1677" s="718"/>
      <c r="H1677" s="718"/>
      <c r="I1677" s="729"/>
      <c r="J1677" s="714">
        <f>VLOOKUP(C1656,'Luong VP'!$B$10:$AP$189,39,0)</f>
        <v>5000</v>
      </c>
      <c r="K1677" s="734"/>
      <c r="L1677" s="735"/>
    </row>
    <row r="1678" spans="1:12" ht="9.1999999999999993" customHeight="1">
      <c r="B1678" s="720"/>
      <c r="C1678" s="717"/>
      <c r="D1678" s="717"/>
      <c r="E1678" s="710"/>
      <c r="F1678" s="718" t="s">
        <v>699</v>
      </c>
      <c r="G1678" s="718"/>
      <c r="H1678" s="718"/>
      <c r="I1678" s="729"/>
      <c r="J1678" s="714"/>
      <c r="K1678" s="714"/>
      <c r="L1678" s="736"/>
    </row>
    <row r="1679" spans="1:12" ht="9.1999999999999993" customHeight="1">
      <c r="B1679" s="720"/>
      <c r="C1679" s="717"/>
      <c r="D1679" s="717"/>
      <c r="E1679" s="710" t="s">
        <v>700</v>
      </c>
      <c r="F1679" s="710" t="s">
        <v>246</v>
      </c>
      <c r="G1679" s="710"/>
      <c r="H1679" s="710"/>
      <c r="I1679" s="729"/>
      <c r="J1679" s="728">
        <f>J1674-J1675</f>
        <v>9967.6923076923085</v>
      </c>
      <c r="K1679" s="728">
        <f>ROUND(J1679,-1)</f>
        <v>9970</v>
      </c>
      <c r="L1679" s="710"/>
    </row>
    <row r="1680" spans="1:12" ht="9.1999999999999993" customHeight="1">
      <c r="B1680" s="720"/>
      <c r="C1680" s="717"/>
      <c r="D1680" s="717"/>
      <c r="E1680" s="715"/>
      <c r="F1680" s="715"/>
      <c r="G1680" s="715"/>
      <c r="I1680" s="715" t="s">
        <v>701</v>
      </c>
      <c r="J1680" s="737"/>
      <c r="K1680" s="737"/>
      <c r="L1680" s="715"/>
    </row>
    <row r="1681" spans="1:12" ht="9.1999999999999993" customHeight="1">
      <c r="B1681" s="720"/>
      <c r="C1681" s="717"/>
      <c r="D1681" s="717"/>
      <c r="E1681" s="715"/>
      <c r="F1681" s="715"/>
      <c r="G1681" s="715"/>
      <c r="I1681" s="715"/>
      <c r="J1681" s="737"/>
      <c r="K1681" s="737"/>
      <c r="L1681" s="715"/>
    </row>
    <row r="1682" spans="1:12" ht="9.1999999999999993" customHeight="1">
      <c r="B1682" s="720"/>
      <c r="C1682" s="717"/>
      <c r="D1682" s="717"/>
      <c r="E1682" s="715"/>
      <c r="F1682" s="715"/>
      <c r="G1682" s="715"/>
      <c r="I1682" s="715"/>
      <c r="J1682" s="737"/>
      <c r="K1682" s="737"/>
      <c r="L1682" s="715"/>
    </row>
    <row r="1683" spans="1:12" ht="9.1999999999999993" customHeight="1">
      <c r="B1683" s="720"/>
      <c r="C1683" s="717"/>
      <c r="D1683" s="717"/>
      <c r="E1683" s="715"/>
      <c r="F1683" s="715"/>
      <c r="G1683" s="715"/>
      <c r="I1683" s="715"/>
      <c r="J1683" s="737"/>
      <c r="K1683" s="737"/>
      <c r="L1683" s="715"/>
    </row>
    <row r="1684" spans="1:12" ht="9.1999999999999993" customHeight="1">
      <c r="B1684" s="720"/>
      <c r="C1684" s="717"/>
      <c r="D1684" s="717"/>
      <c r="E1684" s="715"/>
      <c r="F1684" s="715"/>
      <c r="G1684" s="715"/>
      <c r="I1684" s="715"/>
      <c r="J1684" s="737"/>
      <c r="K1684" s="737"/>
      <c r="L1684" s="715"/>
    </row>
    <row r="1685" spans="1:12" ht="9.1999999999999993" customHeight="1">
      <c r="C1685" s="696"/>
      <c r="D1685" s="696"/>
      <c r="E1685" s="697" t="str">
        <f>$E$2</f>
        <v>THẺ LƯƠNG THÁNG 08/2019</v>
      </c>
      <c r="F1685" s="698"/>
      <c r="G1685" s="698"/>
      <c r="H1685" s="698"/>
    </row>
    <row r="1686" spans="1:12" ht="9.1999999999999993" customHeight="1">
      <c r="B1686" s="699" t="s">
        <v>644</v>
      </c>
      <c r="C1686" s="700" t="s">
        <v>1316</v>
      </c>
      <c r="D1686" s="701"/>
      <c r="F1686" s="1523" t="s">
        <v>645</v>
      </c>
      <c r="G1686" s="689" t="str">
        <f>VLOOKUP(C1686,'Luong VP'!$B$10:$AP$189,2,0)</f>
        <v>Nguyễn Bảo Huy</v>
      </c>
    </row>
    <row r="1687" spans="1:12" ht="9.1999999999999993" customHeight="1">
      <c r="B1687" s="699" t="s">
        <v>646</v>
      </c>
      <c r="C1687" s="689" t="str">
        <f>VLOOKUP(C1686,'Luong VP'!$B$10:$AP$189,3,0)</f>
        <v>CV NCUDSP</v>
      </c>
      <c r="F1687" s="1523" t="s">
        <v>647</v>
      </c>
      <c r="G1687" s="689">
        <f>VLOOKUP(C1686,'Luong VP'!$B$10:$AP$189,5,0)</f>
        <v>3</v>
      </c>
    </row>
    <row r="1688" spans="1:12" ht="9.1999999999999993" customHeight="1">
      <c r="B1688" s="703"/>
      <c r="C1688" s="704"/>
      <c r="D1688" s="705"/>
      <c r="F1688" s="706" t="s">
        <v>648</v>
      </c>
      <c r="G1688" s="706"/>
      <c r="H1688" s="706"/>
      <c r="I1688" s="725"/>
      <c r="J1688" s="726"/>
    </row>
    <row r="1689" spans="1:12" ht="9.1999999999999993" customHeight="1">
      <c r="A1689" s="707" t="s">
        <v>216</v>
      </c>
      <c r="B1689" s="707" t="s">
        <v>649</v>
      </c>
      <c r="C1689" s="708" t="s">
        <v>650</v>
      </c>
      <c r="D1689" s="709"/>
      <c r="E1689" s="710" t="s">
        <v>216</v>
      </c>
      <c r="F1689" s="711" t="s">
        <v>649</v>
      </c>
      <c r="G1689" s="710"/>
      <c r="H1689" s="710" t="s">
        <v>651</v>
      </c>
      <c r="I1689" s="727" t="s">
        <v>652</v>
      </c>
      <c r="J1689" s="714"/>
      <c r="L1689" s="694" t="s">
        <v>653</v>
      </c>
    </row>
    <row r="1690" spans="1:12" ht="9.1999999999999993" customHeight="1">
      <c r="A1690" s="712">
        <v>1</v>
      </c>
      <c r="B1690" s="713" t="s">
        <v>654</v>
      </c>
      <c r="C1690" s="714">
        <f>VLOOKUP(C1686,'Luong VP'!$B$10:$AP$189,9,0)</f>
        <v>8840</v>
      </c>
      <c r="D1690" s="715"/>
      <c r="E1690" s="710" t="s">
        <v>655</v>
      </c>
      <c r="F1690" s="716" t="s">
        <v>656</v>
      </c>
      <c r="G1690" s="710"/>
      <c r="H1690" s="710"/>
      <c r="I1690" s="727"/>
      <c r="J1690" s="714">
        <f>VLOOKUP(C1686,'Luong VP'!$B$10:$AP$189,21,0)</f>
        <v>7514</v>
      </c>
    </row>
    <row r="1691" spans="1:12" ht="9.1999999999999993" customHeight="1">
      <c r="A1691" s="712">
        <v>2</v>
      </c>
      <c r="B1691" s="713" t="s">
        <v>658</v>
      </c>
      <c r="C1691" s="714"/>
      <c r="D1691" s="717"/>
      <c r="E1691" s="710">
        <v>1</v>
      </c>
      <c r="F1691" s="718" t="s">
        <v>659</v>
      </c>
      <c r="G1691" s="718"/>
      <c r="H1691" s="710" t="s">
        <v>660</v>
      </c>
      <c r="I1691" s="727">
        <f>VLOOKUP(C1686,'Luong VP'!$B$10:$AP$189,22,0)</f>
        <v>26</v>
      </c>
      <c r="J1691" s="728">
        <f>J1690/'Cham cong'!$AS$3*I1691</f>
        <v>7514</v>
      </c>
    </row>
    <row r="1692" spans="1:12" ht="9.1999999999999993" customHeight="1">
      <c r="A1692" s="712">
        <v>3</v>
      </c>
      <c r="B1692" s="713" t="s">
        <v>661</v>
      </c>
      <c r="C1692" s="714">
        <f>VLOOKUP(C1686,'Luong VP'!$B$10:$AP$189,10,0)</f>
        <v>0</v>
      </c>
      <c r="D1692" s="717"/>
      <c r="E1692" s="710">
        <v>2</v>
      </c>
      <c r="F1692" s="718" t="s">
        <v>662</v>
      </c>
      <c r="G1692" s="718"/>
      <c r="H1692" s="710" t="s">
        <v>660</v>
      </c>
      <c r="I1692" s="727">
        <f>VLOOKUP(C1686,'Luong VP'!$B$10:$AP$189,27,0)</f>
        <v>0</v>
      </c>
      <c r="J1692" s="728">
        <f>J1690/'Cham cong'!$AS$3*I1692*3</f>
        <v>0</v>
      </c>
    </row>
    <row r="1693" spans="1:12" ht="9.1999999999999993" customHeight="1">
      <c r="A1693" s="712">
        <v>4</v>
      </c>
      <c r="B1693" s="713" t="s">
        <v>666</v>
      </c>
      <c r="C1693" s="714">
        <f>VLOOKUP(C1686,'Luong VP'!$B$10:$AP$189,11,0)</f>
        <v>0</v>
      </c>
      <c r="D1693" s="717"/>
      <c r="E1693" s="710">
        <v>3</v>
      </c>
      <c r="F1693" s="718" t="s">
        <v>667</v>
      </c>
      <c r="G1693" s="718"/>
      <c r="H1693" s="710" t="s">
        <v>668</v>
      </c>
      <c r="I1693" s="727">
        <f>VLOOKUP(C1686,'Luong VP'!$B$10:$AP$189,26,0)</f>
        <v>0</v>
      </c>
      <c r="J1693" s="728">
        <f>J1690/'Cham cong'!$AS$3*I1693/8*1.5</f>
        <v>0</v>
      </c>
    </row>
    <row r="1694" spans="1:12" ht="9.1999999999999993" customHeight="1">
      <c r="A1694" s="712">
        <v>5</v>
      </c>
      <c r="B1694" s="713" t="s">
        <v>670</v>
      </c>
      <c r="C1694" s="714">
        <f>VLOOKUP(C1686,'Luong VP'!$B$10:$AP$189,12,0)</f>
        <v>0</v>
      </c>
      <c r="D1694" s="717"/>
      <c r="E1694" s="710">
        <v>4</v>
      </c>
      <c r="F1694" s="718" t="s">
        <v>671</v>
      </c>
      <c r="G1694" s="718"/>
      <c r="H1694" s="710" t="s">
        <v>668</v>
      </c>
      <c r="I1694" s="727">
        <f>VLOOKUP(C1686,'Luong VP'!$B$10:$AP$189,25,0)</f>
        <v>0</v>
      </c>
      <c r="J1694" s="728">
        <f>J1690/'Cham cong'!$AS$3*I1694/8*2</f>
        <v>0</v>
      </c>
    </row>
    <row r="1695" spans="1:12" ht="9.1999999999999993" customHeight="1">
      <c r="A1695" s="712">
        <v>6</v>
      </c>
      <c r="B1695" s="713" t="s">
        <v>673</v>
      </c>
      <c r="C1695" s="714">
        <f>VLOOKUP(C1686,'Luong VP'!$B$10:$AP$189,13,0)</f>
        <v>0</v>
      </c>
      <c r="D1695" s="717"/>
      <c r="E1695" s="710">
        <v>5</v>
      </c>
      <c r="F1695" s="718" t="s">
        <v>674</v>
      </c>
      <c r="G1695" s="718"/>
      <c r="H1695" s="710" t="s">
        <v>660</v>
      </c>
      <c r="I1695" s="727">
        <f>VLOOKUP(C1686,'Luong VP'!$B$10:$AP$189,23,0)</f>
        <v>0</v>
      </c>
      <c r="J1695" s="728">
        <f>C1690/'Cham cong'!$AS$3*I1695</f>
        <v>0</v>
      </c>
      <c r="L1695" s="694" t="str">
        <f>G1686</f>
        <v>Nguyễn Bảo Huy</v>
      </c>
    </row>
    <row r="1696" spans="1:12" ht="9.1999999999999993" customHeight="1">
      <c r="A1696" s="712">
        <v>7</v>
      </c>
      <c r="B1696" s="713" t="s">
        <v>676</v>
      </c>
      <c r="C1696" s="714"/>
      <c r="D1696" s="717"/>
      <c r="E1696" s="710">
        <v>6</v>
      </c>
      <c r="F1696" s="718" t="s">
        <v>677</v>
      </c>
      <c r="G1696" s="718"/>
      <c r="H1696" s="710" t="s">
        <v>660</v>
      </c>
      <c r="I1696" s="727">
        <f>VLOOKUP(C1686,'Luong VP'!$B$10:$AP$189,24,0)</f>
        <v>1</v>
      </c>
      <c r="J1696" s="714">
        <f>C1690/'Cham cong'!$AS$3*I1696</f>
        <v>340</v>
      </c>
    </row>
    <row r="1697" spans="1:12" ht="9.1999999999999993" customHeight="1">
      <c r="A1697" s="712">
        <v>8</v>
      </c>
      <c r="B1697" s="713" t="s">
        <v>679</v>
      </c>
      <c r="C1697" s="714">
        <f>VLOOKUP(C1686,'Luong VP'!$B$10:$AP$189,14,0)</f>
        <v>0</v>
      </c>
      <c r="D1697" s="717"/>
      <c r="E1697" s="710">
        <v>7</v>
      </c>
      <c r="F1697" s="718" t="s">
        <v>680</v>
      </c>
      <c r="G1697" s="718"/>
      <c r="H1697" s="718"/>
      <c r="I1697" s="729"/>
      <c r="J1697" s="714">
        <f>VLOOKUP(C1686,'Luong VP'!$B$10:$AP$189,28,0)</f>
        <v>0</v>
      </c>
    </row>
    <row r="1698" spans="1:12" ht="9.1999999999999993" customHeight="1">
      <c r="A1698" s="712">
        <v>9</v>
      </c>
      <c r="B1698" s="713" t="s">
        <v>683</v>
      </c>
      <c r="C1698" s="714">
        <f>VLOOKUP(C1686,'Luong VP'!$B$10:$AP$189,15,0)</f>
        <v>0</v>
      </c>
      <c r="D1698" s="717"/>
      <c r="E1698" s="710">
        <v>8</v>
      </c>
      <c r="F1698" s="718" t="s">
        <v>238</v>
      </c>
      <c r="G1698" s="718"/>
      <c r="H1698" s="718"/>
      <c r="I1698" s="729"/>
      <c r="J1698" s="714">
        <f>VLOOKUP(C1686,'Luong VP'!$B$10:$AP$189,33,0)</f>
        <v>0</v>
      </c>
    </row>
    <row r="1699" spans="1:12" ht="9.1999999999999993" customHeight="1">
      <c r="A1699" s="712">
        <v>10</v>
      </c>
      <c r="B1699" s="713" t="s">
        <v>685</v>
      </c>
      <c r="C1699" s="714">
        <f>VLOOKUP(C1686,'Luong VP'!$B$10:$AP$189,16,0)</f>
        <v>0</v>
      </c>
      <c r="D1699" s="717"/>
      <c r="E1699" s="710" t="s">
        <v>686</v>
      </c>
      <c r="F1699" s="716" t="s">
        <v>687</v>
      </c>
      <c r="G1699" s="719"/>
      <c r="H1699" s="719"/>
      <c r="I1699" s="729"/>
      <c r="J1699" s="730"/>
    </row>
    <row r="1700" spans="1:12" ht="9.1999999999999993" customHeight="1">
      <c r="A1700" s="712">
        <v>11</v>
      </c>
      <c r="B1700" s="713" t="s">
        <v>688</v>
      </c>
      <c r="C1700" s="714">
        <f>VLOOKUP(C1686,'Luong VP'!$B$10:$AP$189,17,0)</f>
        <v>0</v>
      </c>
      <c r="D1700" s="717"/>
      <c r="E1700" s="710">
        <v>1</v>
      </c>
      <c r="F1700" s="716" t="s">
        <v>689</v>
      </c>
      <c r="G1700" s="719"/>
      <c r="H1700" s="719"/>
      <c r="I1700" s="714">
        <f>VLOOKUP(C1686,'Luong VP'!$B$10:$AP$189,30,0)</f>
        <v>0</v>
      </c>
      <c r="J1700" s="714">
        <f>VLOOKUP(C1686,'Luong VP'!$B$10:$AP$189,30,0)</f>
        <v>0</v>
      </c>
    </row>
    <row r="1701" spans="1:12" ht="9.1999999999999993" customHeight="1">
      <c r="A1701" s="712">
        <v>12</v>
      </c>
      <c r="B1701" s="713" t="s">
        <v>691</v>
      </c>
      <c r="C1701" s="714">
        <f>VLOOKUP(C1686,'Luong VP'!$B$10:$AP$189,18,0)</f>
        <v>0</v>
      </c>
      <c r="D1701" s="717"/>
      <c r="E1701" s="710">
        <v>2</v>
      </c>
      <c r="F1701" s="718" t="s">
        <v>239</v>
      </c>
      <c r="G1701" s="718"/>
      <c r="H1701" s="718"/>
      <c r="I1701" s="727"/>
      <c r="J1701" s="728">
        <f>VLOOKUP(C1686,'Luong VP'!$B$10:$AP$189,34,0)</f>
        <v>0</v>
      </c>
      <c r="K1701" s="731"/>
      <c r="L1701" s="715"/>
    </row>
    <row r="1702" spans="1:12" ht="9.1999999999999993" customHeight="1">
      <c r="A1702" s="712">
        <v>13</v>
      </c>
      <c r="B1702" s="713" t="s">
        <v>692</v>
      </c>
      <c r="C1702" s="714">
        <f>VLOOKUP(C1686,'Luong VP'!$B$10:$AP$189,19,0)</f>
        <v>0</v>
      </c>
      <c r="D1702" s="717"/>
      <c r="E1702" s="710">
        <v>3</v>
      </c>
      <c r="F1702" s="716" t="s">
        <v>693</v>
      </c>
      <c r="G1702" s="719"/>
      <c r="H1702" s="719"/>
      <c r="I1702" s="729"/>
      <c r="J1702" s="714">
        <f>VLOOKUP(C1686,'Luong VP'!$B$10:$AP$189,40,0)</f>
        <v>0</v>
      </c>
      <c r="K1702" s="731"/>
      <c r="L1702" s="715"/>
    </row>
    <row r="1703" spans="1:12" ht="9.1999999999999993" customHeight="1">
      <c r="A1703" s="712">
        <v>14</v>
      </c>
      <c r="B1703" s="713" t="s">
        <v>694</v>
      </c>
      <c r="C1703" s="714">
        <f>VLOOKUP(C1686,'Luong VP'!$B$10:$AP$189,20,0)</f>
        <v>0</v>
      </c>
      <c r="D1703" s="717"/>
      <c r="E1703" s="710">
        <v>4</v>
      </c>
      <c r="F1703" s="718" t="s">
        <v>695</v>
      </c>
      <c r="G1703" s="719"/>
      <c r="H1703" s="719"/>
      <c r="I1703" s="729"/>
      <c r="J1703" s="714">
        <f>VLOOKUP(C1686,'Luong VP'!$B$10:$AP$189,35,0)</f>
        <v>0</v>
      </c>
      <c r="K1703" s="732"/>
      <c r="L1703" s="715"/>
    </row>
    <row r="1704" spans="1:12" ht="9.1999999999999993" customHeight="1">
      <c r="A1704" s="712"/>
      <c r="B1704" s="707" t="s">
        <v>656</v>
      </c>
      <c r="C1704" s="714">
        <f>SUM(C1690:C1703)</f>
        <v>8840</v>
      </c>
      <c r="D1704" s="717"/>
      <c r="E1704" s="710"/>
      <c r="F1704" s="716" t="s">
        <v>241</v>
      </c>
      <c r="G1704" s="719"/>
      <c r="H1704" s="719"/>
      <c r="I1704" s="729"/>
      <c r="J1704" s="730">
        <f>SUM(J1691:J1703)+C1698</f>
        <v>7854</v>
      </c>
      <c r="K1704" s="731"/>
      <c r="L1704" s="715"/>
    </row>
    <row r="1705" spans="1:12" ht="9.1999999999999993" customHeight="1">
      <c r="B1705" s="720"/>
      <c r="C1705" s="717"/>
      <c r="D1705" s="717"/>
      <c r="E1705" s="710" t="s">
        <v>696</v>
      </c>
      <c r="F1705" s="711" t="s">
        <v>697</v>
      </c>
      <c r="G1705" s="710"/>
      <c r="H1705" s="710"/>
      <c r="I1705" s="729"/>
      <c r="J1705" s="730">
        <f>SUM(J1706:J1708)</f>
        <v>0</v>
      </c>
      <c r="K1705" s="732"/>
      <c r="L1705" s="715"/>
    </row>
    <row r="1706" spans="1:12" ht="9.1999999999999993" customHeight="1">
      <c r="B1706" s="720"/>
      <c r="C1706" s="717"/>
      <c r="D1706" s="717"/>
      <c r="E1706" s="710">
        <v>1</v>
      </c>
      <c r="F1706" s="718" t="s">
        <v>698</v>
      </c>
      <c r="G1706" s="718"/>
      <c r="H1706" s="718"/>
      <c r="I1706" s="733"/>
      <c r="J1706" s="714">
        <f>VLOOKUP(C1686,'Luong VP'!$B$10:$AP$189,37,0)</f>
        <v>0</v>
      </c>
      <c r="K1706" s="732"/>
      <c r="L1706" s="715"/>
    </row>
    <row r="1707" spans="1:12" ht="9.1999999999999993" customHeight="1">
      <c r="B1707" s="720"/>
      <c r="C1707" s="717"/>
      <c r="D1707" s="717"/>
      <c r="E1707" s="710">
        <v>2</v>
      </c>
      <c r="F1707" s="718" t="s">
        <v>244</v>
      </c>
      <c r="G1707" s="718"/>
      <c r="H1707" s="718"/>
      <c r="I1707" s="729"/>
      <c r="J1707" s="714">
        <f>VLOOKUP(C1686,'Luong VP'!$B$10:$AP$189,39,0)</f>
        <v>0</v>
      </c>
      <c r="K1707" s="734"/>
      <c r="L1707" s="735"/>
    </row>
    <row r="1708" spans="1:12" ht="9.1999999999999993" customHeight="1">
      <c r="B1708" s="720"/>
      <c r="C1708" s="717"/>
      <c r="D1708" s="717"/>
      <c r="E1708" s="710"/>
      <c r="F1708" s="718" t="s">
        <v>699</v>
      </c>
      <c r="G1708" s="718"/>
      <c r="H1708" s="718"/>
      <c r="I1708" s="729"/>
      <c r="J1708" s="714"/>
      <c r="K1708" s="714"/>
      <c r="L1708" s="736"/>
    </row>
    <row r="1709" spans="1:12" ht="9.1999999999999993" customHeight="1">
      <c r="B1709" s="720"/>
      <c r="C1709" s="717"/>
      <c r="D1709" s="717"/>
      <c r="E1709" s="710" t="s">
        <v>700</v>
      </c>
      <c r="F1709" s="710" t="s">
        <v>246</v>
      </c>
      <c r="G1709" s="710"/>
      <c r="H1709" s="710"/>
      <c r="I1709" s="729"/>
      <c r="J1709" s="728">
        <f>J1704-J1705</f>
        <v>7854</v>
      </c>
      <c r="K1709" s="728">
        <f>ROUND(J1709,-1)</f>
        <v>7850</v>
      </c>
      <c r="L1709" s="710"/>
    </row>
    <row r="1710" spans="1:12" ht="9.1999999999999993" customHeight="1">
      <c r="B1710" s="720"/>
      <c r="C1710" s="717"/>
      <c r="D1710" s="717"/>
      <c r="E1710" s="715"/>
      <c r="F1710" s="715"/>
      <c r="G1710" s="715"/>
      <c r="I1710" s="715" t="s">
        <v>701</v>
      </c>
      <c r="J1710" s="737"/>
      <c r="K1710" s="737"/>
      <c r="L1710" s="715"/>
    </row>
    <row r="1711" spans="1:12" ht="9.1999999999999993" customHeight="1">
      <c r="B1711" s="720"/>
      <c r="C1711" s="717"/>
      <c r="D1711" s="717"/>
      <c r="E1711" s="715"/>
      <c r="F1711" s="715"/>
      <c r="G1711" s="715"/>
      <c r="I1711" s="715"/>
      <c r="J1711" s="737"/>
      <c r="K1711" s="737"/>
      <c r="L1711" s="715"/>
    </row>
    <row r="1712" spans="1:12" ht="9.1999999999999993" customHeight="1">
      <c r="B1712" s="720"/>
      <c r="C1712" s="717"/>
      <c r="D1712" s="717"/>
      <c r="E1712" s="715"/>
      <c r="F1712" s="715"/>
      <c r="G1712" s="715"/>
      <c r="I1712" s="715"/>
      <c r="J1712" s="737"/>
      <c r="K1712" s="737"/>
      <c r="L1712" s="715"/>
    </row>
    <row r="1715" spans="1:12" ht="9.1999999999999993" customHeight="1">
      <c r="C1715" s="696"/>
      <c r="D1715" s="696"/>
      <c r="E1715" s="697" t="str">
        <f>$E$2</f>
        <v>THẺ LƯƠNG THÁNG 08/2019</v>
      </c>
      <c r="F1715" s="698"/>
      <c r="G1715" s="698"/>
      <c r="H1715" s="698"/>
    </row>
    <row r="1716" spans="1:12" ht="9.1999999999999993" customHeight="1">
      <c r="B1716" s="699" t="s">
        <v>644</v>
      </c>
      <c r="C1716" s="700" t="s">
        <v>368</v>
      </c>
      <c r="D1716" s="701"/>
      <c r="F1716" s="702" t="s">
        <v>645</v>
      </c>
      <c r="G1716" s="689" t="str">
        <f>VLOOKUP(C1716,'Luong VP'!$B$10:$AP$189,2,0)</f>
        <v>Đặng Nguyễn Thế Anh</v>
      </c>
    </row>
    <row r="1717" spans="1:12" ht="9.1999999999999993" customHeight="1">
      <c r="B1717" s="699" t="s">
        <v>646</v>
      </c>
      <c r="C1717" s="689" t="str">
        <f>VLOOKUP(C1716,'Luong VP'!$B$10:$AP$189,3,0)</f>
        <v>NV Phòng thí nghiệm</v>
      </c>
      <c r="F1717" s="702" t="s">
        <v>647</v>
      </c>
      <c r="G1717" s="689">
        <f>VLOOKUP(C1716,'Luong VP'!$B$10:$AP$189,5,0)</f>
        <v>1</v>
      </c>
    </row>
    <row r="1718" spans="1:12" ht="9.1999999999999993" customHeight="1">
      <c r="B1718" s="703"/>
      <c r="C1718" s="704"/>
      <c r="D1718" s="705"/>
      <c r="F1718" s="706" t="s">
        <v>648</v>
      </c>
      <c r="G1718" s="706"/>
      <c r="H1718" s="706"/>
      <c r="I1718" s="725"/>
      <c r="J1718" s="726"/>
    </row>
    <row r="1719" spans="1:12" ht="9.1999999999999993" customHeight="1">
      <c r="A1719" s="707" t="s">
        <v>216</v>
      </c>
      <c r="B1719" s="707" t="s">
        <v>649</v>
      </c>
      <c r="C1719" s="708" t="s">
        <v>650</v>
      </c>
      <c r="D1719" s="709"/>
      <c r="E1719" s="710" t="s">
        <v>216</v>
      </c>
      <c r="F1719" s="711" t="s">
        <v>649</v>
      </c>
      <c r="G1719" s="710"/>
      <c r="H1719" s="710" t="s">
        <v>651</v>
      </c>
      <c r="I1719" s="727" t="s">
        <v>652</v>
      </c>
      <c r="J1719" s="714"/>
      <c r="L1719" s="694" t="s">
        <v>653</v>
      </c>
    </row>
    <row r="1720" spans="1:12" ht="9.1999999999999993" customHeight="1">
      <c r="A1720" s="712">
        <v>1</v>
      </c>
      <c r="B1720" s="713" t="s">
        <v>654</v>
      </c>
      <c r="C1720" s="714">
        <f>VLOOKUP(C1716,'Luong VP'!$B$10:$AP$189,9,0)</f>
        <v>7310</v>
      </c>
      <c r="D1720" s="715"/>
      <c r="E1720" s="710" t="s">
        <v>655</v>
      </c>
      <c r="F1720" s="716" t="s">
        <v>656</v>
      </c>
      <c r="G1720" s="710"/>
      <c r="H1720" s="710"/>
      <c r="I1720" s="727"/>
      <c r="J1720" s="714">
        <f>VLOOKUP(C1716,'Luong VP'!$B$10:$AP$189,21,0)</f>
        <v>7310</v>
      </c>
    </row>
    <row r="1721" spans="1:12" ht="9.1999999999999993" customHeight="1">
      <c r="A1721" s="712">
        <v>2</v>
      </c>
      <c r="B1721" s="713" t="s">
        <v>658</v>
      </c>
      <c r="C1721" s="714"/>
      <c r="D1721" s="717"/>
      <c r="E1721" s="710">
        <v>1</v>
      </c>
      <c r="F1721" s="718" t="s">
        <v>659</v>
      </c>
      <c r="G1721" s="718"/>
      <c r="H1721" s="710" t="s">
        <v>660</v>
      </c>
      <c r="I1721" s="727">
        <f>VLOOKUP(C1716,'Luong VP'!$B$10:$AP$189,22,0)</f>
        <v>26</v>
      </c>
      <c r="J1721" s="728">
        <f>J1720/'Cham cong'!$AS$3*I1721</f>
        <v>7309.9999999999991</v>
      </c>
    </row>
    <row r="1722" spans="1:12" ht="9.1999999999999993" customHeight="1">
      <c r="A1722" s="712">
        <v>3</v>
      </c>
      <c r="B1722" s="713" t="s">
        <v>661</v>
      </c>
      <c r="C1722" s="714">
        <f>VLOOKUP(C1716,'Luong VP'!$B$10:$AP$189,10,0)</f>
        <v>0</v>
      </c>
      <c r="D1722" s="717"/>
      <c r="E1722" s="710">
        <v>2</v>
      </c>
      <c r="F1722" s="718" t="s">
        <v>662</v>
      </c>
      <c r="G1722" s="718"/>
      <c r="H1722" s="710" t="s">
        <v>660</v>
      </c>
      <c r="I1722" s="727">
        <f>VLOOKUP(C1716,'Luong VP'!$B$10:$AP$189,27,0)</f>
        <v>0</v>
      </c>
      <c r="J1722" s="728">
        <f>J1720/'Cham cong'!$AS$3*I1722*3</f>
        <v>0</v>
      </c>
    </row>
    <row r="1723" spans="1:12" ht="9.1999999999999993" customHeight="1">
      <c r="A1723" s="712">
        <v>4</v>
      </c>
      <c r="B1723" s="713" t="s">
        <v>666</v>
      </c>
      <c r="C1723" s="714">
        <f>VLOOKUP(C1716,'Luong VP'!$B$10:$AP$189,11,0)</f>
        <v>0</v>
      </c>
      <c r="D1723" s="717"/>
      <c r="E1723" s="710">
        <v>3</v>
      </c>
      <c r="F1723" s="718" t="s">
        <v>667</v>
      </c>
      <c r="G1723" s="718"/>
      <c r="H1723" s="710" t="s">
        <v>668</v>
      </c>
      <c r="I1723" s="727">
        <f>VLOOKUP(C1716,'Luong VP'!$B$10:$AP$189,26,0)</f>
        <v>0</v>
      </c>
      <c r="J1723" s="728">
        <f>J1720/'Cham cong'!$AS$3*I1723/8*1.5</f>
        <v>0</v>
      </c>
    </row>
    <row r="1724" spans="1:12" ht="9.1999999999999993" customHeight="1">
      <c r="A1724" s="712">
        <v>5</v>
      </c>
      <c r="B1724" s="713" t="s">
        <v>670</v>
      </c>
      <c r="C1724" s="714">
        <f>VLOOKUP(C1716,'Luong VP'!$B$10:$AP$189,12,0)</f>
        <v>0</v>
      </c>
      <c r="D1724" s="717"/>
      <c r="E1724" s="710">
        <v>4</v>
      </c>
      <c r="F1724" s="718" t="s">
        <v>671</v>
      </c>
      <c r="G1724" s="718"/>
      <c r="H1724" s="710" t="s">
        <v>668</v>
      </c>
      <c r="I1724" s="727">
        <f>VLOOKUP(C1716,'Luong VP'!$B$10:$AP$189,25,0)</f>
        <v>0</v>
      </c>
      <c r="J1724" s="728">
        <f>J1720/'Cham cong'!$AS$3*I1724/8*2</f>
        <v>0</v>
      </c>
    </row>
    <row r="1725" spans="1:12" ht="9.1999999999999993" customHeight="1">
      <c r="A1725" s="712">
        <v>6</v>
      </c>
      <c r="B1725" s="713" t="s">
        <v>673</v>
      </c>
      <c r="C1725" s="714">
        <f>VLOOKUP(C1716,'Luong VP'!$B$10:$AP$189,13,0)</f>
        <v>0</v>
      </c>
      <c r="D1725" s="717"/>
      <c r="E1725" s="710">
        <v>5</v>
      </c>
      <c r="F1725" s="718" t="s">
        <v>674</v>
      </c>
      <c r="G1725" s="718"/>
      <c r="H1725" s="710" t="s">
        <v>660</v>
      </c>
      <c r="I1725" s="727">
        <f>VLOOKUP(C1716,'Luong VP'!$B$10:$AP$189,23,0)</f>
        <v>0</v>
      </c>
      <c r="J1725" s="728">
        <f>C1720/'Cham cong'!$AS$3*I1725</f>
        <v>0</v>
      </c>
      <c r="L1725" s="694" t="str">
        <f>G1716</f>
        <v>Đặng Nguyễn Thế Anh</v>
      </c>
    </row>
    <row r="1726" spans="1:12" ht="9.1999999999999993" customHeight="1">
      <c r="A1726" s="712">
        <v>7</v>
      </c>
      <c r="B1726" s="713" t="s">
        <v>676</v>
      </c>
      <c r="C1726" s="714"/>
      <c r="D1726" s="717"/>
      <c r="E1726" s="710">
        <v>6</v>
      </c>
      <c r="F1726" s="718" t="s">
        <v>677</v>
      </c>
      <c r="G1726" s="718"/>
      <c r="H1726" s="710" t="s">
        <v>660</v>
      </c>
      <c r="I1726" s="727">
        <f>VLOOKUP(C1716,'Luong VP'!$B$10:$AP$189,24,0)</f>
        <v>1</v>
      </c>
      <c r="J1726" s="714">
        <f>C1720/'Cham cong'!$AS$3*I1726</f>
        <v>281.15384615384613</v>
      </c>
    </row>
    <row r="1727" spans="1:12" ht="9.1999999999999993" customHeight="1">
      <c r="A1727" s="712">
        <v>8</v>
      </c>
      <c r="B1727" s="713" t="s">
        <v>679</v>
      </c>
      <c r="C1727" s="714">
        <f>VLOOKUP(C1716,'Luong VP'!$B$10:$AP$189,14,0)</f>
        <v>0</v>
      </c>
      <c r="D1727" s="717"/>
      <c r="E1727" s="710">
        <v>7</v>
      </c>
      <c r="F1727" s="718" t="s">
        <v>680</v>
      </c>
      <c r="G1727" s="718"/>
      <c r="H1727" s="718"/>
      <c r="I1727" s="729"/>
      <c r="J1727" s="714">
        <f>VLOOKUP(C1716,'Luong VP'!$B$10:$AP$189,28,0)</f>
        <v>0</v>
      </c>
    </row>
    <row r="1728" spans="1:12" ht="9.1999999999999993" customHeight="1">
      <c r="A1728" s="712">
        <v>9</v>
      </c>
      <c r="B1728" s="713" t="s">
        <v>683</v>
      </c>
      <c r="C1728" s="714">
        <f>VLOOKUP(C1716,'Luong VP'!$B$10:$AP$189,15,0)</f>
        <v>0</v>
      </c>
      <c r="D1728" s="717"/>
      <c r="E1728" s="710">
        <v>8</v>
      </c>
      <c r="F1728" s="718" t="s">
        <v>238</v>
      </c>
      <c r="G1728" s="718"/>
      <c r="H1728" s="718"/>
      <c r="I1728" s="729"/>
      <c r="J1728" s="714">
        <f>VLOOKUP(C1716,'Luong VP'!$B$10:$AP$189,33,0)</f>
        <v>0</v>
      </c>
    </row>
    <row r="1729" spans="1:12" ht="9.1999999999999993" customHeight="1">
      <c r="A1729" s="712">
        <v>10</v>
      </c>
      <c r="B1729" s="713" t="s">
        <v>685</v>
      </c>
      <c r="C1729" s="714">
        <f>VLOOKUP(C1716,'Luong VP'!$B$10:$AP$189,16,0)</f>
        <v>0</v>
      </c>
      <c r="D1729" s="717"/>
      <c r="E1729" s="710" t="s">
        <v>686</v>
      </c>
      <c r="F1729" s="716" t="s">
        <v>687</v>
      </c>
      <c r="G1729" s="719"/>
      <c r="H1729" s="719"/>
      <c r="I1729" s="729"/>
      <c r="J1729" s="730"/>
    </row>
    <row r="1730" spans="1:12" ht="9.1999999999999993" customHeight="1">
      <c r="A1730" s="712">
        <v>11</v>
      </c>
      <c r="B1730" s="713" t="s">
        <v>688</v>
      </c>
      <c r="C1730" s="714">
        <f>VLOOKUP(C1716,'Luong VP'!$B$10:$AP$189,17,0)</f>
        <v>0</v>
      </c>
      <c r="D1730" s="717"/>
      <c r="E1730" s="710">
        <v>1</v>
      </c>
      <c r="F1730" s="716" t="s">
        <v>689</v>
      </c>
      <c r="G1730" s="719"/>
      <c r="H1730" s="719"/>
      <c r="I1730" s="714">
        <f>VLOOKUP(C1716,'Luong VP'!$B$10:$AP$189,30,0)</f>
        <v>0</v>
      </c>
      <c r="J1730" s="714">
        <f>VLOOKUP(C1716,'Luong VP'!$B$10:$AP$189,30,0)</f>
        <v>0</v>
      </c>
    </row>
    <row r="1731" spans="1:12" ht="9.1999999999999993" customHeight="1">
      <c r="A1731" s="712">
        <v>12</v>
      </c>
      <c r="B1731" s="713" t="s">
        <v>691</v>
      </c>
      <c r="C1731" s="714">
        <f>VLOOKUP(C1716,'Luong VP'!$B$10:$AP$189,18,0)</f>
        <v>0</v>
      </c>
      <c r="D1731" s="717"/>
      <c r="E1731" s="710">
        <v>2</v>
      </c>
      <c r="F1731" s="718" t="s">
        <v>239</v>
      </c>
      <c r="G1731" s="718"/>
      <c r="H1731" s="718"/>
      <c r="I1731" s="727"/>
      <c r="J1731" s="728">
        <f>VLOOKUP(C1716,'Luong VP'!$B$10:$AP$189,34,0)</f>
        <v>0</v>
      </c>
      <c r="K1731" s="731"/>
      <c r="L1731" s="715"/>
    </row>
    <row r="1732" spans="1:12" ht="9.1999999999999993" customHeight="1">
      <c r="A1732" s="712">
        <v>13</v>
      </c>
      <c r="B1732" s="713" t="s">
        <v>692</v>
      </c>
      <c r="C1732" s="714">
        <f>VLOOKUP(C1716,'Luong VP'!$B$10:$AP$189,19,0)</f>
        <v>0</v>
      </c>
      <c r="D1732" s="717"/>
      <c r="E1732" s="710">
        <v>3</v>
      </c>
      <c r="F1732" s="716" t="s">
        <v>693</v>
      </c>
      <c r="G1732" s="719"/>
      <c r="H1732" s="719"/>
      <c r="I1732" s="729"/>
      <c r="J1732" s="714">
        <f>VLOOKUP(C1716,'Luong VP'!$B$10:$AP$189,40,0)</f>
        <v>0</v>
      </c>
      <c r="K1732" s="731"/>
      <c r="L1732" s="715"/>
    </row>
    <row r="1733" spans="1:12" ht="9.1999999999999993" customHeight="1">
      <c r="A1733" s="712">
        <v>14</v>
      </c>
      <c r="B1733" s="713" t="s">
        <v>694</v>
      </c>
      <c r="C1733" s="714">
        <f>VLOOKUP(C1716,'Luong VP'!$B$10:$AP$189,20,0)</f>
        <v>0</v>
      </c>
      <c r="D1733" s="717"/>
      <c r="E1733" s="710">
        <v>4</v>
      </c>
      <c r="F1733" s="718" t="s">
        <v>695</v>
      </c>
      <c r="G1733" s="719"/>
      <c r="H1733" s="719"/>
      <c r="I1733" s="729"/>
      <c r="J1733" s="714">
        <f>VLOOKUP(C1716,'Luong VP'!$B$10:$AP$189,35,0)</f>
        <v>0</v>
      </c>
      <c r="K1733" s="732"/>
      <c r="L1733" s="715"/>
    </row>
    <row r="1734" spans="1:12" ht="9.1999999999999993" customHeight="1">
      <c r="A1734" s="712"/>
      <c r="B1734" s="707" t="s">
        <v>656</v>
      </c>
      <c r="C1734" s="714">
        <f>SUM(C1720:C1733)</f>
        <v>7310</v>
      </c>
      <c r="D1734" s="717"/>
      <c r="E1734" s="710"/>
      <c r="F1734" s="716" t="s">
        <v>241</v>
      </c>
      <c r="G1734" s="719"/>
      <c r="H1734" s="719"/>
      <c r="I1734" s="729"/>
      <c r="J1734" s="730">
        <f>SUM(J1721:J1733)+C1728</f>
        <v>7591.1538461538448</v>
      </c>
      <c r="K1734" s="731"/>
      <c r="L1734" s="715"/>
    </row>
    <row r="1735" spans="1:12" ht="9.1999999999999993" customHeight="1">
      <c r="B1735" s="720"/>
      <c r="C1735" s="717"/>
      <c r="D1735" s="717"/>
      <c r="E1735" s="710" t="s">
        <v>696</v>
      </c>
      <c r="F1735" s="711" t="s">
        <v>697</v>
      </c>
      <c r="G1735" s="710"/>
      <c r="H1735" s="710"/>
      <c r="I1735" s="729"/>
      <c r="J1735" s="730">
        <f>SUM(J1736:J1738)</f>
        <v>504</v>
      </c>
      <c r="K1735" s="732"/>
      <c r="L1735" s="715"/>
    </row>
    <row r="1736" spans="1:12" ht="9.1999999999999993" customHeight="1">
      <c r="B1736" s="720"/>
      <c r="C1736" s="717"/>
      <c r="D1736" s="717"/>
      <c r="E1736" s="710">
        <v>1</v>
      </c>
      <c r="F1736" s="718" t="s">
        <v>698</v>
      </c>
      <c r="G1736" s="718"/>
      <c r="H1736" s="718"/>
      <c r="I1736" s="733"/>
      <c r="J1736" s="714">
        <f>VLOOKUP(C1716,'Luong VP'!$B$10:$AP$189,37,0)</f>
        <v>504</v>
      </c>
      <c r="K1736" s="732"/>
      <c r="L1736" s="715"/>
    </row>
    <row r="1737" spans="1:12" ht="9.1999999999999993" customHeight="1">
      <c r="B1737" s="720"/>
      <c r="C1737" s="717"/>
      <c r="D1737" s="717"/>
      <c r="E1737" s="710">
        <v>2</v>
      </c>
      <c r="F1737" s="718" t="s">
        <v>244</v>
      </c>
      <c r="G1737" s="718"/>
      <c r="H1737" s="718"/>
      <c r="I1737" s="729"/>
      <c r="J1737" s="714">
        <f>VLOOKUP(C1716,'Luong VP'!$B$10:$AP$189,39,0)</f>
        <v>0</v>
      </c>
      <c r="K1737" s="734"/>
      <c r="L1737" s="735"/>
    </row>
    <row r="1738" spans="1:12" ht="9.1999999999999993" customHeight="1">
      <c r="B1738" s="720"/>
      <c r="C1738" s="717"/>
      <c r="D1738" s="717"/>
      <c r="E1738" s="710"/>
      <c r="F1738" s="718" t="s">
        <v>699</v>
      </c>
      <c r="G1738" s="718"/>
      <c r="H1738" s="718"/>
      <c r="I1738" s="729"/>
      <c r="J1738" s="714"/>
      <c r="K1738" s="714"/>
      <c r="L1738" s="736"/>
    </row>
    <row r="1739" spans="1:12" ht="9.1999999999999993" customHeight="1">
      <c r="B1739" s="720"/>
      <c r="C1739" s="717"/>
      <c r="D1739" s="717"/>
      <c r="E1739" s="710" t="s">
        <v>700</v>
      </c>
      <c r="F1739" s="710" t="s">
        <v>246</v>
      </c>
      <c r="G1739" s="710"/>
      <c r="H1739" s="710"/>
      <c r="I1739" s="729"/>
      <c r="J1739" s="728">
        <f>J1734-J1735</f>
        <v>7087.1538461538448</v>
      </c>
      <c r="K1739" s="728">
        <f>ROUND(J1739,-1)</f>
        <v>7090</v>
      </c>
      <c r="L1739" s="710"/>
    </row>
    <row r="1740" spans="1:12" ht="9.1999999999999993" customHeight="1">
      <c r="A1740" s="755"/>
      <c r="B1740" s="781"/>
      <c r="C1740" s="778"/>
      <c r="D1740" s="778"/>
      <c r="E1740" s="776"/>
      <c r="F1740" s="776"/>
      <c r="G1740" s="776"/>
      <c r="H1740" s="762"/>
      <c r="I1740" s="776" t="s">
        <v>701</v>
      </c>
      <c r="J1740" s="795"/>
      <c r="K1740" s="795"/>
      <c r="L1740" s="776"/>
    </row>
    <row r="1741" spans="1:12" ht="9.1999999999999993" customHeight="1">
      <c r="B1741" s="720"/>
      <c r="C1741" s="717"/>
      <c r="D1741" s="717"/>
      <c r="E1741" s="715"/>
      <c r="F1741" s="715"/>
      <c r="G1741" s="715"/>
      <c r="I1741" s="715"/>
      <c r="J1741" s="737"/>
      <c r="K1741" s="737"/>
      <c r="L1741" s="715"/>
    </row>
    <row r="1742" spans="1:12" ht="9.1999999999999993" customHeight="1">
      <c r="B1742" s="720"/>
      <c r="C1742" s="717"/>
      <c r="D1742" s="717"/>
      <c r="E1742" s="715"/>
      <c r="F1742" s="715"/>
      <c r="G1742" s="715"/>
      <c r="I1742" s="715"/>
      <c r="J1742" s="737"/>
      <c r="K1742" s="737"/>
      <c r="L1742" s="715"/>
    </row>
    <row r="1746" spans="1:12" ht="9.1999999999999993" customHeight="1">
      <c r="C1746" s="696"/>
      <c r="D1746" s="696"/>
      <c r="E1746" s="697" t="str">
        <f>$E$2</f>
        <v>THẺ LƯƠNG THÁNG 08/2019</v>
      </c>
      <c r="F1746" s="698"/>
      <c r="G1746" s="698"/>
      <c r="H1746" s="698"/>
    </row>
    <row r="1747" spans="1:12" ht="9.1999999999999993" customHeight="1">
      <c r="B1747" s="699" t="s">
        <v>644</v>
      </c>
      <c r="C1747" s="700" t="s">
        <v>378</v>
      </c>
      <c r="D1747" s="701"/>
      <c r="F1747" s="702" t="s">
        <v>645</v>
      </c>
      <c r="G1747" s="689" t="str">
        <f>VLOOKUP(C1747,'Luong VP'!$B$10:$AP$189,2,0)</f>
        <v xml:space="preserve"> Lê Thanh Huy </v>
      </c>
    </row>
    <row r="1748" spans="1:12" ht="9.1999999999999993" customHeight="1">
      <c r="B1748" s="699" t="s">
        <v>646</v>
      </c>
      <c r="C1748" s="689" t="str">
        <f>VLOOKUP(C1747,'Luong VP'!$B$10:$AP$189,3,0)</f>
        <v>GIÁM ĐỐC NHÀ MÁY</v>
      </c>
      <c r="F1748" s="702" t="s">
        <v>647</v>
      </c>
      <c r="G1748" s="689">
        <f>VLOOKUP(C1747,'Luong VP'!$B$10:$AP$189,5,0)</f>
        <v>2</v>
      </c>
    </row>
    <row r="1749" spans="1:12" ht="9.1999999999999993" customHeight="1">
      <c r="B1749" s="703"/>
      <c r="C1749" s="704"/>
      <c r="D1749" s="705"/>
      <c r="F1749" s="706" t="s">
        <v>648</v>
      </c>
      <c r="G1749" s="706"/>
      <c r="H1749" s="706"/>
      <c r="I1749" s="725"/>
      <c r="J1749" s="726"/>
    </row>
    <row r="1750" spans="1:12" ht="9.1999999999999993" customHeight="1">
      <c r="A1750" s="707" t="s">
        <v>216</v>
      </c>
      <c r="B1750" s="707" t="s">
        <v>649</v>
      </c>
      <c r="C1750" s="708" t="s">
        <v>650</v>
      </c>
      <c r="D1750" s="709"/>
      <c r="E1750" s="710" t="s">
        <v>216</v>
      </c>
      <c r="F1750" s="711" t="s">
        <v>649</v>
      </c>
      <c r="G1750" s="710"/>
      <c r="H1750" s="710" t="s">
        <v>651</v>
      </c>
      <c r="I1750" s="727" t="s">
        <v>652</v>
      </c>
      <c r="J1750" s="714"/>
      <c r="L1750" s="694" t="s">
        <v>653</v>
      </c>
    </row>
    <row r="1751" spans="1:12" ht="9.1999999999999993" customHeight="1">
      <c r="A1751" s="712">
        <v>1</v>
      </c>
      <c r="B1751" s="713" t="s">
        <v>654</v>
      </c>
      <c r="C1751" s="714">
        <f>VLOOKUP(C1747,'Luong VP'!$B$10:$AP$189,9,0)</f>
        <v>31890</v>
      </c>
      <c r="D1751" s="715"/>
      <c r="E1751" s="710" t="s">
        <v>655</v>
      </c>
      <c r="F1751" s="716" t="s">
        <v>656</v>
      </c>
      <c r="G1751" s="710"/>
      <c r="H1751" s="710"/>
      <c r="I1751" s="727"/>
      <c r="J1751" s="714">
        <f>VLOOKUP(C1747,'Luong VP'!$B$10:$AP$189,21,0)</f>
        <v>39397.9</v>
      </c>
    </row>
    <row r="1752" spans="1:12" ht="9.1999999999999993" customHeight="1">
      <c r="A1752" s="712">
        <v>2</v>
      </c>
      <c r="B1752" s="713" t="s">
        <v>658</v>
      </c>
      <c r="C1752" s="714"/>
      <c r="D1752" s="717"/>
      <c r="E1752" s="710">
        <v>1</v>
      </c>
      <c r="F1752" s="718" t="s">
        <v>659</v>
      </c>
      <c r="G1752" s="718"/>
      <c r="H1752" s="710" t="s">
        <v>660</v>
      </c>
      <c r="I1752" s="727">
        <f>VLOOKUP(C1747,'Luong VP'!$B$10:$AP$189,22,0)</f>
        <v>26</v>
      </c>
      <c r="J1752" s="728">
        <f>J1751/'Cham cong'!$AS$3*I1752</f>
        <v>39397.9</v>
      </c>
    </row>
    <row r="1753" spans="1:12" ht="9.1999999999999993" customHeight="1">
      <c r="A1753" s="712">
        <v>3</v>
      </c>
      <c r="B1753" s="713" t="s">
        <v>661</v>
      </c>
      <c r="C1753" s="714">
        <f>VLOOKUP(C1747,'Luong VP'!$B$10:$AP$189,10,0)</f>
        <v>0</v>
      </c>
      <c r="D1753" s="717"/>
      <c r="E1753" s="710">
        <v>2</v>
      </c>
      <c r="F1753" s="718" t="s">
        <v>662</v>
      </c>
      <c r="G1753" s="718"/>
      <c r="H1753" s="710" t="s">
        <v>660</v>
      </c>
      <c r="I1753" s="727">
        <f>VLOOKUP(C1747,'Luong VP'!$B$10:$AP$189,27,0)</f>
        <v>0</v>
      </c>
      <c r="J1753" s="728">
        <f>J1751/'Cham cong'!$AS$3*I1753*3</f>
        <v>0</v>
      </c>
    </row>
    <row r="1754" spans="1:12" ht="9.1999999999999993" customHeight="1">
      <c r="A1754" s="712">
        <v>4</v>
      </c>
      <c r="B1754" s="713" t="s">
        <v>666</v>
      </c>
      <c r="C1754" s="714">
        <f>VLOOKUP(C1747,'Luong VP'!$B$10:$AP$189,11,0)</f>
        <v>3000</v>
      </c>
      <c r="D1754" s="717"/>
      <c r="E1754" s="710">
        <v>3</v>
      </c>
      <c r="F1754" s="718" t="s">
        <v>667</v>
      </c>
      <c r="G1754" s="718"/>
      <c r="H1754" s="710" t="s">
        <v>668</v>
      </c>
      <c r="I1754" s="727">
        <f>VLOOKUP(C1747,'Luong VP'!$B$10:$AP$189,26,0)</f>
        <v>0</v>
      </c>
      <c r="J1754" s="728">
        <f>J1751/'Cham cong'!$AS$3*I1754/8*1.5</f>
        <v>0</v>
      </c>
    </row>
    <row r="1755" spans="1:12" ht="9.1999999999999993" customHeight="1">
      <c r="A1755" s="712">
        <v>5</v>
      </c>
      <c r="B1755" s="713" t="s">
        <v>670</v>
      </c>
      <c r="C1755" s="714">
        <f>VLOOKUP(C1747,'Luong VP'!$B$10:$AP$189,12,0)</f>
        <v>3507.9</v>
      </c>
      <c r="D1755" s="717"/>
      <c r="E1755" s="710">
        <v>4</v>
      </c>
      <c r="F1755" s="718" t="s">
        <v>671</v>
      </c>
      <c r="G1755" s="718"/>
      <c r="H1755" s="710" t="s">
        <v>668</v>
      </c>
      <c r="I1755" s="727">
        <f>VLOOKUP(C1747,'Luong VP'!$B$10:$AP$189,25,0)</f>
        <v>0</v>
      </c>
      <c r="J1755" s="728">
        <f>J1751/'Cham cong'!$AS$3*I1755/8*2</f>
        <v>0</v>
      </c>
    </row>
    <row r="1756" spans="1:12" ht="9.1999999999999993" customHeight="1">
      <c r="A1756" s="712">
        <v>6</v>
      </c>
      <c r="B1756" s="713" t="s">
        <v>673</v>
      </c>
      <c r="C1756" s="714">
        <f>VLOOKUP(C1747,'Luong VP'!$B$10:$AP$189,13,0)</f>
        <v>0</v>
      </c>
      <c r="D1756" s="717"/>
      <c r="E1756" s="710">
        <v>5</v>
      </c>
      <c r="F1756" s="718" t="s">
        <v>674</v>
      </c>
      <c r="G1756" s="718"/>
      <c r="H1756" s="710" t="s">
        <v>660</v>
      </c>
      <c r="I1756" s="727">
        <f>VLOOKUP(C1747,'Luong VP'!$B$10:$AP$189,23,0)</f>
        <v>0</v>
      </c>
      <c r="J1756" s="728">
        <f>C1751/'Cham cong'!$AS$3*I1756</f>
        <v>0</v>
      </c>
      <c r="L1756" s="694" t="str">
        <f>G1747</f>
        <v xml:space="preserve"> Lê Thanh Huy </v>
      </c>
    </row>
    <row r="1757" spans="1:12" ht="9.1999999999999993" customHeight="1">
      <c r="A1757" s="712">
        <v>7</v>
      </c>
      <c r="B1757" s="713" t="s">
        <v>676</v>
      </c>
      <c r="C1757" s="714"/>
      <c r="D1757" s="717"/>
      <c r="E1757" s="710">
        <v>6</v>
      </c>
      <c r="F1757" s="718" t="s">
        <v>677</v>
      </c>
      <c r="G1757" s="718"/>
      <c r="H1757" s="710" t="s">
        <v>660</v>
      </c>
      <c r="I1757" s="727">
        <f>VLOOKUP(C1747,'Luong VP'!$B$10:$AP$189,24,0)</f>
        <v>1</v>
      </c>
      <c r="J1757" s="714">
        <f>C1751/'Cham cong'!$AS$3*I1757</f>
        <v>1226.5384615384614</v>
      </c>
    </row>
    <row r="1758" spans="1:12" ht="9.1999999999999993" customHeight="1">
      <c r="A1758" s="712">
        <v>8</v>
      </c>
      <c r="B1758" s="713" t="s">
        <v>679</v>
      </c>
      <c r="C1758" s="714">
        <f>VLOOKUP(C1747,'Luong VP'!$B$10:$AP$189,14,0)</f>
        <v>1000</v>
      </c>
      <c r="D1758" s="717"/>
      <c r="E1758" s="710">
        <v>7</v>
      </c>
      <c r="F1758" s="718" t="s">
        <v>680</v>
      </c>
      <c r="G1758" s="718"/>
      <c r="H1758" s="718"/>
      <c r="I1758" s="729"/>
      <c r="J1758" s="714">
        <f>VLOOKUP(C1747,'Luong VP'!$B$10:$AP$189,28,0)</f>
        <v>0</v>
      </c>
    </row>
    <row r="1759" spans="1:12" ht="9.1999999999999993" customHeight="1">
      <c r="A1759" s="712">
        <v>9</v>
      </c>
      <c r="B1759" s="713" t="s">
        <v>683</v>
      </c>
      <c r="C1759" s="714">
        <f>VLOOKUP(C1747,'Luong VP'!$B$10:$AP$189,15,0)</f>
        <v>1000</v>
      </c>
      <c r="D1759" s="717"/>
      <c r="E1759" s="710">
        <v>8</v>
      </c>
      <c r="F1759" s="718" t="s">
        <v>238</v>
      </c>
      <c r="G1759" s="718"/>
      <c r="H1759" s="718"/>
      <c r="I1759" s="729"/>
      <c r="J1759" s="714">
        <f>VLOOKUP(C1747,'Luong VP'!$B$10:$AP$189,33,0)</f>
        <v>0</v>
      </c>
    </row>
    <row r="1760" spans="1:12" ht="9.1999999999999993" customHeight="1">
      <c r="A1760" s="712">
        <v>10</v>
      </c>
      <c r="B1760" s="713" t="s">
        <v>685</v>
      </c>
      <c r="C1760" s="714">
        <f>VLOOKUP(C1747,'Luong VP'!$B$10:$AP$189,16,0)</f>
        <v>0</v>
      </c>
      <c r="D1760" s="717"/>
      <c r="E1760" s="710" t="s">
        <v>686</v>
      </c>
      <c r="F1760" s="716" t="s">
        <v>687</v>
      </c>
      <c r="G1760" s="719"/>
      <c r="H1760" s="719"/>
      <c r="I1760" s="729"/>
      <c r="J1760" s="730"/>
    </row>
    <row r="1761" spans="1:12" ht="9.1999999999999993" customHeight="1">
      <c r="A1761" s="712">
        <v>11</v>
      </c>
      <c r="B1761" s="713" t="s">
        <v>688</v>
      </c>
      <c r="C1761" s="714">
        <f>VLOOKUP(C1747,'Luong VP'!$B$10:$AP$189,17,0)</f>
        <v>0</v>
      </c>
      <c r="D1761" s="717"/>
      <c r="E1761" s="710">
        <v>1</v>
      </c>
      <c r="F1761" s="716" t="s">
        <v>689</v>
      </c>
      <c r="G1761" s="719"/>
      <c r="H1761" s="719"/>
      <c r="I1761" s="714">
        <f>VLOOKUP(C1747,'Luong VP'!$B$10:$AP$189,30,0)</f>
        <v>0</v>
      </c>
      <c r="J1761" s="714">
        <f>VLOOKUP(C1747,'Luong VP'!$B$10:$AP$189,30,0)</f>
        <v>0</v>
      </c>
    </row>
    <row r="1762" spans="1:12" ht="9.1999999999999993" customHeight="1">
      <c r="A1762" s="712">
        <v>12</v>
      </c>
      <c r="B1762" s="713" t="s">
        <v>691</v>
      </c>
      <c r="C1762" s="714">
        <f>VLOOKUP(C1747,'Luong VP'!$B$10:$AP$189,18,0)</f>
        <v>0</v>
      </c>
      <c r="D1762" s="717"/>
      <c r="E1762" s="710">
        <v>2</v>
      </c>
      <c r="F1762" s="718" t="s">
        <v>239</v>
      </c>
      <c r="G1762" s="718"/>
      <c r="H1762" s="718"/>
      <c r="I1762" s="727"/>
      <c r="J1762" s="728">
        <f>VLOOKUP(C1747,'Luong VP'!$B$10:$AP$189,34,0)</f>
        <v>0</v>
      </c>
      <c r="K1762" s="731"/>
      <c r="L1762" s="715"/>
    </row>
    <row r="1763" spans="1:12" ht="9.1999999999999993" customHeight="1">
      <c r="A1763" s="712">
        <v>13</v>
      </c>
      <c r="B1763" s="713" t="s">
        <v>692</v>
      </c>
      <c r="C1763" s="714">
        <f>VLOOKUP(C1747,'Luong VP'!$B$10:$AP$189,19,0)</f>
        <v>0</v>
      </c>
      <c r="D1763" s="717"/>
      <c r="E1763" s="710">
        <v>3</v>
      </c>
      <c r="F1763" s="716" t="s">
        <v>693</v>
      </c>
      <c r="G1763" s="719"/>
      <c r="H1763" s="719"/>
      <c r="I1763" s="729"/>
      <c r="J1763" s="714">
        <f>VLOOKUP(C1747,'Luong VP'!$B$10:$AP$189,40,0)</f>
        <v>0</v>
      </c>
      <c r="K1763" s="731"/>
      <c r="L1763" s="715"/>
    </row>
    <row r="1764" spans="1:12" ht="9.1999999999999993" customHeight="1">
      <c r="A1764" s="712">
        <v>14</v>
      </c>
      <c r="B1764" s="713" t="s">
        <v>694</v>
      </c>
      <c r="C1764" s="714">
        <f>VLOOKUP(C1747,'Luong VP'!$B$10:$AP$189,20,0)</f>
        <v>0</v>
      </c>
      <c r="D1764" s="717"/>
      <c r="E1764" s="710">
        <v>4</v>
      </c>
      <c r="F1764" s="718" t="s">
        <v>695</v>
      </c>
      <c r="G1764" s="719"/>
      <c r="H1764" s="719"/>
      <c r="I1764" s="729"/>
      <c r="J1764" s="714">
        <f>VLOOKUP(C1747,'Luong VP'!$B$10:$AP$189,35,0)</f>
        <v>15000</v>
      </c>
      <c r="K1764" s="732"/>
      <c r="L1764" s="715"/>
    </row>
    <row r="1765" spans="1:12" ht="9.1999999999999993" customHeight="1">
      <c r="A1765" s="712"/>
      <c r="B1765" s="707" t="s">
        <v>656</v>
      </c>
      <c r="C1765" s="714">
        <f>SUM(C1751:C1764)</f>
        <v>40397.9</v>
      </c>
      <c r="D1765" s="717"/>
      <c r="E1765" s="710"/>
      <c r="F1765" s="716" t="s">
        <v>241</v>
      </c>
      <c r="G1765" s="719"/>
      <c r="H1765" s="719"/>
      <c r="I1765" s="729"/>
      <c r="J1765" s="730">
        <f>SUM(J1752:J1764)+C1759</f>
        <v>56624.438461538462</v>
      </c>
      <c r="K1765" s="731"/>
      <c r="L1765" s="715"/>
    </row>
    <row r="1766" spans="1:12" ht="9.1999999999999993" customHeight="1">
      <c r="B1766" s="720"/>
      <c r="C1766" s="717"/>
      <c r="D1766" s="717"/>
      <c r="E1766" s="710" t="s">
        <v>696</v>
      </c>
      <c r="F1766" s="711" t="s">
        <v>697</v>
      </c>
      <c r="G1766" s="710"/>
      <c r="H1766" s="710"/>
      <c r="I1766" s="729"/>
      <c r="J1766" s="730">
        <f>SUM(J1767:J1769)</f>
        <v>20871.5</v>
      </c>
      <c r="K1766" s="732"/>
      <c r="L1766" s="715"/>
    </row>
    <row r="1767" spans="1:12" ht="9.1999999999999993" customHeight="1">
      <c r="B1767" s="720"/>
      <c r="C1767" s="717"/>
      <c r="D1767" s="717"/>
      <c r="E1767" s="710">
        <v>1</v>
      </c>
      <c r="F1767" s="718" t="s">
        <v>698</v>
      </c>
      <c r="G1767" s="718"/>
      <c r="H1767" s="718"/>
      <c r="I1767" s="733"/>
      <c r="J1767" s="714">
        <f>VLOOKUP(C1747,'Luong VP'!$B$10:$AP$189,37,0)</f>
        <v>871.5</v>
      </c>
      <c r="K1767" s="732"/>
      <c r="L1767" s="715"/>
    </row>
    <row r="1768" spans="1:12" ht="9.1999999999999993" customHeight="1">
      <c r="B1768" s="720"/>
      <c r="C1768" s="717"/>
      <c r="D1768" s="717"/>
      <c r="E1768" s="710">
        <v>2</v>
      </c>
      <c r="F1768" s="718" t="s">
        <v>244</v>
      </c>
      <c r="G1768" s="718"/>
      <c r="H1768" s="718"/>
      <c r="I1768" s="729"/>
      <c r="J1768" s="714">
        <f>VLOOKUP(C1747,'Luong VP'!$B$10:$AP$189,39,0)</f>
        <v>20000</v>
      </c>
      <c r="K1768" s="734"/>
      <c r="L1768" s="735"/>
    </row>
    <row r="1769" spans="1:12" ht="9.1999999999999993" customHeight="1">
      <c r="B1769" s="720"/>
      <c r="C1769" s="717"/>
      <c r="D1769" s="717"/>
      <c r="E1769" s="710"/>
      <c r="F1769" s="718" t="s">
        <v>699</v>
      </c>
      <c r="G1769" s="718"/>
      <c r="H1769" s="718"/>
      <c r="I1769" s="729"/>
      <c r="J1769" s="714"/>
      <c r="K1769" s="714"/>
      <c r="L1769" s="736"/>
    </row>
    <row r="1770" spans="1:12" ht="9.1999999999999993" customHeight="1">
      <c r="B1770" s="720"/>
      <c r="C1770" s="717"/>
      <c r="D1770" s="717"/>
      <c r="E1770" s="710" t="s">
        <v>700</v>
      </c>
      <c r="F1770" s="710" t="s">
        <v>246</v>
      </c>
      <c r="G1770" s="710"/>
      <c r="H1770" s="710"/>
      <c r="I1770" s="729"/>
      <c r="J1770" s="728">
        <f>J1765-J1766</f>
        <v>35752.938461538462</v>
      </c>
      <c r="K1770" s="728">
        <f>ROUND(J1770,-1)</f>
        <v>35750</v>
      </c>
      <c r="L1770" s="710"/>
    </row>
    <row r="1771" spans="1:12" ht="9.1999999999999993" customHeight="1">
      <c r="B1771" s="720"/>
      <c r="C1771" s="717"/>
      <c r="D1771" s="717"/>
      <c r="E1771" s="715"/>
      <c r="F1771" s="715"/>
      <c r="G1771" s="715"/>
      <c r="I1771" s="715" t="s">
        <v>701</v>
      </c>
      <c r="J1771" s="737"/>
      <c r="K1771" s="737"/>
      <c r="L1771" s="715"/>
    </row>
    <row r="1772" spans="1:12" ht="9.1999999999999993" customHeight="1">
      <c r="B1772" s="720"/>
      <c r="C1772" s="717"/>
      <c r="D1772" s="717"/>
      <c r="E1772" s="715"/>
      <c r="F1772" s="715"/>
      <c r="G1772" s="715"/>
      <c r="I1772" s="715"/>
      <c r="J1772" s="737"/>
      <c r="K1772" s="737"/>
      <c r="L1772" s="715"/>
    </row>
    <row r="1773" spans="1:12" ht="9.1999999999999993" customHeight="1">
      <c r="B1773" s="720"/>
      <c r="C1773" s="717"/>
      <c r="D1773" s="717"/>
      <c r="E1773" s="715"/>
      <c r="F1773" s="715"/>
      <c r="G1773" s="715"/>
      <c r="I1773" s="715"/>
      <c r="J1773" s="737"/>
      <c r="K1773" s="737"/>
      <c r="L1773" s="715"/>
    </row>
    <row r="1776" spans="1:12" ht="9.1999999999999993" customHeight="1">
      <c r="C1776" s="696"/>
      <c r="D1776" s="696"/>
      <c r="E1776" s="697" t="str">
        <f>$E$2</f>
        <v>THẺ LƯƠNG THÁNG 08/2019</v>
      </c>
      <c r="F1776" s="698"/>
      <c r="G1776" s="698"/>
      <c r="H1776" s="698"/>
    </row>
    <row r="1777" spans="1:12" ht="9.1999999999999993" customHeight="1">
      <c r="B1777" s="699" t="s">
        <v>644</v>
      </c>
      <c r="C1777" s="700" t="s">
        <v>319</v>
      </c>
      <c r="D1777" s="701"/>
      <c r="F1777" s="702" t="s">
        <v>645</v>
      </c>
      <c r="G1777" s="689" t="str">
        <f>VLOOKUP(C1777,'Luong VP'!$B$10:$AP$189,2,0)</f>
        <v>Phương Bình</v>
      </c>
    </row>
    <row r="1778" spans="1:12" ht="9.1999999999999993" customHeight="1">
      <c r="B1778" s="699" t="s">
        <v>646</v>
      </c>
      <c r="C1778" s="689" t="str">
        <f>VLOOKUP(C1777,'Luong VP'!$B$10:$AP$189,3,0)</f>
        <v xml:space="preserve"> Kế toán nội bộ</v>
      </c>
      <c r="F1778" s="702" t="s">
        <v>647</v>
      </c>
      <c r="G1778" s="689">
        <f>VLOOKUP(C1777,'Luong VP'!$B$10:$AP$189,5,0)</f>
        <v>2</v>
      </c>
    </row>
    <row r="1779" spans="1:12" ht="9.1999999999999993" customHeight="1">
      <c r="B1779" s="703"/>
      <c r="C1779" s="704"/>
      <c r="D1779" s="705"/>
      <c r="F1779" s="706" t="s">
        <v>648</v>
      </c>
      <c r="G1779" s="706"/>
      <c r="H1779" s="706"/>
      <c r="I1779" s="725"/>
      <c r="J1779" s="726"/>
    </row>
    <row r="1780" spans="1:12" ht="9.1999999999999993" customHeight="1">
      <c r="A1780" s="707" t="s">
        <v>216</v>
      </c>
      <c r="B1780" s="707" t="s">
        <v>649</v>
      </c>
      <c r="C1780" s="708" t="s">
        <v>650</v>
      </c>
      <c r="D1780" s="709"/>
      <c r="E1780" s="710" t="s">
        <v>216</v>
      </c>
      <c r="F1780" s="711" t="s">
        <v>649</v>
      </c>
      <c r="G1780" s="710"/>
      <c r="H1780" s="710" t="s">
        <v>651</v>
      </c>
      <c r="I1780" s="727" t="s">
        <v>652</v>
      </c>
      <c r="J1780" s="714"/>
      <c r="L1780" s="694" t="s">
        <v>653</v>
      </c>
    </row>
    <row r="1781" spans="1:12" ht="9.1999999999999993" customHeight="1">
      <c r="A1781" s="712">
        <v>1</v>
      </c>
      <c r="B1781" s="713" t="s">
        <v>654</v>
      </c>
      <c r="C1781" s="714">
        <f>VLOOKUP(C1777,'Luong VP'!$B$10:$AP$189,9,0)</f>
        <v>8280</v>
      </c>
      <c r="D1781" s="715"/>
      <c r="E1781" s="710" t="s">
        <v>655</v>
      </c>
      <c r="F1781" s="716" t="s">
        <v>656</v>
      </c>
      <c r="G1781" s="710"/>
      <c r="H1781" s="710"/>
      <c r="I1781" s="727"/>
      <c r="J1781" s="714">
        <f>VLOOKUP(C1777,'Luong VP'!$B$10:$AP$189,21,0)</f>
        <v>8611.2000000000007</v>
      </c>
    </row>
    <row r="1782" spans="1:12" ht="9.1999999999999993" customHeight="1">
      <c r="A1782" s="712">
        <v>2</v>
      </c>
      <c r="B1782" s="713" t="s">
        <v>658</v>
      </c>
      <c r="C1782" s="714"/>
      <c r="D1782" s="717"/>
      <c r="E1782" s="710">
        <v>1</v>
      </c>
      <c r="F1782" s="718" t="s">
        <v>659</v>
      </c>
      <c r="G1782" s="718"/>
      <c r="H1782" s="710" t="s">
        <v>660</v>
      </c>
      <c r="I1782" s="727">
        <f>VLOOKUP(C1777,'Luong VP'!$B$10:$AP$189,22,0)</f>
        <v>26</v>
      </c>
      <c r="J1782" s="728">
        <f>J1781/'Cham cong'!$AS$3*I1782</f>
        <v>8611.2000000000007</v>
      </c>
    </row>
    <row r="1783" spans="1:12" ht="9.1999999999999993" customHeight="1">
      <c r="A1783" s="712">
        <v>3</v>
      </c>
      <c r="B1783" s="713" t="s">
        <v>661</v>
      </c>
      <c r="C1783" s="714">
        <f>VLOOKUP(C1777,'Luong VP'!$B$10:$AP$189,10,0)</f>
        <v>0</v>
      </c>
      <c r="D1783" s="717"/>
      <c r="E1783" s="710">
        <v>2</v>
      </c>
      <c r="F1783" s="718" t="s">
        <v>662</v>
      </c>
      <c r="G1783" s="718"/>
      <c r="H1783" s="710" t="s">
        <v>660</v>
      </c>
      <c r="I1783" s="727">
        <f>VLOOKUP(C1777,'Luong VP'!$B$10:$AP$189,27,0)</f>
        <v>0</v>
      </c>
      <c r="J1783" s="728">
        <f>J1781/'Cham cong'!$AS$3*I1783*3</f>
        <v>0</v>
      </c>
    </row>
    <row r="1784" spans="1:12" ht="9.1999999999999993" customHeight="1">
      <c r="A1784" s="712">
        <v>4</v>
      </c>
      <c r="B1784" s="713" t="s">
        <v>666</v>
      </c>
      <c r="C1784" s="714">
        <f>VLOOKUP(C1777,'Luong VP'!$B$10:$AP$189,11,0)</f>
        <v>0</v>
      </c>
      <c r="D1784" s="717"/>
      <c r="E1784" s="710">
        <v>3</v>
      </c>
      <c r="F1784" s="718" t="s">
        <v>667</v>
      </c>
      <c r="G1784" s="718"/>
      <c r="H1784" s="710" t="s">
        <v>668</v>
      </c>
      <c r="I1784" s="727">
        <f>VLOOKUP(C1777,'Luong VP'!$B$10:$AP$189,26,0)</f>
        <v>0</v>
      </c>
      <c r="J1784" s="728">
        <f>J1781/'Cham cong'!$AS$3*I1784/8*1.5</f>
        <v>0</v>
      </c>
    </row>
    <row r="1785" spans="1:12" ht="9.1999999999999993" customHeight="1">
      <c r="A1785" s="712">
        <v>5</v>
      </c>
      <c r="B1785" s="713" t="s">
        <v>670</v>
      </c>
      <c r="C1785" s="714">
        <f>VLOOKUP(C1777,'Luong VP'!$B$10:$AP$189,12,0)</f>
        <v>331.2</v>
      </c>
      <c r="D1785" s="717"/>
      <c r="E1785" s="710">
        <v>4</v>
      </c>
      <c r="F1785" s="718" t="s">
        <v>671</v>
      </c>
      <c r="G1785" s="718"/>
      <c r="H1785" s="710" t="s">
        <v>668</v>
      </c>
      <c r="I1785" s="727">
        <f>VLOOKUP(C1777,'Luong VP'!$B$10:$AP$189,25,0)</f>
        <v>11</v>
      </c>
      <c r="J1785" s="728">
        <f>J1781/'Cham cong'!$AS$3*I1785/8*2</f>
        <v>910.80000000000018</v>
      </c>
    </row>
    <row r="1786" spans="1:12" ht="9.1999999999999993" customHeight="1">
      <c r="A1786" s="712">
        <v>6</v>
      </c>
      <c r="B1786" s="713" t="s">
        <v>673</v>
      </c>
      <c r="C1786" s="714">
        <f>VLOOKUP(C1777,'Luong VP'!$B$10:$AP$189,13,0)</f>
        <v>0</v>
      </c>
      <c r="D1786" s="717"/>
      <c r="E1786" s="710">
        <v>5</v>
      </c>
      <c r="F1786" s="718" t="s">
        <v>674</v>
      </c>
      <c r="G1786" s="718"/>
      <c r="H1786" s="710" t="s">
        <v>660</v>
      </c>
      <c r="I1786" s="727">
        <f>VLOOKUP(C1777,'Luong VP'!$B$10:$AP$189,23,0)</f>
        <v>0</v>
      </c>
      <c r="J1786" s="728">
        <f>C1781/'Cham cong'!$AS$3*I1786</f>
        <v>0</v>
      </c>
      <c r="L1786" s="694" t="str">
        <f>G1777</f>
        <v>Phương Bình</v>
      </c>
    </row>
    <row r="1787" spans="1:12" ht="9.1999999999999993" customHeight="1">
      <c r="A1787" s="712">
        <v>7</v>
      </c>
      <c r="B1787" s="713" t="s">
        <v>676</v>
      </c>
      <c r="C1787" s="714"/>
      <c r="D1787" s="717"/>
      <c r="E1787" s="710">
        <v>6</v>
      </c>
      <c r="F1787" s="718" t="s">
        <v>677</v>
      </c>
      <c r="G1787" s="718"/>
      <c r="H1787" s="710" t="s">
        <v>660</v>
      </c>
      <c r="I1787" s="727">
        <f>VLOOKUP(C1777,'Luong VP'!$B$10:$AP$189,24,0)</f>
        <v>1</v>
      </c>
      <c r="J1787" s="714">
        <f>C1781/'Cham cong'!$AS$3*I1787</f>
        <v>318.46153846153845</v>
      </c>
    </row>
    <row r="1788" spans="1:12" ht="9.1999999999999993" customHeight="1">
      <c r="A1788" s="712">
        <v>8</v>
      </c>
      <c r="B1788" s="713" t="s">
        <v>679</v>
      </c>
      <c r="C1788" s="714">
        <f>VLOOKUP(C1777,'Luong VP'!$B$10:$AP$189,14,0)</f>
        <v>0</v>
      </c>
      <c r="D1788" s="717"/>
      <c r="E1788" s="710">
        <v>7</v>
      </c>
      <c r="F1788" s="718" t="s">
        <v>680</v>
      </c>
      <c r="G1788" s="718"/>
      <c r="H1788" s="718"/>
      <c r="I1788" s="729"/>
      <c r="J1788" s="714">
        <f>VLOOKUP(C1777,'Luong VP'!$B$10:$AP$189,28,0)</f>
        <v>0</v>
      </c>
    </row>
    <row r="1789" spans="1:12" ht="9.1999999999999993" customHeight="1">
      <c r="A1789" s="712">
        <v>9</v>
      </c>
      <c r="B1789" s="713" t="s">
        <v>683</v>
      </c>
      <c r="C1789" s="714">
        <f>VLOOKUP(C1777,'Luong VP'!$B$10:$AP$189,15,0)</f>
        <v>0</v>
      </c>
      <c r="D1789" s="717"/>
      <c r="E1789" s="710">
        <v>8</v>
      </c>
      <c r="F1789" s="718" t="s">
        <v>238</v>
      </c>
      <c r="G1789" s="718"/>
      <c r="H1789" s="718"/>
      <c r="I1789" s="729"/>
      <c r="J1789" s="714">
        <f>VLOOKUP(C1777,'Luong VP'!$B$10:$AP$189,33,0)</f>
        <v>0</v>
      </c>
    </row>
    <row r="1790" spans="1:12" ht="9.1999999999999993" customHeight="1">
      <c r="A1790" s="712">
        <v>10</v>
      </c>
      <c r="B1790" s="713" t="s">
        <v>685</v>
      </c>
      <c r="C1790" s="714">
        <f>VLOOKUP(C1777,'Luong VP'!$B$10:$AP$189,16,0)</f>
        <v>0</v>
      </c>
      <c r="D1790" s="717"/>
      <c r="E1790" s="710" t="s">
        <v>686</v>
      </c>
      <c r="F1790" s="716" t="s">
        <v>687</v>
      </c>
      <c r="G1790" s="719"/>
      <c r="H1790" s="719"/>
      <c r="I1790" s="729"/>
      <c r="J1790" s="730"/>
    </row>
    <row r="1791" spans="1:12" ht="9.1999999999999993" customHeight="1">
      <c r="A1791" s="712">
        <v>11</v>
      </c>
      <c r="B1791" s="713" t="s">
        <v>688</v>
      </c>
      <c r="C1791" s="714">
        <f>VLOOKUP(C1777,'Luong VP'!$B$10:$AP$189,17,0)</f>
        <v>0</v>
      </c>
      <c r="D1791" s="717"/>
      <c r="E1791" s="710">
        <v>1</v>
      </c>
      <c r="F1791" s="716" t="s">
        <v>689</v>
      </c>
      <c r="G1791" s="719"/>
      <c r="H1791" s="719"/>
      <c r="I1791" s="714">
        <f>VLOOKUP(C1777,'Luong VP'!$B$10:$AP$189,30,0)</f>
        <v>0</v>
      </c>
      <c r="J1791" s="714">
        <f>VLOOKUP(C1777,'Luong VP'!$B$10:$AP$189,30,0)</f>
        <v>0</v>
      </c>
    </row>
    <row r="1792" spans="1:12" ht="9.1999999999999993" customHeight="1">
      <c r="A1792" s="712">
        <v>12</v>
      </c>
      <c r="B1792" s="713" t="s">
        <v>691</v>
      </c>
      <c r="C1792" s="714">
        <f>VLOOKUP(C1777,'Luong VP'!$B$10:$AP$189,18,0)</f>
        <v>0</v>
      </c>
      <c r="D1792" s="717"/>
      <c r="E1792" s="710">
        <v>2</v>
      </c>
      <c r="F1792" s="718" t="s">
        <v>239</v>
      </c>
      <c r="G1792" s="718"/>
      <c r="H1792" s="718"/>
      <c r="I1792" s="727"/>
      <c r="J1792" s="728">
        <f>VLOOKUP(C1777,'Luong VP'!$B$10:$AP$189,34,0)</f>
        <v>0</v>
      </c>
      <c r="K1792" s="731"/>
      <c r="L1792" s="715"/>
    </row>
    <row r="1793" spans="1:12" ht="9.1999999999999993" customHeight="1">
      <c r="A1793" s="712">
        <v>13</v>
      </c>
      <c r="B1793" s="713" t="s">
        <v>692</v>
      </c>
      <c r="C1793" s="714">
        <f>VLOOKUP(C1777,'Luong VP'!$B$10:$AP$189,19,0)</f>
        <v>0</v>
      </c>
      <c r="D1793" s="717"/>
      <c r="E1793" s="710">
        <v>3</v>
      </c>
      <c r="F1793" s="716" t="s">
        <v>693</v>
      </c>
      <c r="G1793" s="719"/>
      <c r="H1793" s="719"/>
      <c r="I1793" s="729"/>
      <c r="J1793" s="714">
        <f>VLOOKUP(C1777,'Luong VP'!$B$10:$AP$189,40,0)</f>
        <v>0</v>
      </c>
      <c r="K1793" s="731"/>
      <c r="L1793" s="715"/>
    </row>
    <row r="1794" spans="1:12" ht="9.1999999999999993" customHeight="1">
      <c r="A1794" s="712">
        <v>14</v>
      </c>
      <c r="B1794" s="713" t="s">
        <v>694</v>
      </c>
      <c r="C1794" s="714">
        <f>VLOOKUP(C1777,'Luong VP'!$B$10:$AP$189,20,0)</f>
        <v>0</v>
      </c>
      <c r="D1794" s="717"/>
      <c r="E1794" s="710">
        <v>4</v>
      </c>
      <c r="F1794" s="718" t="s">
        <v>695</v>
      </c>
      <c r="G1794" s="719"/>
      <c r="H1794" s="719"/>
      <c r="I1794" s="729"/>
      <c r="J1794" s="714">
        <f>VLOOKUP(C1777,'Luong VP'!$B$10:$AP$189,35,0)</f>
        <v>0</v>
      </c>
      <c r="K1794" s="732"/>
      <c r="L1794" s="715"/>
    </row>
    <row r="1795" spans="1:12" ht="9.1999999999999993" customHeight="1">
      <c r="A1795" s="712"/>
      <c r="B1795" s="707" t="s">
        <v>656</v>
      </c>
      <c r="C1795" s="714">
        <f>SUM(C1781:C1794)</f>
        <v>8611.2000000000007</v>
      </c>
      <c r="D1795" s="717"/>
      <c r="E1795" s="710"/>
      <c r="F1795" s="716" t="s">
        <v>241</v>
      </c>
      <c r="G1795" s="719"/>
      <c r="H1795" s="719"/>
      <c r="I1795" s="729"/>
      <c r="J1795" s="730">
        <f>SUM(J1782:J1794)+C1789</f>
        <v>9840.461538461539</v>
      </c>
      <c r="K1795" s="731"/>
      <c r="L1795" s="715"/>
    </row>
    <row r="1796" spans="1:12" ht="9.1999999999999993" customHeight="1">
      <c r="B1796" s="720"/>
      <c r="C1796" s="717"/>
      <c r="D1796" s="717"/>
      <c r="E1796" s="710" t="s">
        <v>696</v>
      </c>
      <c r="F1796" s="711" t="s">
        <v>697</v>
      </c>
      <c r="G1796" s="710"/>
      <c r="H1796" s="710"/>
      <c r="I1796" s="729"/>
      <c r="J1796" s="730">
        <f>SUM(J1797:J1799)</f>
        <v>1535.5</v>
      </c>
      <c r="K1796" s="732"/>
      <c r="L1796" s="715"/>
    </row>
    <row r="1797" spans="1:12" ht="9.1999999999999993" customHeight="1">
      <c r="B1797" s="720"/>
      <c r="C1797" s="717"/>
      <c r="D1797" s="717"/>
      <c r="E1797" s="710">
        <v>1</v>
      </c>
      <c r="F1797" s="718" t="s">
        <v>698</v>
      </c>
      <c r="G1797" s="718"/>
      <c r="H1797" s="718"/>
      <c r="I1797" s="733"/>
      <c r="J1797" s="714">
        <f>VLOOKUP(C1777,'Luong VP'!$B$10:$AP$189,37,0)</f>
        <v>535.5</v>
      </c>
      <c r="K1797" s="732"/>
      <c r="L1797" s="715"/>
    </row>
    <row r="1798" spans="1:12" ht="9.1999999999999993" customHeight="1">
      <c r="B1798" s="720"/>
      <c r="C1798" s="717"/>
      <c r="D1798" s="717"/>
      <c r="E1798" s="710">
        <v>2</v>
      </c>
      <c r="F1798" s="718" t="s">
        <v>244</v>
      </c>
      <c r="G1798" s="718"/>
      <c r="H1798" s="718"/>
      <c r="I1798" s="729"/>
      <c r="J1798" s="714">
        <f>VLOOKUP(C1777,'Luong VP'!$B$10:$AP$189,39,0)</f>
        <v>1000</v>
      </c>
      <c r="K1798" s="734"/>
      <c r="L1798" s="735"/>
    </row>
    <row r="1799" spans="1:12" ht="9.1999999999999993" customHeight="1">
      <c r="B1799" s="720"/>
      <c r="C1799" s="717"/>
      <c r="D1799" s="717"/>
      <c r="E1799" s="710"/>
      <c r="F1799" s="718" t="s">
        <v>699</v>
      </c>
      <c r="G1799" s="718"/>
      <c r="H1799" s="718"/>
      <c r="I1799" s="729"/>
      <c r="J1799" s="714"/>
      <c r="K1799" s="714"/>
      <c r="L1799" s="736"/>
    </row>
    <row r="1800" spans="1:12" ht="9.1999999999999993" customHeight="1">
      <c r="B1800" s="720"/>
      <c r="C1800" s="717"/>
      <c r="D1800" s="717"/>
      <c r="E1800" s="710" t="s">
        <v>700</v>
      </c>
      <c r="F1800" s="710" t="s">
        <v>246</v>
      </c>
      <c r="G1800" s="710"/>
      <c r="H1800" s="710"/>
      <c r="I1800" s="729"/>
      <c r="J1800" s="728">
        <f>J1795-J1796</f>
        <v>8304.961538461539</v>
      </c>
      <c r="K1800" s="728">
        <f>ROUND(J1800,-1)</f>
        <v>8300</v>
      </c>
      <c r="L1800" s="710"/>
    </row>
    <row r="1801" spans="1:12" ht="9.1999999999999993" customHeight="1">
      <c r="B1801" s="720"/>
      <c r="C1801" s="717"/>
      <c r="D1801" s="717"/>
      <c r="E1801" s="715"/>
      <c r="F1801" s="715"/>
      <c r="G1801" s="715"/>
      <c r="I1801" s="715" t="s">
        <v>701</v>
      </c>
      <c r="J1801" s="737"/>
      <c r="K1801" s="737"/>
      <c r="L1801" s="715"/>
    </row>
    <row r="1802" spans="1:12" ht="9.1999999999999993" customHeight="1">
      <c r="B1802" s="720"/>
      <c r="C1802" s="717"/>
      <c r="D1802" s="717"/>
      <c r="E1802" s="715"/>
      <c r="F1802" s="715"/>
      <c r="G1802" s="715"/>
      <c r="I1802" s="715"/>
      <c r="J1802" s="737"/>
      <c r="K1802" s="737"/>
      <c r="L1802" s="715"/>
    </row>
    <row r="1803" spans="1:12" ht="9.1999999999999993" customHeight="1">
      <c r="B1803" s="720"/>
      <c r="C1803" s="717"/>
      <c r="D1803" s="717"/>
      <c r="E1803" s="715"/>
      <c r="F1803" s="715"/>
      <c r="G1803" s="715"/>
      <c r="I1803" s="715"/>
      <c r="J1803" s="737"/>
      <c r="K1803" s="737"/>
      <c r="L1803" s="715"/>
    </row>
    <row r="1806" spans="1:12" ht="9.1999999999999993" customHeight="1">
      <c r="C1806" s="696"/>
      <c r="D1806" s="696"/>
      <c r="E1806" s="697" t="str">
        <f>$E$2</f>
        <v>THẺ LƯƠNG THÁNG 08/2019</v>
      </c>
      <c r="F1806" s="698"/>
      <c r="G1806" s="698"/>
      <c r="H1806" s="698"/>
    </row>
    <row r="1807" spans="1:12" ht="9.1999999999999993" customHeight="1">
      <c r="B1807" s="699" t="s">
        <v>644</v>
      </c>
      <c r="C1807" s="700" t="s">
        <v>321</v>
      </c>
      <c r="D1807" s="701"/>
      <c r="F1807" s="702" t="s">
        <v>645</v>
      </c>
      <c r="G1807" s="689" t="str">
        <f>VLOOKUP(C1807,'Luong VP'!$B$10:$AP$189,2,0)</f>
        <v>Nguyễn Trường Thạch</v>
      </c>
    </row>
    <row r="1808" spans="1:12" ht="9.1999999999999993" customHeight="1">
      <c r="B1808" s="699" t="s">
        <v>646</v>
      </c>
      <c r="C1808" s="689" t="str">
        <f>VLOOKUP(C1807,'Luong VP'!$B$10:$AP$189,3,0)</f>
        <v xml:space="preserve"> Kế toán nội bộ</v>
      </c>
      <c r="F1808" s="702" t="s">
        <v>647</v>
      </c>
      <c r="G1808" s="689">
        <f>VLOOKUP(C1807,'Luong VP'!$B$10:$AP$189,5,0)</f>
        <v>1</v>
      </c>
    </row>
    <row r="1809" spans="1:12" ht="9.1999999999999993" customHeight="1">
      <c r="B1809" s="703"/>
      <c r="C1809" s="704"/>
      <c r="D1809" s="705"/>
      <c r="F1809" s="706" t="s">
        <v>648</v>
      </c>
      <c r="G1809" s="706"/>
      <c r="H1809" s="706"/>
      <c r="I1809" s="725"/>
      <c r="J1809" s="726"/>
    </row>
    <row r="1810" spans="1:12" ht="9.1999999999999993" customHeight="1">
      <c r="A1810" s="707" t="s">
        <v>216</v>
      </c>
      <c r="B1810" s="707" t="s">
        <v>649</v>
      </c>
      <c r="C1810" s="708" t="s">
        <v>650</v>
      </c>
      <c r="D1810" s="709"/>
      <c r="E1810" s="710" t="s">
        <v>216</v>
      </c>
      <c r="F1810" s="711" t="s">
        <v>649</v>
      </c>
      <c r="G1810" s="710"/>
      <c r="H1810" s="710" t="s">
        <v>651</v>
      </c>
      <c r="I1810" s="727" t="s">
        <v>652</v>
      </c>
      <c r="J1810" s="714"/>
      <c r="L1810" s="694" t="s">
        <v>653</v>
      </c>
    </row>
    <row r="1811" spans="1:12" ht="9.1999999999999993" customHeight="1">
      <c r="A1811" s="712">
        <v>1</v>
      </c>
      <c r="B1811" s="713" t="s">
        <v>654</v>
      </c>
      <c r="C1811" s="714">
        <f>VLOOKUP(C1807,'Luong VP'!$B$10:$AP$189,9,0)</f>
        <v>7530</v>
      </c>
      <c r="D1811" s="715"/>
      <c r="E1811" s="710" t="s">
        <v>655</v>
      </c>
      <c r="F1811" s="716" t="s">
        <v>656</v>
      </c>
      <c r="G1811" s="710"/>
      <c r="H1811" s="710"/>
      <c r="I1811" s="727"/>
      <c r="J1811" s="714">
        <f>VLOOKUP(C1807,'Luong VP'!$B$10:$AP$189,21,0)</f>
        <v>7831.2</v>
      </c>
    </row>
    <row r="1812" spans="1:12" ht="9.1999999999999993" customHeight="1">
      <c r="A1812" s="712">
        <v>2</v>
      </c>
      <c r="B1812" s="713" t="s">
        <v>658</v>
      </c>
      <c r="C1812" s="714"/>
      <c r="D1812" s="717"/>
      <c r="E1812" s="710">
        <v>1</v>
      </c>
      <c r="F1812" s="718" t="s">
        <v>659</v>
      </c>
      <c r="G1812" s="718"/>
      <c r="H1812" s="710" t="s">
        <v>660</v>
      </c>
      <c r="I1812" s="727">
        <f>VLOOKUP(C1807,'Luong VP'!$B$10:$AP$189,22,0)</f>
        <v>26</v>
      </c>
      <c r="J1812" s="728">
        <f>J1811/'Cham cong'!$AS$3*I1812</f>
        <v>7831.2</v>
      </c>
    </row>
    <row r="1813" spans="1:12" ht="9.1999999999999993" customHeight="1">
      <c r="A1813" s="712">
        <v>3</v>
      </c>
      <c r="B1813" s="713" t="s">
        <v>661</v>
      </c>
      <c r="C1813" s="714">
        <f>VLOOKUP(C1807,'Luong VP'!$B$10:$AP$189,10,0)</f>
        <v>0</v>
      </c>
      <c r="D1813" s="717"/>
      <c r="E1813" s="710">
        <v>2</v>
      </c>
      <c r="F1813" s="718" t="s">
        <v>662</v>
      </c>
      <c r="G1813" s="718"/>
      <c r="H1813" s="710" t="s">
        <v>660</v>
      </c>
      <c r="I1813" s="727">
        <f>VLOOKUP(C1807,'Luong VP'!$B$10:$AP$189,27,0)</f>
        <v>0</v>
      </c>
      <c r="J1813" s="728">
        <f>J1811/'Cham cong'!$AS$3*I1813*3</f>
        <v>0</v>
      </c>
    </row>
    <row r="1814" spans="1:12" ht="9.1999999999999993" customHeight="1">
      <c r="A1814" s="712">
        <v>4</v>
      </c>
      <c r="B1814" s="713" t="s">
        <v>666</v>
      </c>
      <c r="C1814" s="714">
        <f>VLOOKUP(C1807,'Luong VP'!$B$10:$AP$189,11,0)</f>
        <v>0</v>
      </c>
      <c r="D1814" s="717"/>
      <c r="E1814" s="710">
        <v>3</v>
      </c>
      <c r="F1814" s="718" t="s">
        <v>667</v>
      </c>
      <c r="G1814" s="718"/>
      <c r="H1814" s="710" t="s">
        <v>668</v>
      </c>
      <c r="I1814" s="727">
        <f>VLOOKUP(C1807,'Luong VP'!$B$10:$AP$189,26,0)</f>
        <v>11</v>
      </c>
      <c r="J1814" s="728">
        <f>J1811/'Cham cong'!$AS$3*I1814/8*1.5</f>
        <v>621.22499999999991</v>
      </c>
    </row>
    <row r="1815" spans="1:12" ht="9.1999999999999993" customHeight="1">
      <c r="A1815" s="712">
        <v>5</v>
      </c>
      <c r="B1815" s="713" t="s">
        <v>670</v>
      </c>
      <c r="C1815" s="714">
        <f>VLOOKUP(C1807,'Luong VP'!$B$10:$AP$189,12,0)</f>
        <v>301.2</v>
      </c>
      <c r="D1815" s="717"/>
      <c r="E1815" s="710">
        <v>4</v>
      </c>
      <c r="F1815" s="718" t="s">
        <v>671</v>
      </c>
      <c r="G1815" s="718"/>
      <c r="H1815" s="710" t="s">
        <v>668</v>
      </c>
      <c r="I1815" s="727">
        <f>VLOOKUP(C1807,'Luong VP'!$B$10:$AP$189,25,0)</f>
        <v>0</v>
      </c>
      <c r="J1815" s="728">
        <f>J1811/'Cham cong'!$AS$3*I1815/8*2</f>
        <v>0</v>
      </c>
    </row>
    <row r="1816" spans="1:12" ht="9.1999999999999993" customHeight="1">
      <c r="A1816" s="712">
        <v>6</v>
      </c>
      <c r="B1816" s="713" t="s">
        <v>673</v>
      </c>
      <c r="C1816" s="714">
        <f>VLOOKUP(C1807,'Luong VP'!$B$10:$AP$189,13,0)</f>
        <v>0</v>
      </c>
      <c r="D1816" s="717"/>
      <c r="E1816" s="710">
        <v>5</v>
      </c>
      <c r="F1816" s="718" t="s">
        <v>674</v>
      </c>
      <c r="G1816" s="718"/>
      <c r="H1816" s="710" t="s">
        <v>660</v>
      </c>
      <c r="I1816" s="727">
        <f>VLOOKUP(C1807,'Luong VP'!$B$10:$AP$189,23,0)</f>
        <v>0</v>
      </c>
      <c r="J1816" s="728">
        <f>C1811/'Cham cong'!$AS$3*I1816</f>
        <v>0</v>
      </c>
      <c r="L1816" s="694" t="str">
        <f>G1807</f>
        <v>Nguyễn Trường Thạch</v>
      </c>
    </row>
    <row r="1817" spans="1:12" ht="9.1999999999999993" customHeight="1">
      <c r="A1817" s="712">
        <v>7</v>
      </c>
      <c r="B1817" s="713" t="s">
        <v>676</v>
      </c>
      <c r="C1817" s="714"/>
      <c r="D1817" s="717"/>
      <c r="E1817" s="710">
        <v>6</v>
      </c>
      <c r="F1817" s="718" t="s">
        <v>677</v>
      </c>
      <c r="G1817" s="718"/>
      <c r="H1817" s="710" t="s">
        <v>660</v>
      </c>
      <c r="I1817" s="727">
        <f>VLOOKUP(C1807,'Luong VP'!$B$10:$AP$189,24,0)</f>
        <v>1</v>
      </c>
      <c r="J1817" s="714">
        <f>C1811/'Cham cong'!$AS$3*I1817</f>
        <v>289.61538461538464</v>
      </c>
    </row>
    <row r="1818" spans="1:12" ht="9.1999999999999993" customHeight="1">
      <c r="A1818" s="712">
        <v>8</v>
      </c>
      <c r="B1818" s="713" t="s">
        <v>679</v>
      </c>
      <c r="C1818" s="714">
        <f>VLOOKUP(C1807,'Luong VP'!$B$10:$AP$189,14,0)</f>
        <v>0</v>
      </c>
      <c r="D1818" s="717"/>
      <c r="E1818" s="710">
        <v>7</v>
      </c>
      <c r="F1818" s="718" t="s">
        <v>680</v>
      </c>
      <c r="G1818" s="718"/>
      <c r="H1818" s="718"/>
      <c r="I1818" s="729"/>
      <c r="J1818" s="714">
        <f>VLOOKUP(C1807,'Luong VP'!$B$10:$AP$189,28,0)</f>
        <v>0</v>
      </c>
    </row>
    <row r="1819" spans="1:12" ht="9.1999999999999993" customHeight="1">
      <c r="A1819" s="712">
        <v>9</v>
      </c>
      <c r="B1819" s="713" t="s">
        <v>683</v>
      </c>
      <c r="C1819" s="714">
        <f>VLOOKUP(C1807,'Luong VP'!$B$10:$AP$189,15,0)</f>
        <v>0</v>
      </c>
      <c r="D1819" s="717"/>
      <c r="E1819" s="710">
        <v>8</v>
      </c>
      <c r="F1819" s="718" t="s">
        <v>238</v>
      </c>
      <c r="G1819" s="718"/>
      <c r="H1819" s="718"/>
      <c r="I1819" s="729"/>
      <c r="J1819" s="714">
        <f>VLOOKUP(C1807,'Luong VP'!$B$10:$AP$189,33,0)</f>
        <v>0</v>
      </c>
    </row>
    <row r="1820" spans="1:12" ht="9.1999999999999993" customHeight="1">
      <c r="A1820" s="712">
        <v>10</v>
      </c>
      <c r="B1820" s="713" t="s">
        <v>685</v>
      </c>
      <c r="C1820" s="714">
        <f>VLOOKUP(C1807,'Luong VP'!$B$10:$AP$189,16,0)</f>
        <v>0</v>
      </c>
      <c r="D1820" s="717"/>
      <c r="E1820" s="710" t="s">
        <v>686</v>
      </c>
      <c r="F1820" s="716" t="s">
        <v>687</v>
      </c>
      <c r="G1820" s="719"/>
      <c r="H1820" s="719"/>
      <c r="I1820" s="729"/>
      <c r="J1820" s="730"/>
    </row>
    <row r="1821" spans="1:12" ht="9.1999999999999993" customHeight="1">
      <c r="A1821" s="712">
        <v>11</v>
      </c>
      <c r="B1821" s="713" t="s">
        <v>688</v>
      </c>
      <c r="C1821" s="714">
        <f>VLOOKUP(C1807,'Luong VP'!$B$10:$AP$189,17,0)</f>
        <v>0</v>
      </c>
      <c r="D1821" s="717"/>
      <c r="E1821" s="710">
        <v>1</v>
      </c>
      <c r="F1821" s="716" t="s">
        <v>689</v>
      </c>
      <c r="G1821" s="719"/>
      <c r="H1821" s="719"/>
      <c r="I1821" s="714">
        <f>VLOOKUP(C1807,'Luong VP'!$B$10:$AP$189,30,0)</f>
        <v>0</v>
      </c>
      <c r="J1821" s="714">
        <f>VLOOKUP(C1807,'Luong VP'!$B$10:$AP$189,30,0)</f>
        <v>0</v>
      </c>
    </row>
    <row r="1822" spans="1:12" ht="9.1999999999999993" customHeight="1">
      <c r="A1822" s="712">
        <v>12</v>
      </c>
      <c r="B1822" s="713" t="s">
        <v>691</v>
      </c>
      <c r="C1822" s="714">
        <f>VLOOKUP(C1807,'Luong VP'!$B$10:$AP$189,18,0)</f>
        <v>0</v>
      </c>
      <c r="D1822" s="717"/>
      <c r="E1822" s="710">
        <v>2</v>
      </c>
      <c r="F1822" s="718" t="s">
        <v>239</v>
      </c>
      <c r="G1822" s="718"/>
      <c r="H1822" s="718"/>
      <c r="I1822" s="727"/>
      <c r="J1822" s="728">
        <f>VLOOKUP(C1807,'Luong VP'!$B$10:$AP$189,34,0)</f>
        <v>0</v>
      </c>
      <c r="K1822" s="731"/>
      <c r="L1822" s="715"/>
    </row>
    <row r="1823" spans="1:12" ht="9.1999999999999993" customHeight="1">
      <c r="A1823" s="712">
        <v>13</v>
      </c>
      <c r="B1823" s="713" t="s">
        <v>692</v>
      </c>
      <c r="C1823" s="714">
        <f>VLOOKUP(C1807,'Luong VP'!$B$10:$AP$189,19,0)</f>
        <v>0</v>
      </c>
      <c r="D1823" s="717"/>
      <c r="E1823" s="710">
        <v>3</v>
      </c>
      <c r="F1823" s="716" t="s">
        <v>693</v>
      </c>
      <c r="G1823" s="719"/>
      <c r="H1823" s="719"/>
      <c r="I1823" s="729"/>
      <c r="J1823" s="714">
        <f>VLOOKUP(C1807,'Luong VP'!$B$10:$AP$189,40,0)</f>
        <v>0</v>
      </c>
      <c r="K1823" s="731"/>
      <c r="L1823" s="715"/>
    </row>
    <row r="1824" spans="1:12" ht="9.1999999999999993" customHeight="1">
      <c r="A1824" s="712">
        <v>14</v>
      </c>
      <c r="B1824" s="713" t="s">
        <v>694</v>
      </c>
      <c r="C1824" s="714">
        <f>VLOOKUP(C1807,'Luong VP'!$B$10:$AP$189,20,0)</f>
        <v>0</v>
      </c>
      <c r="D1824" s="717"/>
      <c r="E1824" s="710">
        <v>4</v>
      </c>
      <c r="F1824" s="718" t="s">
        <v>695</v>
      </c>
      <c r="G1824" s="719"/>
      <c r="H1824" s="719"/>
      <c r="I1824" s="729"/>
      <c r="J1824" s="714">
        <f>VLOOKUP(C1807,'Luong VP'!$B$10:$AP$189,35,0)</f>
        <v>0</v>
      </c>
      <c r="K1824" s="732"/>
      <c r="L1824" s="715"/>
    </row>
    <row r="1825" spans="1:12" ht="9.1999999999999993" customHeight="1">
      <c r="A1825" s="712"/>
      <c r="B1825" s="707" t="s">
        <v>656</v>
      </c>
      <c r="C1825" s="714">
        <f>SUM(C1811:C1824)</f>
        <v>7831.2</v>
      </c>
      <c r="D1825" s="717"/>
      <c r="E1825" s="710"/>
      <c r="F1825" s="716" t="s">
        <v>241</v>
      </c>
      <c r="G1825" s="719"/>
      <c r="H1825" s="719"/>
      <c r="I1825" s="729"/>
      <c r="J1825" s="730">
        <f>SUM(J1812:J1824)+C1819</f>
        <v>8742.040384615384</v>
      </c>
      <c r="K1825" s="731"/>
      <c r="L1825" s="715"/>
    </row>
    <row r="1826" spans="1:12" ht="9.1999999999999993" customHeight="1">
      <c r="B1826" s="720"/>
      <c r="C1826" s="717"/>
      <c r="D1826" s="717"/>
      <c r="E1826" s="710" t="s">
        <v>696</v>
      </c>
      <c r="F1826" s="711" t="s">
        <v>697</v>
      </c>
      <c r="G1826" s="710"/>
      <c r="H1826" s="710"/>
      <c r="I1826" s="729"/>
      <c r="J1826" s="730">
        <f>SUM(J1827:J1829)</f>
        <v>504</v>
      </c>
      <c r="K1826" s="732"/>
      <c r="L1826" s="715"/>
    </row>
    <row r="1827" spans="1:12" ht="9.1999999999999993" customHeight="1">
      <c r="B1827" s="720"/>
      <c r="C1827" s="717"/>
      <c r="D1827" s="717"/>
      <c r="E1827" s="710">
        <v>1</v>
      </c>
      <c r="F1827" s="718" t="s">
        <v>698</v>
      </c>
      <c r="G1827" s="718"/>
      <c r="H1827" s="718"/>
      <c r="I1827" s="733"/>
      <c r="J1827" s="714">
        <f>VLOOKUP(C1807,'Luong VP'!$B$10:$AP$189,37,0)</f>
        <v>504</v>
      </c>
      <c r="K1827" s="732"/>
      <c r="L1827" s="715"/>
    </row>
    <row r="1828" spans="1:12" ht="9.1999999999999993" customHeight="1">
      <c r="B1828" s="720"/>
      <c r="C1828" s="717"/>
      <c r="D1828" s="717"/>
      <c r="E1828" s="710">
        <v>2</v>
      </c>
      <c r="F1828" s="718" t="s">
        <v>244</v>
      </c>
      <c r="G1828" s="718"/>
      <c r="H1828" s="718"/>
      <c r="I1828" s="729"/>
      <c r="J1828" s="714">
        <f>VLOOKUP(C1807,'Luong VP'!$B$10:$AP$189,39,0)</f>
        <v>0</v>
      </c>
      <c r="K1828" s="734"/>
      <c r="L1828" s="735"/>
    </row>
    <row r="1829" spans="1:12" ht="9.1999999999999993" customHeight="1">
      <c r="B1829" s="720"/>
      <c r="C1829" s="717"/>
      <c r="D1829" s="717"/>
      <c r="E1829" s="710"/>
      <c r="F1829" s="718" t="s">
        <v>699</v>
      </c>
      <c r="G1829" s="718"/>
      <c r="H1829" s="718"/>
      <c r="I1829" s="729"/>
      <c r="J1829" s="714"/>
      <c r="K1829" s="714"/>
      <c r="L1829" s="736"/>
    </row>
    <row r="1830" spans="1:12" ht="9.1999999999999993" customHeight="1">
      <c r="B1830" s="720"/>
      <c r="C1830" s="717"/>
      <c r="D1830" s="717"/>
      <c r="E1830" s="710" t="s">
        <v>700</v>
      </c>
      <c r="F1830" s="710" t="s">
        <v>246</v>
      </c>
      <c r="G1830" s="710"/>
      <c r="H1830" s="710"/>
      <c r="I1830" s="729"/>
      <c r="J1830" s="728">
        <f>J1825-J1826</f>
        <v>8238.040384615384</v>
      </c>
      <c r="K1830" s="728">
        <f>ROUND(J1830,-1)</f>
        <v>8240</v>
      </c>
      <c r="L1830" s="710"/>
    </row>
    <row r="1831" spans="1:12" ht="9.1999999999999993" customHeight="1">
      <c r="B1831" s="720"/>
      <c r="C1831" s="717"/>
      <c r="D1831" s="717"/>
      <c r="E1831" s="715"/>
      <c r="F1831" s="715"/>
      <c r="G1831" s="715"/>
      <c r="I1831" s="715" t="s">
        <v>701</v>
      </c>
      <c r="J1831" s="737"/>
      <c r="K1831" s="737"/>
      <c r="L1831" s="715"/>
    </row>
    <row r="1832" spans="1:12" ht="9.1999999999999993" customHeight="1">
      <c r="B1832" s="720"/>
      <c r="C1832" s="717"/>
      <c r="D1832" s="717"/>
      <c r="E1832" s="715"/>
      <c r="F1832" s="715"/>
      <c r="G1832" s="715"/>
      <c r="I1832" s="715"/>
      <c r="J1832" s="737"/>
      <c r="K1832" s="737"/>
      <c r="L1832" s="715"/>
    </row>
    <row r="1833" spans="1:12" ht="9.1999999999999993" customHeight="1">
      <c r="B1833" s="720"/>
      <c r="C1833" s="717"/>
      <c r="D1833" s="717"/>
      <c r="E1833" s="715"/>
      <c r="F1833" s="715"/>
      <c r="G1833" s="715"/>
      <c r="I1833" s="715"/>
      <c r="J1833" s="737"/>
      <c r="K1833" s="737"/>
      <c r="L1833" s="715"/>
    </row>
    <row r="1834" spans="1:12" ht="9.1999999999999993" customHeight="1">
      <c r="B1834" s="720"/>
      <c r="C1834" s="717"/>
      <c r="D1834" s="717"/>
      <c r="E1834" s="715"/>
      <c r="F1834" s="715"/>
      <c r="G1834" s="715"/>
      <c r="I1834" s="715"/>
      <c r="J1834" s="737"/>
      <c r="K1834" s="737"/>
      <c r="L1834" s="715"/>
    </row>
    <row r="1835" spans="1:12" ht="9.1999999999999993" customHeight="1">
      <c r="B1835" s="720"/>
      <c r="C1835" s="717"/>
      <c r="D1835" s="717"/>
      <c r="E1835" s="715"/>
      <c r="F1835" s="715"/>
      <c r="G1835" s="715"/>
      <c r="I1835" s="715"/>
      <c r="J1835" s="737"/>
      <c r="K1835" s="737"/>
      <c r="L1835" s="715"/>
    </row>
    <row r="1837" spans="1:12" ht="9.1999999999999993" customHeight="1">
      <c r="C1837" s="696"/>
      <c r="D1837" s="696"/>
      <c r="E1837" s="697" t="str">
        <f>$E$2</f>
        <v>THẺ LƯƠNG THÁNG 08/2019</v>
      </c>
      <c r="F1837" s="698"/>
      <c r="G1837" s="698"/>
      <c r="H1837" s="698"/>
    </row>
    <row r="1838" spans="1:12" ht="9.1999999999999993" customHeight="1">
      <c r="B1838" s="699" t="s">
        <v>644</v>
      </c>
      <c r="C1838" s="700" t="s">
        <v>1276</v>
      </c>
      <c r="D1838" s="701"/>
      <c r="F1838" s="1390" t="s">
        <v>645</v>
      </c>
      <c r="G1838" s="689" t="str">
        <f>VLOOKUP(C1838,'Luong VP'!$B$10:$AP$189,2,0)</f>
        <v>Võ Tấn Đạt</v>
      </c>
    </row>
    <row r="1839" spans="1:12" ht="9.1999999999999993" customHeight="1">
      <c r="B1839" s="699" t="s">
        <v>646</v>
      </c>
      <c r="C1839" s="689" t="str">
        <f>VLOOKUP(C1838,'Luong VP'!$B$10:$AP$189,3,0)</f>
        <v>Trưởng BP Kho</v>
      </c>
      <c r="F1839" s="1390" t="s">
        <v>647</v>
      </c>
      <c r="G1839" s="689">
        <f>VLOOKUP(C1838,'Luong VP'!$B$10:$AP$189,5,0)</f>
        <v>4</v>
      </c>
    </row>
    <row r="1840" spans="1:12" ht="9.1999999999999993" customHeight="1">
      <c r="B1840" s="703"/>
      <c r="C1840" s="704"/>
      <c r="D1840" s="705"/>
      <c r="F1840" s="706" t="s">
        <v>648</v>
      </c>
      <c r="G1840" s="706"/>
      <c r="H1840" s="706"/>
      <c r="I1840" s="725"/>
      <c r="J1840" s="726"/>
    </row>
    <row r="1841" spans="1:12" ht="9.1999999999999993" customHeight="1">
      <c r="A1841" s="707" t="s">
        <v>216</v>
      </c>
      <c r="B1841" s="707" t="s">
        <v>649</v>
      </c>
      <c r="C1841" s="708" t="s">
        <v>650</v>
      </c>
      <c r="D1841" s="709"/>
      <c r="E1841" s="710" t="s">
        <v>216</v>
      </c>
      <c r="F1841" s="711" t="s">
        <v>649</v>
      </c>
      <c r="G1841" s="710"/>
      <c r="H1841" s="710" t="s">
        <v>651</v>
      </c>
      <c r="I1841" s="727" t="s">
        <v>652</v>
      </c>
      <c r="J1841" s="714"/>
      <c r="L1841" s="694" t="s">
        <v>653</v>
      </c>
    </row>
    <row r="1842" spans="1:12" ht="9.1999999999999993" customHeight="1">
      <c r="A1842" s="712">
        <v>1</v>
      </c>
      <c r="B1842" s="713" t="s">
        <v>654</v>
      </c>
      <c r="C1842" s="714">
        <f>VLOOKUP(C1838,'Luong VP'!$B$10:$AP$189,9,0)</f>
        <v>14500</v>
      </c>
      <c r="D1842" s="715"/>
      <c r="E1842" s="710" t="s">
        <v>655</v>
      </c>
      <c r="F1842" s="716" t="s">
        <v>656</v>
      </c>
      <c r="G1842" s="710"/>
      <c r="H1842" s="710"/>
      <c r="I1842" s="727"/>
      <c r="J1842" s="714">
        <f>VLOOKUP(C1838,'Luong VP'!$B$10:$AP$189,21,0)</f>
        <v>12920</v>
      </c>
    </row>
    <row r="1843" spans="1:12" ht="9.1999999999999993" customHeight="1">
      <c r="A1843" s="712">
        <v>2</v>
      </c>
      <c r="B1843" s="713" t="s">
        <v>658</v>
      </c>
      <c r="C1843" s="714"/>
      <c r="D1843" s="717"/>
      <c r="E1843" s="710">
        <v>1</v>
      </c>
      <c r="F1843" s="718" t="s">
        <v>659</v>
      </c>
      <c r="G1843" s="718"/>
      <c r="H1843" s="710" t="s">
        <v>660</v>
      </c>
      <c r="I1843" s="727">
        <f>VLOOKUP(C1838,'Luong VP'!$B$10:$AP$189,22,0)</f>
        <v>6</v>
      </c>
      <c r="J1843" s="728">
        <f>J1842/'Cham cong'!$AS$3*I1843</f>
        <v>2981.5384615384614</v>
      </c>
    </row>
    <row r="1844" spans="1:12" ht="9.1999999999999993" customHeight="1">
      <c r="A1844" s="712">
        <v>3</v>
      </c>
      <c r="B1844" s="713" t="s">
        <v>661</v>
      </c>
      <c r="C1844" s="714">
        <f>VLOOKUP(C1838,'Luong VP'!$B$10:$AP$189,10,0)</f>
        <v>0</v>
      </c>
      <c r="D1844" s="717"/>
      <c r="E1844" s="710">
        <v>2</v>
      </c>
      <c r="F1844" s="718" t="s">
        <v>662</v>
      </c>
      <c r="G1844" s="718"/>
      <c r="H1844" s="710" t="s">
        <v>660</v>
      </c>
      <c r="I1844" s="727">
        <f>VLOOKUP(C1838,'Luong VP'!$B$10:$AP$189,27,0)</f>
        <v>0</v>
      </c>
      <c r="J1844" s="728">
        <f>J1842/'Cham cong'!$AS$3*I1844*3</f>
        <v>0</v>
      </c>
    </row>
    <row r="1845" spans="1:12" ht="9.1999999999999993" customHeight="1">
      <c r="A1845" s="712">
        <v>4</v>
      </c>
      <c r="B1845" s="713" t="s">
        <v>666</v>
      </c>
      <c r="C1845" s="714">
        <f>VLOOKUP(C1838,'Luong VP'!$B$10:$AP$189,11,0)</f>
        <v>500</v>
      </c>
      <c r="D1845" s="717"/>
      <c r="E1845" s="710">
        <v>3</v>
      </c>
      <c r="F1845" s="718" t="s">
        <v>667</v>
      </c>
      <c r="G1845" s="718"/>
      <c r="H1845" s="710" t="s">
        <v>668</v>
      </c>
      <c r="I1845" s="727">
        <f>VLOOKUP(C1838,'Luong VP'!$B$10:$AP$189,26,0)</f>
        <v>0</v>
      </c>
      <c r="J1845" s="728">
        <f>J1842/'Cham cong'!$AS$3*I1845/8*1.5</f>
        <v>0</v>
      </c>
    </row>
    <row r="1846" spans="1:12" ht="9.1999999999999993" customHeight="1">
      <c r="A1846" s="712">
        <v>5</v>
      </c>
      <c r="B1846" s="713" t="s">
        <v>670</v>
      </c>
      <c r="C1846" s="714">
        <f>VLOOKUP(C1838,'Luong VP'!$B$10:$AP$189,12,0)</f>
        <v>0</v>
      </c>
      <c r="D1846" s="717"/>
      <c r="E1846" s="710">
        <v>4</v>
      </c>
      <c r="F1846" s="718" t="s">
        <v>671</v>
      </c>
      <c r="G1846" s="718"/>
      <c r="H1846" s="710" t="s">
        <v>668</v>
      </c>
      <c r="I1846" s="727">
        <f>VLOOKUP(C1838,'Luong VP'!$B$10:$AP$189,25,0)</f>
        <v>0</v>
      </c>
      <c r="J1846" s="728">
        <f>J1842/'Cham cong'!$AS$3*I1846/8*2</f>
        <v>0</v>
      </c>
    </row>
    <row r="1847" spans="1:12" ht="9.1999999999999993" customHeight="1">
      <c r="A1847" s="712">
        <v>6</v>
      </c>
      <c r="B1847" s="713" t="s">
        <v>673</v>
      </c>
      <c r="C1847" s="714">
        <f>VLOOKUP(C1838,'Luong VP'!$B$10:$AP$189,13,0)</f>
        <v>0</v>
      </c>
      <c r="D1847" s="717"/>
      <c r="E1847" s="710">
        <v>5</v>
      </c>
      <c r="F1847" s="718" t="s">
        <v>674</v>
      </c>
      <c r="G1847" s="718"/>
      <c r="H1847" s="710" t="s">
        <v>660</v>
      </c>
      <c r="I1847" s="727">
        <f>VLOOKUP(C1838,'Luong VP'!$B$10:$AP$189,23,0)</f>
        <v>0</v>
      </c>
      <c r="J1847" s="728">
        <f>C1842/'Cham cong'!$AS$3*I1847</f>
        <v>0</v>
      </c>
      <c r="L1847" s="694" t="str">
        <f>G1838</f>
        <v>Võ Tấn Đạt</v>
      </c>
    </row>
    <row r="1848" spans="1:12" ht="9.1999999999999993" customHeight="1">
      <c r="A1848" s="712">
        <v>7</v>
      </c>
      <c r="B1848" s="713" t="s">
        <v>676</v>
      </c>
      <c r="C1848" s="714"/>
      <c r="D1848" s="717"/>
      <c r="E1848" s="710">
        <v>6</v>
      </c>
      <c r="F1848" s="718" t="s">
        <v>677</v>
      </c>
      <c r="G1848" s="718"/>
      <c r="H1848" s="710" t="s">
        <v>660</v>
      </c>
      <c r="I1848" s="727">
        <f>VLOOKUP(C1838,'Luong VP'!$B$10:$AP$189,24,0)</f>
        <v>1</v>
      </c>
      <c r="J1848" s="714">
        <f>C1842/'Cham cong'!$AS$3*I1848</f>
        <v>557.69230769230774</v>
      </c>
    </row>
    <row r="1849" spans="1:12" ht="9.1999999999999993" customHeight="1">
      <c r="A1849" s="712">
        <v>8</v>
      </c>
      <c r="B1849" s="713" t="s">
        <v>679</v>
      </c>
      <c r="C1849" s="714">
        <f>VLOOKUP(C1838,'Luong VP'!$B$10:$AP$189,14,0)</f>
        <v>200</v>
      </c>
      <c r="D1849" s="717"/>
      <c r="E1849" s="710">
        <v>7</v>
      </c>
      <c r="F1849" s="718" t="s">
        <v>680</v>
      </c>
      <c r="G1849" s="718"/>
      <c r="H1849" s="718"/>
      <c r="I1849" s="729"/>
      <c r="J1849" s="714">
        <f>VLOOKUP(C1838,'Luong VP'!$B$10:$AP$189,28,0)</f>
        <v>0</v>
      </c>
    </row>
    <row r="1850" spans="1:12" ht="9.1999999999999993" customHeight="1">
      <c r="A1850" s="712">
        <v>9</v>
      </c>
      <c r="B1850" s="713" t="s">
        <v>683</v>
      </c>
      <c r="C1850" s="714">
        <f>VLOOKUP(C1838,'Luong VP'!$B$10:$AP$189,15,0)</f>
        <v>300</v>
      </c>
      <c r="D1850" s="717"/>
      <c r="E1850" s="710">
        <v>8</v>
      </c>
      <c r="F1850" s="718" t="s">
        <v>238</v>
      </c>
      <c r="G1850" s="718"/>
      <c r="H1850" s="798" t="s">
        <v>660</v>
      </c>
      <c r="I1850" s="799">
        <v>20</v>
      </c>
      <c r="J1850" s="800">
        <v>11150</v>
      </c>
    </row>
    <row r="1851" spans="1:12" ht="9.1999999999999993" customHeight="1">
      <c r="A1851" s="712">
        <v>10</v>
      </c>
      <c r="B1851" s="713" t="s">
        <v>685</v>
      </c>
      <c r="C1851" s="714">
        <f>VLOOKUP(C1838,'Luong VP'!$B$10:$AP$189,16,0)</f>
        <v>0</v>
      </c>
      <c r="D1851" s="717"/>
      <c r="E1851" s="710" t="s">
        <v>686</v>
      </c>
      <c r="F1851" s="716" t="s">
        <v>687</v>
      </c>
      <c r="G1851" s="719"/>
      <c r="H1851" s="719"/>
      <c r="I1851" s="729"/>
      <c r="J1851" s="730"/>
    </row>
    <row r="1852" spans="1:12" ht="9.1999999999999993" customHeight="1">
      <c r="A1852" s="712">
        <v>11</v>
      </c>
      <c r="B1852" s="713" t="s">
        <v>688</v>
      </c>
      <c r="C1852" s="714">
        <f>VLOOKUP(C1838,'Luong VP'!$B$10:$AP$189,17,0)</f>
        <v>0</v>
      </c>
      <c r="D1852" s="717"/>
      <c r="E1852" s="710">
        <v>1</v>
      </c>
      <c r="F1852" s="716" t="s">
        <v>689</v>
      </c>
      <c r="G1852" s="719"/>
      <c r="H1852" s="719"/>
      <c r="I1852" s="714">
        <f>VLOOKUP(C1838,'Luong VP'!$B$10:$AP$189,30,0)</f>
        <v>0</v>
      </c>
      <c r="J1852" s="714">
        <f>VLOOKUP(C1838,'Luong VP'!$B$10:$AP$189,30,0)</f>
        <v>0</v>
      </c>
    </row>
    <row r="1853" spans="1:12" ht="9.1999999999999993" customHeight="1">
      <c r="A1853" s="712">
        <v>12</v>
      </c>
      <c r="B1853" s="713" t="s">
        <v>691</v>
      </c>
      <c r="C1853" s="714">
        <f>VLOOKUP(C1838,'Luong VP'!$B$10:$AP$189,18,0)</f>
        <v>0</v>
      </c>
      <c r="D1853" s="717"/>
      <c r="E1853" s="710">
        <v>2</v>
      </c>
      <c r="F1853" s="718" t="s">
        <v>239</v>
      </c>
      <c r="G1853" s="718"/>
      <c r="H1853" s="718"/>
      <c r="I1853" s="727"/>
      <c r="J1853" s="728">
        <f>VLOOKUP(C1838,'Luong VP'!$B$10:$AP$189,34,0)</f>
        <v>0</v>
      </c>
      <c r="K1853" s="731"/>
      <c r="L1853" s="715"/>
    </row>
    <row r="1854" spans="1:12" ht="9.1999999999999993" customHeight="1">
      <c r="A1854" s="712">
        <v>13</v>
      </c>
      <c r="B1854" s="713" t="s">
        <v>692</v>
      </c>
      <c r="C1854" s="714">
        <f>VLOOKUP(C1838,'Luong VP'!$B$10:$AP$189,19,0)</f>
        <v>0</v>
      </c>
      <c r="D1854" s="717"/>
      <c r="E1854" s="710">
        <v>3</v>
      </c>
      <c r="F1854" s="716" t="s">
        <v>693</v>
      </c>
      <c r="G1854" s="719"/>
      <c r="H1854" s="719"/>
      <c r="I1854" s="729"/>
      <c r="J1854" s="714">
        <f>VLOOKUP(C1838,'Luong VP'!$B$10:$AP$189,40,0)</f>
        <v>0</v>
      </c>
      <c r="K1854" s="731"/>
      <c r="L1854" s="715"/>
    </row>
    <row r="1855" spans="1:12" ht="9.1999999999999993" customHeight="1">
      <c r="A1855" s="712">
        <v>14</v>
      </c>
      <c r="B1855" s="713" t="s">
        <v>694</v>
      </c>
      <c r="C1855" s="714">
        <f>VLOOKUP(C1838,'Luong VP'!$B$10:$AP$189,20,0)</f>
        <v>0</v>
      </c>
      <c r="D1855" s="717"/>
      <c r="E1855" s="710">
        <v>4</v>
      </c>
      <c r="F1855" s="718" t="s">
        <v>695</v>
      </c>
      <c r="G1855" s="719"/>
      <c r="H1855" s="719"/>
      <c r="I1855" s="729"/>
      <c r="J1855" s="714">
        <f>VLOOKUP(C1838,'Luong VP'!$B$10:$AP$189,35,0)</f>
        <v>0</v>
      </c>
      <c r="K1855" s="732"/>
      <c r="L1855" s="715"/>
    </row>
    <row r="1856" spans="1:12" ht="9.1999999999999993" customHeight="1">
      <c r="A1856" s="712"/>
      <c r="B1856" s="707" t="s">
        <v>656</v>
      </c>
      <c r="C1856" s="714">
        <f>SUM(C1842:C1855)</f>
        <v>15500</v>
      </c>
      <c r="D1856" s="717"/>
      <c r="E1856" s="710"/>
      <c r="F1856" s="716" t="s">
        <v>241</v>
      </c>
      <c r="G1856" s="719"/>
      <c r="H1856" s="719"/>
      <c r="I1856" s="729"/>
      <c r="J1856" s="730">
        <f>SUM(J1843:J1855)+C1850</f>
        <v>14989.23076923077</v>
      </c>
      <c r="K1856" s="731"/>
      <c r="L1856" s="715"/>
    </row>
    <row r="1857" spans="1:12" ht="9.1999999999999993" customHeight="1">
      <c r="B1857" s="720"/>
      <c r="C1857" s="717"/>
      <c r="D1857" s="717"/>
      <c r="E1857" s="710" t="s">
        <v>696</v>
      </c>
      <c r="F1857" s="711" t="s">
        <v>697</v>
      </c>
      <c r="G1857" s="710"/>
      <c r="H1857" s="710"/>
      <c r="I1857" s="729"/>
      <c r="J1857" s="730">
        <f>SUM(J1858:J1860)</f>
        <v>0</v>
      </c>
      <c r="K1857" s="732"/>
      <c r="L1857" s="715"/>
    </row>
    <row r="1858" spans="1:12" ht="9.1999999999999993" customHeight="1">
      <c r="B1858" s="720"/>
      <c r="C1858" s="717"/>
      <c r="D1858" s="717"/>
      <c r="E1858" s="710">
        <v>1</v>
      </c>
      <c r="F1858" s="718" t="s">
        <v>698</v>
      </c>
      <c r="G1858" s="718"/>
      <c r="H1858" s="718"/>
      <c r="I1858" s="733"/>
      <c r="J1858" s="714">
        <f>VLOOKUP(C1838,'Luong VP'!$B$10:$AP$189,37,0)</f>
        <v>0</v>
      </c>
      <c r="K1858" s="732"/>
      <c r="L1858" s="715"/>
    </row>
    <row r="1859" spans="1:12" ht="9.1999999999999993" customHeight="1">
      <c r="B1859" s="720"/>
      <c r="C1859" s="717"/>
      <c r="D1859" s="717"/>
      <c r="E1859" s="710">
        <v>2</v>
      </c>
      <c r="F1859" s="718" t="s">
        <v>244</v>
      </c>
      <c r="G1859" s="718"/>
      <c r="H1859" s="718"/>
      <c r="I1859" s="729"/>
      <c r="J1859" s="714">
        <f>VLOOKUP(C1838,'Luong VP'!$B$10:$AP$189,39,0)</f>
        <v>0</v>
      </c>
      <c r="K1859" s="734"/>
      <c r="L1859" s="735"/>
    </row>
    <row r="1860" spans="1:12" ht="9.1999999999999993" customHeight="1">
      <c r="B1860" s="720"/>
      <c r="C1860" s="717"/>
      <c r="D1860" s="717"/>
      <c r="E1860" s="710"/>
      <c r="F1860" s="718" t="s">
        <v>699</v>
      </c>
      <c r="G1860" s="718"/>
      <c r="H1860" s="718"/>
      <c r="I1860" s="729"/>
      <c r="J1860" s="714"/>
      <c r="K1860" s="714"/>
      <c r="L1860" s="736"/>
    </row>
    <row r="1861" spans="1:12" ht="9.1999999999999993" customHeight="1">
      <c r="B1861" s="720"/>
      <c r="C1861" s="717"/>
      <c r="D1861" s="717"/>
      <c r="E1861" s="710" t="s">
        <v>700</v>
      </c>
      <c r="F1861" s="710" t="s">
        <v>246</v>
      </c>
      <c r="G1861" s="710"/>
      <c r="H1861" s="710"/>
      <c r="I1861" s="729"/>
      <c r="J1861" s="728">
        <f>J1856-J1857</f>
        <v>14989.23076923077</v>
      </c>
      <c r="K1861" s="728">
        <f>ROUND(J1861,-1)</f>
        <v>14990</v>
      </c>
      <c r="L1861" s="710"/>
    </row>
    <row r="1862" spans="1:12" ht="9.1999999999999993" customHeight="1">
      <c r="B1862" s="720"/>
      <c r="C1862" s="717"/>
      <c r="D1862" s="717"/>
      <c r="E1862" s="715"/>
      <c r="F1862" s="715"/>
      <c r="G1862" s="715"/>
      <c r="H1862" s="715"/>
      <c r="I1862" s="849"/>
      <c r="J1862" s="737"/>
      <c r="K1862" s="737"/>
      <c r="L1862" s="715"/>
    </row>
    <row r="1863" spans="1:12" ht="9.1999999999999993" customHeight="1">
      <c r="B1863" s="720"/>
      <c r="C1863" s="717"/>
      <c r="D1863" s="717"/>
      <c r="E1863" s="715"/>
      <c r="F1863" s="715"/>
      <c r="G1863" s="715"/>
      <c r="H1863" s="715"/>
      <c r="I1863" s="849"/>
      <c r="J1863" s="737"/>
      <c r="K1863" s="737"/>
      <c r="L1863" s="715"/>
    </row>
    <row r="1864" spans="1:12" ht="9.1999999999999993" customHeight="1">
      <c r="B1864" s="720"/>
      <c r="C1864" s="717"/>
      <c r="D1864" s="717"/>
      <c r="E1864" s="715"/>
      <c r="F1864" s="715"/>
      <c r="G1864" s="715"/>
      <c r="H1864" s="715"/>
      <c r="I1864" s="849"/>
      <c r="J1864" s="737"/>
      <c r="K1864" s="737"/>
      <c r="L1864" s="715"/>
    </row>
    <row r="1865" spans="1:12" ht="9.1999999999999993" customHeight="1">
      <c r="B1865" s="720"/>
      <c r="C1865" s="717"/>
      <c r="D1865" s="717"/>
      <c r="E1865" s="715"/>
      <c r="F1865" s="715"/>
      <c r="G1865" s="715"/>
      <c r="H1865" s="715"/>
      <c r="I1865" s="849"/>
      <c r="J1865" s="737"/>
      <c r="K1865" s="737"/>
      <c r="L1865" s="715"/>
    </row>
    <row r="1867" spans="1:12" ht="9.1999999999999993" customHeight="1">
      <c r="B1867" s="720"/>
      <c r="C1867" s="717"/>
      <c r="D1867" s="717"/>
      <c r="E1867" s="715"/>
      <c r="F1867" s="715"/>
      <c r="G1867" s="715"/>
      <c r="I1867" s="715"/>
      <c r="J1867" s="737"/>
      <c r="K1867" s="737"/>
      <c r="L1867" s="715"/>
    </row>
    <row r="1868" spans="1:12" ht="9.1999999999999993" customHeight="1">
      <c r="C1868" s="696"/>
      <c r="D1868" s="696"/>
      <c r="E1868" s="697" t="str">
        <f>$E$2</f>
        <v>THẺ LƯƠNG THÁNG 08/2019</v>
      </c>
      <c r="F1868" s="698"/>
      <c r="G1868" s="698"/>
      <c r="H1868" s="698"/>
    </row>
    <row r="1869" spans="1:12" ht="9.1999999999999993" customHeight="1">
      <c r="B1869" s="699" t="s">
        <v>644</v>
      </c>
      <c r="C1869" s="700" t="s">
        <v>381</v>
      </c>
      <c r="D1869" s="701"/>
      <c r="F1869" s="702" t="s">
        <v>645</v>
      </c>
      <c r="G1869" s="689" t="str">
        <f>VLOOKUP(C1869,'Luong VP'!$B$10:$AP$189,2,0)</f>
        <v>Nguyễn Tấn Lộc</v>
      </c>
    </row>
    <row r="1870" spans="1:12" ht="9.1999999999999993" customHeight="1">
      <c r="B1870" s="699" t="s">
        <v>646</v>
      </c>
      <c r="C1870" s="689" t="str">
        <f>VLOOKUP(C1869,'Luong VP'!$B$10:$AP$189,3,0)</f>
        <v>NV kho</v>
      </c>
      <c r="F1870" s="702" t="s">
        <v>647</v>
      </c>
      <c r="G1870" s="689">
        <f>VLOOKUP(C1869,'Luong VP'!$B$10:$AP$189,5,0)</f>
        <v>3</v>
      </c>
    </row>
    <row r="1871" spans="1:12" ht="9.1999999999999993" customHeight="1">
      <c r="B1871" s="703"/>
      <c r="C1871" s="704"/>
      <c r="D1871" s="705"/>
      <c r="F1871" s="706" t="s">
        <v>648</v>
      </c>
      <c r="G1871" s="706"/>
      <c r="H1871" s="706"/>
      <c r="I1871" s="725"/>
      <c r="J1871" s="726"/>
    </row>
    <row r="1872" spans="1:12" ht="9.1999999999999993" customHeight="1">
      <c r="A1872" s="707" t="s">
        <v>216</v>
      </c>
      <c r="B1872" s="707" t="s">
        <v>649</v>
      </c>
      <c r="C1872" s="708" t="s">
        <v>650</v>
      </c>
      <c r="D1872" s="709"/>
      <c r="E1872" s="710" t="s">
        <v>216</v>
      </c>
      <c r="F1872" s="711" t="s">
        <v>649</v>
      </c>
      <c r="G1872" s="710"/>
      <c r="H1872" s="710" t="s">
        <v>651</v>
      </c>
      <c r="I1872" s="727" t="s">
        <v>652</v>
      </c>
      <c r="J1872" s="714"/>
      <c r="L1872" s="694" t="s">
        <v>653</v>
      </c>
    </row>
    <row r="1873" spans="1:12" ht="9.1999999999999993" customHeight="1">
      <c r="A1873" s="712">
        <v>1</v>
      </c>
      <c r="B1873" s="713" t="s">
        <v>654</v>
      </c>
      <c r="C1873" s="714">
        <f>VLOOKUP(C1869,'Luong VP'!$B$10:$AP$189,9,0)</f>
        <v>7280</v>
      </c>
      <c r="D1873" s="715"/>
      <c r="E1873" s="710" t="s">
        <v>655</v>
      </c>
      <c r="F1873" s="716" t="s">
        <v>656</v>
      </c>
      <c r="G1873" s="710"/>
      <c r="H1873" s="710"/>
      <c r="I1873" s="727"/>
      <c r="J1873" s="714">
        <f>VLOOKUP(C1869,'Luong VP'!$B$10:$AP$189,21,0)</f>
        <v>7480</v>
      </c>
    </row>
    <row r="1874" spans="1:12" ht="9.1999999999999993" customHeight="1">
      <c r="A1874" s="712">
        <v>2</v>
      </c>
      <c r="B1874" s="713" t="s">
        <v>658</v>
      </c>
      <c r="C1874" s="714"/>
      <c r="D1874" s="717"/>
      <c r="E1874" s="710">
        <v>1</v>
      </c>
      <c r="F1874" s="718" t="s">
        <v>659</v>
      </c>
      <c r="G1874" s="718"/>
      <c r="H1874" s="710" t="s">
        <v>660</v>
      </c>
      <c r="I1874" s="727">
        <f>VLOOKUP(C1869,'Luong VP'!$B$10:$AP$189,22,0)</f>
        <v>26</v>
      </c>
      <c r="J1874" s="728">
        <f>J1873/'Cham cong'!$AS$3*I1874</f>
        <v>7480</v>
      </c>
    </row>
    <row r="1875" spans="1:12" ht="9.1999999999999993" customHeight="1">
      <c r="A1875" s="712">
        <v>3</v>
      </c>
      <c r="B1875" s="713" t="s">
        <v>661</v>
      </c>
      <c r="C1875" s="714">
        <f>VLOOKUP(C1869,'Luong VP'!$B$10:$AP$189,10,0)</f>
        <v>200</v>
      </c>
      <c r="D1875" s="717"/>
      <c r="E1875" s="710">
        <v>2</v>
      </c>
      <c r="F1875" s="718" t="s">
        <v>662</v>
      </c>
      <c r="G1875" s="718"/>
      <c r="H1875" s="710" t="s">
        <v>660</v>
      </c>
      <c r="I1875" s="727">
        <f>VLOOKUP(C1869,'Luong VP'!$B$10:$AP$189,27,0)</f>
        <v>0</v>
      </c>
      <c r="J1875" s="728">
        <f>J1873/'Cham cong'!$AS$3*I1875*3</f>
        <v>0</v>
      </c>
    </row>
    <row r="1876" spans="1:12" ht="9.1999999999999993" customHeight="1">
      <c r="A1876" s="712">
        <v>4</v>
      </c>
      <c r="B1876" s="713" t="s">
        <v>666</v>
      </c>
      <c r="C1876" s="714">
        <f>VLOOKUP(C1869,'Luong VP'!$B$10:$AP$189,11,0)</f>
        <v>0</v>
      </c>
      <c r="D1876" s="717"/>
      <c r="E1876" s="710">
        <v>3</v>
      </c>
      <c r="F1876" s="718" t="s">
        <v>667</v>
      </c>
      <c r="G1876" s="718"/>
      <c r="H1876" s="710" t="s">
        <v>668</v>
      </c>
      <c r="I1876" s="727">
        <f>VLOOKUP(C1869,'Luong VP'!$B$10:$AP$189,26,0)</f>
        <v>24.5</v>
      </c>
      <c r="J1876" s="728">
        <f>J1873/'Cham cong'!$AS$3*I1876/8*1.5</f>
        <v>1321.5865384615383</v>
      </c>
    </row>
    <row r="1877" spans="1:12" ht="9.1999999999999993" customHeight="1">
      <c r="A1877" s="712">
        <v>5</v>
      </c>
      <c r="B1877" s="713" t="s">
        <v>670</v>
      </c>
      <c r="C1877" s="714">
        <f>VLOOKUP(C1869,'Luong VP'!$B$10:$AP$189,12,0)</f>
        <v>0</v>
      </c>
      <c r="D1877" s="717"/>
      <c r="E1877" s="710">
        <v>4</v>
      </c>
      <c r="F1877" s="718" t="s">
        <v>671</v>
      </c>
      <c r="G1877" s="718"/>
      <c r="H1877" s="710" t="s">
        <v>668</v>
      </c>
      <c r="I1877" s="727">
        <f>VLOOKUP(C1869,'Luong VP'!$B$10:$AP$189,25,0)</f>
        <v>0</v>
      </c>
      <c r="J1877" s="728">
        <f>J1873/'Cham cong'!$AS$3*I1877/8*2</f>
        <v>0</v>
      </c>
    </row>
    <row r="1878" spans="1:12" ht="9.1999999999999993" customHeight="1">
      <c r="A1878" s="712">
        <v>6</v>
      </c>
      <c r="B1878" s="713" t="s">
        <v>673</v>
      </c>
      <c r="C1878" s="714">
        <f>VLOOKUP(C1869,'Luong VP'!$B$10:$AP$189,13,0)</f>
        <v>0</v>
      </c>
      <c r="D1878" s="717"/>
      <c r="E1878" s="710">
        <v>5</v>
      </c>
      <c r="F1878" s="718" t="s">
        <v>674</v>
      </c>
      <c r="G1878" s="718"/>
      <c r="H1878" s="710" t="s">
        <v>660</v>
      </c>
      <c r="I1878" s="727">
        <f>VLOOKUP(C1869,'Luong VP'!$B$10:$AP$189,23,0)</f>
        <v>0</v>
      </c>
      <c r="J1878" s="728">
        <f>C1873/'Cham cong'!$AS$3*I1878</f>
        <v>0</v>
      </c>
      <c r="L1878" s="694" t="str">
        <f>G1869</f>
        <v>Nguyễn Tấn Lộc</v>
      </c>
    </row>
    <row r="1879" spans="1:12" ht="9.1999999999999993" customHeight="1">
      <c r="A1879" s="712">
        <v>7</v>
      </c>
      <c r="B1879" s="713" t="s">
        <v>676</v>
      </c>
      <c r="C1879" s="714"/>
      <c r="D1879" s="717"/>
      <c r="E1879" s="710">
        <v>6</v>
      </c>
      <c r="F1879" s="718" t="s">
        <v>677</v>
      </c>
      <c r="G1879" s="718"/>
      <c r="H1879" s="710" t="s">
        <v>660</v>
      </c>
      <c r="I1879" s="727">
        <f>VLOOKUP(C1869,'Luong VP'!$B$10:$AP$189,24,0)</f>
        <v>1</v>
      </c>
      <c r="J1879" s="714">
        <f>C1873/'Cham cong'!$AS$3*I1879</f>
        <v>280</v>
      </c>
    </row>
    <row r="1880" spans="1:12" ht="9.1999999999999993" customHeight="1">
      <c r="A1880" s="712">
        <v>8</v>
      </c>
      <c r="B1880" s="713" t="s">
        <v>679</v>
      </c>
      <c r="C1880" s="714">
        <f>VLOOKUP(C1869,'Luong VP'!$B$10:$AP$189,14,0)</f>
        <v>0</v>
      </c>
      <c r="D1880" s="717"/>
      <c r="E1880" s="710">
        <v>7</v>
      </c>
      <c r="F1880" s="718" t="s">
        <v>680</v>
      </c>
      <c r="G1880" s="718"/>
      <c r="H1880" s="718"/>
      <c r="I1880" s="729"/>
      <c r="J1880" s="714">
        <f>VLOOKUP(C1869,'Luong VP'!$B$10:$AP$189,28,0)</f>
        <v>0</v>
      </c>
    </row>
    <row r="1881" spans="1:12" ht="9.1999999999999993" customHeight="1">
      <c r="A1881" s="712">
        <v>9</v>
      </c>
      <c r="B1881" s="713" t="s">
        <v>683</v>
      </c>
      <c r="C1881" s="714">
        <f>VLOOKUP(C1869,'Luong VP'!$B$10:$AP$189,15,0)</f>
        <v>0</v>
      </c>
      <c r="D1881" s="717"/>
      <c r="E1881" s="710">
        <v>8</v>
      </c>
      <c r="F1881" s="718" t="s">
        <v>238</v>
      </c>
      <c r="G1881" s="718"/>
      <c r="H1881" s="718"/>
      <c r="I1881" s="729"/>
      <c r="J1881" s="714">
        <f>VLOOKUP(C1869,'Luong VP'!$B$10:$AP$189,33,0)</f>
        <v>0</v>
      </c>
    </row>
    <row r="1882" spans="1:12" ht="9.1999999999999993" customHeight="1">
      <c r="A1882" s="712">
        <v>10</v>
      </c>
      <c r="B1882" s="713" t="s">
        <v>685</v>
      </c>
      <c r="C1882" s="714">
        <f>VLOOKUP(C1869,'Luong VP'!$B$10:$AP$189,16,0)</f>
        <v>0</v>
      </c>
      <c r="D1882" s="717"/>
      <c r="E1882" s="710" t="s">
        <v>686</v>
      </c>
      <c r="F1882" s="716" t="s">
        <v>687</v>
      </c>
      <c r="G1882" s="719"/>
      <c r="H1882" s="719"/>
      <c r="I1882" s="729"/>
      <c r="J1882" s="730"/>
    </row>
    <row r="1883" spans="1:12" ht="9.1999999999999993" customHeight="1">
      <c r="A1883" s="712">
        <v>11</v>
      </c>
      <c r="B1883" s="713" t="s">
        <v>688</v>
      </c>
      <c r="C1883" s="714">
        <f>VLOOKUP(C1869,'Luong VP'!$B$10:$AP$189,17,0)</f>
        <v>0</v>
      </c>
      <c r="D1883" s="717"/>
      <c r="E1883" s="710">
        <v>1</v>
      </c>
      <c r="F1883" s="716" t="s">
        <v>689</v>
      </c>
      <c r="G1883" s="719"/>
      <c r="H1883" s="719"/>
      <c r="I1883" s="714">
        <f>VLOOKUP(C1869,'Luong VP'!$B$10:$AP$189,30,0)</f>
        <v>0</v>
      </c>
      <c r="J1883" s="714">
        <f>VLOOKUP(C1869,'Luong VP'!$B$10:$AP$189,30,0)</f>
        <v>0</v>
      </c>
    </row>
    <row r="1884" spans="1:12" ht="9.1999999999999993" customHeight="1">
      <c r="A1884" s="712">
        <v>12</v>
      </c>
      <c r="B1884" s="713" t="s">
        <v>691</v>
      </c>
      <c r="C1884" s="714">
        <f>VLOOKUP(C1869,'Luong VP'!$B$10:$AP$189,18,0)</f>
        <v>0</v>
      </c>
      <c r="D1884" s="717"/>
      <c r="E1884" s="710">
        <v>2</v>
      </c>
      <c r="F1884" s="718" t="s">
        <v>239</v>
      </c>
      <c r="G1884" s="718"/>
      <c r="H1884" s="718"/>
      <c r="I1884" s="727"/>
      <c r="J1884" s="728">
        <f>VLOOKUP(C1869,'Luong VP'!$B$10:$AP$189,34,0)</f>
        <v>0</v>
      </c>
      <c r="K1884" s="731"/>
      <c r="L1884" s="715"/>
    </row>
    <row r="1885" spans="1:12" ht="9.1999999999999993" customHeight="1">
      <c r="A1885" s="712">
        <v>13</v>
      </c>
      <c r="B1885" s="713" t="s">
        <v>692</v>
      </c>
      <c r="C1885" s="714">
        <f>VLOOKUP(C1869,'Luong VP'!$B$10:$AP$189,19,0)</f>
        <v>0</v>
      </c>
      <c r="D1885" s="717"/>
      <c r="E1885" s="710">
        <v>3</v>
      </c>
      <c r="F1885" s="716" t="s">
        <v>693</v>
      </c>
      <c r="G1885" s="719"/>
      <c r="H1885" s="719"/>
      <c r="I1885" s="729"/>
      <c r="J1885" s="714">
        <f>VLOOKUP(C1869,'Luong VP'!$B$10:$AP$189,40,0)</f>
        <v>0</v>
      </c>
      <c r="K1885" s="731"/>
      <c r="L1885" s="715"/>
    </row>
    <row r="1886" spans="1:12" ht="9.1999999999999993" customHeight="1">
      <c r="A1886" s="712">
        <v>14</v>
      </c>
      <c r="B1886" s="713" t="s">
        <v>694</v>
      </c>
      <c r="C1886" s="714">
        <f>VLOOKUP(C1869,'Luong VP'!$B$10:$AP$189,20,0)</f>
        <v>0</v>
      </c>
      <c r="D1886" s="717"/>
      <c r="E1886" s="710">
        <v>4</v>
      </c>
      <c r="F1886" s="718" t="s">
        <v>695</v>
      </c>
      <c r="G1886" s="719"/>
      <c r="H1886" s="719"/>
      <c r="I1886" s="729"/>
      <c r="J1886" s="714">
        <f>VLOOKUP(C1869,'Luong VP'!$B$10:$AP$189,35,0)</f>
        <v>0</v>
      </c>
      <c r="K1886" s="732"/>
      <c r="L1886" s="715"/>
    </row>
    <row r="1887" spans="1:12" ht="9.1999999999999993" customHeight="1">
      <c r="A1887" s="712"/>
      <c r="B1887" s="707" t="s">
        <v>656</v>
      </c>
      <c r="C1887" s="714">
        <f>SUM(C1873:C1886)</f>
        <v>7480</v>
      </c>
      <c r="D1887" s="717"/>
      <c r="E1887" s="710"/>
      <c r="F1887" s="716" t="s">
        <v>241</v>
      </c>
      <c r="G1887" s="719"/>
      <c r="H1887" s="719"/>
      <c r="I1887" s="729"/>
      <c r="J1887" s="730">
        <f>SUM(J1874:J1886)+C1881</f>
        <v>9081.586538461539</v>
      </c>
      <c r="K1887" s="731"/>
      <c r="L1887" s="715"/>
    </row>
    <row r="1888" spans="1:12" ht="9.1999999999999993" customHeight="1">
      <c r="B1888" s="720"/>
      <c r="C1888" s="717"/>
      <c r="D1888" s="717"/>
      <c r="E1888" s="710" t="s">
        <v>696</v>
      </c>
      <c r="F1888" s="711" t="s">
        <v>697</v>
      </c>
      <c r="G1888" s="710"/>
      <c r="H1888" s="710"/>
      <c r="I1888" s="729"/>
      <c r="J1888" s="730">
        <f>SUM(J1889:J1891)</f>
        <v>3504</v>
      </c>
      <c r="K1888" s="732"/>
      <c r="L1888" s="715"/>
    </row>
    <row r="1889" spans="1:12" ht="9.1999999999999993" customHeight="1">
      <c r="B1889" s="720"/>
      <c r="C1889" s="717"/>
      <c r="D1889" s="717"/>
      <c r="E1889" s="710">
        <v>1</v>
      </c>
      <c r="F1889" s="718" t="s">
        <v>698</v>
      </c>
      <c r="G1889" s="718"/>
      <c r="H1889" s="718"/>
      <c r="I1889" s="733"/>
      <c r="J1889" s="714">
        <f>VLOOKUP(C1869,'Luong VP'!$B$10:$AP$189,37,0)</f>
        <v>504</v>
      </c>
      <c r="K1889" s="732"/>
      <c r="L1889" s="715"/>
    </row>
    <row r="1890" spans="1:12" ht="9.1999999999999993" customHeight="1">
      <c r="B1890" s="720"/>
      <c r="C1890" s="717"/>
      <c r="D1890" s="717"/>
      <c r="E1890" s="710">
        <v>2</v>
      </c>
      <c r="F1890" s="718" t="s">
        <v>244</v>
      </c>
      <c r="G1890" s="718"/>
      <c r="H1890" s="718"/>
      <c r="I1890" s="729"/>
      <c r="J1890" s="714">
        <f>VLOOKUP(C1869,'Luong VP'!$B$10:$AP$189,39,0)</f>
        <v>3000</v>
      </c>
      <c r="K1890" s="734"/>
      <c r="L1890" s="735"/>
    </row>
    <row r="1891" spans="1:12" ht="9.1999999999999993" customHeight="1">
      <c r="B1891" s="720"/>
      <c r="C1891" s="717"/>
      <c r="D1891" s="717"/>
      <c r="E1891" s="710"/>
      <c r="F1891" s="718" t="s">
        <v>699</v>
      </c>
      <c r="G1891" s="718"/>
      <c r="H1891" s="718"/>
      <c r="I1891" s="729"/>
      <c r="J1891" s="714"/>
      <c r="K1891" s="714"/>
      <c r="L1891" s="736"/>
    </row>
    <row r="1892" spans="1:12" ht="9.1999999999999993" customHeight="1">
      <c r="B1892" s="720"/>
      <c r="C1892" s="717"/>
      <c r="D1892" s="717"/>
      <c r="E1892" s="710" t="s">
        <v>700</v>
      </c>
      <c r="F1892" s="710" t="s">
        <v>246</v>
      </c>
      <c r="G1892" s="710"/>
      <c r="H1892" s="710"/>
      <c r="I1892" s="729"/>
      <c r="J1892" s="728">
        <f>J1887-J1888</f>
        <v>5577.586538461539</v>
      </c>
      <c r="K1892" s="728">
        <f>ROUND(J1892,-1)</f>
        <v>5580</v>
      </c>
      <c r="L1892" s="710"/>
    </row>
    <row r="1893" spans="1:12" ht="9.1999999999999993" customHeight="1">
      <c r="B1893" s="720"/>
      <c r="C1893" s="717"/>
      <c r="D1893" s="717"/>
      <c r="E1893" s="715"/>
      <c r="F1893" s="715"/>
      <c r="G1893" s="715"/>
      <c r="I1893" s="715" t="s">
        <v>701</v>
      </c>
      <c r="J1893" s="737"/>
      <c r="K1893" s="737"/>
      <c r="L1893" s="715"/>
    </row>
    <row r="1894" spans="1:12" ht="9.1999999999999993" customHeight="1">
      <c r="B1894" s="720"/>
      <c r="C1894" s="717"/>
      <c r="D1894" s="717"/>
      <c r="E1894" s="715"/>
      <c r="F1894" s="715"/>
      <c r="G1894" s="715"/>
      <c r="I1894" s="715"/>
      <c r="J1894" s="737"/>
      <c r="K1894" s="737"/>
      <c r="L1894" s="715"/>
    </row>
    <row r="1895" spans="1:12" ht="9.1999999999999993" customHeight="1">
      <c r="B1895" s="720"/>
      <c r="C1895" s="717"/>
      <c r="D1895" s="717"/>
      <c r="E1895" s="715"/>
      <c r="F1895" s="715"/>
      <c r="G1895" s="715"/>
      <c r="I1895" s="715"/>
      <c r="J1895" s="737"/>
      <c r="K1895" s="737"/>
      <c r="L1895" s="715"/>
    </row>
    <row r="1898" spans="1:12" ht="9.1999999999999993" customHeight="1">
      <c r="C1898" s="696"/>
      <c r="D1898" s="696"/>
      <c r="E1898" s="697" t="str">
        <f>$E$2</f>
        <v>THẺ LƯƠNG THÁNG 08/2019</v>
      </c>
      <c r="F1898" s="698"/>
      <c r="G1898" s="698"/>
      <c r="H1898" s="698"/>
    </row>
    <row r="1899" spans="1:12" ht="9.1999999999999993" customHeight="1">
      <c r="B1899" s="699" t="s">
        <v>644</v>
      </c>
      <c r="C1899" s="700" t="s">
        <v>387</v>
      </c>
      <c r="D1899" s="701"/>
      <c r="F1899" s="702" t="s">
        <v>645</v>
      </c>
      <c r="G1899" s="689" t="str">
        <f>VLOOKUP(C1899,'Luong VP'!$B$10:$AP$189,2,0)</f>
        <v>Lương Minh Hòa</v>
      </c>
    </row>
    <row r="1900" spans="1:12" ht="9.1999999999999993" customHeight="1">
      <c r="B1900" s="699" t="s">
        <v>646</v>
      </c>
      <c r="C1900" s="689" t="str">
        <f>VLOOKUP(C1899,'Luong VP'!$B$10:$AP$189,3,0)</f>
        <v>Thủ kho</v>
      </c>
      <c r="F1900" s="702" t="s">
        <v>647</v>
      </c>
      <c r="G1900" s="689">
        <f>VLOOKUP(C1899,'Luong VP'!$B$10:$AP$189,5,0)</f>
        <v>2</v>
      </c>
    </row>
    <row r="1901" spans="1:12" ht="9.1999999999999993" customHeight="1">
      <c r="B1901" s="703"/>
      <c r="C1901" s="704"/>
      <c r="D1901" s="705"/>
      <c r="F1901" s="706" t="s">
        <v>648</v>
      </c>
      <c r="G1901" s="706"/>
      <c r="H1901" s="706"/>
      <c r="I1901" s="725"/>
      <c r="J1901" s="726"/>
    </row>
    <row r="1902" spans="1:12" ht="9.1999999999999993" customHeight="1">
      <c r="A1902" s="707" t="s">
        <v>216</v>
      </c>
      <c r="B1902" s="707" t="s">
        <v>649</v>
      </c>
      <c r="C1902" s="708" t="s">
        <v>650</v>
      </c>
      <c r="D1902" s="709"/>
      <c r="E1902" s="710" t="s">
        <v>216</v>
      </c>
      <c r="F1902" s="711" t="s">
        <v>649</v>
      </c>
      <c r="G1902" s="710"/>
      <c r="H1902" s="710" t="s">
        <v>651</v>
      </c>
      <c r="I1902" s="727" t="s">
        <v>652</v>
      </c>
      <c r="J1902" s="714"/>
      <c r="L1902" s="694" t="s">
        <v>653</v>
      </c>
    </row>
    <row r="1903" spans="1:12" ht="9.1999999999999993" customHeight="1">
      <c r="A1903" s="712">
        <v>1</v>
      </c>
      <c r="B1903" s="713" t="s">
        <v>654</v>
      </c>
      <c r="C1903" s="714">
        <f>VLOOKUP(C1899,'Luong VP'!$B$10:$AP$189,9,0)</f>
        <v>7710</v>
      </c>
      <c r="D1903" s="715"/>
      <c r="E1903" s="710" t="s">
        <v>655</v>
      </c>
      <c r="F1903" s="716" t="s">
        <v>656</v>
      </c>
      <c r="G1903" s="710"/>
      <c r="H1903" s="710"/>
      <c r="I1903" s="727"/>
      <c r="J1903" s="714">
        <f>VLOOKUP(C1899,'Luong VP'!$B$10:$AP$189,21,0)</f>
        <v>7910</v>
      </c>
    </row>
    <row r="1904" spans="1:12" ht="9.1999999999999993" customHeight="1">
      <c r="A1904" s="712">
        <v>2</v>
      </c>
      <c r="B1904" s="713" t="s">
        <v>658</v>
      </c>
      <c r="C1904" s="714"/>
      <c r="D1904" s="717"/>
      <c r="E1904" s="710">
        <v>1</v>
      </c>
      <c r="F1904" s="718" t="s">
        <v>659</v>
      </c>
      <c r="G1904" s="718"/>
      <c r="H1904" s="710" t="s">
        <v>660</v>
      </c>
      <c r="I1904" s="727">
        <f>VLOOKUP(C1899,'Luong VP'!$B$10:$AP$189,22,0)</f>
        <v>26</v>
      </c>
      <c r="J1904" s="728">
        <f>J1903/'Cham cong'!$AS$3*I1904</f>
        <v>7910</v>
      </c>
    </row>
    <row r="1905" spans="1:12" ht="9.1999999999999993" customHeight="1">
      <c r="A1905" s="712">
        <v>3</v>
      </c>
      <c r="B1905" s="713" t="s">
        <v>661</v>
      </c>
      <c r="C1905" s="714">
        <f>VLOOKUP(C1899,'Luong VP'!$B$10:$AP$189,10,0)</f>
        <v>200</v>
      </c>
      <c r="D1905" s="717"/>
      <c r="E1905" s="710">
        <v>2</v>
      </c>
      <c r="F1905" s="718" t="s">
        <v>662</v>
      </c>
      <c r="G1905" s="718"/>
      <c r="H1905" s="710" t="s">
        <v>660</v>
      </c>
      <c r="I1905" s="727">
        <f>VLOOKUP(C1899,'Luong VP'!$B$10:$AP$189,27,0)</f>
        <v>0</v>
      </c>
      <c r="J1905" s="728">
        <f>J1903/'Cham cong'!$AS$3*I1905*3</f>
        <v>0</v>
      </c>
    </row>
    <row r="1906" spans="1:12" ht="9.1999999999999993" customHeight="1">
      <c r="A1906" s="712">
        <v>4</v>
      </c>
      <c r="B1906" s="713" t="s">
        <v>666</v>
      </c>
      <c r="C1906" s="714">
        <f>VLOOKUP(C1899,'Luong VP'!$B$10:$AP$189,11,0)</f>
        <v>0</v>
      </c>
      <c r="D1906" s="717"/>
      <c r="E1906" s="710">
        <v>3</v>
      </c>
      <c r="F1906" s="718" t="s">
        <v>667</v>
      </c>
      <c r="G1906" s="718"/>
      <c r="H1906" s="710" t="s">
        <v>668</v>
      </c>
      <c r="I1906" s="727">
        <f>VLOOKUP(C1899,'Luong VP'!$B$10:$AP$189,26,0)</f>
        <v>0</v>
      </c>
      <c r="J1906" s="728">
        <f>J1903/'Cham cong'!$AS$3*I1906/8*1.5</f>
        <v>0</v>
      </c>
    </row>
    <row r="1907" spans="1:12" ht="9.1999999999999993" customHeight="1">
      <c r="A1907" s="712">
        <v>5</v>
      </c>
      <c r="B1907" s="713" t="s">
        <v>670</v>
      </c>
      <c r="C1907" s="714">
        <f>VLOOKUP(C1899,'Luong VP'!$B$10:$AP$189,12,0)</f>
        <v>0</v>
      </c>
      <c r="D1907" s="717"/>
      <c r="E1907" s="710">
        <v>4</v>
      </c>
      <c r="F1907" s="718" t="s">
        <v>671</v>
      </c>
      <c r="G1907" s="718"/>
      <c r="H1907" s="710" t="s">
        <v>668</v>
      </c>
      <c r="I1907" s="727">
        <f>VLOOKUP(C1899,'Luong VP'!$B$10:$AP$189,25,0)</f>
        <v>0</v>
      </c>
      <c r="J1907" s="728">
        <f>J1903/'Cham cong'!$AS$3*I1907/8*2</f>
        <v>0</v>
      </c>
    </row>
    <row r="1908" spans="1:12" ht="9.1999999999999993" customHeight="1">
      <c r="A1908" s="712">
        <v>6</v>
      </c>
      <c r="B1908" s="713" t="s">
        <v>673</v>
      </c>
      <c r="C1908" s="714">
        <f>VLOOKUP(C1899,'Luong VP'!$B$10:$AP$189,13,0)</f>
        <v>0</v>
      </c>
      <c r="D1908" s="717"/>
      <c r="E1908" s="710">
        <v>5</v>
      </c>
      <c r="F1908" s="718" t="s">
        <v>674</v>
      </c>
      <c r="G1908" s="718"/>
      <c r="H1908" s="710" t="s">
        <v>660</v>
      </c>
      <c r="I1908" s="727">
        <f>VLOOKUP(C1899,'Luong VP'!$B$10:$AP$189,23,0)</f>
        <v>0</v>
      </c>
      <c r="J1908" s="728">
        <f>C1903/'Cham cong'!$AS$3*I1908</f>
        <v>0</v>
      </c>
      <c r="L1908" s="694" t="str">
        <f>G1899</f>
        <v>Lương Minh Hòa</v>
      </c>
    </row>
    <row r="1909" spans="1:12" ht="9.1999999999999993" customHeight="1">
      <c r="A1909" s="712">
        <v>7</v>
      </c>
      <c r="B1909" s="713" t="s">
        <v>676</v>
      </c>
      <c r="C1909" s="714"/>
      <c r="D1909" s="717"/>
      <c r="E1909" s="710">
        <v>6</v>
      </c>
      <c r="F1909" s="718" t="s">
        <v>677</v>
      </c>
      <c r="G1909" s="718"/>
      <c r="H1909" s="710" t="s">
        <v>660</v>
      </c>
      <c r="I1909" s="727">
        <f>VLOOKUP(C1899,'Luong VP'!$B$10:$AP$189,24,0)</f>
        <v>1</v>
      </c>
      <c r="J1909" s="714">
        <f>C1903/'Cham cong'!$AS$3*I1909</f>
        <v>296.53846153846155</v>
      </c>
    </row>
    <row r="1910" spans="1:12" ht="9.1999999999999993" customHeight="1">
      <c r="A1910" s="712">
        <v>8</v>
      </c>
      <c r="B1910" s="713" t="s">
        <v>679</v>
      </c>
      <c r="C1910" s="714">
        <f>VLOOKUP(C1899,'Luong VP'!$B$10:$AP$189,14,0)</f>
        <v>0</v>
      </c>
      <c r="D1910" s="717"/>
      <c r="E1910" s="710">
        <v>7</v>
      </c>
      <c r="F1910" s="718" t="s">
        <v>680</v>
      </c>
      <c r="G1910" s="718"/>
      <c r="H1910" s="718"/>
      <c r="I1910" s="729"/>
      <c r="J1910" s="714">
        <f>VLOOKUP(C1899,'Luong VP'!$B$10:$AP$189,28,0)</f>
        <v>0</v>
      </c>
    </row>
    <row r="1911" spans="1:12" ht="9.1999999999999993" customHeight="1">
      <c r="A1911" s="712">
        <v>9</v>
      </c>
      <c r="B1911" s="713" t="s">
        <v>683</v>
      </c>
      <c r="C1911" s="714">
        <f>VLOOKUP(C1899,'Luong VP'!$B$10:$AP$189,15,0)</f>
        <v>0</v>
      </c>
      <c r="D1911" s="717"/>
      <c r="E1911" s="710">
        <v>8</v>
      </c>
      <c r="F1911" s="718" t="s">
        <v>238</v>
      </c>
      <c r="G1911" s="718"/>
      <c r="H1911" s="718"/>
      <c r="I1911" s="729"/>
      <c r="J1911" s="714">
        <f>VLOOKUP(C1899,'Luong VP'!$B$10:$AP$189,33,0)</f>
        <v>0</v>
      </c>
    </row>
    <row r="1912" spans="1:12" ht="9.1999999999999993" customHeight="1">
      <c r="A1912" s="712">
        <v>10</v>
      </c>
      <c r="B1912" s="713" t="s">
        <v>685</v>
      </c>
      <c r="C1912" s="714">
        <f>VLOOKUP(C1899,'Luong VP'!$B$10:$AP$189,16,0)</f>
        <v>0</v>
      </c>
      <c r="D1912" s="717"/>
      <c r="E1912" s="710" t="s">
        <v>686</v>
      </c>
      <c r="F1912" s="716" t="s">
        <v>687</v>
      </c>
      <c r="G1912" s="719"/>
      <c r="H1912" s="719"/>
      <c r="I1912" s="729"/>
      <c r="J1912" s="730"/>
    </row>
    <row r="1913" spans="1:12" ht="9.1999999999999993" customHeight="1">
      <c r="A1913" s="712">
        <v>11</v>
      </c>
      <c r="B1913" s="713" t="s">
        <v>688</v>
      </c>
      <c r="C1913" s="714">
        <f>VLOOKUP(C1899,'Luong VP'!$B$10:$AP$189,17,0)</f>
        <v>0</v>
      </c>
      <c r="D1913" s="717"/>
      <c r="E1913" s="710">
        <v>1</v>
      </c>
      <c r="F1913" s="716" t="s">
        <v>689</v>
      </c>
      <c r="G1913" s="719"/>
      <c r="H1913" s="719"/>
      <c r="I1913" s="714">
        <f>VLOOKUP(C1899,'Luong VP'!$B$10:$AP$189,30,0)</f>
        <v>0</v>
      </c>
      <c r="J1913" s="714">
        <f>VLOOKUP(C1899,'Luong VP'!$B$10:$AP$189,30,0)</f>
        <v>0</v>
      </c>
    </row>
    <row r="1914" spans="1:12" ht="9.1999999999999993" customHeight="1">
      <c r="A1914" s="712">
        <v>12</v>
      </c>
      <c r="B1914" s="713" t="s">
        <v>691</v>
      </c>
      <c r="C1914" s="714">
        <f>VLOOKUP(C1899,'Luong VP'!$B$10:$AP$189,18,0)</f>
        <v>0</v>
      </c>
      <c r="D1914" s="717"/>
      <c r="E1914" s="710">
        <v>2</v>
      </c>
      <c r="F1914" s="718" t="s">
        <v>239</v>
      </c>
      <c r="G1914" s="718"/>
      <c r="H1914" s="718"/>
      <c r="I1914" s="727"/>
      <c r="J1914" s="728">
        <f>VLOOKUP(C1899,'Luong VP'!$B$10:$AP$189,34,0)</f>
        <v>0</v>
      </c>
      <c r="K1914" s="731"/>
      <c r="L1914" s="715"/>
    </row>
    <row r="1915" spans="1:12" ht="9.1999999999999993" customHeight="1">
      <c r="A1915" s="712">
        <v>13</v>
      </c>
      <c r="B1915" s="713" t="s">
        <v>692</v>
      </c>
      <c r="C1915" s="714">
        <f>VLOOKUP(C1899,'Luong VP'!$B$10:$AP$189,19,0)</f>
        <v>0</v>
      </c>
      <c r="D1915" s="717"/>
      <c r="E1915" s="710">
        <v>3</v>
      </c>
      <c r="F1915" s="716" t="s">
        <v>693</v>
      </c>
      <c r="G1915" s="719"/>
      <c r="H1915" s="719"/>
      <c r="I1915" s="729"/>
      <c r="J1915" s="714">
        <f>VLOOKUP(C1899,'Luong VP'!$B$10:$AP$189,40,0)</f>
        <v>0</v>
      </c>
      <c r="K1915" s="731"/>
      <c r="L1915" s="715"/>
    </row>
    <row r="1916" spans="1:12" ht="9.1999999999999993" customHeight="1">
      <c r="A1916" s="712">
        <v>14</v>
      </c>
      <c r="B1916" s="713" t="s">
        <v>694</v>
      </c>
      <c r="C1916" s="714">
        <f>VLOOKUP(C1899,'Luong VP'!$B$10:$AP$189,20,0)</f>
        <v>0</v>
      </c>
      <c r="D1916" s="717"/>
      <c r="E1916" s="710">
        <v>4</v>
      </c>
      <c r="F1916" s="718" t="s">
        <v>695</v>
      </c>
      <c r="G1916" s="719"/>
      <c r="H1916" s="719"/>
      <c r="I1916" s="729"/>
      <c r="J1916" s="714">
        <f>VLOOKUP(C1899,'Luong VP'!$B$10:$AP$189,35,0)</f>
        <v>0</v>
      </c>
      <c r="K1916" s="732"/>
      <c r="L1916" s="715"/>
    </row>
    <row r="1917" spans="1:12" ht="9.1999999999999993" customHeight="1">
      <c r="A1917" s="712"/>
      <c r="B1917" s="707" t="s">
        <v>656</v>
      </c>
      <c r="C1917" s="714">
        <f>SUM(C1903:C1916)</f>
        <v>7910</v>
      </c>
      <c r="D1917" s="717"/>
      <c r="E1917" s="710"/>
      <c r="F1917" s="716" t="s">
        <v>241</v>
      </c>
      <c r="G1917" s="719"/>
      <c r="H1917" s="719"/>
      <c r="I1917" s="729"/>
      <c r="J1917" s="730">
        <f>SUM(J1904:J1916)+C1911</f>
        <v>8206.538461538461</v>
      </c>
      <c r="K1917" s="731"/>
      <c r="L1917" s="715"/>
    </row>
    <row r="1918" spans="1:12" ht="9.1999999999999993" customHeight="1">
      <c r="B1918" s="720"/>
      <c r="C1918" s="717"/>
      <c r="D1918" s="717"/>
      <c r="E1918" s="710" t="s">
        <v>696</v>
      </c>
      <c r="F1918" s="711" t="s">
        <v>697</v>
      </c>
      <c r="G1918" s="710"/>
      <c r="H1918" s="710"/>
      <c r="I1918" s="729"/>
      <c r="J1918" s="730">
        <f>SUM(J1919:J1921)</f>
        <v>504</v>
      </c>
      <c r="K1918" s="732"/>
      <c r="L1918" s="715"/>
    </row>
    <row r="1919" spans="1:12" ht="9.1999999999999993" customHeight="1">
      <c r="B1919" s="720"/>
      <c r="C1919" s="717"/>
      <c r="D1919" s="717"/>
      <c r="E1919" s="710">
        <v>1</v>
      </c>
      <c r="F1919" s="718" t="s">
        <v>698</v>
      </c>
      <c r="G1919" s="718"/>
      <c r="H1919" s="718"/>
      <c r="I1919" s="733"/>
      <c r="J1919" s="714">
        <f>VLOOKUP(C1899,'Luong VP'!$B$10:$AP$189,37,0)</f>
        <v>504</v>
      </c>
      <c r="K1919" s="732"/>
      <c r="L1919" s="715"/>
    </row>
    <row r="1920" spans="1:12" ht="9.1999999999999993" customHeight="1">
      <c r="B1920" s="720"/>
      <c r="C1920" s="717"/>
      <c r="D1920" s="717"/>
      <c r="E1920" s="710">
        <v>2</v>
      </c>
      <c r="F1920" s="718" t="s">
        <v>244</v>
      </c>
      <c r="G1920" s="718"/>
      <c r="H1920" s="718"/>
      <c r="I1920" s="729"/>
      <c r="J1920" s="714">
        <f>VLOOKUP(C1899,'Luong VP'!$B$10:$AP$189,39,0)</f>
        <v>0</v>
      </c>
      <c r="K1920" s="734"/>
      <c r="L1920" s="735"/>
    </row>
    <row r="1921" spans="1:12" ht="9.1999999999999993" customHeight="1">
      <c r="B1921" s="720"/>
      <c r="C1921" s="717"/>
      <c r="D1921" s="717"/>
      <c r="E1921" s="710"/>
      <c r="F1921" s="718" t="s">
        <v>699</v>
      </c>
      <c r="G1921" s="718"/>
      <c r="H1921" s="718"/>
      <c r="I1921" s="729"/>
      <c r="J1921" s="714"/>
      <c r="K1921" s="714"/>
      <c r="L1921" s="736"/>
    </row>
    <row r="1922" spans="1:12" ht="9.1999999999999993" customHeight="1">
      <c r="B1922" s="720"/>
      <c r="C1922" s="717"/>
      <c r="D1922" s="717"/>
      <c r="E1922" s="710" t="s">
        <v>700</v>
      </c>
      <c r="F1922" s="710" t="s">
        <v>246</v>
      </c>
      <c r="G1922" s="710"/>
      <c r="H1922" s="710"/>
      <c r="I1922" s="729"/>
      <c r="J1922" s="728">
        <f>J1917-J1918</f>
        <v>7702.538461538461</v>
      </c>
      <c r="K1922" s="728">
        <f>ROUND(J1922,-1)</f>
        <v>7700</v>
      </c>
      <c r="L1922" s="710"/>
    </row>
    <row r="1923" spans="1:12" ht="9.1999999999999993" customHeight="1">
      <c r="B1923" s="720"/>
      <c r="C1923" s="717"/>
      <c r="D1923" s="717"/>
      <c r="E1923" s="715"/>
      <c r="F1923" s="715"/>
      <c r="G1923" s="715"/>
      <c r="I1923" s="715" t="s">
        <v>701</v>
      </c>
      <c r="J1923" s="737"/>
      <c r="K1923" s="737"/>
      <c r="L1923" s="715"/>
    </row>
    <row r="1928" spans="1:12" ht="9.1999999999999993" customHeight="1">
      <c r="C1928" s="696"/>
      <c r="D1928" s="696"/>
      <c r="E1928" s="697" t="str">
        <f>$E$2</f>
        <v>THẺ LƯƠNG THÁNG 08/2019</v>
      </c>
      <c r="F1928" s="698"/>
      <c r="G1928" s="698"/>
      <c r="H1928" s="698"/>
    </row>
    <row r="1929" spans="1:12" ht="9.1999999999999993" customHeight="1">
      <c r="B1929" s="699" t="s">
        <v>644</v>
      </c>
      <c r="C1929" s="700" t="s">
        <v>389</v>
      </c>
      <c r="D1929" s="701"/>
      <c r="F1929" s="702" t="s">
        <v>645</v>
      </c>
      <c r="G1929" s="689" t="str">
        <f>VLOOKUP(C1929,'Luong VP'!$B$10:$AP$189,2,0)</f>
        <v>Nguyễn Hữu Tài</v>
      </c>
    </row>
    <row r="1930" spans="1:12" ht="9.1999999999999993" customHeight="1">
      <c r="B1930" s="699" t="s">
        <v>646</v>
      </c>
      <c r="C1930" s="689" t="str">
        <f>VLOOKUP(C1929,'Luong VP'!$B$10:$AP$189,3,0)</f>
        <v>Thủ kho</v>
      </c>
      <c r="F1930" s="702" t="s">
        <v>647</v>
      </c>
      <c r="G1930" s="689">
        <f>VLOOKUP(C1929,'Luong VP'!$B$10:$AP$189,5,0)</f>
        <v>2</v>
      </c>
    </row>
    <row r="1931" spans="1:12" ht="9.1999999999999993" customHeight="1">
      <c r="B1931" s="703"/>
      <c r="C1931" s="704"/>
      <c r="D1931" s="705"/>
      <c r="F1931" s="706" t="s">
        <v>648</v>
      </c>
      <c r="G1931" s="706"/>
      <c r="H1931" s="706"/>
      <c r="I1931" s="725"/>
      <c r="J1931" s="726"/>
    </row>
    <row r="1932" spans="1:12" ht="9.1999999999999993" customHeight="1">
      <c r="A1932" s="707" t="s">
        <v>216</v>
      </c>
      <c r="B1932" s="707" t="s">
        <v>649</v>
      </c>
      <c r="C1932" s="708" t="s">
        <v>650</v>
      </c>
      <c r="D1932" s="709"/>
      <c r="E1932" s="710" t="s">
        <v>216</v>
      </c>
      <c r="F1932" s="711" t="s">
        <v>649</v>
      </c>
      <c r="G1932" s="710"/>
      <c r="H1932" s="710" t="s">
        <v>651</v>
      </c>
      <c r="I1932" s="727" t="s">
        <v>652</v>
      </c>
      <c r="J1932" s="714"/>
      <c r="L1932" s="694" t="s">
        <v>653</v>
      </c>
    </row>
    <row r="1933" spans="1:12" ht="9.1999999999999993" customHeight="1">
      <c r="A1933" s="712">
        <v>1</v>
      </c>
      <c r="B1933" s="713" t="s">
        <v>654</v>
      </c>
      <c r="C1933" s="714">
        <f>VLOOKUP(C1929,'Luong VP'!$B$10:$AP$189,9,0)</f>
        <v>7710</v>
      </c>
      <c r="D1933" s="715"/>
      <c r="E1933" s="710" t="s">
        <v>655</v>
      </c>
      <c r="F1933" s="716" t="s">
        <v>656</v>
      </c>
      <c r="G1933" s="710"/>
      <c r="H1933" s="710"/>
      <c r="I1933" s="727"/>
      <c r="J1933" s="714">
        <f>VLOOKUP(C1929,'Luong VP'!$B$10:$AP$189,21,0)</f>
        <v>7910</v>
      </c>
    </row>
    <row r="1934" spans="1:12" ht="9.1999999999999993" customHeight="1">
      <c r="A1934" s="712">
        <v>2</v>
      </c>
      <c r="B1934" s="713" t="s">
        <v>658</v>
      </c>
      <c r="C1934" s="714"/>
      <c r="D1934" s="717"/>
      <c r="E1934" s="710">
        <v>1</v>
      </c>
      <c r="F1934" s="718" t="s">
        <v>659</v>
      </c>
      <c r="G1934" s="718"/>
      <c r="H1934" s="710" t="s">
        <v>660</v>
      </c>
      <c r="I1934" s="727">
        <f>VLOOKUP(C1929,'Luong VP'!$B$10:$AP$189,22,0)</f>
        <v>26</v>
      </c>
      <c r="J1934" s="728">
        <f>J1933/'Cham cong'!$AS$3*I1934</f>
        <v>7910</v>
      </c>
    </row>
    <row r="1935" spans="1:12" ht="9.1999999999999993" customHeight="1">
      <c r="A1935" s="712">
        <v>3</v>
      </c>
      <c r="B1935" s="713" t="s">
        <v>661</v>
      </c>
      <c r="C1935" s="714">
        <f>VLOOKUP(C1929,'Luong VP'!$B$10:$AP$189,10,0)</f>
        <v>200</v>
      </c>
      <c r="D1935" s="717"/>
      <c r="E1935" s="710">
        <v>2</v>
      </c>
      <c r="F1935" s="718" t="s">
        <v>662</v>
      </c>
      <c r="G1935" s="718"/>
      <c r="H1935" s="710" t="s">
        <v>660</v>
      </c>
      <c r="I1935" s="727">
        <f>VLOOKUP(C1929,'Luong VP'!$B$10:$AP$189,27,0)</f>
        <v>0</v>
      </c>
      <c r="J1935" s="728">
        <f>J1933/'Cham cong'!$AS$3*I1935*3</f>
        <v>0</v>
      </c>
    </row>
    <row r="1936" spans="1:12" ht="9.1999999999999993" customHeight="1">
      <c r="A1936" s="712">
        <v>4</v>
      </c>
      <c r="B1936" s="713" t="s">
        <v>666</v>
      </c>
      <c r="C1936" s="714">
        <f>VLOOKUP(C1929,'Luong VP'!$B$10:$AP$189,11,0)</f>
        <v>0</v>
      </c>
      <c r="D1936" s="717"/>
      <c r="E1936" s="710">
        <v>3</v>
      </c>
      <c r="F1936" s="718" t="s">
        <v>667</v>
      </c>
      <c r="G1936" s="718"/>
      <c r="H1936" s="710" t="s">
        <v>668</v>
      </c>
      <c r="I1936" s="727">
        <f>VLOOKUP(C1929,'Luong VP'!$B$10:$AP$189,26,0)</f>
        <v>47</v>
      </c>
      <c r="J1936" s="728">
        <f>J1933/'Cham cong'!$AS$3*I1936/8*1.5</f>
        <v>2681.0336538461538</v>
      </c>
    </row>
    <row r="1937" spans="1:12" ht="9.1999999999999993" customHeight="1">
      <c r="A1937" s="712">
        <v>5</v>
      </c>
      <c r="B1937" s="713" t="s">
        <v>670</v>
      </c>
      <c r="C1937" s="714">
        <f>VLOOKUP(C1929,'Luong VP'!$B$10:$AP$189,12,0)</f>
        <v>0</v>
      </c>
      <c r="D1937" s="717"/>
      <c r="E1937" s="710">
        <v>4</v>
      </c>
      <c r="F1937" s="718" t="s">
        <v>671</v>
      </c>
      <c r="G1937" s="718"/>
      <c r="H1937" s="710" t="s">
        <v>668</v>
      </c>
      <c r="I1937" s="727">
        <f>VLOOKUP(C1929,'Luong VP'!$B$10:$AP$189,25,0)</f>
        <v>8</v>
      </c>
      <c r="J1937" s="728">
        <f>J1933/'Cham cong'!$AS$3*I1937/8*2</f>
        <v>608.46153846153845</v>
      </c>
    </row>
    <row r="1938" spans="1:12" ht="9.1999999999999993" customHeight="1">
      <c r="A1938" s="712">
        <v>6</v>
      </c>
      <c r="B1938" s="713" t="s">
        <v>673</v>
      </c>
      <c r="C1938" s="714">
        <f>VLOOKUP(C1929,'Luong VP'!$B$10:$AP$189,13,0)</f>
        <v>0</v>
      </c>
      <c r="D1938" s="717"/>
      <c r="E1938" s="710">
        <v>5</v>
      </c>
      <c r="F1938" s="718" t="s">
        <v>674</v>
      </c>
      <c r="G1938" s="718"/>
      <c r="H1938" s="710" t="s">
        <v>660</v>
      </c>
      <c r="I1938" s="727">
        <f>VLOOKUP(C1929,'Luong VP'!$B$10:$AP$189,23,0)</f>
        <v>0</v>
      </c>
      <c r="J1938" s="728">
        <f>C1933/'Cham cong'!$AS$3*I1938</f>
        <v>0</v>
      </c>
      <c r="L1938" s="694" t="str">
        <f>G1929</f>
        <v>Nguyễn Hữu Tài</v>
      </c>
    </row>
    <row r="1939" spans="1:12" ht="9.1999999999999993" customHeight="1">
      <c r="A1939" s="712">
        <v>7</v>
      </c>
      <c r="B1939" s="713" t="s">
        <v>676</v>
      </c>
      <c r="C1939" s="714"/>
      <c r="D1939" s="717"/>
      <c r="E1939" s="710">
        <v>6</v>
      </c>
      <c r="F1939" s="718" t="s">
        <v>677</v>
      </c>
      <c r="G1939" s="718"/>
      <c r="H1939" s="710" t="s">
        <v>660</v>
      </c>
      <c r="I1939" s="727">
        <f>VLOOKUP(C1929,'Luong VP'!$B$10:$AP$189,24,0)</f>
        <v>1</v>
      </c>
      <c r="J1939" s="714">
        <f>C1933/'Cham cong'!$AS$3*I1939</f>
        <v>296.53846153846155</v>
      </c>
    </row>
    <row r="1940" spans="1:12" ht="9.1999999999999993" customHeight="1">
      <c r="A1940" s="712">
        <v>8</v>
      </c>
      <c r="B1940" s="713" t="s">
        <v>679</v>
      </c>
      <c r="C1940" s="714">
        <f>VLOOKUP(C1929,'Luong VP'!$B$10:$AP$189,14,0)</f>
        <v>0</v>
      </c>
      <c r="D1940" s="717"/>
      <c r="E1940" s="710">
        <v>7</v>
      </c>
      <c r="F1940" s="718" t="s">
        <v>680</v>
      </c>
      <c r="G1940" s="718"/>
      <c r="H1940" s="718"/>
      <c r="I1940" s="729"/>
      <c r="J1940" s="714">
        <f>VLOOKUP(C1929,'Luong VP'!$B$10:$AP$189,28,0)</f>
        <v>0</v>
      </c>
    </row>
    <row r="1941" spans="1:12" ht="9.1999999999999993" customHeight="1">
      <c r="A1941" s="712">
        <v>9</v>
      </c>
      <c r="B1941" s="713" t="s">
        <v>683</v>
      </c>
      <c r="C1941" s="714">
        <f>VLOOKUP(C1929,'Luong VP'!$B$10:$AP$189,15,0)</f>
        <v>0</v>
      </c>
      <c r="D1941" s="717"/>
      <c r="E1941" s="710">
        <v>8</v>
      </c>
      <c r="F1941" s="718" t="s">
        <v>238</v>
      </c>
      <c r="G1941" s="718"/>
      <c r="H1941" s="718"/>
      <c r="I1941" s="729"/>
      <c r="J1941" s="714">
        <f>VLOOKUP(C1929,'Luong VP'!$B$10:$AP$189,33,0)</f>
        <v>0</v>
      </c>
    </row>
    <row r="1942" spans="1:12" ht="9.1999999999999993" customHeight="1">
      <c r="A1942" s="712">
        <v>10</v>
      </c>
      <c r="B1942" s="713" t="s">
        <v>685</v>
      </c>
      <c r="C1942" s="714">
        <f>VLOOKUP(C1929,'Luong VP'!$B$10:$AP$189,16,0)</f>
        <v>0</v>
      </c>
      <c r="D1942" s="717"/>
      <c r="E1942" s="710" t="s">
        <v>686</v>
      </c>
      <c r="F1942" s="716" t="s">
        <v>687</v>
      </c>
      <c r="G1942" s="719"/>
      <c r="H1942" s="719"/>
      <c r="I1942" s="729"/>
      <c r="J1942" s="730"/>
    </row>
    <row r="1943" spans="1:12" ht="9.1999999999999993" customHeight="1">
      <c r="A1943" s="712">
        <v>11</v>
      </c>
      <c r="B1943" s="713" t="s">
        <v>688</v>
      </c>
      <c r="C1943" s="714">
        <f>VLOOKUP(C1929,'Luong VP'!$B$10:$AP$189,17,0)</f>
        <v>0</v>
      </c>
      <c r="D1943" s="717"/>
      <c r="E1943" s="710">
        <v>1</v>
      </c>
      <c r="F1943" s="716" t="s">
        <v>689</v>
      </c>
      <c r="G1943" s="719"/>
      <c r="H1943" s="719"/>
      <c r="I1943" s="714">
        <f>VLOOKUP(C1929,'Luong VP'!$B$10:$AP$189,30,0)</f>
        <v>0</v>
      </c>
      <c r="J1943" s="714">
        <f>VLOOKUP(C1929,'Luong VP'!$B$10:$AP$189,30,0)</f>
        <v>0</v>
      </c>
    </row>
    <row r="1944" spans="1:12" ht="9.1999999999999993" customHeight="1">
      <c r="A1944" s="712">
        <v>12</v>
      </c>
      <c r="B1944" s="713" t="s">
        <v>691</v>
      </c>
      <c r="C1944" s="714">
        <f>VLOOKUP(C1929,'Luong VP'!$B$10:$AP$189,18,0)</f>
        <v>0</v>
      </c>
      <c r="D1944" s="717"/>
      <c r="E1944" s="710">
        <v>2</v>
      </c>
      <c r="F1944" s="718" t="s">
        <v>239</v>
      </c>
      <c r="G1944" s="718"/>
      <c r="H1944" s="718"/>
      <c r="I1944" s="727"/>
      <c r="J1944" s="728">
        <f>VLOOKUP(C1929,'Luong VP'!$B$10:$AP$189,34,0)</f>
        <v>0</v>
      </c>
      <c r="K1944" s="731"/>
      <c r="L1944" s="715"/>
    </row>
    <row r="1945" spans="1:12" ht="9.1999999999999993" customHeight="1">
      <c r="A1945" s="712">
        <v>13</v>
      </c>
      <c r="B1945" s="713" t="s">
        <v>692</v>
      </c>
      <c r="C1945" s="714">
        <f>VLOOKUP(C1929,'Luong VP'!$B$10:$AP$189,19,0)</f>
        <v>0</v>
      </c>
      <c r="D1945" s="717"/>
      <c r="E1945" s="710">
        <v>3</v>
      </c>
      <c r="F1945" s="716" t="s">
        <v>693</v>
      </c>
      <c r="G1945" s="719"/>
      <c r="H1945" s="719"/>
      <c r="I1945" s="729"/>
      <c r="J1945" s="714">
        <f>VLOOKUP(C1929,'Luong VP'!$B$10:$AP$189,40,0)</f>
        <v>0</v>
      </c>
      <c r="K1945" s="731"/>
      <c r="L1945" s="715"/>
    </row>
    <row r="1946" spans="1:12" ht="9.1999999999999993" customHeight="1">
      <c r="A1946" s="712">
        <v>14</v>
      </c>
      <c r="B1946" s="713" t="s">
        <v>694</v>
      </c>
      <c r="C1946" s="714">
        <f>VLOOKUP(C1929,'Luong VP'!$B$10:$AP$189,20,0)</f>
        <v>0</v>
      </c>
      <c r="D1946" s="717"/>
      <c r="E1946" s="710">
        <v>4</v>
      </c>
      <c r="F1946" s="718" t="s">
        <v>695</v>
      </c>
      <c r="G1946" s="719"/>
      <c r="H1946" s="719"/>
      <c r="I1946" s="729"/>
      <c r="J1946" s="714">
        <f>VLOOKUP(C1929,'Luong VP'!$B$10:$AP$189,35,0)</f>
        <v>0</v>
      </c>
      <c r="K1946" s="732"/>
      <c r="L1946" s="715"/>
    </row>
    <row r="1947" spans="1:12" ht="9.1999999999999993" customHeight="1">
      <c r="A1947" s="712"/>
      <c r="B1947" s="707" t="s">
        <v>656</v>
      </c>
      <c r="C1947" s="714">
        <f>SUM(C1933:C1946)</f>
        <v>7910</v>
      </c>
      <c r="D1947" s="717"/>
      <c r="E1947" s="710"/>
      <c r="F1947" s="716" t="s">
        <v>241</v>
      </c>
      <c r="G1947" s="719"/>
      <c r="H1947" s="719"/>
      <c r="I1947" s="729"/>
      <c r="J1947" s="730">
        <f>SUM(J1934:J1946)+C1941</f>
        <v>11496.033653846154</v>
      </c>
      <c r="K1947" s="731"/>
      <c r="L1947" s="715"/>
    </row>
    <row r="1948" spans="1:12" ht="9.1999999999999993" customHeight="1">
      <c r="B1948" s="720"/>
      <c r="C1948" s="717"/>
      <c r="D1948" s="717"/>
      <c r="E1948" s="710" t="s">
        <v>696</v>
      </c>
      <c r="F1948" s="711" t="s">
        <v>697</v>
      </c>
      <c r="G1948" s="710"/>
      <c r="H1948" s="710"/>
      <c r="I1948" s="729"/>
      <c r="J1948" s="730">
        <f>SUM(J1949:J1951)</f>
        <v>2504</v>
      </c>
      <c r="K1948" s="732"/>
      <c r="L1948" s="715"/>
    </row>
    <row r="1949" spans="1:12" ht="9.1999999999999993" customHeight="1">
      <c r="B1949" s="720"/>
      <c r="C1949" s="717"/>
      <c r="D1949" s="717"/>
      <c r="E1949" s="710">
        <v>1</v>
      </c>
      <c r="F1949" s="718" t="s">
        <v>698</v>
      </c>
      <c r="G1949" s="718"/>
      <c r="H1949" s="718"/>
      <c r="I1949" s="733"/>
      <c r="J1949" s="714">
        <f>VLOOKUP(C1929,'Luong VP'!$B$10:$AP$189,37,0)</f>
        <v>504</v>
      </c>
      <c r="K1949" s="732"/>
      <c r="L1949" s="715"/>
    </row>
    <row r="1950" spans="1:12" ht="9.1999999999999993" customHeight="1">
      <c r="B1950" s="720"/>
      <c r="C1950" s="717"/>
      <c r="D1950" s="717"/>
      <c r="E1950" s="710">
        <v>2</v>
      </c>
      <c r="F1950" s="718" t="s">
        <v>244</v>
      </c>
      <c r="G1950" s="718"/>
      <c r="H1950" s="718"/>
      <c r="I1950" s="729"/>
      <c r="J1950" s="714">
        <f>VLOOKUP(C1929,'Luong VP'!$B$10:$AP$189,39,0)</f>
        <v>2000</v>
      </c>
      <c r="K1950" s="734"/>
      <c r="L1950" s="735"/>
    </row>
    <row r="1951" spans="1:12" ht="9.1999999999999993" customHeight="1">
      <c r="B1951" s="720"/>
      <c r="C1951" s="717"/>
      <c r="D1951" s="717"/>
      <c r="E1951" s="710"/>
      <c r="F1951" s="718" t="s">
        <v>699</v>
      </c>
      <c r="G1951" s="718"/>
      <c r="H1951" s="718"/>
      <c r="I1951" s="729"/>
      <c r="J1951" s="714"/>
      <c r="K1951" s="714"/>
      <c r="L1951" s="736"/>
    </row>
    <row r="1952" spans="1:12" ht="9.1999999999999993" customHeight="1">
      <c r="B1952" s="720"/>
      <c r="C1952" s="717"/>
      <c r="D1952" s="717"/>
      <c r="E1952" s="710" t="s">
        <v>700</v>
      </c>
      <c r="F1952" s="710" t="s">
        <v>246</v>
      </c>
      <c r="G1952" s="710"/>
      <c r="H1952" s="710"/>
      <c r="I1952" s="729"/>
      <c r="J1952" s="728">
        <f>J1947-J1948</f>
        <v>8992.0336538461543</v>
      </c>
      <c r="K1952" s="728">
        <f>ROUND(J1952,-1)</f>
        <v>8990</v>
      </c>
      <c r="L1952" s="710"/>
    </row>
    <row r="1953" spans="1:12" ht="9.1999999999999993" customHeight="1">
      <c r="B1953" s="720"/>
      <c r="C1953" s="717"/>
      <c r="D1953" s="717"/>
      <c r="E1953" s="715"/>
      <c r="F1953" s="715"/>
      <c r="G1953" s="715"/>
      <c r="I1953" s="715" t="s">
        <v>701</v>
      </c>
      <c r="J1953" s="737"/>
      <c r="K1953" s="737"/>
      <c r="L1953" s="715"/>
    </row>
    <row r="1954" spans="1:12" ht="9.1999999999999993" customHeight="1">
      <c r="B1954" s="720"/>
      <c r="C1954" s="717"/>
      <c r="D1954" s="717"/>
      <c r="E1954" s="715"/>
      <c r="F1954" s="715"/>
      <c r="G1954" s="715"/>
      <c r="I1954" s="715"/>
      <c r="J1954" s="737"/>
      <c r="K1954" s="737"/>
      <c r="L1954" s="715"/>
    </row>
    <row r="1955" spans="1:12" ht="9.1999999999999993" customHeight="1">
      <c r="B1955" s="720"/>
      <c r="C1955" s="717"/>
      <c r="D1955" s="717"/>
      <c r="E1955" s="715"/>
      <c r="F1955" s="715"/>
      <c r="G1955" s="715"/>
      <c r="I1955" s="715"/>
      <c r="J1955" s="737"/>
      <c r="K1955" s="737"/>
      <c r="L1955" s="715"/>
    </row>
    <row r="1958" spans="1:12" ht="9.1999999999999993" customHeight="1">
      <c r="C1958" s="696"/>
      <c r="D1958" s="696"/>
      <c r="E1958" s="697" t="str">
        <f>$E$2</f>
        <v>THẺ LƯƠNG THÁNG 08/2019</v>
      </c>
      <c r="F1958" s="698"/>
      <c r="G1958" s="698"/>
      <c r="H1958" s="698"/>
    </row>
    <row r="1959" spans="1:12" ht="9.1999999999999993" customHeight="1">
      <c r="B1959" s="699" t="s">
        <v>644</v>
      </c>
      <c r="C1959" s="700" t="s">
        <v>391</v>
      </c>
      <c r="D1959" s="701"/>
      <c r="F1959" s="702" t="s">
        <v>645</v>
      </c>
      <c r="G1959" s="689" t="str">
        <f>VLOOKUP(C1959,'Luong VP'!$B$10:$AP$189,2,0)</f>
        <v>Ngô Hoàng Oanh</v>
      </c>
    </row>
    <row r="1960" spans="1:12" ht="9.1999999999999993" customHeight="1">
      <c r="B1960" s="699" t="s">
        <v>646</v>
      </c>
      <c r="C1960" s="689" t="str">
        <f>VLOOKUP(C1959,'Luong VP'!$B$10:$AP$189,3,0)</f>
        <v>NV kho</v>
      </c>
      <c r="F1960" s="702" t="s">
        <v>647</v>
      </c>
      <c r="G1960" s="689">
        <f>VLOOKUP(C1959,'Luong VP'!$B$10:$AP$189,5,0)</f>
        <v>2</v>
      </c>
    </row>
    <row r="1961" spans="1:12" ht="9.1999999999999993" customHeight="1">
      <c r="B1961" s="703"/>
      <c r="C1961" s="704"/>
      <c r="D1961" s="705"/>
      <c r="F1961" s="706" t="s">
        <v>648</v>
      </c>
      <c r="G1961" s="706"/>
      <c r="H1961" s="706"/>
      <c r="I1961" s="725"/>
      <c r="J1961" s="726"/>
    </row>
    <row r="1962" spans="1:12" ht="9.1999999999999993" customHeight="1">
      <c r="A1962" s="707" t="s">
        <v>216</v>
      </c>
      <c r="B1962" s="707" t="s">
        <v>649</v>
      </c>
      <c r="C1962" s="708" t="s">
        <v>650</v>
      </c>
      <c r="D1962" s="709"/>
      <c r="E1962" s="710" t="s">
        <v>216</v>
      </c>
      <c r="F1962" s="711" t="s">
        <v>649</v>
      </c>
      <c r="G1962" s="710"/>
      <c r="H1962" s="710" t="s">
        <v>651</v>
      </c>
      <c r="I1962" s="727" t="s">
        <v>652</v>
      </c>
      <c r="J1962" s="714"/>
      <c r="L1962" s="694" t="s">
        <v>653</v>
      </c>
    </row>
    <row r="1963" spans="1:12" ht="9.1999999999999993" customHeight="1">
      <c r="A1963" s="712">
        <v>1</v>
      </c>
      <c r="B1963" s="713" t="s">
        <v>654</v>
      </c>
      <c r="C1963" s="714">
        <f>VLOOKUP(C1959,'Luong VP'!$B$10:$AP$189,9,0)</f>
        <v>6620</v>
      </c>
      <c r="D1963" s="715"/>
      <c r="E1963" s="710" t="s">
        <v>655</v>
      </c>
      <c r="F1963" s="716" t="s">
        <v>656</v>
      </c>
      <c r="G1963" s="710"/>
      <c r="H1963" s="710"/>
      <c r="I1963" s="727"/>
      <c r="J1963" s="714">
        <f>VLOOKUP(C1959,'Luong VP'!$B$10:$AP$189,21,0)</f>
        <v>6820</v>
      </c>
    </row>
    <row r="1964" spans="1:12" ht="9.1999999999999993" customHeight="1">
      <c r="A1964" s="712">
        <v>2</v>
      </c>
      <c r="B1964" s="713" t="s">
        <v>658</v>
      </c>
      <c r="C1964" s="714"/>
      <c r="D1964" s="717"/>
      <c r="E1964" s="710">
        <v>1</v>
      </c>
      <c r="F1964" s="718" t="s">
        <v>659</v>
      </c>
      <c r="G1964" s="718"/>
      <c r="H1964" s="710" t="s">
        <v>660</v>
      </c>
      <c r="I1964" s="727">
        <f>VLOOKUP(C1959,'Luong VP'!$B$10:$AP$189,22,0)</f>
        <v>26</v>
      </c>
      <c r="J1964" s="728">
        <f>J1963/'Cham cong'!$AS$3*I1964</f>
        <v>6820</v>
      </c>
    </row>
    <row r="1965" spans="1:12" ht="9.1999999999999993" customHeight="1">
      <c r="A1965" s="712">
        <v>3</v>
      </c>
      <c r="B1965" s="713" t="s">
        <v>661</v>
      </c>
      <c r="C1965" s="714">
        <f>VLOOKUP(C1959,'Luong VP'!$B$10:$AP$189,10,0)</f>
        <v>200</v>
      </c>
      <c r="D1965" s="717"/>
      <c r="E1965" s="710">
        <v>2</v>
      </c>
      <c r="F1965" s="718" t="s">
        <v>662</v>
      </c>
      <c r="G1965" s="718"/>
      <c r="H1965" s="710" t="s">
        <v>660</v>
      </c>
      <c r="I1965" s="727">
        <f>VLOOKUP(C1959,'Luong VP'!$B$10:$AP$189,27,0)</f>
        <v>0</v>
      </c>
      <c r="J1965" s="728">
        <f>J1963/'Cham cong'!$AS$3*I1965*3</f>
        <v>0</v>
      </c>
    </row>
    <row r="1966" spans="1:12" ht="9.1999999999999993" customHeight="1">
      <c r="A1966" s="712">
        <v>4</v>
      </c>
      <c r="B1966" s="713" t="s">
        <v>666</v>
      </c>
      <c r="C1966" s="714">
        <f>VLOOKUP(C1959,'Luong VP'!$B$10:$AP$189,11,0)</f>
        <v>0</v>
      </c>
      <c r="D1966" s="717"/>
      <c r="E1966" s="710">
        <v>3</v>
      </c>
      <c r="F1966" s="718" t="s">
        <v>667</v>
      </c>
      <c r="G1966" s="718"/>
      <c r="H1966" s="710" t="s">
        <v>668</v>
      </c>
      <c r="I1966" s="727">
        <f>VLOOKUP(C1959,'Luong VP'!$B$10:$AP$189,26,0)</f>
        <v>36</v>
      </c>
      <c r="J1966" s="728">
        <f>J1963/'Cham cong'!$AS$3*I1966/8*1.5</f>
        <v>1770.5769230769233</v>
      </c>
    </row>
    <row r="1967" spans="1:12" ht="9.1999999999999993" customHeight="1">
      <c r="A1967" s="712">
        <v>5</v>
      </c>
      <c r="B1967" s="713" t="s">
        <v>670</v>
      </c>
      <c r="C1967" s="714">
        <f>VLOOKUP(C1959,'Luong VP'!$B$10:$AP$189,12,0)</f>
        <v>0</v>
      </c>
      <c r="D1967" s="717"/>
      <c r="E1967" s="710">
        <v>4</v>
      </c>
      <c r="F1967" s="718" t="s">
        <v>671</v>
      </c>
      <c r="G1967" s="718"/>
      <c r="H1967" s="710" t="s">
        <v>668</v>
      </c>
      <c r="I1967" s="727">
        <f>VLOOKUP(C1959,'Luong VP'!$B$10:$AP$189,25,0)</f>
        <v>8</v>
      </c>
      <c r="J1967" s="728">
        <f>J1963/'Cham cong'!$AS$3*I1967/8*2</f>
        <v>524.61538461538464</v>
      </c>
    </row>
    <row r="1968" spans="1:12" ht="9.1999999999999993" customHeight="1">
      <c r="A1968" s="712">
        <v>6</v>
      </c>
      <c r="B1968" s="713" t="s">
        <v>673</v>
      </c>
      <c r="C1968" s="714">
        <f>VLOOKUP(C1959,'Luong VP'!$B$10:$AP$189,13,0)</f>
        <v>0</v>
      </c>
      <c r="D1968" s="717"/>
      <c r="E1968" s="710">
        <v>5</v>
      </c>
      <c r="F1968" s="718" t="s">
        <v>674</v>
      </c>
      <c r="G1968" s="718"/>
      <c r="H1968" s="710" t="s">
        <v>660</v>
      </c>
      <c r="I1968" s="727">
        <f>VLOOKUP(C1959,'Luong VP'!$B$10:$AP$189,23,0)</f>
        <v>0</v>
      </c>
      <c r="J1968" s="728">
        <f>C1963/'Cham cong'!$AS$3*I1968</f>
        <v>0</v>
      </c>
      <c r="L1968" s="694" t="str">
        <f>G1959</f>
        <v>Ngô Hoàng Oanh</v>
      </c>
    </row>
    <row r="1969" spans="1:12" ht="9.1999999999999993" customHeight="1">
      <c r="A1969" s="712">
        <v>7</v>
      </c>
      <c r="B1969" s="713" t="s">
        <v>676</v>
      </c>
      <c r="C1969" s="714"/>
      <c r="D1969" s="717"/>
      <c r="E1969" s="710">
        <v>6</v>
      </c>
      <c r="F1969" s="718" t="s">
        <v>677</v>
      </c>
      <c r="G1969" s="718"/>
      <c r="H1969" s="710" t="s">
        <v>660</v>
      </c>
      <c r="I1969" s="727">
        <f>VLOOKUP(C1959,'Luong VP'!$B$10:$AP$189,24,0)</f>
        <v>1</v>
      </c>
      <c r="J1969" s="714">
        <f>C1963/'Cham cong'!$AS$3*I1969</f>
        <v>254.61538461538461</v>
      </c>
    </row>
    <row r="1970" spans="1:12" ht="9.1999999999999993" customHeight="1">
      <c r="A1970" s="712">
        <v>8</v>
      </c>
      <c r="B1970" s="713" t="s">
        <v>679</v>
      </c>
      <c r="C1970" s="714">
        <f>VLOOKUP(C1959,'Luong VP'!$B$10:$AP$189,14,0)</f>
        <v>0</v>
      </c>
      <c r="D1970" s="717"/>
      <c r="E1970" s="710">
        <v>7</v>
      </c>
      <c r="F1970" s="718" t="s">
        <v>680</v>
      </c>
      <c r="G1970" s="718"/>
      <c r="H1970" s="718"/>
      <c r="I1970" s="729"/>
      <c r="J1970" s="714">
        <f>VLOOKUP(C1959,'Luong VP'!$B$10:$AP$189,28,0)</f>
        <v>0</v>
      </c>
    </row>
    <row r="1971" spans="1:12" ht="9.1999999999999993" customHeight="1">
      <c r="A1971" s="712">
        <v>9</v>
      </c>
      <c r="B1971" s="713" t="s">
        <v>683</v>
      </c>
      <c r="C1971" s="714">
        <f>VLOOKUP(C1959,'Luong VP'!$B$10:$AP$189,15,0)</f>
        <v>0</v>
      </c>
      <c r="D1971" s="717"/>
      <c r="E1971" s="710">
        <v>8</v>
      </c>
      <c r="F1971" s="718" t="s">
        <v>238</v>
      </c>
      <c r="G1971" s="718"/>
      <c r="H1971" s="771" t="s">
        <v>660</v>
      </c>
      <c r="I1971" s="787"/>
      <c r="J1971" s="775">
        <v>0</v>
      </c>
      <c r="K1971" s="801"/>
    </row>
    <row r="1972" spans="1:12" ht="9.1999999999999993" customHeight="1">
      <c r="A1972" s="712">
        <v>10</v>
      </c>
      <c r="B1972" s="713" t="s">
        <v>685</v>
      </c>
      <c r="C1972" s="714">
        <f>VLOOKUP(C1959,'Luong VP'!$B$10:$AP$189,16,0)</f>
        <v>0</v>
      </c>
      <c r="D1972" s="717"/>
      <c r="E1972" s="710" t="s">
        <v>686</v>
      </c>
      <c r="F1972" s="716" t="s">
        <v>687</v>
      </c>
      <c r="G1972" s="719"/>
      <c r="H1972" s="719"/>
      <c r="I1972" s="729"/>
      <c r="J1972" s="730"/>
    </row>
    <row r="1973" spans="1:12" ht="9.1999999999999993" customHeight="1">
      <c r="A1973" s="712">
        <v>11</v>
      </c>
      <c r="B1973" s="713" t="s">
        <v>688</v>
      </c>
      <c r="C1973" s="714">
        <f>VLOOKUP(C1959,'Luong VP'!$B$10:$AP$189,17,0)</f>
        <v>0</v>
      </c>
      <c r="D1973" s="717"/>
      <c r="E1973" s="710">
        <v>1</v>
      </c>
      <c r="F1973" s="716" t="s">
        <v>689</v>
      </c>
      <c r="G1973" s="719"/>
      <c r="H1973" s="719"/>
      <c r="I1973" s="714">
        <f>VLOOKUP(C1959,'Luong VP'!$B$10:$AP$189,30,0)</f>
        <v>0</v>
      </c>
      <c r="J1973" s="714">
        <f>VLOOKUP(C1959,'Luong VP'!$B$10:$AP$189,30,0)</f>
        <v>0</v>
      </c>
    </row>
    <row r="1974" spans="1:12" ht="9.1999999999999993" customHeight="1">
      <c r="A1974" s="712">
        <v>12</v>
      </c>
      <c r="B1974" s="713" t="s">
        <v>691</v>
      </c>
      <c r="C1974" s="714">
        <f>VLOOKUP(C1959,'Luong VP'!$B$10:$AP$189,18,0)</f>
        <v>0</v>
      </c>
      <c r="D1974" s="717"/>
      <c r="E1974" s="710">
        <v>2</v>
      </c>
      <c r="F1974" s="718" t="s">
        <v>239</v>
      </c>
      <c r="G1974" s="718"/>
      <c r="H1974" s="718"/>
      <c r="I1974" s="727"/>
      <c r="J1974" s="728">
        <f>VLOOKUP(C1959,'Luong VP'!$B$10:$AP$189,34,0)</f>
        <v>0</v>
      </c>
      <c r="K1974" s="731"/>
      <c r="L1974" s="715"/>
    </row>
    <row r="1975" spans="1:12" ht="9.1999999999999993" customHeight="1">
      <c r="A1975" s="712">
        <v>13</v>
      </c>
      <c r="B1975" s="713" t="s">
        <v>692</v>
      </c>
      <c r="C1975" s="714">
        <f>VLOOKUP(C1959,'Luong VP'!$B$10:$AP$189,19,0)</f>
        <v>0</v>
      </c>
      <c r="D1975" s="717"/>
      <c r="E1975" s="710">
        <v>3</v>
      </c>
      <c r="F1975" s="716" t="s">
        <v>693</v>
      </c>
      <c r="G1975" s="719"/>
      <c r="H1975" s="719"/>
      <c r="I1975" s="729"/>
      <c r="J1975" s="714">
        <f>VLOOKUP(C1959,'Luong VP'!$B$10:$AP$189,40,0)</f>
        <v>0</v>
      </c>
      <c r="K1975" s="731"/>
      <c r="L1975" s="715"/>
    </row>
    <row r="1976" spans="1:12" ht="9.1999999999999993" customHeight="1">
      <c r="A1976" s="712">
        <v>14</v>
      </c>
      <c r="B1976" s="713" t="s">
        <v>694</v>
      </c>
      <c r="C1976" s="714">
        <f>VLOOKUP(C1959,'Luong VP'!$B$10:$AP$189,20,0)</f>
        <v>0</v>
      </c>
      <c r="D1976" s="717"/>
      <c r="E1976" s="710">
        <v>4</v>
      </c>
      <c r="F1976" s="718" t="s">
        <v>695</v>
      </c>
      <c r="G1976" s="719"/>
      <c r="H1976" s="719"/>
      <c r="I1976" s="729"/>
      <c r="J1976" s="714">
        <f>VLOOKUP(C1959,'Luong VP'!$B$10:$AP$189,35,0)</f>
        <v>0</v>
      </c>
      <c r="K1976" s="732"/>
      <c r="L1976" s="715"/>
    </row>
    <row r="1977" spans="1:12" ht="9.1999999999999993" customHeight="1">
      <c r="A1977" s="712"/>
      <c r="B1977" s="707" t="s">
        <v>656</v>
      </c>
      <c r="C1977" s="714">
        <f>SUM(C1963:C1976)</f>
        <v>6820</v>
      </c>
      <c r="D1977" s="717"/>
      <c r="E1977" s="710"/>
      <c r="F1977" s="716" t="s">
        <v>241</v>
      </c>
      <c r="G1977" s="719"/>
      <c r="H1977" s="719"/>
      <c r="I1977" s="729"/>
      <c r="J1977" s="730">
        <f>SUM(J1964:J1976)+C1971</f>
        <v>9369.8076923076933</v>
      </c>
      <c r="K1977" s="731"/>
      <c r="L1977" s="715"/>
    </row>
    <row r="1978" spans="1:12" ht="9.1999999999999993" customHeight="1">
      <c r="B1978" s="720"/>
      <c r="C1978" s="717"/>
      <c r="D1978" s="717"/>
      <c r="E1978" s="710" t="s">
        <v>696</v>
      </c>
      <c r="F1978" s="711" t="s">
        <v>697</v>
      </c>
      <c r="G1978" s="710"/>
      <c r="H1978" s="710"/>
      <c r="I1978" s="729"/>
      <c r="J1978" s="730">
        <f>SUM(J1979:J1981)</f>
        <v>3504</v>
      </c>
      <c r="K1978" s="732"/>
      <c r="L1978" s="715"/>
    </row>
    <row r="1979" spans="1:12" ht="9.1999999999999993" customHeight="1">
      <c r="B1979" s="720"/>
      <c r="C1979" s="717"/>
      <c r="D1979" s="717"/>
      <c r="E1979" s="710">
        <v>1</v>
      </c>
      <c r="F1979" s="718" t="s">
        <v>698</v>
      </c>
      <c r="G1979" s="718"/>
      <c r="H1979" s="718"/>
      <c r="I1979" s="733"/>
      <c r="J1979" s="714">
        <f>VLOOKUP(C1959,'Luong VP'!$B$10:$AP$189,37,0)</f>
        <v>504</v>
      </c>
      <c r="K1979" s="732"/>
      <c r="L1979" s="715"/>
    </row>
    <row r="1980" spans="1:12" ht="9.1999999999999993" customHeight="1">
      <c r="B1980" s="720"/>
      <c r="C1980" s="717"/>
      <c r="D1980" s="717"/>
      <c r="E1980" s="710">
        <v>2</v>
      </c>
      <c r="F1980" s="718" t="s">
        <v>244</v>
      </c>
      <c r="G1980" s="718"/>
      <c r="H1980" s="718"/>
      <c r="I1980" s="729"/>
      <c r="J1980" s="714">
        <f>VLOOKUP(C1959,'Luong VP'!$B$10:$AP$189,39,0)</f>
        <v>3000</v>
      </c>
      <c r="K1980" s="734"/>
      <c r="L1980" s="735"/>
    </row>
    <row r="1981" spans="1:12" ht="9.1999999999999993" customHeight="1">
      <c r="B1981" s="720"/>
      <c r="C1981" s="717"/>
      <c r="D1981" s="717"/>
      <c r="E1981" s="710"/>
      <c r="F1981" s="718" t="s">
        <v>699</v>
      </c>
      <c r="G1981" s="718"/>
      <c r="H1981" s="718"/>
      <c r="I1981" s="729"/>
      <c r="J1981" s="714"/>
      <c r="K1981" s="714"/>
      <c r="L1981" s="736"/>
    </row>
    <row r="1982" spans="1:12" ht="9.1999999999999993" customHeight="1">
      <c r="B1982" s="720"/>
      <c r="C1982" s="717"/>
      <c r="D1982" s="717"/>
      <c r="E1982" s="710" t="s">
        <v>700</v>
      </c>
      <c r="F1982" s="710" t="s">
        <v>246</v>
      </c>
      <c r="G1982" s="710"/>
      <c r="H1982" s="710"/>
      <c r="I1982" s="729"/>
      <c r="J1982" s="728">
        <f>J1977-J1978</f>
        <v>5865.8076923076933</v>
      </c>
      <c r="K1982" s="728">
        <f>ROUND(J1982,-1)</f>
        <v>5870</v>
      </c>
      <c r="L1982" s="710"/>
    </row>
    <row r="1983" spans="1:12" ht="9.1999999999999993" customHeight="1">
      <c r="B1983" s="720"/>
      <c r="C1983" s="717"/>
      <c r="D1983" s="717"/>
      <c r="E1983" s="715"/>
      <c r="F1983" s="715"/>
      <c r="G1983" s="715"/>
      <c r="I1983" s="715" t="s">
        <v>701</v>
      </c>
      <c r="J1983" s="737"/>
      <c r="K1983" s="737"/>
      <c r="L1983" s="715"/>
    </row>
    <row r="1984" spans="1:12" ht="9.1999999999999993" customHeight="1">
      <c r="B1984" s="720"/>
      <c r="C1984" s="717"/>
      <c r="D1984" s="717"/>
      <c r="E1984" s="715"/>
      <c r="F1984" s="715"/>
      <c r="G1984" s="715"/>
      <c r="I1984" s="715"/>
      <c r="J1984" s="737"/>
      <c r="K1984" s="737"/>
      <c r="L1984" s="715"/>
    </row>
    <row r="1985" spans="1:12" ht="9.1999999999999993" customHeight="1">
      <c r="B1985" s="720"/>
      <c r="C1985" s="717"/>
      <c r="D1985" s="717"/>
      <c r="E1985" s="715"/>
      <c r="F1985" s="715"/>
      <c r="G1985" s="715"/>
      <c r="I1985" s="715"/>
      <c r="J1985" s="737"/>
      <c r="K1985" s="737"/>
      <c r="L1985" s="715"/>
    </row>
    <row r="1986" spans="1:12" ht="9.1999999999999993" customHeight="1">
      <c r="B1986" s="720"/>
      <c r="C1986" s="717"/>
      <c r="D1986" s="717"/>
      <c r="E1986" s="715"/>
      <c r="F1986" s="715"/>
      <c r="G1986" s="715"/>
      <c r="I1986" s="715"/>
      <c r="J1986" s="737"/>
      <c r="K1986" s="737"/>
      <c r="L1986" s="715"/>
    </row>
    <row r="1987" spans="1:12" ht="9.1999999999999993" customHeight="1">
      <c r="B1987" s="720"/>
      <c r="C1987" s="717"/>
      <c r="D1987" s="717"/>
      <c r="E1987" s="715"/>
      <c r="F1987" s="715"/>
      <c r="G1987" s="715"/>
      <c r="I1987" s="715"/>
      <c r="J1987" s="737"/>
      <c r="K1987" s="737"/>
      <c r="L1987" s="715"/>
    </row>
    <row r="1988" spans="1:12" ht="9.1999999999999993" customHeight="1">
      <c r="C1988" s="696"/>
      <c r="D1988" s="696"/>
      <c r="E1988" s="697" t="str">
        <f>$E$2</f>
        <v>THẺ LƯƠNG THÁNG 08/2019</v>
      </c>
      <c r="F1988" s="698"/>
      <c r="G1988" s="698"/>
      <c r="H1988" s="698"/>
    </row>
    <row r="1989" spans="1:12" ht="9.1999999999999993" customHeight="1">
      <c r="B1989" s="699" t="s">
        <v>644</v>
      </c>
      <c r="C1989" s="700" t="s">
        <v>1307</v>
      </c>
      <c r="D1989" s="701"/>
      <c r="F1989" s="1523" t="s">
        <v>645</v>
      </c>
      <c r="G1989" s="689" t="str">
        <f>VLOOKUP(C1989,'Luong VP'!$B$10:$AP$189,2,0)</f>
        <v>Hà Chí Hào</v>
      </c>
    </row>
    <row r="1990" spans="1:12" ht="9.1999999999999993" customHeight="1">
      <c r="B1990" s="699" t="s">
        <v>646</v>
      </c>
      <c r="C1990" s="689" t="str">
        <f>VLOOKUP(C1989,'Luong VP'!$B$10:$AP$189,3,0)</f>
        <v>NV kho</v>
      </c>
      <c r="F1990" s="1523" t="s">
        <v>647</v>
      </c>
      <c r="G1990" s="689">
        <f>VLOOKUP(C1989,'Luong VP'!$B$10:$AP$189,5,0)</f>
        <v>3</v>
      </c>
    </row>
    <row r="1991" spans="1:12" ht="9.1999999999999993" customHeight="1">
      <c r="B1991" s="703"/>
      <c r="C1991" s="704"/>
      <c r="D1991" s="705"/>
      <c r="F1991" s="706" t="s">
        <v>648</v>
      </c>
      <c r="G1991" s="706"/>
      <c r="H1991" s="706"/>
      <c r="I1991" s="725"/>
      <c r="J1991" s="726"/>
    </row>
    <row r="1992" spans="1:12" ht="9.1999999999999993" customHeight="1">
      <c r="A1992" s="707" t="s">
        <v>216</v>
      </c>
      <c r="B1992" s="707" t="s">
        <v>649</v>
      </c>
      <c r="C1992" s="708" t="s">
        <v>650</v>
      </c>
      <c r="D1992" s="709"/>
      <c r="E1992" s="710" t="s">
        <v>216</v>
      </c>
      <c r="F1992" s="711" t="s">
        <v>649</v>
      </c>
      <c r="G1992" s="710"/>
      <c r="H1992" s="710" t="s">
        <v>651</v>
      </c>
      <c r="I1992" s="727" t="s">
        <v>652</v>
      </c>
      <c r="J1992" s="714"/>
      <c r="L1992" s="694" t="s">
        <v>653</v>
      </c>
    </row>
    <row r="1993" spans="1:12" ht="9.1999999999999993" customHeight="1">
      <c r="A1993" s="712">
        <v>1</v>
      </c>
      <c r="B1993" s="713" t="s">
        <v>654</v>
      </c>
      <c r="C1993" s="714">
        <f>VLOOKUP(C1989,'Luong VP'!$B$10:$AP$189,9,0)</f>
        <v>7280</v>
      </c>
      <c r="D1993" s="715"/>
      <c r="E1993" s="710" t="s">
        <v>655</v>
      </c>
      <c r="F1993" s="716" t="s">
        <v>656</v>
      </c>
      <c r="G1993" s="710"/>
      <c r="H1993" s="710"/>
      <c r="I1993" s="727"/>
      <c r="J1993" s="714">
        <f>VLOOKUP(C1989,'Luong VP'!$B$10:$AP$189,21,0)</f>
        <v>6358</v>
      </c>
    </row>
    <row r="1994" spans="1:12" ht="9.1999999999999993" customHeight="1">
      <c r="A1994" s="712">
        <v>2</v>
      </c>
      <c r="B1994" s="713" t="s">
        <v>658</v>
      </c>
      <c r="C1994" s="714"/>
      <c r="D1994" s="717"/>
      <c r="E1994" s="710">
        <v>1</v>
      </c>
      <c r="F1994" s="718" t="s">
        <v>659</v>
      </c>
      <c r="G1994" s="718"/>
      <c r="H1994" s="710" t="s">
        <v>660</v>
      </c>
      <c r="I1994" s="727">
        <f>VLOOKUP(C1989,'Luong VP'!$B$10:$AP$189,22,0)</f>
        <v>26</v>
      </c>
      <c r="J1994" s="728">
        <f>J1993/'Cham cong'!$AS$3*I1994</f>
        <v>6358</v>
      </c>
    </row>
    <row r="1995" spans="1:12" ht="9.1999999999999993" customHeight="1">
      <c r="A1995" s="712">
        <v>3</v>
      </c>
      <c r="B1995" s="713" t="s">
        <v>661</v>
      </c>
      <c r="C1995" s="714">
        <f>VLOOKUP(C1989,'Luong VP'!$B$10:$AP$189,10,0)</f>
        <v>200</v>
      </c>
      <c r="D1995" s="717"/>
      <c r="E1995" s="710">
        <v>2</v>
      </c>
      <c r="F1995" s="718" t="s">
        <v>662</v>
      </c>
      <c r="G1995" s="718"/>
      <c r="H1995" s="710" t="s">
        <v>660</v>
      </c>
      <c r="I1995" s="727">
        <f>VLOOKUP(C1989,'Luong VP'!$B$10:$AP$189,27,0)</f>
        <v>0</v>
      </c>
      <c r="J1995" s="728">
        <f>J1993/'Cham cong'!$AS$3*I1995*3</f>
        <v>0</v>
      </c>
    </row>
    <row r="1996" spans="1:12" ht="9.1999999999999993" customHeight="1">
      <c r="A1996" s="712">
        <v>4</v>
      </c>
      <c r="B1996" s="713" t="s">
        <v>666</v>
      </c>
      <c r="C1996" s="714">
        <f>VLOOKUP(C1989,'Luong VP'!$B$10:$AP$189,11,0)</f>
        <v>0</v>
      </c>
      <c r="D1996" s="717"/>
      <c r="E1996" s="710">
        <v>3</v>
      </c>
      <c r="F1996" s="718" t="s">
        <v>667</v>
      </c>
      <c r="G1996" s="718"/>
      <c r="H1996" s="710" t="s">
        <v>668</v>
      </c>
      <c r="I1996" s="727">
        <f>VLOOKUP(C1989,'Luong VP'!$B$10:$AP$189,26,0)</f>
        <v>11.7</v>
      </c>
      <c r="J1996" s="728">
        <f>J1993/'Cham cong'!$AS$3*I1996/8*1.5</f>
        <v>536.45624999999995</v>
      </c>
    </row>
    <row r="1997" spans="1:12" ht="9.1999999999999993" customHeight="1">
      <c r="A1997" s="712">
        <v>5</v>
      </c>
      <c r="B1997" s="713" t="s">
        <v>670</v>
      </c>
      <c r="C1997" s="714">
        <f>VLOOKUP(C1989,'Luong VP'!$B$10:$AP$189,12,0)</f>
        <v>0</v>
      </c>
      <c r="D1997" s="717"/>
      <c r="E1997" s="710">
        <v>4</v>
      </c>
      <c r="F1997" s="718" t="s">
        <v>671</v>
      </c>
      <c r="G1997" s="718"/>
      <c r="H1997" s="710" t="s">
        <v>668</v>
      </c>
      <c r="I1997" s="727">
        <f>VLOOKUP(C1989,'Luong VP'!$B$10:$AP$189,25,0)</f>
        <v>0</v>
      </c>
      <c r="J1997" s="728">
        <f>J1993/'Cham cong'!$AS$3*I1997/8*2</f>
        <v>0</v>
      </c>
    </row>
    <row r="1998" spans="1:12" ht="9.1999999999999993" customHeight="1">
      <c r="A1998" s="712">
        <v>6</v>
      </c>
      <c r="B1998" s="713" t="s">
        <v>673</v>
      </c>
      <c r="C1998" s="714">
        <f>VLOOKUP(C1989,'Luong VP'!$B$10:$AP$189,13,0)</f>
        <v>0</v>
      </c>
      <c r="D1998" s="717"/>
      <c r="E1998" s="710">
        <v>5</v>
      </c>
      <c r="F1998" s="718" t="s">
        <v>674</v>
      </c>
      <c r="G1998" s="718"/>
      <c r="H1998" s="710" t="s">
        <v>660</v>
      </c>
      <c r="I1998" s="727">
        <f>VLOOKUP(C1989,'Luong VP'!$B$10:$AP$189,23,0)</f>
        <v>0</v>
      </c>
      <c r="J1998" s="728">
        <f>C1993/'Cham cong'!$AS$3*I1998</f>
        <v>0</v>
      </c>
      <c r="L1998" s="694" t="str">
        <f>G1989</f>
        <v>Hà Chí Hào</v>
      </c>
    </row>
    <row r="1999" spans="1:12" ht="9.1999999999999993" customHeight="1">
      <c r="A1999" s="712">
        <v>7</v>
      </c>
      <c r="B1999" s="713" t="s">
        <v>676</v>
      </c>
      <c r="C1999" s="714"/>
      <c r="D1999" s="717"/>
      <c r="E1999" s="710">
        <v>6</v>
      </c>
      <c r="F1999" s="718" t="s">
        <v>677</v>
      </c>
      <c r="G1999" s="718"/>
      <c r="H1999" s="710" t="s">
        <v>660</v>
      </c>
      <c r="I1999" s="727">
        <f>VLOOKUP(C1989,'Luong VP'!$B$10:$AP$189,24,0)</f>
        <v>1</v>
      </c>
      <c r="J1999" s="714">
        <f>C1993/'Cham cong'!$AS$3*I1999</f>
        <v>280</v>
      </c>
    </row>
    <row r="2000" spans="1:12" ht="9.1999999999999993" customHeight="1">
      <c r="A2000" s="712">
        <v>8</v>
      </c>
      <c r="B2000" s="713" t="s">
        <v>679</v>
      </c>
      <c r="C2000" s="714">
        <f>VLOOKUP(C1989,'Luong VP'!$B$10:$AP$189,14,0)</f>
        <v>0</v>
      </c>
      <c r="D2000" s="717"/>
      <c r="E2000" s="710">
        <v>7</v>
      </c>
      <c r="F2000" s="718" t="s">
        <v>680</v>
      </c>
      <c r="G2000" s="718"/>
      <c r="H2000" s="718"/>
      <c r="I2000" s="729"/>
      <c r="J2000" s="714">
        <f>VLOOKUP(C1989,'Luong VP'!$B$10:$AP$189,28,0)</f>
        <v>0</v>
      </c>
    </row>
    <row r="2001" spans="1:12" ht="9.1999999999999993" customHeight="1">
      <c r="A2001" s="712">
        <v>9</v>
      </c>
      <c r="B2001" s="713" t="s">
        <v>683</v>
      </c>
      <c r="C2001" s="714">
        <f>VLOOKUP(C1989,'Luong VP'!$B$10:$AP$189,15,0)</f>
        <v>0</v>
      </c>
      <c r="D2001" s="717"/>
      <c r="E2001" s="710">
        <v>8</v>
      </c>
      <c r="F2001" s="718" t="s">
        <v>238</v>
      </c>
      <c r="G2001" s="718"/>
      <c r="H2001" s="771" t="s">
        <v>660</v>
      </c>
      <c r="I2001" s="787"/>
      <c r="J2001" s="775">
        <v>0</v>
      </c>
      <c r="K2001" s="801"/>
    </row>
    <row r="2002" spans="1:12" ht="9.1999999999999993" customHeight="1">
      <c r="A2002" s="712">
        <v>10</v>
      </c>
      <c r="B2002" s="713" t="s">
        <v>685</v>
      </c>
      <c r="C2002" s="714">
        <f>VLOOKUP(C1989,'Luong VP'!$B$10:$AP$189,16,0)</f>
        <v>0</v>
      </c>
      <c r="D2002" s="717"/>
      <c r="E2002" s="710" t="s">
        <v>686</v>
      </c>
      <c r="F2002" s="716" t="s">
        <v>687</v>
      </c>
      <c r="G2002" s="719"/>
      <c r="H2002" s="719"/>
      <c r="I2002" s="729"/>
      <c r="J2002" s="730"/>
    </row>
    <row r="2003" spans="1:12" ht="9.1999999999999993" customHeight="1">
      <c r="A2003" s="712">
        <v>11</v>
      </c>
      <c r="B2003" s="713" t="s">
        <v>688</v>
      </c>
      <c r="C2003" s="714">
        <f>VLOOKUP(C1989,'Luong VP'!$B$10:$AP$189,17,0)</f>
        <v>0</v>
      </c>
      <c r="D2003" s="717"/>
      <c r="E2003" s="710">
        <v>1</v>
      </c>
      <c r="F2003" s="716" t="s">
        <v>689</v>
      </c>
      <c r="G2003" s="719"/>
      <c r="H2003" s="719"/>
      <c r="I2003" s="714">
        <f>VLOOKUP(C1989,'Luong VP'!$B$10:$AP$189,30,0)</f>
        <v>0</v>
      </c>
      <c r="J2003" s="714">
        <f>VLOOKUP(C1989,'Luong VP'!$B$10:$AP$189,30,0)</f>
        <v>0</v>
      </c>
    </row>
    <row r="2004" spans="1:12" ht="9.1999999999999993" customHeight="1">
      <c r="A2004" s="712">
        <v>12</v>
      </c>
      <c r="B2004" s="713" t="s">
        <v>691</v>
      </c>
      <c r="C2004" s="714">
        <f>VLOOKUP(C1989,'Luong VP'!$B$10:$AP$189,18,0)</f>
        <v>0</v>
      </c>
      <c r="D2004" s="717"/>
      <c r="E2004" s="710">
        <v>2</v>
      </c>
      <c r="F2004" s="718" t="s">
        <v>239</v>
      </c>
      <c r="G2004" s="718"/>
      <c r="H2004" s="718"/>
      <c r="I2004" s="727"/>
      <c r="J2004" s="728">
        <f>VLOOKUP(C1989,'Luong VP'!$B$10:$AP$189,34,0)</f>
        <v>0</v>
      </c>
      <c r="K2004" s="731"/>
      <c r="L2004" s="715"/>
    </row>
    <row r="2005" spans="1:12" ht="9.1999999999999993" customHeight="1">
      <c r="A2005" s="712">
        <v>13</v>
      </c>
      <c r="B2005" s="713" t="s">
        <v>692</v>
      </c>
      <c r="C2005" s="714">
        <f>VLOOKUP(C1989,'Luong VP'!$B$10:$AP$189,19,0)</f>
        <v>0</v>
      </c>
      <c r="D2005" s="717"/>
      <c r="E2005" s="710">
        <v>3</v>
      </c>
      <c r="F2005" s="716" t="s">
        <v>693</v>
      </c>
      <c r="G2005" s="719"/>
      <c r="H2005" s="719"/>
      <c r="I2005" s="729"/>
      <c r="J2005" s="714">
        <f>VLOOKUP(C1989,'Luong VP'!$B$10:$AP$189,40,0)</f>
        <v>0</v>
      </c>
      <c r="K2005" s="731"/>
      <c r="L2005" s="715"/>
    </row>
    <row r="2006" spans="1:12" ht="9.1999999999999993" customHeight="1">
      <c r="A2006" s="712">
        <v>14</v>
      </c>
      <c r="B2006" s="713" t="s">
        <v>694</v>
      </c>
      <c r="C2006" s="714">
        <f>VLOOKUP(C1989,'Luong VP'!$B$10:$AP$189,20,0)</f>
        <v>0</v>
      </c>
      <c r="D2006" s="717"/>
      <c r="E2006" s="710">
        <v>4</v>
      </c>
      <c r="F2006" s="718" t="s">
        <v>695</v>
      </c>
      <c r="G2006" s="719"/>
      <c r="H2006" s="719"/>
      <c r="I2006" s="729"/>
      <c r="J2006" s="714">
        <f>VLOOKUP(C1989,'Luong VP'!$B$10:$AP$189,35,0)</f>
        <v>0</v>
      </c>
      <c r="K2006" s="732"/>
      <c r="L2006" s="715"/>
    </row>
    <row r="2007" spans="1:12" ht="9.1999999999999993" customHeight="1">
      <c r="A2007" s="712"/>
      <c r="B2007" s="707" t="s">
        <v>656</v>
      </c>
      <c r="C2007" s="714">
        <f>SUM(C1993:C2006)</f>
        <v>7480</v>
      </c>
      <c r="D2007" s="717"/>
      <c r="E2007" s="710"/>
      <c r="F2007" s="716" t="s">
        <v>241</v>
      </c>
      <c r="G2007" s="719"/>
      <c r="H2007" s="719"/>
      <c r="I2007" s="729"/>
      <c r="J2007" s="730">
        <f>SUM(J1994:J2006)+C2001</f>
        <v>7174.4562500000002</v>
      </c>
      <c r="K2007" s="731"/>
      <c r="L2007" s="715"/>
    </row>
    <row r="2008" spans="1:12" ht="9.1999999999999993" customHeight="1">
      <c r="B2008" s="720"/>
      <c r="C2008" s="717"/>
      <c r="D2008" s="717"/>
      <c r="E2008" s="710" t="s">
        <v>696</v>
      </c>
      <c r="F2008" s="711" t="s">
        <v>697</v>
      </c>
      <c r="G2008" s="710"/>
      <c r="H2008" s="710"/>
      <c r="I2008" s="729"/>
      <c r="J2008" s="730">
        <f>SUM(J2009:J2011)</f>
        <v>0</v>
      </c>
      <c r="K2008" s="732"/>
      <c r="L2008" s="715"/>
    </row>
    <row r="2009" spans="1:12" ht="9.1999999999999993" customHeight="1">
      <c r="B2009" s="720"/>
      <c r="C2009" s="717"/>
      <c r="D2009" s="717"/>
      <c r="E2009" s="710">
        <v>1</v>
      </c>
      <c r="F2009" s="718" t="s">
        <v>698</v>
      </c>
      <c r="G2009" s="718"/>
      <c r="H2009" s="718"/>
      <c r="I2009" s="733"/>
      <c r="J2009" s="714">
        <f>VLOOKUP(C1989,'Luong VP'!$B$10:$AP$189,37,0)</f>
        <v>0</v>
      </c>
      <c r="K2009" s="732"/>
      <c r="L2009" s="715"/>
    </row>
    <row r="2010" spans="1:12" ht="9.1999999999999993" customHeight="1">
      <c r="B2010" s="720"/>
      <c r="C2010" s="717"/>
      <c r="D2010" s="717"/>
      <c r="E2010" s="710">
        <v>2</v>
      </c>
      <c r="F2010" s="718" t="s">
        <v>244</v>
      </c>
      <c r="G2010" s="718"/>
      <c r="H2010" s="718"/>
      <c r="I2010" s="729"/>
      <c r="J2010" s="714">
        <f>VLOOKUP(C1989,'Luong VP'!$B$10:$AP$189,39,0)</f>
        <v>0</v>
      </c>
      <c r="K2010" s="734"/>
      <c r="L2010" s="735"/>
    </row>
    <row r="2011" spans="1:12" ht="9.1999999999999993" customHeight="1">
      <c r="B2011" s="720"/>
      <c r="C2011" s="717"/>
      <c r="D2011" s="717"/>
      <c r="E2011" s="710"/>
      <c r="F2011" s="718" t="s">
        <v>699</v>
      </c>
      <c r="G2011" s="718"/>
      <c r="H2011" s="718"/>
      <c r="I2011" s="729"/>
      <c r="J2011" s="714"/>
      <c r="K2011" s="714"/>
      <c r="L2011" s="736"/>
    </row>
    <row r="2012" spans="1:12" ht="9.1999999999999993" customHeight="1">
      <c r="B2012" s="720"/>
      <c r="C2012" s="717"/>
      <c r="D2012" s="717"/>
      <c r="E2012" s="710" t="s">
        <v>700</v>
      </c>
      <c r="F2012" s="710" t="s">
        <v>246</v>
      </c>
      <c r="G2012" s="710"/>
      <c r="H2012" s="710"/>
      <c r="I2012" s="729"/>
      <c r="J2012" s="728">
        <f>J2007-J2008</f>
        <v>7174.4562500000002</v>
      </c>
      <c r="K2012" s="728">
        <f>ROUND(J2012,-1)</f>
        <v>7170</v>
      </c>
      <c r="L2012" s="710"/>
    </row>
    <row r="2013" spans="1:12" ht="9.1999999999999993" customHeight="1">
      <c r="B2013" s="720"/>
      <c r="C2013" s="717"/>
      <c r="D2013" s="717"/>
      <c r="E2013" s="715"/>
      <c r="F2013" s="715"/>
      <c r="G2013" s="715"/>
      <c r="I2013" s="715" t="s">
        <v>701</v>
      </c>
      <c r="J2013" s="737"/>
      <c r="K2013" s="737"/>
      <c r="L2013" s="715"/>
    </row>
    <row r="2014" spans="1:12" ht="9.1999999999999993" customHeight="1">
      <c r="B2014" s="720"/>
      <c r="C2014" s="717"/>
      <c r="D2014" s="717"/>
      <c r="E2014" s="715"/>
      <c r="F2014" s="715"/>
      <c r="G2014" s="715"/>
      <c r="I2014" s="715"/>
      <c r="J2014" s="737"/>
      <c r="K2014" s="737"/>
      <c r="L2014" s="715"/>
    </row>
    <row r="2015" spans="1:12" ht="9.1999999999999993" customHeight="1">
      <c r="B2015" s="720"/>
      <c r="C2015" s="717"/>
      <c r="D2015" s="717"/>
      <c r="E2015" s="715"/>
      <c r="F2015" s="715"/>
      <c r="G2015" s="715"/>
      <c r="I2015" s="715"/>
      <c r="J2015" s="737"/>
      <c r="K2015" s="737"/>
      <c r="L2015" s="715"/>
    </row>
    <row r="2016" spans="1:12" ht="9.1999999999999993" customHeight="1">
      <c r="B2016" s="720"/>
      <c r="C2016" s="717"/>
      <c r="D2016" s="717"/>
      <c r="E2016" s="715"/>
      <c r="F2016" s="715"/>
      <c r="G2016" s="715"/>
      <c r="I2016" s="715"/>
      <c r="J2016" s="737"/>
      <c r="K2016" s="737"/>
      <c r="L2016" s="715"/>
    </row>
    <row r="2018" spans="1:12" ht="9.1999999999999993" customHeight="1">
      <c r="C2018" s="696"/>
      <c r="D2018" s="696"/>
      <c r="E2018" s="697" t="str">
        <f>$E$2</f>
        <v>THẺ LƯƠNG THÁNG 08/2019</v>
      </c>
      <c r="F2018" s="698"/>
      <c r="G2018" s="698"/>
      <c r="H2018" s="698"/>
    </row>
    <row r="2019" spans="1:12" ht="9.1999999999999993" customHeight="1">
      <c r="B2019" s="699" t="s">
        <v>644</v>
      </c>
      <c r="C2019" s="700" t="s">
        <v>383</v>
      </c>
      <c r="D2019" s="701"/>
      <c r="F2019" s="702" t="s">
        <v>645</v>
      </c>
      <c r="G2019" s="689" t="str">
        <f>VLOOKUP(C2019,'Luong VP'!$B$10:$AP$189,2,0)</f>
        <v>Nguyễn Minh Hoàn</v>
      </c>
    </row>
    <row r="2020" spans="1:12" ht="9.1999999999999993" customHeight="1">
      <c r="B2020" s="699" t="s">
        <v>646</v>
      </c>
      <c r="C2020" s="689" t="str">
        <f>VLOOKUP(C2019,'Luong VP'!$B$10:$AP$189,3,0)</f>
        <v>NV kho</v>
      </c>
      <c r="F2020" s="702" t="s">
        <v>647</v>
      </c>
      <c r="G2020" s="689">
        <f>VLOOKUP(C2019,'Luong VP'!$B$10:$AP$189,5,0)</f>
        <v>3</v>
      </c>
    </row>
    <row r="2021" spans="1:12" ht="9.1999999999999993" customHeight="1">
      <c r="B2021" s="703"/>
      <c r="C2021" s="704"/>
      <c r="D2021" s="705"/>
      <c r="F2021" s="706" t="s">
        <v>648</v>
      </c>
      <c r="G2021" s="706"/>
      <c r="H2021" s="706"/>
      <c r="I2021" s="725"/>
      <c r="J2021" s="726"/>
    </row>
    <row r="2022" spans="1:12" ht="9.1999999999999993" customHeight="1">
      <c r="A2022" s="707" t="s">
        <v>216</v>
      </c>
      <c r="B2022" s="707" t="s">
        <v>649</v>
      </c>
      <c r="C2022" s="708" t="s">
        <v>650</v>
      </c>
      <c r="D2022" s="709"/>
      <c r="E2022" s="710" t="s">
        <v>216</v>
      </c>
      <c r="F2022" s="711" t="s">
        <v>649</v>
      </c>
      <c r="G2022" s="710"/>
      <c r="H2022" s="710" t="s">
        <v>651</v>
      </c>
      <c r="I2022" s="727" t="s">
        <v>652</v>
      </c>
      <c r="J2022" s="714"/>
      <c r="L2022" s="694" t="s">
        <v>653</v>
      </c>
    </row>
    <row r="2023" spans="1:12" ht="9.1999999999999993" customHeight="1">
      <c r="A2023" s="712">
        <v>1</v>
      </c>
      <c r="B2023" s="713" t="s">
        <v>654</v>
      </c>
      <c r="C2023" s="714">
        <f>VLOOKUP(C2019,'Luong VP'!$B$10:$AP$189,9,0)</f>
        <v>7280</v>
      </c>
      <c r="D2023" s="715"/>
      <c r="E2023" s="710" t="s">
        <v>655</v>
      </c>
      <c r="F2023" s="716" t="s">
        <v>656</v>
      </c>
      <c r="G2023" s="710"/>
      <c r="H2023" s="710"/>
      <c r="I2023" s="727"/>
      <c r="J2023" s="714">
        <f>VLOOKUP(C2019,'Luong VP'!$B$10:$AP$189,21,0)</f>
        <v>7480</v>
      </c>
    </row>
    <row r="2024" spans="1:12" ht="9.1999999999999993" customHeight="1">
      <c r="A2024" s="712">
        <v>2</v>
      </c>
      <c r="B2024" s="713" t="s">
        <v>658</v>
      </c>
      <c r="C2024" s="714"/>
      <c r="D2024" s="717"/>
      <c r="E2024" s="710">
        <v>1</v>
      </c>
      <c r="F2024" s="718" t="s">
        <v>659</v>
      </c>
      <c r="G2024" s="718"/>
      <c r="H2024" s="710" t="s">
        <v>660</v>
      </c>
      <c r="I2024" s="727">
        <f>VLOOKUP(C2019,'Luong VP'!$B$10:$AP$189,22,0)</f>
        <v>27</v>
      </c>
      <c r="J2024" s="728">
        <f>J2023/'Cham cong'!$AS$3*I2024</f>
        <v>7767.6923076923076</v>
      </c>
    </row>
    <row r="2025" spans="1:12" ht="9.1999999999999993" customHeight="1">
      <c r="A2025" s="712">
        <v>3</v>
      </c>
      <c r="B2025" s="713" t="s">
        <v>661</v>
      </c>
      <c r="C2025" s="714">
        <f>VLOOKUP(C2019,'Luong VP'!$B$10:$AP$189,10,0)</f>
        <v>200</v>
      </c>
      <c r="D2025" s="717"/>
      <c r="E2025" s="710">
        <v>2</v>
      </c>
      <c r="F2025" s="718" t="s">
        <v>662</v>
      </c>
      <c r="G2025" s="718"/>
      <c r="H2025" s="710" t="s">
        <v>660</v>
      </c>
      <c r="I2025" s="727">
        <f>VLOOKUP(C2019,'Luong VP'!$B$10:$AP$189,27,0)</f>
        <v>0</v>
      </c>
      <c r="J2025" s="728">
        <f>J2023/'Cham cong'!$AS$3*I2025*3</f>
        <v>0</v>
      </c>
    </row>
    <row r="2026" spans="1:12" ht="9.1999999999999993" customHeight="1">
      <c r="A2026" s="712">
        <v>4</v>
      </c>
      <c r="B2026" s="713" t="s">
        <v>666</v>
      </c>
      <c r="C2026" s="714">
        <f>VLOOKUP(C2019,'Luong VP'!$B$10:$AP$189,11,0)</f>
        <v>0</v>
      </c>
      <c r="D2026" s="717"/>
      <c r="E2026" s="710">
        <v>3</v>
      </c>
      <c r="F2026" s="718" t="s">
        <v>667</v>
      </c>
      <c r="G2026" s="718"/>
      <c r="H2026" s="710" t="s">
        <v>668</v>
      </c>
      <c r="I2026" s="727">
        <f>VLOOKUP(C2019,'Luong VP'!$B$10:$AP$189,26,0)</f>
        <v>41</v>
      </c>
      <c r="J2026" s="728">
        <f>J2023/'Cham cong'!$AS$3*I2026/8*1.5</f>
        <v>2211.6346153846152</v>
      </c>
    </row>
    <row r="2027" spans="1:12" ht="9.1999999999999993" customHeight="1">
      <c r="A2027" s="712">
        <v>5</v>
      </c>
      <c r="B2027" s="713" t="s">
        <v>670</v>
      </c>
      <c r="C2027" s="714">
        <f>VLOOKUP(C2019,'Luong VP'!$B$10:$AP$189,12,0)</f>
        <v>0</v>
      </c>
      <c r="D2027" s="717"/>
      <c r="E2027" s="710">
        <v>4</v>
      </c>
      <c r="F2027" s="718" t="s">
        <v>671</v>
      </c>
      <c r="G2027" s="718"/>
      <c r="H2027" s="710" t="s">
        <v>668</v>
      </c>
      <c r="I2027" s="727">
        <f>VLOOKUP(C2019,'Luong VP'!$B$10:$AP$189,25,0)</f>
        <v>8.5</v>
      </c>
      <c r="J2027" s="728">
        <f>J2023/'Cham cong'!$AS$3*I2027/8*2</f>
        <v>611.34615384615381</v>
      </c>
    </row>
    <row r="2028" spans="1:12" ht="9.1999999999999993" customHeight="1">
      <c r="A2028" s="712">
        <v>6</v>
      </c>
      <c r="B2028" s="713" t="s">
        <v>673</v>
      </c>
      <c r="C2028" s="714">
        <f>VLOOKUP(C2019,'Luong VP'!$B$10:$AP$189,13,0)</f>
        <v>0</v>
      </c>
      <c r="D2028" s="717"/>
      <c r="E2028" s="710">
        <v>5</v>
      </c>
      <c r="F2028" s="718" t="s">
        <v>674</v>
      </c>
      <c r="G2028" s="718"/>
      <c r="H2028" s="710" t="s">
        <v>660</v>
      </c>
      <c r="I2028" s="727">
        <f>VLOOKUP(C2019,'Luong VP'!$B$10:$AP$189,23,0)</f>
        <v>0</v>
      </c>
      <c r="J2028" s="728">
        <f>C2023/'Cham cong'!$AS$3*I2028</f>
        <v>0</v>
      </c>
      <c r="L2028" s="694" t="str">
        <f>G2019</f>
        <v>Nguyễn Minh Hoàn</v>
      </c>
    </row>
    <row r="2029" spans="1:12" ht="9.1999999999999993" customHeight="1">
      <c r="A2029" s="712">
        <v>7</v>
      </c>
      <c r="B2029" s="713" t="s">
        <v>676</v>
      </c>
      <c r="C2029" s="714"/>
      <c r="D2029" s="717"/>
      <c r="E2029" s="710">
        <v>6</v>
      </c>
      <c r="F2029" s="718" t="s">
        <v>677</v>
      </c>
      <c r="G2029" s="718"/>
      <c r="H2029" s="710" t="s">
        <v>660</v>
      </c>
      <c r="I2029" s="727">
        <f>VLOOKUP(C2019,'Luong VP'!$B$10:$AP$189,24,0)</f>
        <v>1</v>
      </c>
      <c r="J2029" s="714">
        <f>C2023/'Cham cong'!$AS$3*I2029</f>
        <v>280</v>
      </c>
    </row>
    <row r="2030" spans="1:12" ht="9.1999999999999993" customHeight="1">
      <c r="A2030" s="712">
        <v>8</v>
      </c>
      <c r="B2030" s="713" t="s">
        <v>679</v>
      </c>
      <c r="C2030" s="714">
        <f>VLOOKUP(C2019,'Luong VP'!$B$10:$AP$189,14,0)</f>
        <v>0</v>
      </c>
      <c r="D2030" s="717"/>
      <c r="E2030" s="710">
        <v>7</v>
      </c>
      <c r="F2030" s="718" t="s">
        <v>680</v>
      </c>
      <c r="G2030" s="718"/>
      <c r="H2030" s="718"/>
      <c r="I2030" s="729"/>
      <c r="J2030" s="714">
        <f>VLOOKUP(C2019,'Luong VP'!$B$10:$AP$189,28,0)</f>
        <v>0</v>
      </c>
    </row>
    <row r="2031" spans="1:12" ht="9.1999999999999993" customHeight="1">
      <c r="A2031" s="712">
        <v>9</v>
      </c>
      <c r="B2031" s="713" t="s">
        <v>683</v>
      </c>
      <c r="C2031" s="714">
        <f>VLOOKUP(C2019,'Luong VP'!$B$10:$AP$189,15,0)</f>
        <v>0</v>
      </c>
      <c r="D2031" s="717"/>
      <c r="E2031" s="710">
        <v>8</v>
      </c>
      <c r="F2031" s="718" t="s">
        <v>238</v>
      </c>
      <c r="G2031" s="718"/>
      <c r="H2031" s="718"/>
      <c r="I2031" s="729"/>
      <c r="J2031" s="714">
        <f>VLOOKUP(C2019,'Luong VP'!$B$10:$AP$189,33,0)</f>
        <v>0</v>
      </c>
    </row>
    <row r="2032" spans="1:12" ht="9.1999999999999993" customHeight="1">
      <c r="A2032" s="712">
        <v>10</v>
      </c>
      <c r="B2032" s="713" t="s">
        <v>685</v>
      </c>
      <c r="C2032" s="714">
        <f>VLOOKUP(C2019,'Luong VP'!$B$10:$AP$189,16,0)</f>
        <v>0</v>
      </c>
      <c r="D2032" s="717"/>
      <c r="E2032" s="710" t="s">
        <v>686</v>
      </c>
      <c r="F2032" s="716" t="s">
        <v>687</v>
      </c>
      <c r="G2032" s="719"/>
      <c r="H2032" s="719"/>
      <c r="I2032" s="729"/>
      <c r="J2032" s="730"/>
    </row>
    <row r="2033" spans="1:12" ht="9.1999999999999993" customHeight="1">
      <c r="A2033" s="712">
        <v>11</v>
      </c>
      <c r="B2033" s="713" t="s">
        <v>688</v>
      </c>
      <c r="C2033" s="714">
        <f>VLOOKUP(C2019,'Luong VP'!$B$10:$AP$189,17,0)</f>
        <v>0</v>
      </c>
      <c r="D2033" s="717"/>
      <c r="E2033" s="710">
        <v>1</v>
      </c>
      <c r="F2033" s="716" t="s">
        <v>689</v>
      </c>
      <c r="G2033" s="719"/>
      <c r="H2033" s="719"/>
      <c r="I2033" s="714">
        <f>VLOOKUP(C2019,'Luong VP'!$B$10:$AP$189,30,0)</f>
        <v>0</v>
      </c>
      <c r="J2033" s="714">
        <f>VLOOKUP(C2019,'Luong VP'!$B$10:$AP$189,30,0)</f>
        <v>0</v>
      </c>
    </row>
    <row r="2034" spans="1:12" ht="9.1999999999999993" customHeight="1">
      <c r="A2034" s="712">
        <v>12</v>
      </c>
      <c r="B2034" s="713" t="s">
        <v>691</v>
      </c>
      <c r="C2034" s="714">
        <f>VLOOKUP(C2019,'Luong VP'!$B$10:$AP$189,18,0)</f>
        <v>0</v>
      </c>
      <c r="D2034" s="717"/>
      <c r="E2034" s="710">
        <v>2</v>
      </c>
      <c r="F2034" s="718" t="s">
        <v>239</v>
      </c>
      <c r="G2034" s="718"/>
      <c r="H2034" s="718"/>
      <c r="I2034" s="727"/>
      <c r="J2034" s="728">
        <f>VLOOKUP(C2019,'Luong VP'!$B$10:$AP$189,34,0)</f>
        <v>0</v>
      </c>
      <c r="K2034" s="731"/>
      <c r="L2034" s="715"/>
    </row>
    <row r="2035" spans="1:12" ht="9.1999999999999993" customHeight="1">
      <c r="A2035" s="712">
        <v>13</v>
      </c>
      <c r="B2035" s="713" t="s">
        <v>692</v>
      </c>
      <c r="C2035" s="714">
        <f>VLOOKUP(C2019,'Luong VP'!$B$10:$AP$189,19,0)</f>
        <v>0</v>
      </c>
      <c r="D2035" s="717"/>
      <c r="E2035" s="710">
        <v>3</v>
      </c>
      <c r="F2035" s="716" t="s">
        <v>693</v>
      </c>
      <c r="G2035" s="719"/>
      <c r="H2035" s="719"/>
      <c r="I2035" s="729"/>
      <c r="J2035" s="714">
        <f>VLOOKUP(C2019,'Luong VP'!$B$10:$AP$189,40,0)</f>
        <v>0</v>
      </c>
      <c r="K2035" s="731"/>
      <c r="L2035" s="715"/>
    </row>
    <row r="2036" spans="1:12" ht="9.1999999999999993" customHeight="1">
      <c r="A2036" s="712">
        <v>14</v>
      </c>
      <c r="B2036" s="713" t="s">
        <v>694</v>
      </c>
      <c r="C2036" s="714">
        <f>VLOOKUP(C2019,'Luong VP'!$B$10:$AP$189,20,0)</f>
        <v>0</v>
      </c>
      <c r="D2036" s="717"/>
      <c r="E2036" s="710">
        <v>4</v>
      </c>
      <c r="F2036" s="718" t="s">
        <v>695</v>
      </c>
      <c r="G2036" s="719"/>
      <c r="H2036" s="719"/>
      <c r="I2036" s="729"/>
      <c r="J2036" s="714">
        <f>VLOOKUP(C2019,'Luong VP'!$B$10:$AP$189,35,0)</f>
        <v>0</v>
      </c>
      <c r="K2036" s="732"/>
      <c r="L2036" s="715"/>
    </row>
    <row r="2037" spans="1:12" ht="9.1999999999999993" customHeight="1">
      <c r="A2037" s="712"/>
      <c r="B2037" s="707" t="s">
        <v>656</v>
      </c>
      <c r="C2037" s="714">
        <f>SUM(C2023:C2036)</f>
        <v>7480</v>
      </c>
      <c r="D2037" s="717"/>
      <c r="E2037" s="710"/>
      <c r="F2037" s="716" t="s">
        <v>241</v>
      </c>
      <c r="G2037" s="719"/>
      <c r="H2037" s="719"/>
      <c r="I2037" s="729"/>
      <c r="J2037" s="730">
        <f>SUM(J2024:J2036)+C2031</f>
        <v>10870.673076923076</v>
      </c>
      <c r="K2037" s="731"/>
      <c r="L2037" s="715"/>
    </row>
    <row r="2038" spans="1:12" ht="9.1999999999999993" customHeight="1">
      <c r="B2038" s="720"/>
      <c r="C2038" s="717"/>
      <c r="D2038" s="717"/>
      <c r="E2038" s="710" t="s">
        <v>696</v>
      </c>
      <c r="F2038" s="711" t="s">
        <v>697</v>
      </c>
      <c r="G2038" s="710"/>
      <c r="H2038" s="710"/>
      <c r="I2038" s="729"/>
      <c r="J2038" s="730">
        <f>SUM(J2039:J2041)</f>
        <v>3504</v>
      </c>
      <c r="K2038" s="732"/>
      <c r="L2038" s="715"/>
    </row>
    <row r="2039" spans="1:12" ht="9.1999999999999993" customHeight="1">
      <c r="B2039" s="720"/>
      <c r="C2039" s="717"/>
      <c r="D2039" s="717"/>
      <c r="E2039" s="710">
        <v>1</v>
      </c>
      <c r="F2039" s="718" t="s">
        <v>698</v>
      </c>
      <c r="G2039" s="718"/>
      <c r="H2039" s="718"/>
      <c r="I2039" s="733"/>
      <c r="J2039" s="714">
        <f>VLOOKUP(C2019,'Luong VP'!$B$10:$AP$189,37,0)</f>
        <v>504</v>
      </c>
      <c r="K2039" s="732"/>
      <c r="L2039" s="715"/>
    </row>
    <row r="2040" spans="1:12" ht="9.1999999999999993" customHeight="1">
      <c r="B2040" s="720"/>
      <c r="C2040" s="717"/>
      <c r="D2040" s="717"/>
      <c r="E2040" s="710">
        <v>2</v>
      </c>
      <c r="F2040" s="718" t="s">
        <v>244</v>
      </c>
      <c r="G2040" s="718"/>
      <c r="H2040" s="718"/>
      <c r="I2040" s="729"/>
      <c r="J2040" s="714">
        <f>VLOOKUP(C2019,'Luong VP'!$B$10:$AP$189,39,0)</f>
        <v>3000</v>
      </c>
      <c r="K2040" s="734"/>
      <c r="L2040" s="735"/>
    </row>
    <row r="2041" spans="1:12" ht="9.1999999999999993" customHeight="1">
      <c r="B2041" s="720"/>
      <c r="C2041" s="717"/>
      <c r="D2041" s="717"/>
      <c r="E2041" s="710"/>
      <c r="F2041" s="718" t="s">
        <v>699</v>
      </c>
      <c r="G2041" s="718"/>
      <c r="H2041" s="718"/>
      <c r="I2041" s="729"/>
      <c r="J2041" s="714"/>
      <c r="K2041" s="714"/>
      <c r="L2041" s="736"/>
    </row>
    <row r="2042" spans="1:12" ht="9.1999999999999993" customHeight="1">
      <c r="B2042" s="720"/>
      <c r="C2042" s="717"/>
      <c r="D2042" s="717"/>
      <c r="E2042" s="710" t="s">
        <v>700</v>
      </c>
      <c r="F2042" s="710" t="s">
        <v>246</v>
      </c>
      <c r="G2042" s="710"/>
      <c r="H2042" s="710"/>
      <c r="I2042" s="729"/>
      <c r="J2042" s="728">
        <f>J2037-J2038</f>
        <v>7366.6730769230762</v>
      </c>
      <c r="K2042" s="728">
        <f>ROUND(J2042,-1)</f>
        <v>7370</v>
      </c>
      <c r="L2042" s="710"/>
    </row>
    <row r="2043" spans="1:12" ht="9.1999999999999993" customHeight="1">
      <c r="B2043" s="720"/>
      <c r="C2043" s="717"/>
      <c r="D2043" s="717"/>
      <c r="E2043" s="715"/>
      <c r="F2043" s="715"/>
      <c r="G2043" s="715"/>
      <c r="I2043" s="715" t="s">
        <v>701</v>
      </c>
      <c r="J2043" s="737"/>
      <c r="K2043" s="737"/>
      <c r="L2043" s="715"/>
    </row>
    <row r="2044" spans="1:12" ht="9.1999999999999993" customHeight="1">
      <c r="B2044" s="720"/>
      <c r="C2044" s="717"/>
      <c r="D2044" s="717"/>
      <c r="E2044" s="715"/>
      <c r="F2044" s="715"/>
      <c r="G2044" s="715"/>
      <c r="I2044" s="715"/>
      <c r="J2044" s="737"/>
      <c r="K2044" s="737"/>
      <c r="L2044" s="715"/>
    </row>
    <row r="2045" spans="1:12" ht="9.1999999999999993" customHeight="1">
      <c r="B2045" s="720"/>
      <c r="C2045" s="717"/>
      <c r="D2045" s="717"/>
      <c r="E2045" s="715"/>
      <c r="F2045" s="715"/>
      <c r="G2045" s="715"/>
      <c r="I2045" s="715"/>
      <c r="J2045" s="737"/>
      <c r="K2045" s="737"/>
      <c r="L2045" s="715"/>
    </row>
    <row r="2046" spans="1:12" ht="9.1999999999999993" customHeight="1">
      <c r="B2046" s="720"/>
      <c r="C2046" s="717"/>
      <c r="D2046" s="717"/>
      <c r="E2046" s="715"/>
      <c r="F2046" s="715"/>
      <c r="G2046" s="715"/>
      <c r="I2046" s="715"/>
      <c r="J2046" s="737"/>
      <c r="K2046" s="737"/>
      <c r="L2046" s="715"/>
    </row>
    <row r="2047" spans="1:12" ht="9" customHeight="1">
      <c r="B2047" s="720"/>
      <c r="C2047" s="717"/>
      <c r="D2047" s="717"/>
      <c r="E2047" s="715"/>
      <c r="F2047" s="715"/>
      <c r="G2047" s="715"/>
      <c r="I2047" s="715"/>
      <c r="J2047" s="737"/>
      <c r="K2047" s="737"/>
      <c r="L2047" s="715"/>
    </row>
    <row r="2048" spans="1:12" ht="9.1999999999999993" customHeight="1">
      <c r="C2048" s="696"/>
      <c r="D2048" s="696"/>
      <c r="E2048" s="697" t="str">
        <f>$E$2</f>
        <v>THẺ LƯƠNG THÁNG 08/2019</v>
      </c>
      <c r="F2048" s="698"/>
      <c r="G2048" s="698"/>
      <c r="H2048" s="698"/>
    </row>
    <row r="2049" spans="1:12" ht="9.1999999999999993" customHeight="1">
      <c r="B2049" s="699" t="s">
        <v>644</v>
      </c>
      <c r="C2049" s="700" t="s">
        <v>385</v>
      </c>
      <c r="D2049" s="701"/>
      <c r="F2049" s="702" t="s">
        <v>645</v>
      </c>
      <c r="G2049" s="689" t="str">
        <f>VLOOKUP(C2049,'Luong VP'!$B$10:$AP$189,2,0)</f>
        <v>Nguyễn Đức Hân</v>
      </c>
    </row>
    <row r="2050" spans="1:12" ht="9.1999999999999993" customHeight="1">
      <c r="B2050" s="699" t="s">
        <v>646</v>
      </c>
      <c r="C2050" s="689" t="str">
        <f>VLOOKUP(C2049,'Luong VP'!$B$10:$AP$189,3,0)</f>
        <v>Thủ kho</v>
      </c>
      <c r="F2050" s="702" t="s">
        <v>647</v>
      </c>
      <c r="G2050" s="689">
        <f>VLOOKUP(C2049,'Luong VP'!$B$10:$AP$189,5,0)</f>
        <v>3</v>
      </c>
    </row>
    <row r="2051" spans="1:12" ht="9.1999999999999993" customHeight="1">
      <c r="B2051" s="703"/>
      <c r="C2051" s="704"/>
      <c r="D2051" s="705"/>
      <c r="F2051" s="706" t="s">
        <v>648</v>
      </c>
      <c r="G2051" s="706"/>
      <c r="H2051" s="706"/>
      <c r="I2051" s="725"/>
      <c r="J2051" s="721">
        <v>12260</v>
      </c>
    </row>
    <row r="2052" spans="1:12" ht="9.1999999999999993" customHeight="1">
      <c r="A2052" s="707" t="s">
        <v>216</v>
      </c>
      <c r="B2052" s="707" t="s">
        <v>649</v>
      </c>
      <c r="C2052" s="708" t="s">
        <v>650</v>
      </c>
      <c r="D2052" s="709"/>
      <c r="E2052" s="710" t="s">
        <v>216</v>
      </c>
      <c r="F2052" s="711" t="s">
        <v>649</v>
      </c>
      <c r="G2052" s="710"/>
      <c r="H2052" s="710" t="s">
        <v>651</v>
      </c>
      <c r="I2052" s="727" t="s">
        <v>652</v>
      </c>
      <c r="J2052" s="714"/>
      <c r="L2052" s="694" t="s">
        <v>653</v>
      </c>
    </row>
    <row r="2053" spans="1:12" ht="9.1999999999999993" customHeight="1">
      <c r="A2053" s="712">
        <v>1</v>
      </c>
      <c r="B2053" s="713" t="s">
        <v>654</v>
      </c>
      <c r="C2053" s="714">
        <f>VLOOKUP(C2049,'Luong VP'!$B$10:$AP$189,9,0)</f>
        <v>8480</v>
      </c>
      <c r="D2053" s="715"/>
      <c r="E2053" s="710" t="s">
        <v>655</v>
      </c>
      <c r="F2053" s="716" t="s">
        <v>656</v>
      </c>
      <c r="G2053" s="710"/>
      <c r="H2053" s="710"/>
      <c r="I2053" s="727"/>
      <c r="J2053" s="714">
        <f>VLOOKUP(C2049,'Luong VP'!$B$10:$AP$189,21,0)</f>
        <v>8680</v>
      </c>
      <c r="K2053" s="721"/>
    </row>
    <row r="2054" spans="1:12" ht="9.1999999999999993" customHeight="1">
      <c r="A2054" s="712">
        <v>2</v>
      </c>
      <c r="B2054" s="713" t="s">
        <v>658</v>
      </c>
      <c r="C2054" s="714"/>
      <c r="D2054" s="717"/>
      <c r="E2054" s="710">
        <v>1</v>
      </c>
      <c r="F2054" s="718" t="s">
        <v>659</v>
      </c>
      <c r="G2054" s="718"/>
      <c r="H2054" s="710" t="s">
        <v>660</v>
      </c>
      <c r="I2054" s="727">
        <f>VLOOKUP(C2049,'Luong VP'!$B$10:$AP$189,22,0)</f>
        <v>26</v>
      </c>
      <c r="J2054" s="728">
        <f>J2053/'Cham cong'!$AS$3*I2054</f>
        <v>8680</v>
      </c>
    </row>
    <row r="2055" spans="1:12" ht="9.1999999999999993" customHeight="1">
      <c r="A2055" s="712">
        <v>3</v>
      </c>
      <c r="B2055" s="713" t="s">
        <v>661</v>
      </c>
      <c r="C2055" s="714">
        <f>VLOOKUP(C2049,'Luong VP'!$B$10:$AP$189,10,0)</f>
        <v>200</v>
      </c>
      <c r="D2055" s="717"/>
      <c r="E2055" s="710">
        <v>2</v>
      </c>
      <c r="F2055" s="718" t="s">
        <v>662</v>
      </c>
      <c r="G2055" s="718"/>
      <c r="H2055" s="710" t="s">
        <v>660</v>
      </c>
      <c r="I2055" s="727">
        <f>VLOOKUP(C2049,'Luong VP'!$B$10:$AP$189,27,0)</f>
        <v>0</v>
      </c>
      <c r="J2055" s="728">
        <f>J2053/'Cham cong'!$AS$3*I2055*3</f>
        <v>0</v>
      </c>
    </row>
    <row r="2056" spans="1:12" ht="9.1999999999999993" customHeight="1">
      <c r="A2056" s="712">
        <v>4</v>
      </c>
      <c r="B2056" s="713" t="s">
        <v>666</v>
      </c>
      <c r="C2056" s="714">
        <f>VLOOKUP(C2049,'Luong VP'!$B$10:$AP$189,11,0)</f>
        <v>0</v>
      </c>
      <c r="D2056" s="717"/>
      <c r="E2056" s="710">
        <v>3</v>
      </c>
      <c r="F2056" s="718" t="s">
        <v>667</v>
      </c>
      <c r="G2056" s="718"/>
      <c r="H2056" s="710" t="s">
        <v>668</v>
      </c>
      <c r="I2056" s="727">
        <f>VLOOKUP(C2049,'Luong VP'!$B$10:$AP$189,26,0)</f>
        <v>72.650000000000006</v>
      </c>
      <c r="J2056" s="728">
        <f>J2053/'Cham cong'!$AS$3*I2056/8*1.5</f>
        <v>4547.610576923078</v>
      </c>
    </row>
    <row r="2057" spans="1:12" ht="9.1999999999999993" customHeight="1">
      <c r="A2057" s="712">
        <v>5</v>
      </c>
      <c r="B2057" s="713" t="s">
        <v>670</v>
      </c>
      <c r="C2057" s="714">
        <f>VLOOKUP(C2049,'Luong VP'!$B$10:$AP$189,12,0)</f>
        <v>0</v>
      </c>
      <c r="D2057" s="717"/>
      <c r="E2057" s="710">
        <v>4</v>
      </c>
      <c r="F2057" s="718" t="s">
        <v>671</v>
      </c>
      <c r="G2057" s="718"/>
      <c r="H2057" s="710" t="s">
        <v>668</v>
      </c>
      <c r="I2057" s="727">
        <f>VLOOKUP(C2049,'Luong VP'!$B$10:$AP$189,25,0)</f>
        <v>0</v>
      </c>
      <c r="J2057" s="728">
        <f>J2053/'Cham cong'!$AS$3*I2057/8*2</f>
        <v>0</v>
      </c>
    </row>
    <row r="2058" spans="1:12" ht="9.1999999999999993" customHeight="1">
      <c r="A2058" s="712">
        <v>6</v>
      </c>
      <c r="B2058" s="713" t="s">
        <v>673</v>
      </c>
      <c r="C2058" s="714">
        <f>VLOOKUP(C2049,'Luong VP'!$B$10:$AP$189,13,0)</f>
        <v>0</v>
      </c>
      <c r="D2058" s="717"/>
      <c r="E2058" s="710">
        <v>5</v>
      </c>
      <c r="F2058" s="718" t="s">
        <v>674</v>
      </c>
      <c r="G2058" s="718"/>
      <c r="H2058" s="710" t="s">
        <v>660</v>
      </c>
      <c r="I2058" s="727">
        <f>VLOOKUP(C2049,'Luong VP'!$B$10:$AP$189,23,0)</f>
        <v>0</v>
      </c>
      <c r="J2058" s="728">
        <f>C2053/'Cham cong'!$AS$3*I2058</f>
        <v>0</v>
      </c>
      <c r="L2058" s="694" t="str">
        <f>G2049</f>
        <v>Nguyễn Đức Hân</v>
      </c>
    </row>
    <row r="2059" spans="1:12" ht="9.1999999999999993" customHeight="1">
      <c r="A2059" s="712">
        <v>7</v>
      </c>
      <c r="B2059" s="713" t="s">
        <v>676</v>
      </c>
      <c r="C2059" s="714"/>
      <c r="D2059" s="717"/>
      <c r="E2059" s="710">
        <v>6</v>
      </c>
      <c r="F2059" s="718" t="s">
        <v>677</v>
      </c>
      <c r="G2059" s="718"/>
      <c r="H2059" s="710" t="s">
        <v>660</v>
      </c>
      <c r="I2059" s="727">
        <f>VLOOKUP(C2049,'Luong VP'!$B$10:$AP$189,24,0)</f>
        <v>1</v>
      </c>
      <c r="J2059" s="714">
        <f>C2053/'Cham cong'!$AS$3*I2059</f>
        <v>326.15384615384613</v>
      </c>
    </row>
    <row r="2060" spans="1:12" ht="9.1999999999999993" customHeight="1">
      <c r="A2060" s="712">
        <v>8</v>
      </c>
      <c r="B2060" s="713" t="s">
        <v>679</v>
      </c>
      <c r="C2060" s="714">
        <f>VLOOKUP(C2049,'Luong VP'!$B$10:$AP$189,14,0)</f>
        <v>0</v>
      </c>
      <c r="D2060" s="717"/>
      <c r="E2060" s="710">
        <v>7</v>
      </c>
      <c r="F2060" s="718" t="s">
        <v>680</v>
      </c>
      <c r="G2060" s="718"/>
      <c r="H2060" s="718"/>
      <c r="I2060" s="729"/>
      <c r="J2060" s="714">
        <f>VLOOKUP(C2049,'Luong VP'!$B$10:$AP$189,28,0)</f>
        <v>0</v>
      </c>
    </row>
    <row r="2061" spans="1:12" ht="9.1999999999999993" customHeight="1">
      <c r="A2061" s="712">
        <v>9</v>
      </c>
      <c r="B2061" s="713" t="s">
        <v>683</v>
      </c>
      <c r="C2061" s="714">
        <f>VLOOKUP(C2049,'Luong VP'!$B$10:$AP$189,15,0)</f>
        <v>0</v>
      </c>
      <c r="D2061" s="717"/>
      <c r="E2061" s="710">
        <v>8</v>
      </c>
      <c r="F2061" s="718" t="s">
        <v>238</v>
      </c>
      <c r="G2061" s="718"/>
      <c r="H2061" s="719" t="s">
        <v>660</v>
      </c>
      <c r="I2061" s="802"/>
      <c r="J2061" s="714">
        <f>VLOOKUP(C2049,'Luong VP'!$B$10:$AP$189,33,0)</f>
        <v>0</v>
      </c>
    </row>
    <row r="2062" spans="1:12" ht="9.1999999999999993" customHeight="1">
      <c r="A2062" s="712">
        <v>10</v>
      </c>
      <c r="B2062" s="713" t="s">
        <v>685</v>
      </c>
      <c r="C2062" s="714">
        <f>VLOOKUP(C2049,'Luong VP'!$B$10:$AP$189,16,0)</f>
        <v>0</v>
      </c>
      <c r="D2062" s="717"/>
      <c r="E2062" s="710" t="s">
        <v>686</v>
      </c>
      <c r="F2062" s="716" t="s">
        <v>687</v>
      </c>
      <c r="G2062" s="719"/>
      <c r="H2062" s="719"/>
      <c r="I2062" s="729"/>
      <c r="J2062" s="730"/>
    </row>
    <row r="2063" spans="1:12" ht="9.1999999999999993" customHeight="1">
      <c r="A2063" s="712">
        <v>11</v>
      </c>
      <c r="B2063" s="713" t="s">
        <v>688</v>
      </c>
      <c r="C2063" s="714">
        <f>VLOOKUP(C2049,'Luong VP'!$B$10:$AP$189,17,0)</f>
        <v>0</v>
      </c>
      <c r="D2063" s="717"/>
      <c r="E2063" s="710">
        <v>1</v>
      </c>
      <c r="F2063" s="716" t="s">
        <v>689</v>
      </c>
      <c r="G2063" s="719"/>
      <c r="H2063" s="719"/>
      <c r="I2063" s="714">
        <f>VLOOKUP(C2049,'Luong VP'!$B$10:$AP$189,30,0)</f>
        <v>0</v>
      </c>
      <c r="J2063" s="714">
        <f>VLOOKUP(C2049,'Luong VP'!$B$10:$AP$189,30,0)</f>
        <v>0</v>
      </c>
    </row>
    <row r="2064" spans="1:12" ht="9.1999999999999993" customHeight="1">
      <c r="A2064" s="712">
        <v>12</v>
      </c>
      <c r="B2064" s="713" t="s">
        <v>691</v>
      </c>
      <c r="C2064" s="714">
        <f>VLOOKUP(C2049,'Luong VP'!$B$10:$AP$189,18,0)</f>
        <v>0</v>
      </c>
      <c r="D2064" s="717"/>
      <c r="E2064" s="710">
        <v>2</v>
      </c>
      <c r="F2064" s="718" t="s">
        <v>239</v>
      </c>
      <c r="G2064" s="718"/>
      <c r="H2064" s="718"/>
      <c r="I2064" s="727"/>
      <c r="J2064" s="728">
        <f>VLOOKUP(C2049,'Luong VP'!$B$10:$AP$189,34,0)</f>
        <v>0</v>
      </c>
      <c r="K2064" s="731"/>
      <c r="L2064" s="715"/>
    </row>
    <row r="2065" spans="1:12" ht="9.1999999999999993" customHeight="1">
      <c r="A2065" s="712">
        <v>13</v>
      </c>
      <c r="B2065" s="713" t="s">
        <v>692</v>
      </c>
      <c r="C2065" s="714">
        <f>VLOOKUP(C2049,'Luong VP'!$B$10:$AP$189,19,0)</f>
        <v>0</v>
      </c>
      <c r="D2065" s="717"/>
      <c r="E2065" s="710">
        <v>3</v>
      </c>
      <c r="F2065" s="716" t="s">
        <v>693</v>
      </c>
      <c r="G2065" s="719"/>
      <c r="H2065" s="719"/>
      <c r="I2065" s="729"/>
      <c r="J2065" s="714">
        <f>VLOOKUP(C2049,'Luong VP'!$B$10:$AP$189,40,0)</f>
        <v>0</v>
      </c>
      <c r="K2065" s="731"/>
      <c r="L2065" s="715"/>
    </row>
    <row r="2066" spans="1:12" ht="9.1999999999999993" customHeight="1">
      <c r="A2066" s="712">
        <v>14</v>
      </c>
      <c r="B2066" s="713" t="s">
        <v>694</v>
      </c>
      <c r="C2066" s="714">
        <f>VLOOKUP(C2049,'Luong VP'!$B$10:$AP$189,20,0)</f>
        <v>0</v>
      </c>
      <c r="D2066" s="717"/>
      <c r="E2066" s="710">
        <v>4</v>
      </c>
      <c r="F2066" s="718" t="s">
        <v>695</v>
      </c>
      <c r="G2066" s="719"/>
      <c r="H2066" s="719"/>
      <c r="I2066" s="729"/>
      <c r="J2066" s="714">
        <f>VLOOKUP(C2049,'Luong VP'!$B$10:$AP$189,35,0)</f>
        <v>0</v>
      </c>
      <c r="K2066" s="732"/>
      <c r="L2066" s="715"/>
    </row>
    <row r="2067" spans="1:12" ht="9.1999999999999993" customHeight="1">
      <c r="A2067" s="712"/>
      <c r="B2067" s="707" t="s">
        <v>656</v>
      </c>
      <c r="C2067" s="714">
        <f>SUM(C2053:C2066)</f>
        <v>8680</v>
      </c>
      <c r="D2067" s="717"/>
      <c r="E2067" s="710"/>
      <c r="F2067" s="716" t="s">
        <v>241</v>
      </c>
      <c r="G2067" s="719"/>
      <c r="H2067" s="719"/>
      <c r="I2067" s="729"/>
      <c r="J2067" s="730">
        <f>SUM(J2054:J2066)+C2061</f>
        <v>13553.764423076924</v>
      </c>
      <c r="K2067" s="731"/>
      <c r="L2067" s="715"/>
    </row>
    <row r="2068" spans="1:12" ht="9.1999999999999993" customHeight="1">
      <c r="B2068" s="720"/>
      <c r="C2068" s="717"/>
      <c r="D2068" s="717"/>
      <c r="E2068" s="710" t="s">
        <v>696</v>
      </c>
      <c r="F2068" s="711" t="s">
        <v>697</v>
      </c>
      <c r="G2068" s="710"/>
      <c r="H2068" s="710"/>
      <c r="I2068" s="729"/>
      <c r="J2068" s="730">
        <f>SUM(J2069:J2071)</f>
        <v>4525</v>
      </c>
      <c r="K2068" s="732"/>
      <c r="L2068" s="715"/>
    </row>
    <row r="2069" spans="1:12" ht="9.1999999999999993" customHeight="1">
      <c r="B2069" s="720"/>
      <c r="C2069" s="717"/>
      <c r="D2069" s="717"/>
      <c r="E2069" s="710">
        <v>1</v>
      </c>
      <c r="F2069" s="718" t="s">
        <v>698</v>
      </c>
      <c r="G2069" s="718"/>
      <c r="H2069" s="718"/>
      <c r="I2069" s="733"/>
      <c r="J2069" s="714">
        <f>VLOOKUP(C2049,'Luong VP'!$B$10:$AP$189,37,0)</f>
        <v>525</v>
      </c>
      <c r="K2069" s="732"/>
      <c r="L2069" s="715"/>
    </row>
    <row r="2070" spans="1:12" ht="9.1999999999999993" customHeight="1">
      <c r="B2070" s="720"/>
      <c r="C2070" s="717"/>
      <c r="D2070" s="717"/>
      <c r="E2070" s="710">
        <v>2</v>
      </c>
      <c r="F2070" s="718" t="s">
        <v>244</v>
      </c>
      <c r="G2070" s="718"/>
      <c r="H2070" s="718"/>
      <c r="I2070" s="729"/>
      <c r="J2070" s="714">
        <f>VLOOKUP(C2049,'Luong VP'!$B$10:$AP$189,39,0)</f>
        <v>4000</v>
      </c>
      <c r="K2070" s="734"/>
      <c r="L2070" s="735"/>
    </row>
    <row r="2071" spans="1:12" ht="9.1999999999999993" customHeight="1">
      <c r="B2071" s="720"/>
      <c r="C2071" s="717"/>
      <c r="D2071" s="717"/>
      <c r="E2071" s="710"/>
      <c r="F2071" s="718" t="s">
        <v>699</v>
      </c>
      <c r="G2071" s="718"/>
      <c r="H2071" s="718"/>
      <c r="I2071" s="729"/>
      <c r="J2071" s="714"/>
      <c r="K2071" s="714"/>
      <c r="L2071" s="736"/>
    </row>
    <row r="2072" spans="1:12" ht="9.1999999999999993" customHeight="1">
      <c r="B2072" s="720"/>
      <c r="C2072" s="717"/>
      <c r="D2072" s="717"/>
      <c r="E2072" s="710" t="s">
        <v>700</v>
      </c>
      <c r="F2072" s="710" t="s">
        <v>246</v>
      </c>
      <c r="G2072" s="710"/>
      <c r="H2072" s="710"/>
      <c r="I2072" s="729"/>
      <c r="J2072" s="728">
        <f>J2067-J2068</f>
        <v>9028.7644230769238</v>
      </c>
      <c r="K2072" s="728">
        <f>ROUND(J2072,-1)</f>
        <v>9030</v>
      </c>
      <c r="L2072" s="710"/>
    </row>
    <row r="2073" spans="1:12" ht="9.1999999999999993" customHeight="1">
      <c r="B2073" s="720"/>
      <c r="C2073" s="717"/>
      <c r="D2073" s="717"/>
      <c r="E2073" s="715"/>
      <c r="F2073" s="715"/>
      <c r="G2073" s="715"/>
      <c r="I2073" s="715" t="s">
        <v>701</v>
      </c>
      <c r="J2073" s="737"/>
      <c r="K2073" s="737"/>
      <c r="L2073" s="715"/>
    </row>
    <row r="2074" spans="1:12" ht="9.1999999999999993" customHeight="1">
      <c r="B2074" s="720"/>
      <c r="C2074" s="717"/>
      <c r="D2074" s="717"/>
      <c r="E2074" s="715"/>
      <c r="F2074" s="715"/>
      <c r="G2074" s="715"/>
      <c r="I2074" s="715"/>
      <c r="J2074" s="737"/>
      <c r="K2074" s="737"/>
      <c r="L2074" s="715"/>
    </row>
    <row r="2075" spans="1:12" ht="9.1999999999999993" customHeight="1">
      <c r="B2075" s="720"/>
      <c r="C2075" s="717"/>
      <c r="D2075" s="717"/>
      <c r="E2075" s="715"/>
      <c r="F2075" s="715"/>
      <c r="G2075" s="715"/>
      <c r="I2075" s="715"/>
      <c r="J2075" s="737"/>
      <c r="K2075" s="737"/>
      <c r="L2075" s="715"/>
    </row>
    <row r="2076" spans="1:12" ht="9.1999999999999993" customHeight="1">
      <c r="B2076" s="720"/>
      <c r="C2076" s="717"/>
      <c r="D2076" s="717"/>
      <c r="E2076" s="715"/>
      <c r="F2076" s="715"/>
      <c r="G2076" s="715"/>
      <c r="I2076" s="715"/>
      <c r="J2076" s="737"/>
      <c r="K2076" s="737"/>
      <c r="L2076" s="715"/>
    </row>
    <row r="2077" spans="1:12" ht="9.1999999999999993" customHeight="1">
      <c r="B2077" s="720"/>
      <c r="C2077" s="717"/>
      <c r="D2077" s="717"/>
      <c r="E2077" s="715"/>
      <c r="F2077" s="715"/>
      <c r="G2077" s="715"/>
      <c r="I2077" s="715"/>
      <c r="J2077" s="737"/>
      <c r="K2077" s="737"/>
      <c r="L2077" s="715"/>
    </row>
    <row r="2078" spans="1:12" ht="9.1999999999999993" customHeight="1">
      <c r="C2078" s="696"/>
      <c r="D2078" s="696"/>
      <c r="E2078" s="697" t="str">
        <f>$E$2</f>
        <v>THẺ LƯƠNG THÁNG 08/2019</v>
      </c>
      <c r="F2078" s="698"/>
      <c r="G2078" s="698"/>
      <c r="H2078" s="698"/>
    </row>
    <row r="2079" spans="1:12" ht="9.1999999999999993" customHeight="1">
      <c r="B2079" s="699" t="s">
        <v>644</v>
      </c>
      <c r="C2079" s="700" t="s">
        <v>393</v>
      </c>
      <c r="D2079" s="701"/>
      <c r="F2079" s="702" t="s">
        <v>645</v>
      </c>
      <c r="G2079" s="689" t="str">
        <f>VLOOKUP(C2079,'Luong VP'!$B$10:$AP$189,2,0)</f>
        <v>Trần Văn Mơ</v>
      </c>
    </row>
    <row r="2080" spans="1:12" ht="9.1999999999999993" customHeight="1">
      <c r="B2080" s="699" t="s">
        <v>646</v>
      </c>
      <c r="C2080" s="689" t="str">
        <f>VLOOKUP(C2079,'Luong VP'!$B$10:$AP$189,3,0)</f>
        <v>NV Thống kê kho</v>
      </c>
      <c r="F2080" s="702" t="s">
        <v>647</v>
      </c>
      <c r="G2080" s="689">
        <f>VLOOKUP(C2079,'Luong VP'!$B$10:$AP$189,5,0)</f>
        <v>2</v>
      </c>
    </row>
    <row r="2081" spans="1:12" ht="9.1999999999999993" customHeight="1">
      <c r="B2081" s="703"/>
      <c r="C2081" s="704"/>
      <c r="D2081" s="705"/>
      <c r="F2081" s="706" t="s">
        <v>648</v>
      </c>
      <c r="G2081" s="706"/>
      <c r="H2081" s="706"/>
      <c r="I2081" s="725"/>
      <c r="J2081" s="721">
        <v>12260</v>
      </c>
    </row>
    <row r="2082" spans="1:12" ht="9.1999999999999993" customHeight="1">
      <c r="A2082" s="707" t="s">
        <v>216</v>
      </c>
      <c r="B2082" s="707" t="s">
        <v>649</v>
      </c>
      <c r="C2082" s="708" t="s">
        <v>650</v>
      </c>
      <c r="D2082" s="709"/>
      <c r="E2082" s="710" t="s">
        <v>216</v>
      </c>
      <c r="F2082" s="711" t="s">
        <v>649</v>
      </c>
      <c r="G2082" s="710"/>
      <c r="H2082" s="710" t="s">
        <v>651</v>
      </c>
      <c r="I2082" s="727" t="s">
        <v>652</v>
      </c>
      <c r="J2082" s="714"/>
      <c r="L2082" s="694" t="s">
        <v>653</v>
      </c>
    </row>
    <row r="2083" spans="1:12" ht="9.1999999999999993" customHeight="1">
      <c r="A2083" s="712">
        <v>1</v>
      </c>
      <c r="B2083" s="713" t="s">
        <v>654</v>
      </c>
      <c r="C2083" s="714">
        <f>VLOOKUP(C2079,'Luong VP'!$B$10:$AP$189,9,0)</f>
        <v>8620</v>
      </c>
      <c r="D2083" s="715"/>
      <c r="E2083" s="710" t="s">
        <v>655</v>
      </c>
      <c r="F2083" s="716" t="s">
        <v>656</v>
      </c>
      <c r="G2083" s="710"/>
      <c r="H2083" s="710"/>
      <c r="I2083" s="727"/>
      <c r="J2083" s="714">
        <f>VLOOKUP(C2079,'Luong VP'!$B$10:$AP$189,21,0)</f>
        <v>8620</v>
      </c>
      <c r="K2083" s="721"/>
    </row>
    <row r="2084" spans="1:12" ht="9.1999999999999993" customHeight="1">
      <c r="A2084" s="712">
        <v>2</v>
      </c>
      <c r="B2084" s="713" t="s">
        <v>658</v>
      </c>
      <c r="C2084" s="714"/>
      <c r="D2084" s="717"/>
      <c r="E2084" s="710">
        <v>1</v>
      </c>
      <c r="F2084" s="718" t="s">
        <v>659</v>
      </c>
      <c r="G2084" s="718"/>
      <c r="H2084" s="710" t="s">
        <v>660</v>
      </c>
      <c r="I2084" s="727">
        <f>VLOOKUP(C2079,'Luong VP'!$B$10:$AP$189,22,0)</f>
        <v>26</v>
      </c>
      <c r="J2084" s="728">
        <f>J2083/'Cham cong'!$AS$3*I2084</f>
        <v>8620</v>
      </c>
    </row>
    <row r="2085" spans="1:12" ht="9.1999999999999993" customHeight="1">
      <c r="A2085" s="712">
        <v>3</v>
      </c>
      <c r="B2085" s="713" t="s">
        <v>661</v>
      </c>
      <c r="C2085" s="714">
        <f>VLOOKUP(C2079,'Luong VP'!$B$10:$AP$189,10,0)</f>
        <v>0</v>
      </c>
      <c r="D2085" s="717"/>
      <c r="E2085" s="710">
        <v>2</v>
      </c>
      <c r="F2085" s="718" t="s">
        <v>662</v>
      </c>
      <c r="G2085" s="718"/>
      <c r="H2085" s="710" t="s">
        <v>660</v>
      </c>
      <c r="I2085" s="727">
        <f>VLOOKUP(C2079,'Luong VP'!$B$10:$AP$189,27,0)</f>
        <v>0</v>
      </c>
      <c r="J2085" s="728">
        <f>J2083/'Cham cong'!$AS$3*I2085*3</f>
        <v>0</v>
      </c>
    </row>
    <row r="2086" spans="1:12" ht="9.1999999999999993" customHeight="1">
      <c r="A2086" s="712">
        <v>4</v>
      </c>
      <c r="B2086" s="713" t="s">
        <v>666</v>
      </c>
      <c r="C2086" s="714">
        <f>VLOOKUP(C2079,'Luong VP'!$B$10:$AP$189,11,0)</f>
        <v>0</v>
      </c>
      <c r="D2086" s="717"/>
      <c r="E2086" s="710">
        <v>3</v>
      </c>
      <c r="F2086" s="718" t="s">
        <v>667</v>
      </c>
      <c r="G2086" s="718"/>
      <c r="H2086" s="710" t="s">
        <v>668</v>
      </c>
      <c r="I2086" s="727">
        <f>VLOOKUP(C2079,'Luong VP'!$B$10:$AP$189,26,0)</f>
        <v>0</v>
      </c>
      <c r="J2086" s="728">
        <f>J2083/'Cham cong'!$AS$3*I2086/8*1.5</f>
        <v>0</v>
      </c>
    </row>
    <row r="2087" spans="1:12" ht="9.1999999999999993" customHeight="1">
      <c r="A2087" s="712">
        <v>5</v>
      </c>
      <c r="B2087" s="713" t="s">
        <v>670</v>
      </c>
      <c r="C2087" s="714">
        <f>VLOOKUP(C2079,'Luong VP'!$B$10:$AP$189,12,0)</f>
        <v>0</v>
      </c>
      <c r="D2087" s="717"/>
      <c r="E2087" s="710">
        <v>4</v>
      </c>
      <c r="F2087" s="718" t="s">
        <v>671</v>
      </c>
      <c r="G2087" s="718"/>
      <c r="H2087" s="710" t="s">
        <v>668</v>
      </c>
      <c r="I2087" s="727">
        <f>VLOOKUP(C2079,'Luong VP'!$B$10:$AP$189,25,0)</f>
        <v>0</v>
      </c>
      <c r="J2087" s="728">
        <f>J2083/'Cham cong'!$AS$3*I2087/8*2</f>
        <v>0</v>
      </c>
    </row>
    <row r="2088" spans="1:12" ht="9.1999999999999993" customHeight="1">
      <c r="A2088" s="712">
        <v>6</v>
      </c>
      <c r="B2088" s="713" t="s">
        <v>673</v>
      </c>
      <c r="C2088" s="714">
        <f>VLOOKUP(C2079,'Luong VP'!$B$10:$AP$189,13,0)</f>
        <v>0</v>
      </c>
      <c r="D2088" s="717"/>
      <c r="E2088" s="710">
        <v>5</v>
      </c>
      <c r="F2088" s="718" t="s">
        <v>674</v>
      </c>
      <c r="G2088" s="718"/>
      <c r="H2088" s="710" t="s">
        <v>660</v>
      </c>
      <c r="I2088" s="727">
        <f>VLOOKUP(C2079,'Luong VP'!$B$10:$AP$189,23,0)</f>
        <v>0</v>
      </c>
      <c r="J2088" s="728">
        <f>C2083/'Cham cong'!$AS$3*I2088</f>
        <v>0</v>
      </c>
      <c r="L2088" s="694" t="str">
        <f>G2079</f>
        <v>Trần Văn Mơ</v>
      </c>
    </row>
    <row r="2089" spans="1:12" ht="9.1999999999999993" customHeight="1">
      <c r="A2089" s="712">
        <v>7</v>
      </c>
      <c r="B2089" s="713" t="s">
        <v>676</v>
      </c>
      <c r="C2089" s="714"/>
      <c r="D2089" s="717"/>
      <c r="E2089" s="710">
        <v>6</v>
      </c>
      <c r="F2089" s="718" t="s">
        <v>677</v>
      </c>
      <c r="G2089" s="718"/>
      <c r="H2089" s="710" t="s">
        <v>660</v>
      </c>
      <c r="I2089" s="727">
        <f>VLOOKUP(C2079,'Luong VP'!$B$10:$AP$189,24,0)</f>
        <v>1</v>
      </c>
      <c r="J2089" s="714">
        <f>C2083/'Cham cong'!$AS$3*I2089</f>
        <v>331.53846153846155</v>
      </c>
    </row>
    <row r="2090" spans="1:12" ht="9.1999999999999993" customHeight="1">
      <c r="A2090" s="712">
        <v>8</v>
      </c>
      <c r="B2090" s="713" t="s">
        <v>679</v>
      </c>
      <c r="C2090" s="714">
        <f>VLOOKUP(C2079,'Luong VP'!$B$10:$AP$189,14,0)</f>
        <v>0</v>
      </c>
      <c r="D2090" s="717"/>
      <c r="E2090" s="710">
        <v>7</v>
      </c>
      <c r="F2090" s="718" t="s">
        <v>680</v>
      </c>
      <c r="G2090" s="718"/>
      <c r="H2090" s="718"/>
      <c r="I2090" s="729"/>
      <c r="J2090" s="714">
        <f>VLOOKUP(C2079,'Luong VP'!$B$10:$AP$189,28,0)</f>
        <v>0</v>
      </c>
    </row>
    <row r="2091" spans="1:12" ht="9.1999999999999993" customHeight="1">
      <c r="A2091" s="712">
        <v>9</v>
      </c>
      <c r="B2091" s="713" t="s">
        <v>683</v>
      </c>
      <c r="C2091" s="714">
        <f>VLOOKUP(C2079,'Luong VP'!$B$10:$AP$189,15,0)</f>
        <v>0</v>
      </c>
      <c r="D2091" s="717"/>
      <c r="E2091" s="710">
        <v>8</v>
      </c>
      <c r="F2091" s="718" t="s">
        <v>238</v>
      </c>
      <c r="G2091" s="718"/>
      <c r="H2091" s="719" t="s">
        <v>660</v>
      </c>
      <c r="I2091" s="802"/>
      <c r="J2091" s="714">
        <f>VLOOKUP(C2079,'Luong VP'!$B$10:$AP$189,33,0)</f>
        <v>0</v>
      </c>
    </row>
    <row r="2092" spans="1:12" ht="9.1999999999999993" customHeight="1">
      <c r="A2092" s="712">
        <v>10</v>
      </c>
      <c r="B2092" s="713" t="s">
        <v>685</v>
      </c>
      <c r="C2092" s="714">
        <f>VLOOKUP(C2079,'Luong VP'!$B$10:$AP$189,16,0)</f>
        <v>0</v>
      </c>
      <c r="D2092" s="717"/>
      <c r="E2092" s="710" t="s">
        <v>686</v>
      </c>
      <c r="F2092" s="716" t="s">
        <v>687</v>
      </c>
      <c r="G2092" s="719"/>
      <c r="H2092" s="719"/>
      <c r="I2092" s="729"/>
      <c r="J2092" s="730"/>
    </row>
    <row r="2093" spans="1:12" ht="9.1999999999999993" customHeight="1">
      <c r="A2093" s="712">
        <v>11</v>
      </c>
      <c r="B2093" s="713" t="s">
        <v>688</v>
      </c>
      <c r="C2093" s="714">
        <f>VLOOKUP(C2079,'Luong VP'!$B$10:$AP$189,17,0)</f>
        <v>0</v>
      </c>
      <c r="D2093" s="717"/>
      <c r="E2093" s="710">
        <v>1</v>
      </c>
      <c r="F2093" s="716" t="s">
        <v>689</v>
      </c>
      <c r="G2093" s="719"/>
      <c r="H2093" s="719"/>
      <c r="I2093" s="714">
        <f>VLOOKUP(C2079,'Luong VP'!$B$10:$AP$189,30,0)</f>
        <v>0</v>
      </c>
      <c r="J2093" s="714">
        <f>VLOOKUP(C2079,'Luong VP'!$B$10:$AP$189,30,0)</f>
        <v>0</v>
      </c>
    </row>
    <row r="2094" spans="1:12" ht="9.1999999999999993" customHeight="1">
      <c r="A2094" s="712">
        <v>12</v>
      </c>
      <c r="B2094" s="713" t="s">
        <v>691</v>
      </c>
      <c r="C2094" s="714">
        <f>VLOOKUP(C2079,'Luong VP'!$B$10:$AP$189,18,0)</f>
        <v>0</v>
      </c>
      <c r="D2094" s="717"/>
      <c r="E2094" s="710">
        <v>2</v>
      </c>
      <c r="F2094" s="718" t="s">
        <v>239</v>
      </c>
      <c r="G2094" s="718"/>
      <c r="H2094" s="718"/>
      <c r="I2094" s="727"/>
      <c r="J2094" s="728">
        <f>VLOOKUP(C2079,'Luong VP'!$B$10:$AP$189,34,0)</f>
        <v>0</v>
      </c>
      <c r="K2094" s="731"/>
      <c r="L2094" s="715"/>
    </row>
    <row r="2095" spans="1:12" ht="9.1999999999999993" customHeight="1">
      <c r="A2095" s="712">
        <v>13</v>
      </c>
      <c r="B2095" s="713" t="s">
        <v>692</v>
      </c>
      <c r="C2095" s="714">
        <f>VLOOKUP(C2079,'Luong VP'!$B$10:$AP$189,19,0)</f>
        <v>0</v>
      </c>
      <c r="D2095" s="717"/>
      <c r="E2095" s="710">
        <v>3</v>
      </c>
      <c r="F2095" s="716" t="s">
        <v>693</v>
      </c>
      <c r="G2095" s="719"/>
      <c r="H2095" s="719"/>
      <c r="I2095" s="729"/>
      <c r="J2095" s="714">
        <f>VLOOKUP(C2079,'Luong VP'!$B$10:$AP$189,40,0)</f>
        <v>0</v>
      </c>
      <c r="K2095" s="731"/>
      <c r="L2095" s="715"/>
    </row>
    <row r="2096" spans="1:12" ht="9.1999999999999993" customHeight="1">
      <c r="A2096" s="712">
        <v>14</v>
      </c>
      <c r="B2096" s="713" t="s">
        <v>694</v>
      </c>
      <c r="C2096" s="714">
        <f>VLOOKUP(C2079,'Luong VP'!$B$10:$AP$189,20,0)</f>
        <v>0</v>
      </c>
      <c r="D2096" s="717"/>
      <c r="E2096" s="710">
        <v>4</v>
      </c>
      <c r="F2096" s="718" t="s">
        <v>695</v>
      </c>
      <c r="G2096" s="719"/>
      <c r="H2096" s="719"/>
      <c r="I2096" s="729"/>
      <c r="J2096" s="714">
        <f>VLOOKUP(C2079,'Luong VP'!$B$10:$AP$189,35,0)</f>
        <v>0</v>
      </c>
      <c r="K2096" s="732"/>
      <c r="L2096" s="715"/>
    </row>
    <row r="2097" spans="1:12" ht="9.1999999999999993" customHeight="1">
      <c r="A2097" s="712"/>
      <c r="B2097" s="707" t="s">
        <v>656</v>
      </c>
      <c r="C2097" s="714">
        <f>SUM(C2083:C2096)</f>
        <v>8620</v>
      </c>
      <c r="D2097" s="717"/>
      <c r="E2097" s="710"/>
      <c r="F2097" s="716" t="s">
        <v>241</v>
      </c>
      <c r="G2097" s="719"/>
      <c r="H2097" s="719"/>
      <c r="I2097" s="729"/>
      <c r="J2097" s="730">
        <f>SUM(J2084:J2096)+C2091</f>
        <v>8951.538461538461</v>
      </c>
      <c r="K2097" s="731"/>
      <c r="L2097" s="715"/>
    </row>
    <row r="2098" spans="1:12" ht="9.1999999999999993" customHeight="1">
      <c r="B2098" s="720"/>
      <c r="C2098" s="717"/>
      <c r="D2098" s="717"/>
      <c r="E2098" s="710" t="s">
        <v>696</v>
      </c>
      <c r="F2098" s="711" t="s">
        <v>697</v>
      </c>
      <c r="G2098" s="710"/>
      <c r="H2098" s="710"/>
      <c r="I2098" s="729"/>
      <c r="J2098" s="730">
        <f>SUM(J2099:J2101)</f>
        <v>4504</v>
      </c>
      <c r="K2098" s="732"/>
      <c r="L2098" s="715"/>
    </row>
    <row r="2099" spans="1:12" ht="9.1999999999999993" customHeight="1">
      <c r="B2099" s="720"/>
      <c r="C2099" s="717"/>
      <c r="D2099" s="717"/>
      <c r="E2099" s="710">
        <v>1</v>
      </c>
      <c r="F2099" s="718" t="s">
        <v>698</v>
      </c>
      <c r="G2099" s="718"/>
      <c r="H2099" s="718"/>
      <c r="I2099" s="733"/>
      <c r="J2099" s="714">
        <f>VLOOKUP(C2079,'Luong VP'!$B$10:$AP$189,37,0)</f>
        <v>504</v>
      </c>
      <c r="K2099" s="732"/>
      <c r="L2099" s="715"/>
    </row>
    <row r="2100" spans="1:12" ht="9.1999999999999993" customHeight="1">
      <c r="B2100" s="720"/>
      <c r="C2100" s="717"/>
      <c r="D2100" s="717"/>
      <c r="E2100" s="710">
        <v>2</v>
      </c>
      <c r="F2100" s="718" t="s">
        <v>244</v>
      </c>
      <c r="G2100" s="718"/>
      <c r="H2100" s="718"/>
      <c r="I2100" s="729"/>
      <c r="J2100" s="714">
        <f>VLOOKUP(C2079,'Luong VP'!$B$10:$AP$189,39,0)</f>
        <v>4000</v>
      </c>
      <c r="K2100" s="734"/>
      <c r="L2100" s="735"/>
    </row>
    <row r="2101" spans="1:12" ht="9.1999999999999993" customHeight="1">
      <c r="B2101" s="720"/>
      <c r="C2101" s="717"/>
      <c r="D2101" s="717"/>
      <c r="E2101" s="710"/>
      <c r="F2101" s="718" t="s">
        <v>699</v>
      </c>
      <c r="G2101" s="718"/>
      <c r="H2101" s="718"/>
      <c r="I2101" s="729"/>
      <c r="J2101" s="714"/>
      <c r="K2101" s="714"/>
      <c r="L2101" s="736"/>
    </row>
    <row r="2102" spans="1:12" ht="9.1999999999999993" customHeight="1">
      <c r="B2102" s="720"/>
      <c r="C2102" s="717"/>
      <c r="D2102" s="717"/>
      <c r="E2102" s="710" t="s">
        <v>700</v>
      </c>
      <c r="F2102" s="710" t="s">
        <v>246</v>
      </c>
      <c r="G2102" s="710"/>
      <c r="H2102" s="710"/>
      <c r="I2102" s="729"/>
      <c r="J2102" s="728">
        <f>J2097-J2098</f>
        <v>4447.538461538461</v>
      </c>
      <c r="K2102" s="728">
        <f>ROUND(J2102,-1)</f>
        <v>4450</v>
      </c>
      <c r="L2102" s="710"/>
    </row>
    <row r="2103" spans="1:12" ht="9.1999999999999993" customHeight="1">
      <c r="B2103" s="720"/>
      <c r="C2103" s="717"/>
      <c r="D2103" s="717"/>
      <c r="E2103" s="715"/>
      <c r="F2103" s="715"/>
      <c r="G2103" s="715"/>
      <c r="I2103" s="715" t="s">
        <v>701</v>
      </c>
      <c r="J2103" s="737"/>
      <c r="K2103" s="737"/>
      <c r="L2103" s="715"/>
    </row>
    <row r="2104" spans="1:12" ht="9.1999999999999993" customHeight="1">
      <c r="B2104" s="720"/>
      <c r="C2104" s="717"/>
      <c r="D2104" s="717"/>
      <c r="E2104" s="715"/>
      <c r="F2104" s="715"/>
      <c r="G2104" s="715"/>
      <c r="I2104" s="715"/>
      <c r="J2104" s="737"/>
      <c r="K2104" s="737"/>
      <c r="L2104" s="715"/>
    </row>
    <row r="2105" spans="1:12" ht="9.1999999999999993" customHeight="1">
      <c r="B2105" s="720"/>
      <c r="C2105" s="717"/>
      <c r="D2105" s="717"/>
      <c r="E2105" s="715"/>
      <c r="F2105" s="715"/>
      <c r="G2105" s="715"/>
      <c r="I2105" s="715"/>
      <c r="J2105" s="737"/>
      <c r="K2105" s="737"/>
      <c r="L2105" s="715"/>
    </row>
    <row r="2106" spans="1:12" ht="9.1999999999999993" customHeight="1">
      <c r="B2106" s="720"/>
      <c r="C2106" s="717"/>
      <c r="D2106" s="717"/>
      <c r="E2106" s="715"/>
      <c r="F2106" s="715"/>
      <c r="G2106" s="715"/>
      <c r="I2106" s="715"/>
      <c r="J2106" s="737"/>
      <c r="K2106" s="737"/>
      <c r="L2106" s="715"/>
    </row>
    <row r="2107" spans="1:12" ht="9.1999999999999993" customHeight="1">
      <c r="B2107" s="720"/>
      <c r="C2107" s="717"/>
      <c r="D2107" s="717"/>
      <c r="E2107" s="715"/>
      <c r="F2107" s="715"/>
      <c r="G2107" s="715"/>
      <c r="I2107" s="715"/>
      <c r="J2107" s="737"/>
      <c r="K2107" s="737"/>
      <c r="L2107" s="715"/>
    </row>
    <row r="2108" spans="1:12" ht="9.1999999999999993" customHeight="1">
      <c r="C2108" s="696"/>
      <c r="D2108" s="696"/>
      <c r="E2108" s="697" t="str">
        <f>$E$2</f>
        <v>THẺ LƯƠNG THÁNG 08/2019</v>
      </c>
      <c r="F2108" s="698"/>
      <c r="G2108" s="698"/>
      <c r="H2108" s="698"/>
    </row>
    <row r="2109" spans="1:12" ht="9.1999999999999993" customHeight="1">
      <c r="B2109" s="699" t="s">
        <v>644</v>
      </c>
      <c r="C2109" s="700" t="s">
        <v>1287</v>
      </c>
      <c r="D2109" s="701"/>
      <c r="F2109" s="1475" t="s">
        <v>645</v>
      </c>
      <c r="G2109" s="689" t="str">
        <f>VLOOKUP(C2109,'Luong VP'!$B$10:$AP$189,2,0)</f>
        <v>Đỗ Hoàng Dũng</v>
      </c>
    </row>
    <row r="2110" spans="1:12" ht="9.1999999999999993" customHeight="1">
      <c r="B2110" s="699" t="s">
        <v>646</v>
      </c>
      <c r="C2110" s="689" t="str">
        <f>VLOOKUP(C2109,'Luong VP'!$B$10:$AP$189,3,0)</f>
        <v>NV điều phối đơn hàng</v>
      </c>
      <c r="F2110" s="1475" t="s">
        <v>647</v>
      </c>
      <c r="G2110" s="689">
        <f>VLOOKUP(C2109,'Luong VP'!$B$10:$AP$189,5,0)</f>
        <v>1</v>
      </c>
    </row>
    <row r="2111" spans="1:12" ht="9.1999999999999993" customHeight="1">
      <c r="B2111" s="703"/>
      <c r="C2111" s="704"/>
      <c r="D2111" s="705"/>
      <c r="F2111" s="706" t="s">
        <v>648</v>
      </c>
      <c r="G2111" s="706"/>
      <c r="H2111" s="706"/>
      <c r="I2111" s="725"/>
      <c r="J2111" s="721">
        <v>12260</v>
      </c>
    </row>
    <row r="2112" spans="1:12" ht="9.1999999999999993" customHeight="1">
      <c r="A2112" s="707" t="s">
        <v>216</v>
      </c>
      <c r="B2112" s="707" t="s">
        <v>649</v>
      </c>
      <c r="C2112" s="708" t="s">
        <v>650</v>
      </c>
      <c r="D2112" s="709"/>
      <c r="E2112" s="710" t="s">
        <v>216</v>
      </c>
      <c r="F2112" s="711" t="s">
        <v>649</v>
      </c>
      <c r="G2112" s="710"/>
      <c r="H2112" s="710" t="s">
        <v>651</v>
      </c>
      <c r="I2112" s="727" t="s">
        <v>652</v>
      </c>
      <c r="J2112" s="714"/>
      <c r="L2112" s="694" t="s">
        <v>653</v>
      </c>
    </row>
    <row r="2113" spans="1:12" ht="9.1999999999999993" customHeight="1">
      <c r="A2113" s="712">
        <v>1</v>
      </c>
      <c r="B2113" s="713" t="s">
        <v>654</v>
      </c>
      <c r="C2113" s="714">
        <f>VLOOKUP(C2109,'Luong VP'!$B$10:$AP$189,9,0)</f>
        <v>7760</v>
      </c>
      <c r="D2113" s="715"/>
      <c r="E2113" s="710" t="s">
        <v>655</v>
      </c>
      <c r="F2113" s="716" t="s">
        <v>656</v>
      </c>
      <c r="G2113" s="710"/>
      <c r="H2113" s="710"/>
      <c r="I2113" s="727"/>
      <c r="J2113" s="714">
        <f>VLOOKUP(C2109,'Luong VP'!$B$10:$AP$189,21,0)</f>
        <v>6596</v>
      </c>
      <c r="K2113" s="721"/>
    </row>
    <row r="2114" spans="1:12" ht="9.1999999999999993" customHeight="1">
      <c r="A2114" s="712">
        <v>2</v>
      </c>
      <c r="B2114" s="713" t="s">
        <v>658</v>
      </c>
      <c r="C2114" s="714"/>
      <c r="D2114" s="717"/>
      <c r="E2114" s="710">
        <v>1</v>
      </c>
      <c r="F2114" s="718" t="s">
        <v>659</v>
      </c>
      <c r="G2114" s="718"/>
      <c r="H2114" s="710" t="s">
        <v>660</v>
      </c>
      <c r="I2114" s="727">
        <f>VLOOKUP(C2109,'Luong VP'!$B$10:$AP$189,22,0)</f>
        <v>26</v>
      </c>
      <c r="J2114" s="728">
        <f>J2113/'Cham cong'!$AS$3*I2114</f>
        <v>6596</v>
      </c>
    </row>
    <row r="2115" spans="1:12" ht="9.1999999999999993" customHeight="1">
      <c r="A2115" s="712">
        <v>3</v>
      </c>
      <c r="B2115" s="713" t="s">
        <v>661</v>
      </c>
      <c r="C2115" s="714">
        <f>VLOOKUP(C2109,'Luong VP'!$B$10:$AP$189,10,0)</f>
        <v>0</v>
      </c>
      <c r="D2115" s="717"/>
      <c r="E2115" s="710">
        <v>2</v>
      </c>
      <c r="F2115" s="718" t="s">
        <v>662</v>
      </c>
      <c r="G2115" s="718"/>
      <c r="H2115" s="710" t="s">
        <v>660</v>
      </c>
      <c r="I2115" s="727">
        <f>VLOOKUP(C2109,'Luong VP'!$B$10:$AP$189,27,0)</f>
        <v>0</v>
      </c>
      <c r="J2115" s="728">
        <f>J2113/'Cham cong'!$AS$3*I2115*3</f>
        <v>0</v>
      </c>
    </row>
    <row r="2116" spans="1:12" ht="9.1999999999999993" customHeight="1">
      <c r="A2116" s="712">
        <v>4</v>
      </c>
      <c r="B2116" s="713" t="s">
        <v>666</v>
      </c>
      <c r="C2116" s="714">
        <f>VLOOKUP(C2109,'Luong VP'!$B$10:$AP$189,11,0)</f>
        <v>0</v>
      </c>
      <c r="D2116" s="717"/>
      <c r="E2116" s="710">
        <v>3</v>
      </c>
      <c r="F2116" s="718" t="s">
        <v>667</v>
      </c>
      <c r="G2116" s="718"/>
      <c r="H2116" s="710" t="s">
        <v>668</v>
      </c>
      <c r="I2116" s="727">
        <f>VLOOKUP(C2109,'Luong VP'!$B$10:$AP$189,26,0)</f>
        <v>2</v>
      </c>
      <c r="J2116" s="728">
        <f>J2113/'Cham cong'!$AS$3*I2116/8*1.5</f>
        <v>95.134615384615387</v>
      </c>
    </row>
    <row r="2117" spans="1:12" ht="9.1999999999999993" customHeight="1">
      <c r="A2117" s="712">
        <v>5</v>
      </c>
      <c r="B2117" s="713" t="s">
        <v>670</v>
      </c>
      <c r="C2117" s="714">
        <f>VLOOKUP(C2109,'Luong VP'!$B$10:$AP$189,12,0)</f>
        <v>0</v>
      </c>
      <c r="D2117" s="717"/>
      <c r="E2117" s="710">
        <v>4</v>
      </c>
      <c r="F2117" s="718" t="s">
        <v>671</v>
      </c>
      <c r="G2117" s="718"/>
      <c r="H2117" s="710" t="s">
        <v>668</v>
      </c>
      <c r="I2117" s="727">
        <f>VLOOKUP(C2109,'Luong VP'!$B$10:$AP$189,25,0)</f>
        <v>0</v>
      </c>
      <c r="J2117" s="728">
        <f>J2113/'Cham cong'!$AS$3*I2117/8*2</f>
        <v>0</v>
      </c>
    </row>
    <row r="2118" spans="1:12" ht="9.1999999999999993" customHeight="1">
      <c r="A2118" s="712">
        <v>6</v>
      </c>
      <c r="B2118" s="713" t="s">
        <v>673</v>
      </c>
      <c r="C2118" s="714">
        <f>VLOOKUP(C2109,'Luong VP'!$B$10:$AP$189,13,0)</f>
        <v>0</v>
      </c>
      <c r="D2118" s="717"/>
      <c r="E2118" s="710">
        <v>5</v>
      </c>
      <c r="F2118" s="718" t="s">
        <v>674</v>
      </c>
      <c r="G2118" s="718"/>
      <c r="H2118" s="710" t="s">
        <v>660</v>
      </c>
      <c r="I2118" s="727">
        <f>VLOOKUP(C2109,'Luong VP'!$B$10:$AP$189,23,0)</f>
        <v>0</v>
      </c>
      <c r="J2118" s="728">
        <f>C2113/'Cham cong'!$AS$3*I2118</f>
        <v>0</v>
      </c>
      <c r="L2118" s="694" t="str">
        <f>G2109</f>
        <v>Đỗ Hoàng Dũng</v>
      </c>
    </row>
    <row r="2119" spans="1:12" ht="9.1999999999999993" customHeight="1">
      <c r="A2119" s="712">
        <v>7</v>
      </c>
      <c r="B2119" s="713" t="s">
        <v>676</v>
      </c>
      <c r="C2119" s="714"/>
      <c r="D2119" s="717"/>
      <c r="E2119" s="710">
        <v>6</v>
      </c>
      <c r="F2119" s="718" t="s">
        <v>677</v>
      </c>
      <c r="G2119" s="718"/>
      <c r="H2119" s="710" t="s">
        <v>660</v>
      </c>
      <c r="I2119" s="727">
        <f>VLOOKUP(C2109,'Luong VP'!$B$10:$AP$189,24,0)</f>
        <v>1</v>
      </c>
      <c r="J2119" s="714">
        <f>C2113/'Cham cong'!$AS$3*I2119</f>
        <v>298.46153846153845</v>
      </c>
    </row>
    <row r="2120" spans="1:12" ht="9.1999999999999993" customHeight="1">
      <c r="A2120" s="712">
        <v>8</v>
      </c>
      <c r="B2120" s="713" t="s">
        <v>679</v>
      </c>
      <c r="C2120" s="714">
        <f>VLOOKUP(C2109,'Luong VP'!$B$10:$AP$189,14,0)</f>
        <v>0</v>
      </c>
      <c r="D2120" s="717"/>
      <c r="E2120" s="710">
        <v>7</v>
      </c>
      <c r="F2120" s="718" t="s">
        <v>680</v>
      </c>
      <c r="G2120" s="718"/>
      <c r="H2120" s="718"/>
      <c r="I2120" s="729"/>
      <c r="J2120" s="714">
        <f>VLOOKUP(C2109,'Luong VP'!$B$10:$AP$189,28,0)</f>
        <v>0</v>
      </c>
    </row>
    <row r="2121" spans="1:12" ht="9.1999999999999993" customHeight="1">
      <c r="A2121" s="712">
        <v>9</v>
      </c>
      <c r="B2121" s="713" t="s">
        <v>683</v>
      </c>
      <c r="C2121" s="714">
        <f>VLOOKUP(C2109,'Luong VP'!$B$10:$AP$189,15,0)</f>
        <v>0</v>
      </c>
      <c r="D2121" s="717"/>
      <c r="E2121" s="710">
        <v>8</v>
      </c>
      <c r="F2121" s="718" t="s">
        <v>238</v>
      </c>
      <c r="G2121" s="718"/>
      <c r="H2121" s="719" t="s">
        <v>660</v>
      </c>
      <c r="I2121" s="802"/>
      <c r="J2121" s="714">
        <f>VLOOKUP(C2109,'Luong VP'!$B$10:$AP$189,33,0)</f>
        <v>0</v>
      </c>
    </row>
    <row r="2122" spans="1:12" ht="9.1999999999999993" customHeight="1">
      <c r="A2122" s="712">
        <v>10</v>
      </c>
      <c r="B2122" s="713" t="s">
        <v>685</v>
      </c>
      <c r="C2122" s="714">
        <f>VLOOKUP(C2109,'Luong VP'!$B$10:$AP$189,16,0)</f>
        <v>0</v>
      </c>
      <c r="D2122" s="717"/>
      <c r="E2122" s="710" t="s">
        <v>686</v>
      </c>
      <c r="F2122" s="716" t="s">
        <v>687</v>
      </c>
      <c r="G2122" s="719"/>
      <c r="H2122" s="719"/>
      <c r="I2122" s="729"/>
      <c r="J2122" s="730"/>
    </row>
    <row r="2123" spans="1:12" ht="9.1999999999999993" customHeight="1">
      <c r="A2123" s="712">
        <v>11</v>
      </c>
      <c r="B2123" s="713" t="s">
        <v>688</v>
      </c>
      <c r="C2123" s="714">
        <f>VLOOKUP(C2109,'Luong VP'!$B$10:$AP$189,17,0)</f>
        <v>0</v>
      </c>
      <c r="D2123" s="717"/>
      <c r="E2123" s="710">
        <v>1</v>
      </c>
      <c r="F2123" s="716" t="s">
        <v>689</v>
      </c>
      <c r="G2123" s="719"/>
      <c r="H2123" s="719"/>
      <c r="I2123" s="714">
        <f>VLOOKUP(C2109,'Luong VP'!$B$10:$AP$189,30,0)</f>
        <v>0</v>
      </c>
      <c r="J2123" s="714">
        <f>VLOOKUP(C2109,'Luong VP'!$B$10:$AP$189,30,0)</f>
        <v>0</v>
      </c>
    </row>
    <row r="2124" spans="1:12" ht="9.1999999999999993" customHeight="1">
      <c r="A2124" s="712">
        <v>12</v>
      </c>
      <c r="B2124" s="713" t="s">
        <v>691</v>
      </c>
      <c r="C2124" s="714">
        <f>VLOOKUP(C2109,'Luong VP'!$B$10:$AP$189,18,0)</f>
        <v>0</v>
      </c>
      <c r="D2124" s="717"/>
      <c r="E2124" s="710">
        <v>2</v>
      </c>
      <c r="F2124" s="718" t="s">
        <v>239</v>
      </c>
      <c r="G2124" s="718"/>
      <c r="H2124" s="718"/>
      <c r="I2124" s="727"/>
      <c r="J2124" s="728">
        <f>VLOOKUP(C2109,'Luong VP'!$B$10:$AP$189,34,0)</f>
        <v>0</v>
      </c>
      <c r="K2124" s="731"/>
      <c r="L2124" s="715"/>
    </row>
    <row r="2125" spans="1:12" ht="9.1999999999999993" customHeight="1">
      <c r="A2125" s="712">
        <v>13</v>
      </c>
      <c r="B2125" s="713" t="s">
        <v>692</v>
      </c>
      <c r="C2125" s="714">
        <f>VLOOKUP(C2109,'Luong VP'!$B$10:$AP$189,19,0)</f>
        <v>0</v>
      </c>
      <c r="D2125" s="717"/>
      <c r="E2125" s="710">
        <v>3</v>
      </c>
      <c r="F2125" s="716" t="s">
        <v>693</v>
      </c>
      <c r="G2125" s="719"/>
      <c r="H2125" s="719"/>
      <c r="I2125" s="729"/>
      <c r="J2125" s="714">
        <f>VLOOKUP(C2109,'Luong VP'!$B$10:$AP$189,40,0)</f>
        <v>0</v>
      </c>
      <c r="K2125" s="731"/>
      <c r="L2125" s="715"/>
    </row>
    <row r="2126" spans="1:12" ht="9.1999999999999993" customHeight="1">
      <c r="A2126" s="712">
        <v>14</v>
      </c>
      <c r="B2126" s="713" t="s">
        <v>694</v>
      </c>
      <c r="C2126" s="714">
        <f>VLOOKUP(C2109,'Luong VP'!$B$10:$AP$189,20,0)</f>
        <v>0</v>
      </c>
      <c r="D2126" s="717"/>
      <c r="E2126" s="710">
        <v>4</v>
      </c>
      <c r="F2126" s="718" t="s">
        <v>695</v>
      </c>
      <c r="G2126" s="719"/>
      <c r="H2126" s="719"/>
      <c r="I2126" s="729"/>
      <c r="J2126" s="714">
        <f>VLOOKUP(C2109,'Luong VP'!$B$10:$AP$189,35,0)</f>
        <v>0</v>
      </c>
      <c r="K2126" s="732"/>
      <c r="L2126" s="715"/>
    </row>
    <row r="2127" spans="1:12" ht="9.1999999999999993" customHeight="1">
      <c r="A2127" s="712"/>
      <c r="B2127" s="707" t="s">
        <v>656</v>
      </c>
      <c r="C2127" s="714">
        <f>SUM(C2113:C2126)</f>
        <v>7760</v>
      </c>
      <c r="D2127" s="717"/>
      <c r="E2127" s="710"/>
      <c r="F2127" s="716" t="s">
        <v>241</v>
      </c>
      <c r="G2127" s="719"/>
      <c r="H2127" s="719"/>
      <c r="I2127" s="729"/>
      <c r="J2127" s="730">
        <f>SUM(J2114:J2126)+C2121</f>
        <v>6989.5961538461534</v>
      </c>
      <c r="K2127" s="731"/>
      <c r="L2127" s="715"/>
    </row>
    <row r="2128" spans="1:12" ht="9.1999999999999993" customHeight="1">
      <c r="B2128" s="720"/>
      <c r="C2128" s="717"/>
      <c r="D2128" s="717"/>
      <c r="E2128" s="710" t="s">
        <v>696</v>
      </c>
      <c r="F2128" s="711" t="s">
        <v>697</v>
      </c>
      <c r="G2128" s="710"/>
      <c r="H2128" s="710"/>
      <c r="I2128" s="729"/>
      <c r="J2128" s="730">
        <f>SUM(J2129:J2131)</f>
        <v>3000</v>
      </c>
      <c r="K2128" s="732"/>
      <c r="L2128" s="715"/>
    </row>
    <row r="2129" spans="1:12" ht="9.1999999999999993" customHeight="1">
      <c r="B2129" s="720"/>
      <c r="C2129" s="717"/>
      <c r="D2129" s="717"/>
      <c r="E2129" s="710">
        <v>1</v>
      </c>
      <c r="F2129" s="718" t="s">
        <v>698</v>
      </c>
      <c r="G2129" s="718"/>
      <c r="H2129" s="718"/>
      <c r="I2129" s="733"/>
      <c r="J2129" s="714">
        <f>VLOOKUP(C2109,'Luong VP'!$B$10:$AP$189,37,0)</f>
        <v>0</v>
      </c>
      <c r="K2129" s="732"/>
      <c r="L2129" s="715"/>
    </row>
    <row r="2130" spans="1:12" ht="9.1999999999999993" customHeight="1">
      <c r="B2130" s="720"/>
      <c r="C2130" s="717"/>
      <c r="D2130" s="717"/>
      <c r="E2130" s="710">
        <v>2</v>
      </c>
      <c r="F2130" s="718" t="s">
        <v>244</v>
      </c>
      <c r="G2130" s="718"/>
      <c r="H2130" s="718"/>
      <c r="I2130" s="729"/>
      <c r="J2130" s="714">
        <f>VLOOKUP(C2109,'Luong VP'!$B$10:$AP$189,39,0)</f>
        <v>3000</v>
      </c>
      <c r="K2130" s="734"/>
      <c r="L2130" s="735"/>
    </row>
    <row r="2131" spans="1:12" ht="9.1999999999999993" customHeight="1">
      <c r="B2131" s="720"/>
      <c r="C2131" s="717"/>
      <c r="D2131" s="717"/>
      <c r="E2131" s="710"/>
      <c r="F2131" s="718" t="s">
        <v>699</v>
      </c>
      <c r="G2131" s="718"/>
      <c r="H2131" s="718"/>
      <c r="I2131" s="729"/>
      <c r="J2131" s="714"/>
      <c r="K2131" s="714"/>
      <c r="L2131" s="736"/>
    </row>
    <row r="2132" spans="1:12" ht="9.1999999999999993" customHeight="1">
      <c r="B2132" s="720"/>
      <c r="C2132" s="717"/>
      <c r="D2132" s="717"/>
      <c r="E2132" s="710" t="s">
        <v>700</v>
      </c>
      <c r="F2132" s="710" t="s">
        <v>246</v>
      </c>
      <c r="G2132" s="710"/>
      <c r="H2132" s="710"/>
      <c r="I2132" s="729"/>
      <c r="J2132" s="728">
        <f>J2127-J2128</f>
        <v>3989.5961538461534</v>
      </c>
      <c r="K2132" s="728">
        <f>ROUND(J2132,-1)</f>
        <v>3990</v>
      </c>
      <c r="L2132" s="710"/>
    </row>
    <row r="2133" spans="1:12" ht="9.1999999999999993" customHeight="1">
      <c r="B2133" s="720"/>
      <c r="C2133" s="717"/>
      <c r="D2133" s="717"/>
      <c r="E2133" s="715"/>
      <c r="F2133" s="715"/>
      <c r="G2133" s="715"/>
      <c r="I2133" s="715" t="s">
        <v>701</v>
      </c>
      <c r="J2133" s="737"/>
      <c r="K2133" s="737"/>
      <c r="L2133" s="715"/>
    </row>
    <row r="2134" spans="1:12" ht="9.1999999999999993" customHeight="1">
      <c r="B2134" s="720"/>
      <c r="C2134" s="717"/>
      <c r="D2134" s="717"/>
      <c r="E2134" s="715"/>
      <c r="F2134" s="715"/>
      <c r="G2134" s="715"/>
      <c r="I2134" s="715"/>
      <c r="J2134" s="737"/>
      <c r="K2134" s="737"/>
      <c r="L2134" s="715"/>
    </row>
    <row r="2135" spans="1:12" ht="9.1999999999999993" customHeight="1">
      <c r="B2135" s="720"/>
      <c r="C2135" s="717"/>
      <c r="D2135" s="717"/>
      <c r="E2135" s="715"/>
      <c r="F2135" s="715"/>
      <c r="G2135" s="715"/>
      <c r="I2135" s="715"/>
      <c r="J2135" s="737"/>
      <c r="K2135" s="737"/>
      <c r="L2135" s="715"/>
    </row>
    <row r="2136" spans="1:12" ht="9.1999999999999993" customHeight="1">
      <c r="B2136" s="720"/>
      <c r="C2136" s="717"/>
      <c r="D2136" s="717"/>
      <c r="E2136" s="715"/>
      <c r="F2136" s="715"/>
      <c r="G2136" s="715"/>
      <c r="I2136" s="715"/>
      <c r="J2136" s="737"/>
      <c r="K2136" s="737"/>
      <c r="L2136" s="715"/>
    </row>
    <row r="2137" spans="1:12" ht="9.1999999999999993" customHeight="1">
      <c r="B2137" s="720"/>
      <c r="C2137" s="717"/>
      <c r="D2137" s="717"/>
      <c r="E2137" s="715"/>
      <c r="F2137" s="715"/>
      <c r="G2137" s="715"/>
      <c r="I2137" s="715"/>
      <c r="J2137" s="737"/>
      <c r="K2137" s="737"/>
      <c r="L2137" s="715"/>
    </row>
    <row r="2138" spans="1:12" ht="9.1999999999999993" customHeight="1">
      <c r="C2138" s="696"/>
      <c r="D2138" s="696"/>
      <c r="E2138" s="697" t="str">
        <f>$E$2</f>
        <v>THẺ LƯƠNG THÁNG 08/2019</v>
      </c>
      <c r="F2138" s="698"/>
      <c r="G2138" s="698"/>
      <c r="H2138" s="698"/>
    </row>
    <row r="2139" spans="1:12" ht="9.1999999999999993" customHeight="1">
      <c r="B2139" s="699" t="s">
        <v>644</v>
      </c>
      <c r="C2139" s="700" t="s">
        <v>398</v>
      </c>
      <c r="D2139" s="701"/>
      <c r="F2139" s="702" t="s">
        <v>645</v>
      </c>
      <c r="G2139" s="689" t="str">
        <f>VLOOKUP(C2139,'Luong VP'!$B$10:$AP$189,2,0)</f>
        <v>Nguyễn Văn Thanh</v>
      </c>
    </row>
    <row r="2140" spans="1:12" ht="9.1999999999999993" customHeight="1">
      <c r="B2140" s="699" t="s">
        <v>646</v>
      </c>
      <c r="C2140" s="689" t="str">
        <f>VLOOKUP(C2139,'Luong VP'!$B$10:$AP$189,3,0)</f>
        <v>Thủ kho</v>
      </c>
      <c r="F2140" s="702" t="s">
        <v>647</v>
      </c>
      <c r="G2140" s="689">
        <f>VLOOKUP(C2139,'Luong VP'!$B$10:$AP$189,5,0)</f>
        <v>5</v>
      </c>
    </row>
    <row r="2141" spans="1:12" ht="9.1999999999999993" customHeight="1">
      <c r="B2141" s="703"/>
      <c r="C2141" s="704"/>
      <c r="D2141" s="705"/>
      <c r="F2141" s="706" t="s">
        <v>648</v>
      </c>
      <c r="G2141" s="706"/>
      <c r="H2141" s="706"/>
      <c r="I2141" s="725"/>
      <c r="J2141" s="726"/>
    </row>
    <row r="2142" spans="1:12" ht="9.1999999999999993" customHeight="1">
      <c r="A2142" s="707" t="s">
        <v>216</v>
      </c>
      <c r="B2142" s="707" t="s">
        <v>649</v>
      </c>
      <c r="C2142" s="708" t="s">
        <v>650</v>
      </c>
      <c r="D2142" s="709"/>
      <c r="E2142" s="710" t="s">
        <v>216</v>
      </c>
      <c r="F2142" s="711" t="s">
        <v>649</v>
      </c>
      <c r="G2142" s="710"/>
      <c r="H2142" s="710" t="s">
        <v>651</v>
      </c>
      <c r="I2142" s="727" t="s">
        <v>652</v>
      </c>
      <c r="J2142" s="714"/>
      <c r="L2142" s="694" t="s">
        <v>653</v>
      </c>
    </row>
    <row r="2143" spans="1:12" ht="9.1999999999999993" customHeight="1">
      <c r="A2143" s="712">
        <v>1</v>
      </c>
      <c r="B2143" s="713" t="s">
        <v>654</v>
      </c>
      <c r="C2143" s="714">
        <f>VLOOKUP(C2139,'Luong VP'!$B$10:$AP$189,9,0)</f>
        <v>10260</v>
      </c>
      <c r="D2143" s="715"/>
      <c r="E2143" s="710" t="s">
        <v>655</v>
      </c>
      <c r="F2143" s="716" t="s">
        <v>656</v>
      </c>
      <c r="G2143" s="710"/>
      <c r="H2143" s="710"/>
      <c r="I2143" s="727"/>
      <c r="J2143" s="714">
        <f>VLOOKUP(C2139,'Luong VP'!$B$10:$AP$189,21,0)</f>
        <v>11178.2</v>
      </c>
    </row>
    <row r="2144" spans="1:12" ht="9.1999999999999993" customHeight="1">
      <c r="A2144" s="712">
        <v>2</v>
      </c>
      <c r="B2144" s="713" t="s">
        <v>658</v>
      </c>
      <c r="C2144" s="714"/>
      <c r="D2144" s="717"/>
      <c r="E2144" s="710">
        <v>1</v>
      </c>
      <c r="F2144" s="718" t="s">
        <v>659</v>
      </c>
      <c r="G2144" s="718"/>
      <c r="H2144" s="710" t="s">
        <v>660</v>
      </c>
      <c r="I2144" s="727">
        <f>VLOOKUP(C2139,'Luong VP'!$B$10:$AP$189,22,0)</f>
        <v>26</v>
      </c>
      <c r="J2144" s="728">
        <f>J2143/'Cham cong'!$AS$3*I2144</f>
        <v>11178.2</v>
      </c>
    </row>
    <row r="2145" spans="1:12" ht="9.1999999999999993" customHeight="1">
      <c r="A2145" s="712">
        <v>3</v>
      </c>
      <c r="B2145" s="713" t="s">
        <v>661</v>
      </c>
      <c r="C2145" s="714">
        <f>VLOOKUP(C2139,'Luong VP'!$B$10:$AP$189,10,0)</f>
        <v>200</v>
      </c>
      <c r="D2145" s="717"/>
      <c r="E2145" s="710">
        <v>2</v>
      </c>
      <c r="F2145" s="718" t="s">
        <v>662</v>
      </c>
      <c r="G2145" s="718"/>
      <c r="H2145" s="710" t="s">
        <v>660</v>
      </c>
      <c r="I2145" s="727">
        <f>VLOOKUP(C2139,'Luong VP'!$B$10:$AP$189,27,0)</f>
        <v>0</v>
      </c>
      <c r="J2145" s="728">
        <f>J2143/'Cham cong'!$AS$3*I2145*3</f>
        <v>0</v>
      </c>
    </row>
    <row r="2146" spans="1:12" ht="9.1999999999999993" customHeight="1">
      <c r="A2146" s="712">
        <v>4</v>
      </c>
      <c r="B2146" s="713" t="s">
        <v>666</v>
      </c>
      <c r="C2146" s="714">
        <f>VLOOKUP(C2139,'Luong VP'!$B$10:$AP$189,11,0)</f>
        <v>0</v>
      </c>
      <c r="D2146" s="717"/>
      <c r="E2146" s="710">
        <v>3</v>
      </c>
      <c r="F2146" s="718" t="s">
        <v>667</v>
      </c>
      <c r="G2146" s="718"/>
      <c r="H2146" s="710" t="s">
        <v>668</v>
      </c>
      <c r="I2146" s="727">
        <f>VLOOKUP(C2139,'Luong VP'!$B$10:$AP$189,26,0)</f>
        <v>13.5</v>
      </c>
      <c r="J2146" s="728">
        <f>J2143/'Cham cong'!$AS$3*I2146/8*1.5</f>
        <v>1088.2622596153847</v>
      </c>
    </row>
    <row r="2147" spans="1:12" ht="9.1999999999999993" customHeight="1">
      <c r="A2147" s="712">
        <v>5</v>
      </c>
      <c r="B2147" s="713" t="s">
        <v>670</v>
      </c>
      <c r="C2147" s="714">
        <f>VLOOKUP(C2139,'Luong VP'!$B$10:$AP$189,12,0)</f>
        <v>718.2</v>
      </c>
      <c r="D2147" s="717"/>
      <c r="E2147" s="710">
        <v>4</v>
      </c>
      <c r="F2147" s="718" t="s">
        <v>671</v>
      </c>
      <c r="G2147" s="718"/>
      <c r="H2147" s="710" t="s">
        <v>668</v>
      </c>
      <c r="I2147" s="727">
        <f>VLOOKUP(C2139,'Luong VP'!$B$10:$AP$189,25,0)</f>
        <v>0</v>
      </c>
      <c r="J2147" s="728">
        <f>J2143/'Cham cong'!$AS$3*I2147/8*2</f>
        <v>0</v>
      </c>
    </row>
    <row r="2148" spans="1:12" ht="9.1999999999999993" customHeight="1">
      <c r="A2148" s="712">
        <v>6</v>
      </c>
      <c r="B2148" s="713" t="s">
        <v>673</v>
      </c>
      <c r="C2148" s="714">
        <f>VLOOKUP(C2139,'Luong VP'!$B$10:$AP$189,13,0)</f>
        <v>0</v>
      </c>
      <c r="D2148" s="717"/>
      <c r="E2148" s="710">
        <v>5</v>
      </c>
      <c r="F2148" s="718" t="s">
        <v>674</v>
      </c>
      <c r="G2148" s="718"/>
      <c r="H2148" s="710" t="s">
        <v>660</v>
      </c>
      <c r="I2148" s="727">
        <f>VLOOKUP(C2139,'Luong VP'!$B$10:$AP$189,23,0)</f>
        <v>0</v>
      </c>
      <c r="J2148" s="728">
        <f>C2143/'Cham cong'!$AS$3*I2148</f>
        <v>0</v>
      </c>
      <c r="L2148" s="694" t="str">
        <f>G2139</f>
        <v>Nguyễn Văn Thanh</v>
      </c>
    </row>
    <row r="2149" spans="1:12" ht="9.1999999999999993" customHeight="1">
      <c r="A2149" s="712">
        <v>7</v>
      </c>
      <c r="B2149" s="713" t="s">
        <v>676</v>
      </c>
      <c r="C2149" s="714"/>
      <c r="D2149" s="717"/>
      <c r="E2149" s="710">
        <v>6</v>
      </c>
      <c r="F2149" s="718" t="s">
        <v>677</v>
      </c>
      <c r="G2149" s="718"/>
      <c r="H2149" s="710" t="s">
        <v>660</v>
      </c>
      <c r="I2149" s="727">
        <f>VLOOKUP(C2139,'Luong VP'!$B$10:$AP$189,24,0)</f>
        <v>1</v>
      </c>
      <c r="J2149" s="714">
        <f>C2143/'Cham cong'!$AS$3*I2149</f>
        <v>394.61538461538464</v>
      </c>
    </row>
    <row r="2150" spans="1:12" ht="9.1999999999999993" customHeight="1">
      <c r="A2150" s="712">
        <v>8</v>
      </c>
      <c r="B2150" s="713" t="s">
        <v>679</v>
      </c>
      <c r="C2150" s="714">
        <f>VLOOKUP(C2139,'Luong VP'!$B$10:$AP$189,14,0)</f>
        <v>0</v>
      </c>
      <c r="D2150" s="717"/>
      <c r="E2150" s="710">
        <v>7</v>
      </c>
      <c r="F2150" s="718" t="s">
        <v>680</v>
      </c>
      <c r="G2150" s="718"/>
      <c r="H2150" s="718"/>
      <c r="I2150" s="729"/>
      <c r="J2150" s="714">
        <f>VLOOKUP(C2139,'Luong VP'!$B$10:$AP$189,28,0)</f>
        <v>0</v>
      </c>
    </row>
    <row r="2151" spans="1:12" ht="9.1999999999999993" customHeight="1">
      <c r="A2151" s="712">
        <v>9</v>
      </c>
      <c r="B2151" s="713" t="s">
        <v>683</v>
      </c>
      <c r="C2151" s="714">
        <f>VLOOKUP(C2139,'Luong VP'!$B$10:$AP$189,15,0)</f>
        <v>0</v>
      </c>
      <c r="D2151" s="717"/>
      <c r="E2151" s="710">
        <v>8</v>
      </c>
      <c r="F2151" s="718" t="s">
        <v>238</v>
      </c>
      <c r="G2151" s="718"/>
      <c r="H2151" s="718"/>
      <c r="I2151" s="729"/>
      <c r="J2151" s="714">
        <f>VLOOKUP(C2139,'Luong VP'!$B$10:$AP$189,33,0)</f>
        <v>0</v>
      </c>
    </row>
    <row r="2152" spans="1:12" ht="9.1999999999999993" customHeight="1">
      <c r="A2152" s="712">
        <v>10</v>
      </c>
      <c r="B2152" s="713" t="s">
        <v>685</v>
      </c>
      <c r="C2152" s="714">
        <f>VLOOKUP(C2139,'Luong VP'!$B$10:$AP$189,16,0)</f>
        <v>0</v>
      </c>
      <c r="D2152" s="717"/>
      <c r="E2152" s="710" t="s">
        <v>686</v>
      </c>
      <c r="F2152" s="716" t="s">
        <v>687</v>
      </c>
      <c r="G2152" s="719"/>
      <c r="H2152" s="719"/>
      <c r="I2152" s="729"/>
      <c r="J2152" s="730"/>
    </row>
    <row r="2153" spans="1:12" ht="9.1999999999999993" customHeight="1">
      <c r="A2153" s="712">
        <v>11</v>
      </c>
      <c r="B2153" s="713" t="s">
        <v>688</v>
      </c>
      <c r="C2153" s="714">
        <f>VLOOKUP(C2139,'Luong VP'!$B$10:$AP$189,17,0)</f>
        <v>0</v>
      </c>
      <c r="D2153" s="717"/>
      <c r="E2153" s="710">
        <v>1</v>
      </c>
      <c r="F2153" s="716" t="s">
        <v>689</v>
      </c>
      <c r="G2153" s="719"/>
      <c r="H2153" s="719"/>
      <c r="I2153" s="714">
        <f>VLOOKUP(C2139,'Luong VP'!$B$10:$AP$189,30,0)</f>
        <v>0</v>
      </c>
      <c r="J2153" s="714">
        <f>VLOOKUP(C2139,'Luong VP'!$B$10:$AP$189,30,0)</f>
        <v>0</v>
      </c>
    </row>
    <row r="2154" spans="1:12" ht="9.1999999999999993" customHeight="1">
      <c r="A2154" s="712">
        <v>12</v>
      </c>
      <c r="B2154" s="713" t="s">
        <v>691</v>
      </c>
      <c r="C2154" s="714">
        <f>VLOOKUP(C2139,'Luong VP'!$B$10:$AP$189,18,0)</f>
        <v>0</v>
      </c>
      <c r="D2154" s="717"/>
      <c r="E2154" s="710">
        <v>2</v>
      </c>
      <c r="F2154" s="718" t="s">
        <v>239</v>
      </c>
      <c r="G2154" s="718"/>
      <c r="H2154" s="718"/>
      <c r="I2154" s="727"/>
      <c r="J2154" s="728">
        <f>VLOOKUP(C2139,'Luong VP'!$B$10:$AP$189,34,0)</f>
        <v>0</v>
      </c>
      <c r="K2154" s="731"/>
      <c r="L2154" s="715"/>
    </row>
    <row r="2155" spans="1:12" ht="9.1999999999999993" customHeight="1">
      <c r="A2155" s="712">
        <v>13</v>
      </c>
      <c r="B2155" s="713" t="s">
        <v>692</v>
      </c>
      <c r="C2155" s="714">
        <f>VLOOKUP(C2139,'Luong VP'!$B$10:$AP$189,19,0)</f>
        <v>0</v>
      </c>
      <c r="D2155" s="717"/>
      <c r="E2155" s="710">
        <v>3</v>
      </c>
      <c r="F2155" s="716" t="s">
        <v>693</v>
      </c>
      <c r="G2155" s="719"/>
      <c r="H2155" s="719"/>
      <c r="I2155" s="729"/>
      <c r="J2155" s="714">
        <f>VLOOKUP(C2139,'Luong VP'!$B$10:$AP$189,40,0)</f>
        <v>0</v>
      </c>
      <c r="K2155" s="731"/>
      <c r="L2155" s="715"/>
    </row>
    <row r="2156" spans="1:12" ht="9.1999999999999993" customHeight="1">
      <c r="A2156" s="712">
        <v>14</v>
      </c>
      <c r="B2156" s="713" t="s">
        <v>694</v>
      </c>
      <c r="C2156" s="714">
        <f>VLOOKUP(C2139,'Luong VP'!$B$10:$AP$189,20,0)</f>
        <v>0</v>
      </c>
      <c r="D2156" s="717"/>
      <c r="E2156" s="710">
        <v>4</v>
      </c>
      <c r="F2156" s="718" t="s">
        <v>695</v>
      </c>
      <c r="G2156" s="719"/>
      <c r="H2156" s="719"/>
      <c r="I2156" s="729"/>
      <c r="J2156" s="714">
        <f>VLOOKUP(C2139,'Luong VP'!$B$10:$AP$189,35,0)</f>
        <v>0</v>
      </c>
      <c r="K2156" s="732"/>
      <c r="L2156" s="715"/>
    </row>
    <row r="2157" spans="1:12" ht="9.1999999999999993" customHeight="1">
      <c r="A2157" s="712"/>
      <c r="B2157" s="707" t="s">
        <v>656</v>
      </c>
      <c r="C2157" s="714">
        <f>SUM(C2143:C2156)</f>
        <v>11178.2</v>
      </c>
      <c r="D2157" s="717"/>
      <c r="E2157" s="710"/>
      <c r="F2157" s="716" t="s">
        <v>241</v>
      </c>
      <c r="G2157" s="719"/>
      <c r="H2157" s="719"/>
      <c r="I2157" s="729"/>
      <c r="J2157" s="730">
        <f>SUM(J2144:J2156)+C2151</f>
        <v>12661.077644230771</v>
      </c>
      <c r="K2157" s="731"/>
      <c r="L2157" s="715"/>
    </row>
    <row r="2158" spans="1:12" ht="9.1999999999999993" customHeight="1">
      <c r="B2158" s="720"/>
      <c r="C2158" s="717"/>
      <c r="D2158" s="717"/>
      <c r="E2158" s="710" t="s">
        <v>696</v>
      </c>
      <c r="F2158" s="711" t="s">
        <v>697</v>
      </c>
      <c r="G2158" s="710"/>
      <c r="H2158" s="710"/>
      <c r="I2158" s="729"/>
      <c r="J2158" s="730">
        <f>SUM(J2159:J2161)</f>
        <v>535.5</v>
      </c>
      <c r="K2158" s="732"/>
      <c r="L2158" s="715"/>
    </row>
    <row r="2159" spans="1:12" ht="9.1999999999999993" customHeight="1">
      <c r="B2159" s="720"/>
      <c r="C2159" s="717"/>
      <c r="D2159" s="717"/>
      <c r="E2159" s="710">
        <v>1</v>
      </c>
      <c r="F2159" s="718" t="s">
        <v>698</v>
      </c>
      <c r="G2159" s="718"/>
      <c r="H2159" s="718"/>
      <c r="I2159" s="733"/>
      <c r="J2159" s="714">
        <f>VLOOKUP(C2139,'Luong VP'!$B$10:$AP$189,37,0)</f>
        <v>535.5</v>
      </c>
      <c r="K2159" s="732"/>
      <c r="L2159" s="715"/>
    </row>
    <row r="2160" spans="1:12" ht="9.1999999999999993" customHeight="1">
      <c r="B2160" s="720"/>
      <c r="C2160" s="717"/>
      <c r="D2160" s="717"/>
      <c r="E2160" s="710">
        <v>2</v>
      </c>
      <c r="F2160" s="718" t="s">
        <v>244</v>
      </c>
      <c r="G2160" s="718"/>
      <c r="H2160" s="718"/>
      <c r="I2160" s="729"/>
      <c r="J2160" s="714">
        <f>VLOOKUP(C2139,'Luong VP'!$B$10:$AP$189,39,0)</f>
        <v>0</v>
      </c>
      <c r="K2160" s="734"/>
      <c r="L2160" s="735"/>
    </row>
    <row r="2161" spans="1:13" ht="9.1999999999999993" customHeight="1">
      <c r="B2161" s="720"/>
      <c r="C2161" s="717"/>
      <c r="D2161" s="717"/>
      <c r="E2161" s="710"/>
      <c r="F2161" s="718" t="s">
        <v>699</v>
      </c>
      <c r="G2161" s="718"/>
      <c r="H2161" s="718"/>
      <c r="I2161" s="729"/>
      <c r="J2161" s="714"/>
      <c r="K2161" s="714"/>
      <c r="L2161" s="736"/>
    </row>
    <row r="2162" spans="1:13" ht="9.1999999999999993" customHeight="1">
      <c r="B2162" s="720"/>
      <c r="C2162" s="717"/>
      <c r="D2162" s="717"/>
      <c r="E2162" s="710" t="s">
        <v>700</v>
      </c>
      <c r="F2162" s="710" t="s">
        <v>246</v>
      </c>
      <c r="G2162" s="710"/>
      <c r="H2162" s="710"/>
      <c r="I2162" s="729"/>
      <c r="J2162" s="728">
        <f>J2157-J2158</f>
        <v>12125.577644230771</v>
      </c>
      <c r="K2162" s="728">
        <f>ROUND(J2162,-1)</f>
        <v>12130</v>
      </c>
      <c r="L2162" s="710"/>
    </row>
    <row r="2163" spans="1:13" ht="9.1999999999999993" customHeight="1">
      <c r="B2163" s="720"/>
      <c r="C2163" s="717"/>
      <c r="D2163" s="717"/>
      <c r="E2163" s="715"/>
      <c r="F2163" s="715"/>
      <c r="G2163" s="715"/>
      <c r="I2163" s="715" t="s">
        <v>701</v>
      </c>
      <c r="J2163" s="737"/>
      <c r="K2163" s="737"/>
      <c r="L2163" s="715"/>
    </row>
    <row r="2164" spans="1:13" ht="9.1999999999999993" customHeight="1">
      <c r="B2164" s="720"/>
      <c r="C2164" s="717"/>
      <c r="D2164" s="717"/>
      <c r="E2164" s="715"/>
      <c r="F2164" s="715"/>
      <c r="G2164" s="715"/>
      <c r="I2164" s="715"/>
      <c r="J2164" s="737"/>
      <c r="K2164" s="737"/>
      <c r="L2164" s="715"/>
    </row>
    <row r="2165" spans="1:13" ht="9.1999999999999993" customHeight="1">
      <c r="B2165" s="720"/>
      <c r="C2165" s="717"/>
      <c r="D2165" s="717"/>
      <c r="E2165" s="715"/>
      <c r="F2165" s="715"/>
      <c r="G2165" s="715"/>
      <c r="I2165" s="715"/>
      <c r="J2165" s="737"/>
      <c r="K2165" s="737"/>
      <c r="L2165" s="715"/>
    </row>
    <row r="2168" spans="1:13" s="692" customFormat="1" ht="9.1999999999999993" customHeight="1">
      <c r="A2168" s="755"/>
      <c r="B2168" s="755"/>
      <c r="C2168" s="756"/>
      <c r="D2168" s="756"/>
      <c r="E2168" s="757" t="str">
        <f>$E$2</f>
        <v>THẺ LƯƠNG THÁNG 08/2019</v>
      </c>
      <c r="F2168" s="758"/>
      <c r="G2168" s="758"/>
      <c r="H2168" s="758"/>
      <c r="I2168" s="762"/>
      <c r="J2168" s="762"/>
      <c r="K2168" s="762"/>
      <c r="L2168" s="782"/>
      <c r="M2168" s="755"/>
    </row>
    <row r="2169" spans="1:13" s="692" customFormat="1" ht="9.1999999999999993" customHeight="1">
      <c r="A2169" s="755"/>
      <c r="B2169" s="759" t="s">
        <v>644</v>
      </c>
      <c r="C2169" s="760" t="s">
        <v>400</v>
      </c>
      <c r="D2169" s="761"/>
      <c r="E2169" s="762"/>
      <c r="F2169" s="763" t="s">
        <v>645</v>
      </c>
      <c r="G2169" s="762" t="str">
        <f>VLOOKUP(C2169,'Luong VP'!$B$10:$AP$189,2,0)</f>
        <v>Nguyễn Hùng Dũng</v>
      </c>
      <c r="H2169" s="762"/>
      <c r="I2169" s="762"/>
      <c r="J2169" s="762"/>
      <c r="K2169" s="762"/>
      <c r="L2169" s="782"/>
      <c r="M2169" s="755"/>
    </row>
    <row r="2170" spans="1:13" s="692" customFormat="1" ht="9.1999999999999993" customHeight="1">
      <c r="A2170" s="755"/>
      <c r="B2170" s="759" t="s">
        <v>646</v>
      </c>
      <c r="C2170" s="762" t="str">
        <f>VLOOKUP(C2169,'Luong VP'!$B$10:$AP$189,3,0)</f>
        <v>NV trạm cân</v>
      </c>
      <c r="D2170" s="762"/>
      <c r="E2170" s="762"/>
      <c r="F2170" s="763" t="s">
        <v>647</v>
      </c>
      <c r="G2170" s="762">
        <f>VLOOKUP(C2169,'Luong VP'!$B$10:$AP$189,5,0)</f>
        <v>4</v>
      </c>
      <c r="H2170" s="762"/>
      <c r="I2170" s="762"/>
      <c r="J2170" s="762"/>
      <c r="K2170" s="762"/>
      <c r="L2170" s="782"/>
      <c r="M2170" s="755"/>
    </row>
    <row r="2171" spans="1:13" s="692" customFormat="1" ht="9.1999999999999993" customHeight="1">
      <c r="A2171" s="755"/>
      <c r="B2171" s="764"/>
      <c r="C2171" s="765"/>
      <c r="D2171" s="766"/>
      <c r="E2171" s="762"/>
      <c r="F2171" s="767" t="s">
        <v>648</v>
      </c>
      <c r="G2171" s="767"/>
      <c r="H2171" s="767"/>
      <c r="I2171" s="783"/>
      <c r="J2171" s="784"/>
      <c r="K2171" s="762"/>
      <c r="L2171" s="782"/>
      <c r="M2171" s="755"/>
    </row>
    <row r="2172" spans="1:13" s="692" customFormat="1" ht="9.1999999999999993" customHeight="1">
      <c r="A2172" s="768" t="s">
        <v>216</v>
      </c>
      <c r="B2172" s="768" t="s">
        <v>649</v>
      </c>
      <c r="C2172" s="769" t="s">
        <v>650</v>
      </c>
      <c r="D2172" s="770"/>
      <c r="E2172" s="771" t="s">
        <v>216</v>
      </c>
      <c r="F2172" s="772" t="s">
        <v>649</v>
      </c>
      <c r="G2172" s="771"/>
      <c r="H2172" s="771" t="s">
        <v>651</v>
      </c>
      <c r="I2172" s="785" t="s">
        <v>652</v>
      </c>
      <c r="J2172" s="775"/>
      <c r="K2172" s="762"/>
      <c r="L2172" s="782" t="s">
        <v>653</v>
      </c>
      <c r="M2172" s="755"/>
    </row>
    <row r="2173" spans="1:13" s="692" customFormat="1" ht="9.1999999999999993" customHeight="1">
      <c r="A2173" s="773">
        <v>1</v>
      </c>
      <c r="B2173" s="774" t="s">
        <v>654</v>
      </c>
      <c r="C2173" s="775">
        <f>VLOOKUP(C2169,'[3]Luong VP'!$B$10:$AP$135,9,0)</f>
        <v>6960</v>
      </c>
      <c r="D2173" s="776"/>
      <c r="E2173" s="771" t="s">
        <v>655</v>
      </c>
      <c r="F2173" s="777" t="s">
        <v>656</v>
      </c>
      <c r="G2173" s="771"/>
      <c r="H2173" s="771"/>
      <c r="I2173" s="785"/>
      <c r="J2173" s="775">
        <f>VLOOKUP(C2169,'Luong VP'!$B$10:$AP$189,21,0)</f>
        <v>10238.4</v>
      </c>
      <c r="K2173" s="762"/>
      <c r="L2173" s="782"/>
      <c r="M2173" s="755"/>
    </row>
    <row r="2174" spans="1:13" s="692" customFormat="1" ht="9.1999999999999993" customHeight="1">
      <c r="A2174" s="773">
        <v>2</v>
      </c>
      <c r="B2174" s="774" t="s">
        <v>658</v>
      </c>
      <c r="C2174" s="775"/>
      <c r="D2174" s="778"/>
      <c r="E2174" s="771">
        <v>1</v>
      </c>
      <c r="F2174" s="779" t="s">
        <v>659</v>
      </c>
      <c r="G2174" s="779"/>
      <c r="H2174" s="771" t="s">
        <v>660</v>
      </c>
      <c r="I2174" s="785">
        <f>VLOOKUP(C2169,'Luong VP'!$B$10:$AP$189,22,0)</f>
        <v>26</v>
      </c>
      <c r="J2174" s="786">
        <f>J2173/'Cham cong'!$AT$3*I2174</f>
        <v>8873.2799999999988</v>
      </c>
      <c r="K2174" s="762"/>
      <c r="L2174" s="782"/>
      <c r="M2174" s="755"/>
    </row>
    <row r="2175" spans="1:13" s="692" customFormat="1" ht="9.1999999999999993" customHeight="1">
      <c r="A2175" s="773">
        <v>3</v>
      </c>
      <c r="B2175" s="774" t="s">
        <v>661</v>
      </c>
      <c r="C2175" s="775">
        <f>VLOOKUP(C2169,'[3]Luong VP'!$B$10:$AP$135,10,0)</f>
        <v>0</v>
      </c>
      <c r="D2175" s="778"/>
      <c r="E2175" s="771">
        <v>2</v>
      </c>
      <c r="F2175" s="779" t="s">
        <v>662</v>
      </c>
      <c r="G2175" s="779"/>
      <c r="H2175" s="771" t="s">
        <v>660</v>
      </c>
      <c r="I2175" s="785">
        <f>VLOOKUP(C2169,'Luong VP'!$B$10:$AP$189,27,0)</f>
        <v>0</v>
      </c>
      <c r="J2175" s="786">
        <f>J2173/'Cham cong'!$AT$3*I2175*3</f>
        <v>0</v>
      </c>
      <c r="K2175" s="762"/>
      <c r="L2175" s="782"/>
      <c r="M2175" s="755"/>
    </row>
    <row r="2176" spans="1:13" s="692" customFormat="1" ht="9.1999999999999993" customHeight="1">
      <c r="A2176" s="773">
        <v>4</v>
      </c>
      <c r="B2176" s="774" t="s">
        <v>666</v>
      </c>
      <c r="C2176" s="775">
        <f>VLOOKUP(C2169,'[3]Luong VP'!$B$10:$AP$135,11,0)</f>
        <v>0</v>
      </c>
      <c r="D2176" s="778"/>
      <c r="E2176" s="771">
        <v>3</v>
      </c>
      <c r="F2176" s="779" t="s">
        <v>667</v>
      </c>
      <c r="G2176" s="779"/>
      <c r="H2176" s="771" t="s">
        <v>668</v>
      </c>
      <c r="I2176" s="785">
        <f>VLOOKUP(C2169,'Luong VP'!$B$10:$AP$189,26,0)</f>
        <v>0</v>
      </c>
      <c r="J2176" s="786">
        <f>J2173/'Cham cong'!$AT$3*I2176/8*1.5</f>
        <v>0</v>
      </c>
      <c r="K2176" s="762"/>
      <c r="L2176" s="782"/>
      <c r="M2176" s="755"/>
    </row>
    <row r="2177" spans="1:13" s="692" customFormat="1" ht="9.1999999999999993" customHeight="1">
      <c r="A2177" s="773">
        <v>5</v>
      </c>
      <c r="B2177" s="774" t="s">
        <v>670</v>
      </c>
      <c r="C2177" s="775">
        <f>VLOOKUP(C2169,'[3]Luong VP'!$B$10:$AP$135,12,0)</f>
        <v>208.79999999999998</v>
      </c>
      <c r="D2177" s="778"/>
      <c r="E2177" s="771">
        <v>4</v>
      </c>
      <c r="F2177" s="779" t="s">
        <v>671</v>
      </c>
      <c r="G2177" s="779"/>
      <c r="H2177" s="771" t="s">
        <v>668</v>
      </c>
      <c r="I2177" s="785">
        <f>VLOOKUP(C2169,'Luong VP'!$B$10:$AP$189,25,0)</f>
        <v>0</v>
      </c>
      <c r="J2177" s="786">
        <f>J2173/'Cham cong'!$AT$3*I2177/8*2</f>
        <v>0</v>
      </c>
      <c r="K2177" s="762"/>
      <c r="L2177" s="782"/>
      <c r="M2177" s="755"/>
    </row>
    <row r="2178" spans="1:13" s="692" customFormat="1" ht="9.1999999999999993" customHeight="1">
      <c r="A2178" s="773">
        <v>6</v>
      </c>
      <c r="B2178" s="774" t="s">
        <v>673</v>
      </c>
      <c r="C2178" s="775">
        <f>VLOOKUP(C2169,'[3]Luong VP'!$B$10:$AP$135,13,0)</f>
        <v>0</v>
      </c>
      <c r="D2178" s="778"/>
      <c r="E2178" s="771">
        <v>5</v>
      </c>
      <c r="F2178" s="779" t="s">
        <v>674</v>
      </c>
      <c r="G2178" s="779"/>
      <c r="H2178" s="771" t="s">
        <v>660</v>
      </c>
      <c r="I2178" s="785">
        <f>VLOOKUP(C2169,'Luong VP'!$B$10:$AP$189,23,0)</f>
        <v>0</v>
      </c>
      <c r="J2178" s="786">
        <f>C2173/'Cham cong'!$AT$3*I2178</f>
        <v>0</v>
      </c>
      <c r="K2178" s="762"/>
      <c r="L2178" s="782" t="str">
        <f>G2169</f>
        <v>Nguyễn Hùng Dũng</v>
      </c>
      <c r="M2178" s="755"/>
    </row>
    <row r="2179" spans="1:13" s="692" customFormat="1" ht="9.1999999999999993" customHeight="1">
      <c r="A2179" s="773">
        <v>7</v>
      </c>
      <c r="B2179" s="774" t="s">
        <v>676</v>
      </c>
      <c r="C2179" s="775"/>
      <c r="D2179" s="778"/>
      <c r="E2179" s="771">
        <v>6</v>
      </c>
      <c r="F2179" s="779" t="s">
        <v>677</v>
      </c>
      <c r="G2179" s="779"/>
      <c r="H2179" s="771" t="s">
        <v>660</v>
      </c>
      <c r="I2179" s="785">
        <f>VLOOKUP(C2169,'Luong VP'!$B$10:$AP$189,24,0)</f>
        <v>1</v>
      </c>
      <c r="J2179" s="775">
        <f>C2173/'Cham cong'!$AT$3*I2179</f>
        <v>232</v>
      </c>
      <c r="K2179" s="762"/>
      <c r="L2179" s="782"/>
      <c r="M2179" s="755"/>
    </row>
    <row r="2180" spans="1:13" s="692" customFormat="1" ht="9.1999999999999993" customHeight="1">
      <c r="A2180" s="773">
        <v>8</v>
      </c>
      <c r="B2180" s="774" t="s">
        <v>679</v>
      </c>
      <c r="C2180" s="775">
        <f>VLOOKUP(C2169,'[3]Luong VP'!$B$10:$AP$135,14,0)</f>
        <v>0</v>
      </c>
      <c r="D2180" s="778"/>
      <c r="E2180" s="771">
        <v>7</v>
      </c>
      <c r="F2180" s="779" t="s">
        <v>680</v>
      </c>
      <c r="G2180" s="779"/>
      <c r="H2180" s="779"/>
      <c r="I2180" s="787"/>
      <c r="J2180" s="775">
        <f>VLOOKUP(C2169,'Luong VP'!$B$10:$AP$189,28,0)</f>
        <v>0</v>
      </c>
      <c r="K2180" s="762"/>
      <c r="L2180" s="782"/>
      <c r="M2180" s="755"/>
    </row>
    <row r="2181" spans="1:13" s="692" customFormat="1" ht="9.1999999999999993" customHeight="1">
      <c r="A2181" s="773">
        <v>9</v>
      </c>
      <c r="B2181" s="774" t="s">
        <v>683</v>
      </c>
      <c r="C2181" s="775">
        <f>VLOOKUP(C2169,'[3]Luong VP'!$B$10:$AP$135,15,0)</f>
        <v>0</v>
      </c>
      <c r="D2181" s="778"/>
      <c r="E2181" s="771">
        <v>8</v>
      </c>
      <c r="F2181" s="779" t="s">
        <v>238</v>
      </c>
      <c r="G2181" s="779"/>
      <c r="H2181" s="779"/>
      <c r="I2181" s="787"/>
      <c r="J2181" s="775">
        <f>VLOOKUP(C2169,'Luong VP'!$B$10:$AP$189,33,0)</f>
        <v>0</v>
      </c>
      <c r="K2181" s="762"/>
      <c r="L2181" s="782"/>
      <c r="M2181" s="755"/>
    </row>
    <row r="2182" spans="1:13" s="692" customFormat="1" ht="9.1999999999999993" customHeight="1">
      <c r="A2182" s="773">
        <v>10</v>
      </c>
      <c r="B2182" s="774" t="s">
        <v>685</v>
      </c>
      <c r="C2182" s="775">
        <f>VLOOKUP(C2169,'[3]Luong VP'!$B$10:$AP$135,16,0)</f>
        <v>0</v>
      </c>
      <c r="D2182" s="778"/>
      <c r="E2182" s="771" t="s">
        <v>686</v>
      </c>
      <c r="F2182" s="777" t="s">
        <v>687</v>
      </c>
      <c r="G2182" s="780"/>
      <c r="H2182" s="780"/>
      <c r="I2182" s="787"/>
      <c r="J2182" s="788"/>
      <c r="K2182" s="762"/>
      <c r="L2182" s="782"/>
      <c r="M2182" s="755"/>
    </row>
    <row r="2183" spans="1:13" s="692" customFormat="1" ht="9.1999999999999993" customHeight="1">
      <c r="A2183" s="773">
        <v>11</v>
      </c>
      <c r="B2183" s="774" t="s">
        <v>688</v>
      </c>
      <c r="C2183" s="775">
        <f>VLOOKUP(C2169,'[3]Luong VP'!$B$10:$AP$135,17,0)</f>
        <v>0</v>
      </c>
      <c r="D2183" s="778"/>
      <c r="E2183" s="771">
        <v>1</v>
      </c>
      <c r="F2183" s="777" t="s">
        <v>689</v>
      </c>
      <c r="G2183" s="780"/>
      <c r="H2183" s="780"/>
      <c r="I2183" s="787"/>
      <c r="J2183" s="775">
        <f>VLOOKUP(C2169,'Luong VP'!$B$10:$AP$189,30,0)</f>
        <v>0</v>
      </c>
      <c r="K2183" s="762"/>
      <c r="L2183" s="782"/>
      <c r="M2183" s="755"/>
    </row>
    <row r="2184" spans="1:13" s="692" customFormat="1" ht="9.1999999999999993" customHeight="1">
      <c r="A2184" s="773">
        <v>12</v>
      </c>
      <c r="B2184" s="774" t="s">
        <v>691</v>
      </c>
      <c r="C2184" s="775">
        <f>VLOOKUP(C2169,'[3]Luong VP'!$B$10:$AP$135,18,0)</f>
        <v>0</v>
      </c>
      <c r="D2184" s="778"/>
      <c r="E2184" s="771">
        <v>2</v>
      </c>
      <c r="F2184" s="779" t="s">
        <v>239</v>
      </c>
      <c r="G2184" s="779"/>
      <c r="H2184" s="779"/>
      <c r="I2184" s="785"/>
      <c r="J2184" s="786">
        <f>VLOOKUP(C2169,'Luong VP'!$B$10:$AP$189,34,0)</f>
        <v>0</v>
      </c>
      <c r="K2184" s="789"/>
      <c r="L2184" s="776"/>
      <c r="M2184" s="755"/>
    </row>
    <row r="2185" spans="1:13" s="692" customFormat="1" ht="9.1999999999999993" customHeight="1">
      <c r="A2185" s="773">
        <v>13</v>
      </c>
      <c r="B2185" s="774" t="s">
        <v>692</v>
      </c>
      <c r="C2185" s="775">
        <f>VLOOKUP(C2169,'[3]Luong VP'!$B$10:$AP$135,19,0)</f>
        <v>0</v>
      </c>
      <c r="D2185" s="778"/>
      <c r="E2185" s="771">
        <v>3</v>
      </c>
      <c r="F2185" s="777" t="s">
        <v>693</v>
      </c>
      <c r="G2185" s="780"/>
      <c r="H2185" s="780"/>
      <c r="I2185" s="787"/>
      <c r="J2185" s="775">
        <f>VLOOKUP(C2169,'Luong VP'!$B$10:$AP$189,40,0)</f>
        <v>0</v>
      </c>
      <c r="K2185" s="789"/>
      <c r="L2185" s="776"/>
      <c r="M2185" s="755"/>
    </row>
    <row r="2186" spans="1:13" s="692" customFormat="1" ht="9.1999999999999993" customHeight="1">
      <c r="A2186" s="773">
        <v>14</v>
      </c>
      <c r="B2186" s="774" t="s">
        <v>694</v>
      </c>
      <c r="C2186" s="775">
        <f>VLOOKUP(C2169,'[3]Luong VP'!$B$10:$AP$135,20,0)</f>
        <v>3000</v>
      </c>
      <c r="D2186" s="778"/>
      <c r="E2186" s="771">
        <v>4</v>
      </c>
      <c r="F2186" s="779" t="s">
        <v>695</v>
      </c>
      <c r="G2186" s="780"/>
      <c r="H2186" s="780"/>
      <c r="I2186" s="787"/>
      <c r="J2186" s="775">
        <f>VLOOKUP(C2169,'Luong VP'!$B$10:$AP$189,35,0)</f>
        <v>0</v>
      </c>
      <c r="K2186" s="790"/>
      <c r="L2186" s="776"/>
      <c r="M2186" s="755"/>
    </row>
    <row r="2187" spans="1:13" s="692" customFormat="1" ht="9.1999999999999993" customHeight="1">
      <c r="A2187" s="773"/>
      <c r="B2187" s="768" t="s">
        <v>656</v>
      </c>
      <c r="C2187" s="775">
        <f>SUM(C2173:C2186)</f>
        <v>10168.799999999999</v>
      </c>
      <c r="D2187" s="778"/>
      <c r="E2187" s="771"/>
      <c r="F2187" s="777" t="s">
        <v>241</v>
      </c>
      <c r="G2187" s="780"/>
      <c r="H2187" s="780"/>
      <c r="I2187" s="787"/>
      <c r="J2187" s="788">
        <f>SUM(J2174:J2186)+C2181</f>
        <v>9105.2799999999988</v>
      </c>
      <c r="K2187" s="789"/>
      <c r="L2187" s="776"/>
      <c r="M2187" s="755"/>
    </row>
    <row r="2188" spans="1:13" s="692" customFormat="1" ht="9.1999999999999993" customHeight="1">
      <c r="A2188" s="755"/>
      <c r="B2188" s="781"/>
      <c r="C2188" s="778"/>
      <c r="D2188" s="778"/>
      <c r="E2188" s="771" t="s">
        <v>696</v>
      </c>
      <c r="F2188" s="772" t="s">
        <v>697</v>
      </c>
      <c r="G2188" s="771"/>
      <c r="H2188" s="771"/>
      <c r="I2188" s="787"/>
      <c r="J2188" s="788">
        <f>SUM(J2189:J2191)</f>
        <v>5504</v>
      </c>
      <c r="K2188" s="790"/>
      <c r="L2188" s="776"/>
      <c r="M2188" s="755"/>
    </row>
    <row r="2189" spans="1:13" s="692" customFormat="1" ht="9.1999999999999993" customHeight="1">
      <c r="A2189" s="755"/>
      <c r="B2189" s="781"/>
      <c r="C2189" s="778"/>
      <c r="D2189" s="778"/>
      <c r="E2189" s="771">
        <v>1</v>
      </c>
      <c r="F2189" s="779" t="s">
        <v>698</v>
      </c>
      <c r="G2189" s="779"/>
      <c r="H2189" s="779"/>
      <c r="I2189" s="791"/>
      <c r="J2189" s="775">
        <f>VLOOKUP(C2169,'Luong VP'!$B$10:$AP$189,37,0)</f>
        <v>504</v>
      </c>
      <c r="K2189" s="790"/>
      <c r="L2189" s="776"/>
      <c r="M2189" s="755"/>
    </row>
    <row r="2190" spans="1:13" s="692" customFormat="1" ht="9.1999999999999993" customHeight="1">
      <c r="A2190" s="755"/>
      <c r="B2190" s="781"/>
      <c r="C2190" s="778"/>
      <c r="D2190" s="778"/>
      <c r="E2190" s="771">
        <v>2</v>
      </c>
      <c r="F2190" s="779" t="s">
        <v>244</v>
      </c>
      <c r="G2190" s="779"/>
      <c r="H2190" s="779"/>
      <c r="I2190" s="787"/>
      <c r="J2190" s="775">
        <f>VLOOKUP(C2169,'Luong VP'!$B$10:$AP$189,39,0)</f>
        <v>5000</v>
      </c>
      <c r="K2190" s="792"/>
      <c r="L2190" s="793"/>
      <c r="M2190" s="755"/>
    </row>
    <row r="2191" spans="1:13" s="692" customFormat="1" ht="9.1999999999999993" customHeight="1">
      <c r="A2191" s="755"/>
      <c r="B2191" s="781"/>
      <c r="C2191" s="778"/>
      <c r="D2191" s="778"/>
      <c r="E2191" s="771"/>
      <c r="F2191" s="779" t="s">
        <v>699</v>
      </c>
      <c r="G2191" s="779"/>
      <c r="H2191" s="779"/>
      <c r="I2191" s="787"/>
      <c r="J2191" s="775"/>
      <c r="K2191" s="775"/>
      <c r="L2191" s="794"/>
      <c r="M2191" s="755"/>
    </row>
    <row r="2192" spans="1:13" s="692" customFormat="1" ht="9.1999999999999993" customHeight="1">
      <c r="A2192" s="755"/>
      <c r="B2192" s="781"/>
      <c r="C2192" s="778"/>
      <c r="D2192" s="778"/>
      <c r="E2192" s="771" t="s">
        <v>700</v>
      </c>
      <c r="F2192" s="771" t="s">
        <v>246</v>
      </c>
      <c r="G2192" s="771"/>
      <c r="H2192" s="771"/>
      <c r="I2192" s="787"/>
      <c r="J2192" s="786">
        <f>J2187-J2188</f>
        <v>3601.2799999999988</v>
      </c>
      <c r="K2192" s="786">
        <f>ROUND(J2192,-1)</f>
        <v>3600</v>
      </c>
      <c r="L2192" s="771"/>
      <c r="M2192" s="755"/>
    </row>
    <row r="2193" spans="1:13" s="692" customFormat="1" ht="9.1999999999999993" customHeight="1">
      <c r="A2193" s="755"/>
      <c r="B2193" s="781"/>
      <c r="C2193" s="778"/>
      <c r="D2193" s="778"/>
      <c r="E2193" s="776"/>
      <c r="F2193" s="776"/>
      <c r="G2193" s="776"/>
      <c r="H2193" s="762"/>
      <c r="I2193" s="776" t="s">
        <v>701</v>
      </c>
      <c r="J2193" s="795"/>
      <c r="K2193" s="795"/>
      <c r="L2193" s="776"/>
      <c r="M2193" s="755"/>
    </row>
    <row r="2194" spans="1:13" s="692" customFormat="1" ht="9.1999999999999993" customHeight="1">
      <c r="A2194" s="755"/>
      <c r="B2194" s="781"/>
      <c r="C2194" s="778"/>
      <c r="D2194" s="778"/>
      <c r="E2194" s="776"/>
      <c r="F2194" s="776"/>
      <c r="G2194" s="776"/>
      <c r="H2194" s="762"/>
      <c r="I2194" s="776"/>
      <c r="J2194" s="795"/>
      <c r="K2194" s="795"/>
      <c r="L2194" s="776"/>
      <c r="M2194" s="755"/>
    </row>
    <row r="2195" spans="1:13" s="692" customFormat="1" ht="9.1999999999999993" customHeight="1">
      <c r="A2195" s="755"/>
      <c r="B2195" s="755"/>
      <c r="C2195" s="762"/>
      <c r="D2195" s="762"/>
      <c r="E2195" s="762"/>
      <c r="F2195" s="762"/>
      <c r="G2195" s="762"/>
      <c r="H2195" s="762"/>
      <c r="I2195" s="762"/>
      <c r="J2195" s="762"/>
      <c r="K2195" s="762"/>
      <c r="L2195" s="782"/>
      <c r="M2195" s="755"/>
    </row>
    <row r="2196" spans="1:13" s="692" customFormat="1" ht="9.1999999999999993" customHeight="1">
      <c r="A2196" s="755"/>
      <c r="B2196" s="755"/>
      <c r="C2196" s="762"/>
      <c r="D2196" s="762"/>
      <c r="E2196" s="762"/>
      <c r="F2196" s="762"/>
      <c r="G2196" s="762"/>
      <c r="H2196" s="762"/>
      <c r="I2196" s="762"/>
      <c r="J2196" s="762"/>
      <c r="K2196" s="762"/>
      <c r="L2196" s="782"/>
      <c r="M2196" s="755"/>
    </row>
    <row r="2197" spans="1:13" s="692" customFormat="1" ht="9.1999999999999993" customHeight="1">
      <c r="A2197" s="755"/>
      <c r="B2197" s="755"/>
      <c r="C2197" s="762"/>
      <c r="D2197" s="762"/>
      <c r="E2197" s="762"/>
      <c r="F2197" s="762"/>
      <c r="G2197" s="762"/>
      <c r="H2197" s="762"/>
      <c r="I2197" s="762"/>
      <c r="J2197" s="762"/>
      <c r="K2197" s="762"/>
      <c r="L2197" s="782"/>
      <c r="M2197" s="755"/>
    </row>
    <row r="2198" spans="1:13" s="692" customFormat="1" ht="9.1999999999999993" customHeight="1">
      <c r="A2198" s="755"/>
      <c r="B2198" s="755"/>
      <c r="C2198" s="756"/>
      <c r="D2198" s="756"/>
      <c r="E2198" s="757" t="str">
        <f>$E$2</f>
        <v>THẺ LƯƠNG THÁNG 08/2019</v>
      </c>
      <c r="F2198" s="758"/>
      <c r="G2198" s="758"/>
      <c r="H2198" s="758"/>
      <c r="I2198" s="762"/>
      <c r="J2198" s="762"/>
      <c r="K2198" s="762"/>
      <c r="L2198" s="782"/>
      <c r="M2198" s="755"/>
    </row>
    <row r="2199" spans="1:13" s="692" customFormat="1" ht="9.1999999999999993" customHeight="1">
      <c r="A2199" s="755"/>
      <c r="B2199" s="759" t="s">
        <v>644</v>
      </c>
      <c r="C2199" s="760" t="s">
        <v>402</v>
      </c>
      <c r="D2199" s="761"/>
      <c r="E2199" s="762"/>
      <c r="F2199" s="763" t="s">
        <v>645</v>
      </c>
      <c r="G2199" s="762" t="str">
        <f>VLOOKUP(C2199,'Luong VP'!$B$10:$AP$189,2,0)</f>
        <v>Danh Thủy</v>
      </c>
      <c r="H2199" s="762"/>
      <c r="I2199" s="762"/>
      <c r="J2199" s="762"/>
      <c r="K2199" s="762"/>
      <c r="L2199" s="782"/>
      <c r="M2199" s="755"/>
    </row>
    <row r="2200" spans="1:13" s="692" customFormat="1" ht="9.1999999999999993" customHeight="1">
      <c r="A2200" s="755"/>
      <c r="B2200" s="759" t="s">
        <v>646</v>
      </c>
      <c r="C2200" s="762" t="str">
        <f>VLOOKUP(C2199,'Luong VP'!$B$10:$AP$189,3,0)</f>
        <v>NV trạm cân</v>
      </c>
      <c r="D2200" s="762"/>
      <c r="E2200" s="762"/>
      <c r="F2200" s="763" t="s">
        <v>647</v>
      </c>
      <c r="G2200" s="762">
        <f>VLOOKUP(C2199,'Luong VP'!$B$10:$AP$189,5,0)</f>
        <v>4</v>
      </c>
      <c r="H2200" s="762"/>
      <c r="I2200" s="762"/>
      <c r="J2200" s="762"/>
      <c r="K2200" s="762"/>
      <c r="L2200" s="782"/>
      <c r="M2200" s="755"/>
    </row>
    <row r="2201" spans="1:13" s="692" customFormat="1" ht="9.1999999999999993" customHeight="1">
      <c r="A2201" s="755"/>
      <c r="B2201" s="764"/>
      <c r="C2201" s="765"/>
      <c r="D2201" s="766"/>
      <c r="E2201" s="762"/>
      <c r="F2201" s="767" t="s">
        <v>648</v>
      </c>
      <c r="G2201" s="767"/>
      <c r="H2201" s="767"/>
      <c r="I2201" s="783"/>
      <c r="J2201" s="784"/>
      <c r="K2201" s="762"/>
      <c r="L2201" s="782"/>
      <c r="M2201" s="755"/>
    </row>
    <row r="2202" spans="1:13" s="692" customFormat="1" ht="9.1999999999999993" customHeight="1">
      <c r="A2202" s="768" t="s">
        <v>216</v>
      </c>
      <c r="B2202" s="768" t="s">
        <v>649</v>
      </c>
      <c r="C2202" s="769" t="s">
        <v>650</v>
      </c>
      <c r="D2202" s="770"/>
      <c r="E2202" s="771" t="s">
        <v>216</v>
      </c>
      <c r="F2202" s="772" t="s">
        <v>649</v>
      </c>
      <c r="G2202" s="771"/>
      <c r="H2202" s="771" t="s">
        <v>651</v>
      </c>
      <c r="I2202" s="785" t="s">
        <v>652</v>
      </c>
      <c r="J2202" s="775"/>
      <c r="K2202" s="762"/>
      <c r="L2202" s="782" t="s">
        <v>653</v>
      </c>
      <c r="M2202" s="755"/>
    </row>
    <row r="2203" spans="1:13" s="692" customFormat="1" ht="9.1999999999999993" customHeight="1">
      <c r="A2203" s="773">
        <v>1</v>
      </c>
      <c r="B2203" s="774" t="s">
        <v>654</v>
      </c>
      <c r="C2203" s="775">
        <f>VLOOKUP(C2199,'Luong VP'!$B$10:$AP$189,9,0)</f>
        <v>6960</v>
      </c>
      <c r="D2203" s="776"/>
      <c r="E2203" s="771" t="s">
        <v>655</v>
      </c>
      <c r="F2203" s="777" t="s">
        <v>656</v>
      </c>
      <c r="G2203" s="771"/>
      <c r="H2203" s="771"/>
      <c r="I2203" s="785"/>
      <c r="J2203" s="775">
        <f>VLOOKUP(C2199,'Luong VP'!$B$10:$AP$189,21,0)</f>
        <v>8960</v>
      </c>
      <c r="K2203" s="762"/>
      <c r="L2203" s="782"/>
      <c r="M2203" s="755"/>
    </row>
    <row r="2204" spans="1:13" s="692" customFormat="1" ht="9.1999999999999993" customHeight="1">
      <c r="A2204" s="773">
        <v>2</v>
      </c>
      <c r="B2204" s="774" t="s">
        <v>658</v>
      </c>
      <c r="C2204" s="775"/>
      <c r="D2204" s="778"/>
      <c r="E2204" s="771">
        <v>1</v>
      </c>
      <c r="F2204" s="779" t="s">
        <v>659</v>
      </c>
      <c r="G2204" s="779"/>
      <c r="H2204" s="771" t="s">
        <v>660</v>
      </c>
      <c r="I2204" s="785">
        <f>VLOOKUP(C2199,'Luong VP'!$B$10:$AP$189,22,0)</f>
        <v>30</v>
      </c>
      <c r="J2204" s="786">
        <f>J2203/'Cham cong'!$AT$3*I2204</f>
        <v>8960</v>
      </c>
      <c r="K2204" s="762"/>
      <c r="L2204" s="782"/>
      <c r="M2204" s="755"/>
    </row>
    <row r="2205" spans="1:13" s="692" customFormat="1" ht="9.1999999999999993" customHeight="1">
      <c r="A2205" s="773">
        <v>3</v>
      </c>
      <c r="B2205" s="774" t="s">
        <v>661</v>
      </c>
      <c r="C2205" s="775">
        <f>VLOOKUP(C2199,'Luong VP'!$B$10:$AP$189,10,0)</f>
        <v>0</v>
      </c>
      <c r="D2205" s="778"/>
      <c r="E2205" s="771">
        <v>2</v>
      </c>
      <c r="F2205" s="779" t="s">
        <v>662</v>
      </c>
      <c r="G2205" s="779"/>
      <c r="H2205" s="771" t="s">
        <v>660</v>
      </c>
      <c r="I2205" s="785">
        <f>VLOOKUP(C2199,'Luong VP'!$B$10:$AP$189,27,0)</f>
        <v>0</v>
      </c>
      <c r="J2205" s="786">
        <f>J2203/'Cham cong'!$AT$3*I2205*3</f>
        <v>0</v>
      </c>
      <c r="K2205" s="762"/>
      <c r="L2205" s="782"/>
      <c r="M2205" s="755"/>
    </row>
    <row r="2206" spans="1:13" s="692" customFormat="1" ht="9.1999999999999993" customHeight="1">
      <c r="A2206" s="773">
        <v>4</v>
      </c>
      <c r="B2206" s="774" t="s">
        <v>666</v>
      </c>
      <c r="C2206" s="775">
        <f>VLOOKUP(C2199,'Luong VP'!$B$10:$AP$189,11,0)</f>
        <v>0</v>
      </c>
      <c r="D2206" s="778"/>
      <c r="E2206" s="771">
        <v>3</v>
      </c>
      <c r="F2206" s="779" t="s">
        <v>667</v>
      </c>
      <c r="G2206" s="779"/>
      <c r="H2206" s="771" t="s">
        <v>668</v>
      </c>
      <c r="I2206" s="785">
        <f>VLOOKUP(C2199,'Luong VP'!$B$10:$AP$189,26,0)</f>
        <v>0</v>
      </c>
      <c r="J2206" s="786">
        <f>J2203/'Cham cong'!$AT$3*I2206/8*1.5</f>
        <v>0</v>
      </c>
      <c r="K2206" s="762"/>
      <c r="L2206" s="782"/>
      <c r="M2206" s="755"/>
    </row>
    <row r="2207" spans="1:13" s="692" customFormat="1" ht="9.1999999999999993" customHeight="1">
      <c r="A2207" s="773">
        <v>5</v>
      </c>
      <c r="B2207" s="774" t="s">
        <v>670</v>
      </c>
      <c r="C2207" s="775">
        <f>VLOOKUP(C2199,'Luong VP'!$B$10:$AP$189,12,0)</f>
        <v>0</v>
      </c>
      <c r="D2207" s="778"/>
      <c r="E2207" s="771">
        <v>4</v>
      </c>
      <c r="F2207" s="779" t="s">
        <v>671</v>
      </c>
      <c r="G2207" s="779"/>
      <c r="H2207" s="771" t="s">
        <v>668</v>
      </c>
      <c r="I2207" s="785">
        <f>VLOOKUP(C2199,'Luong VP'!$B$10:$AP$189,25,0)</f>
        <v>0</v>
      </c>
      <c r="J2207" s="786">
        <f>J2203/'Cham cong'!$AT$3*I2207/8*2</f>
        <v>0</v>
      </c>
      <c r="K2207" s="762"/>
      <c r="L2207" s="782"/>
      <c r="M2207" s="755"/>
    </row>
    <row r="2208" spans="1:13" s="692" customFormat="1" ht="9.1999999999999993" customHeight="1">
      <c r="A2208" s="773">
        <v>6</v>
      </c>
      <c r="B2208" s="774" t="s">
        <v>673</v>
      </c>
      <c r="C2208" s="775">
        <f>VLOOKUP(C2199,'Luong VP'!$B$10:$AP$189,13,0)</f>
        <v>0</v>
      </c>
      <c r="D2208" s="778"/>
      <c r="E2208" s="771">
        <v>5</v>
      </c>
      <c r="F2208" s="779" t="s">
        <v>674</v>
      </c>
      <c r="G2208" s="779"/>
      <c r="H2208" s="771" t="s">
        <v>660</v>
      </c>
      <c r="I2208" s="785">
        <f>VLOOKUP(C2199,'Luong VP'!$B$10:$AP$189,23,0)</f>
        <v>0</v>
      </c>
      <c r="J2208" s="786">
        <f>C2203/'Cham cong'!$AT$3*I2208</f>
        <v>0</v>
      </c>
      <c r="K2208" s="762"/>
      <c r="L2208" s="782" t="str">
        <f>G2199</f>
        <v>Danh Thủy</v>
      </c>
      <c r="M2208" s="755"/>
    </row>
    <row r="2209" spans="1:13" s="692" customFormat="1" ht="9.1999999999999993" customHeight="1">
      <c r="A2209" s="773">
        <v>7</v>
      </c>
      <c r="B2209" s="774" t="s">
        <v>676</v>
      </c>
      <c r="C2209" s="775"/>
      <c r="D2209" s="778"/>
      <c r="E2209" s="771">
        <v>6</v>
      </c>
      <c r="F2209" s="779" t="s">
        <v>677</v>
      </c>
      <c r="G2209" s="779"/>
      <c r="H2209" s="771" t="s">
        <v>660</v>
      </c>
      <c r="I2209" s="785">
        <f>VLOOKUP(C2199,'Luong VP'!$B$10:$AP$189,24,0)</f>
        <v>1</v>
      </c>
      <c r="J2209" s="775">
        <f>C2203/'Cham cong'!$AT$3*I2209</f>
        <v>232</v>
      </c>
      <c r="K2209" s="762"/>
      <c r="L2209" s="782"/>
      <c r="M2209" s="755"/>
    </row>
    <row r="2210" spans="1:13" s="692" customFormat="1" ht="9.1999999999999993" customHeight="1">
      <c r="A2210" s="773">
        <v>8</v>
      </c>
      <c r="B2210" s="774" t="s">
        <v>679</v>
      </c>
      <c r="C2210" s="775">
        <f>VLOOKUP(C2199,'Luong VP'!$B$10:$AP$189,14,0)</f>
        <v>0</v>
      </c>
      <c r="D2210" s="778"/>
      <c r="E2210" s="771">
        <v>7</v>
      </c>
      <c r="F2210" s="779" t="s">
        <v>680</v>
      </c>
      <c r="G2210" s="779"/>
      <c r="H2210" s="779"/>
      <c r="I2210" s="787"/>
      <c r="J2210" s="775">
        <f>VLOOKUP(C2199,'Luong VP'!$B$10:$AP$189,28,0)</f>
        <v>0</v>
      </c>
      <c r="K2210" s="762"/>
      <c r="L2210" s="782"/>
      <c r="M2210" s="755"/>
    </row>
    <row r="2211" spans="1:13" s="692" customFormat="1" ht="9.1999999999999993" customHeight="1">
      <c r="A2211" s="773">
        <v>9</v>
      </c>
      <c r="B2211" s="774" t="s">
        <v>683</v>
      </c>
      <c r="C2211" s="775">
        <f>VLOOKUP(C2199,'Luong VP'!$B$10:$AP$189,15,0)</f>
        <v>0</v>
      </c>
      <c r="D2211" s="778"/>
      <c r="E2211" s="771">
        <v>8</v>
      </c>
      <c r="F2211" s="779" t="s">
        <v>238</v>
      </c>
      <c r="G2211" s="779"/>
      <c r="H2211" s="779"/>
      <c r="I2211" s="787"/>
      <c r="J2211" s="775">
        <f>VLOOKUP(C2199,'Luong VP'!$B$10:$AP$189,33,0)</f>
        <v>0</v>
      </c>
      <c r="K2211" s="762"/>
      <c r="L2211" s="782"/>
      <c r="M2211" s="755"/>
    </row>
    <row r="2212" spans="1:13" s="692" customFormat="1" ht="9.1999999999999993" customHeight="1">
      <c r="A2212" s="773">
        <v>10</v>
      </c>
      <c r="B2212" s="774" t="s">
        <v>685</v>
      </c>
      <c r="C2212" s="775">
        <f>VLOOKUP(C2199,'Luong VP'!$B$10:$AP$189,16,0)</f>
        <v>0</v>
      </c>
      <c r="D2212" s="778"/>
      <c r="E2212" s="771" t="s">
        <v>686</v>
      </c>
      <c r="F2212" s="777" t="s">
        <v>687</v>
      </c>
      <c r="G2212" s="780"/>
      <c r="H2212" s="780"/>
      <c r="I2212" s="787"/>
      <c r="J2212" s="788"/>
      <c r="K2212" s="762"/>
      <c r="L2212" s="782"/>
      <c r="M2212" s="755"/>
    </row>
    <row r="2213" spans="1:13" s="692" customFormat="1" ht="9.1999999999999993" customHeight="1">
      <c r="A2213" s="773">
        <v>11</v>
      </c>
      <c r="B2213" s="774" t="s">
        <v>688</v>
      </c>
      <c r="C2213" s="775">
        <f>VLOOKUP(C2199,'Luong VP'!$B$10:$AP$189,17,0)</f>
        <v>0</v>
      </c>
      <c r="D2213" s="778"/>
      <c r="E2213" s="771">
        <v>1</v>
      </c>
      <c r="F2213" s="777" t="s">
        <v>689</v>
      </c>
      <c r="G2213" s="780"/>
      <c r="H2213" s="780"/>
      <c r="I2213" s="787"/>
      <c r="J2213" s="775">
        <f>VLOOKUP(C2199,'Luong VP'!$B$10:$AP$189,30,0)</f>
        <v>0</v>
      </c>
      <c r="K2213" s="762"/>
      <c r="L2213" s="782"/>
      <c r="M2213" s="755"/>
    </row>
    <row r="2214" spans="1:13" s="692" customFormat="1" ht="9.1999999999999993" customHeight="1">
      <c r="A2214" s="773">
        <v>12</v>
      </c>
      <c r="B2214" s="774" t="s">
        <v>691</v>
      </c>
      <c r="C2214" s="775">
        <f>VLOOKUP(C2199,'Luong VP'!$B$10:$AP$189,18,0)</f>
        <v>0</v>
      </c>
      <c r="D2214" s="778"/>
      <c r="E2214" s="771">
        <v>2</v>
      </c>
      <c r="F2214" s="779" t="s">
        <v>239</v>
      </c>
      <c r="G2214" s="779"/>
      <c r="H2214" s="779"/>
      <c r="I2214" s="785"/>
      <c r="J2214" s="786">
        <f>VLOOKUP(C2199,'Luong VP'!$B$10:$AP$189,34,0)</f>
        <v>0</v>
      </c>
      <c r="K2214" s="789"/>
      <c r="L2214" s="776"/>
      <c r="M2214" s="755"/>
    </row>
    <row r="2215" spans="1:13" s="692" customFormat="1" ht="9.1999999999999993" customHeight="1">
      <c r="A2215" s="773">
        <v>13</v>
      </c>
      <c r="B2215" s="774" t="s">
        <v>692</v>
      </c>
      <c r="C2215" s="775">
        <f>VLOOKUP(C2199,'Luong VP'!$B$10:$AP$189,19,0)</f>
        <v>0</v>
      </c>
      <c r="D2215" s="778"/>
      <c r="E2215" s="771">
        <v>3</v>
      </c>
      <c r="F2215" s="777" t="s">
        <v>693</v>
      </c>
      <c r="G2215" s="780"/>
      <c r="H2215" s="780"/>
      <c r="I2215" s="787"/>
      <c r="J2215" s="775">
        <f>VLOOKUP(C2199,'Luong VP'!$B$10:$AP$189,40,0)</f>
        <v>0</v>
      </c>
      <c r="K2215" s="789"/>
      <c r="L2215" s="776"/>
      <c r="M2215" s="755"/>
    </row>
    <row r="2216" spans="1:13" s="692" customFormat="1" ht="9.1999999999999993" customHeight="1">
      <c r="A2216" s="773">
        <v>14</v>
      </c>
      <c r="B2216" s="774" t="s">
        <v>694</v>
      </c>
      <c r="C2216" s="775">
        <f>VLOOKUP(C2199,'Luong VP'!$B$10:$AP$189,20,0)</f>
        <v>2000</v>
      </c>
      <c r="D2216" s="778"/>
      <c r="E2216" s="771">
        <v>4</v>
      </c>
      <c r="F2216" s="779" t="s">
        <v>695</v>
      </c>
      <c r="G2216" s="780"/>
      <c r="H2216" s="780"/>
      <c r="I2216" s="787"/>
      <c r="J2216" s="775">
        <f>VLOOKUP(C2199,'Luong VP'!$B$10:$AP$189,35,0)</f>
        <v>0</v>
      </c>
      <c r="K2216" s="790"/>
      <c r="L2216" s="776"/>
      <c r="M2216" s="755"/>
    </row>
    <row r="2217" spans="1:13" s="692" customFormat="1" ht="9.1999999999999993" customHeight="1">
      <c r="A2217" s="773"/>
      <c r="B2217" s="768" t="s">
        <v>656</v>
      </c>
      <c r="C2217" s="775">
        <f>SUM(C2203:C2216)</f>
        <v>8960</v>
      </c>
      <c r="D2217" s="778"/>
      <c r="E2217" s="771"/>
      <c r="F2217" s="777" t="s">
        <v>241</v>
      </c>
      <c r="G2217" s="780"/>
      <c r="H2217" s="780"/>
      <c r="I2217" s="787"/>
      <c r="J2217" s="788">
        <f>SUM(J2204:J2216)+C2211</f>
        <v>9192</v>
      </c>
      <c r="K2217" s="789"/>
      <c r="L2217" s="776"/>
      <c r="M2217" s="755"/>
    </row>
    <row r="2218" spans="1:13" s="692" customFormat="1" ht="9.1999999999999993" customHeight="1">
      <c r="A2218" s="755"/>
      <c r="B2218" s="781"/>
      <c r="C2218" s="778"/>
      <c r="D2218" s="778"/>
      <c r="E2218" s="771" t="s">
        <v>696</v>
      </c>
      <c r="F2218" s="772" t="s">
        <v>697</v>
      </c>
      <c r="G2218" s="771"/>
      <c r="H2218" s="771"/>
      <c r="I2218" s="787"/>
      <c r="J2218" s="788">
        <f>SUM(J2219:J2221)</f>
        <v>3504</v>
      </c>
      <c r="K2218" s="790"/>
      <c r="L2218" s="776"/>
      <c r="M2218" s="755"/>
    </row>
    <row r="2219" spans="1:13" s="692" customFormat="1" ht="9.1999999999999993" customHeight="1">
      <c r="A2219" s="755"/>
      <c r="B2219" s="781"/>
      <c r="C2219" s="778"/>
      <c r="D2219" s="778"/>
      <c r="E2219" s="771">
        <v>1</v>
      </c>
      <c r="F2219" s="779" t="s">
        <v>698</v>
      </c>
      <c r="G2219" s="779"/>
      <c r="H2219" s="779"/>
      <c r="I2219" s="791"/>
      <c r="J2219" s="775">
        <f>VLOOKUP(C2199,'Luong VP'!$B$10:$AP$189,37,0)</f>
        <v>504</v>
      </c>
      <c r="K2219" s="790"/>
      <c r="L2219" s="776"/>
      <c r="M2219" s="755"/>
    </row>
    <row r="2220" spans="1:13" s="692" customFormat="1" ht="9.1999999999999993" customHeight="1">
      <c r="A2220" s="755"/>
      <c r="B2220" s="781"/>
      <c r="C2220" s="778"/>
      <c r="D2220" s="778"/>
      <c r="E2220" s="771">
        <v>2</v>
      </c>
      <c r="F2220" s="779" t="s">
        <v>244</v>
      </c>
      <c r="G2220" s="779"/>
      <c r="H2220" s="779"/>
      <c r="I2220" s="787"/>
      <c r="J2220" s="775">
        <f>VLOOKUP(C2199,'Luong VP'!$B$10:$AP$189,39,0)</f>
        <v>3000</v>
      </c>
      <c r="K2220" s="792"/>
      <c r="L2220" s="793"/>
      <c r="M2220" s="755"/>
    </row>
    <row r="2221" spans="1:13" s="692" customFormat="1" ht="9.1999999999999993" customHeight="1">
      <c r="A2221" s="755"/>
      <c r="B2221" s="781"/>
      <c r="C2221" s="778"/>
      <c r="D2221" s="778"/>
      <c r="E2221" s="771"/>
      <c r="F2221" s="779" t="s">
        <v>699</v>
      </c>
      <c r="G2221" s="779"/>
      <c r="H2221" s="779"/>
      <c r="I2221" s="787"/>
      <c r="J2221" s="775"/>
      <c r="K2221" s="775"/>
      <c r="L2221" s="794"/>
      <c r="M2221" s="755"/>
    </row>
    <row r="2222" spans="1:13" s="692" customFormat="1" ht="9.1999999999999993" customHeight="1">
      <c r="A2222" s="755"/>
      <c r="B2222" s="781"/>
      <c r="C2222" s="778"/>
      <c r="D2222" s="778"/>
      <c r="E2222" s="771" t="s">
        <v>700</v>
      </c>
      <c r="F2222" s="771" t="s">
        <v>246</v>
      </c>
      <c r="G2222" s="771"/>
      <c r="H2222" s="771"/>
      <c r="I2222" s="787"/>
      <c r="J2222" s="786">
        <f>J2217-J2218</f>
        <v>5688</v>
      </c>
      <c r="K2222" s="786">
        <f>ROUND(J2222,-1)</f>
        <v>5690</v>
      </c>
      <c r="L2222" s="771"/>
      <c r="M2222" s="755"/>
    </row>
    <row r="2223" spans="1:13" s="692" customFormat="1" ht="9.1999999999999993" customHeight="1">
      <c r="A2223" s="755"/>
      <c r="B2223" s="781"/>
      <c r="C2223" s="778"/>
      <c r="D2223" s="778"/>
      <c r="E2223" s="776"/>
      <c r="F2223" s="776"/>
      <c r="G2223" s="776"/>
      <c r="H2223" s="762"/>
      <c r="I2223" s="776" t="s">
        <v>701</v>
      </c>
      <c r="J2223" s="795"/>
      <c r="K2223" s="795"/>
      <c r="L2223" s="776"/>
      <c r="M2223" s="755"/>
    </row>
    <row r="2224" spans="1:13" s="692" customFormat="1" ht="9.1999999999999993" customHeight="1">
      <c r="A2224" s="755"/>
      <c r="B2224" s="755"/>
      <c r="C2224" s="762"/>
      <c r="D2224" s="762"/>
      <c r="E2224" s="762"/>
      <c r="F2224" s="762"/>
      <c r="G2224" s="762"/>
      <c r="H2224" s="762"/>
      <c r="I2224" s="762"/>
      <c r="J2224" s="762"/>
      <c r="K2224" s="762"/>
      <c r="L2224" s="782"/>
      <c r="M2224" s="755"/>
    </row>
    <row r="2225" spans="1:13" s="692" customFormat="1" ht="9.1999999999999993" customHeight="1">
      <c r="A2225" s="755"/>
      <c r="B2225" s="755"/>
      <c r="C2225" s="762"/>
      <c r="D2225" s="762"/>
      <c r="E2225" s="762"/>
      <c r="F2225" s="762"/>
      <c r="G2225" s="762"/>
      <c r="H2225" s="762"/>
      <c r="I2225" s="762"/>
      <c r="J2225" s="762"/>
      <c r="K2225" s="762"/>
      <c r="L2225" s="782"/>
      <c r="M2225" s="755"/>
    </row>
    <row r="2226" spans="1:13" s="692" customFormat="1" ht="9.1999999999999993" customHeight="1">
      <c r="A2226" s="755"/>
      <c r="B2226" s="755"/>
      <c r="C2226" s="762"/>
      <c r="D2226" s="762"/>
      <c r="E2226" s="762"/>
      <c r="F2226" s="762"/>
      <c r="G2226" s="762"/>
      <c r="H2226" s="762"/>
      <c r="I2226" s="762"/>
      <c r="J2226" s="762"/>
      <c r="K2226" s="762"/>
      <c r="L2226" s="782"/>
      <c r="M2226" s="755"/>
    </row>
    <row r="2227" spans="1:13" s="692" customFormat="1" ht="9.1999999999999993" customHeight="1">
      <c r="A2227" s="755"/>
      <c r="B2227" s="755"/>
      <c r="C2227" s="762"/>
      <c r="D2227" s="762"/>
      <c r="E2227" s="762"/>
      <c r="F2227" s="762"/>
      <c r="G2227" s="762"/>
      <c r="H2227" s="762"/>
      <c r="I2227" s="762"/>
      <c r="J2227" s="762"/>
      <c r="K2227" s="762"/>
      <c r="L2227" s="782"/>
      <c r="M2227" s="755"/>
    </row>
    <row r="2228" spans="1:13" s="692" customFormat="1" ht="9.1999999999999993" customHeight="1">
      <c r="A2228" s="755"/>
      <c r="B2228" s="755"/>
      <c r="C2228" s="756"/>
      <c r="D2228" s="756"/>
      <c r="E2228" s="757" t="str">
        <f>$E$2</f>
        <v>THẺ LƯƠNG THÁNG 08/2019</v>
      </c>
      <c r="F2228" s="758"/>
      <c r="G2228" s="758"/>
      <c r="H2228" s="758"/>
      <c r="I2228" s="762"/>
      <c r="J2228" s="762"/>
      <c r="K2228" s="762"/>
      <c r="L2228" s="782"/>
      <c r="M2228" s="755"/>
    </row>
    <row r="2229" spans="1:13" s="692" customFormat="1" ht="9.1999999999999993" customHeight="1">
      <c r="A2229" s="755"/>
      <c r="B2229" s="759" t="s">
        <v>644</v>
      </c>
      <c r="C2229" s="760" t="s">
        <v>1285</v>
      </c>
      <c r="D2229" s="761"/>
      <c r="E2229" s="762"/>
      <c r="F2229" s="763" t="s">
        <v>645</v>
      </c>
      <c r="G2229" s="762" t="str">
        <f>VLOOKUP(C2229,'Luong VP'!$B$10:$AP$189,2,0)</f>
        <v>Đỗ Sỹ Long</v>
      </c>
      <c r="H2229" s="762"/>
      <c r="I2229" s="762"/>
      <c r="J2229" s="762"/>
      <c r="K2229" s="762"/>
      <c r="L2229" s="782"/>
      <c r="M2229" s="755"/>
    </row>
    <row r="2230" spans="1:13" s="692" customFormat="1" ht="9.1999999999999993" customHeight="1">
      <c r="A2230" s="755"/>
      <c r="B2230" s="759" t="s">
        <v>646</v>
      </c>
      <c r="C2230" s="762" t="str">
        <f>VLOOKUP(C2229,'Luong VP'!$B$10:$AP$189,3,0)</f>
        <v>NV trạm cân</v>
      </c>
      <c r="D2230" s="762"/>
      <c r="E2230" s="762"/>
      <c r="F2230" s="763" t="s">
        <v>647</v>
      </c>
      <c r="G2230" s="762">
        <f>VLOOKUP(C2229,'Luong VP'!$B$10:$AP$189,5,0)</f>
        <v>3</v>
      </c>
      <c r="H2230" s="762"/>
      <c r="I2230" s="762"/>
      <c r="J2230" s="762"/>
      <c r="K2230" s="762"/>
      <c r="L2230" s="782"/>
      <c r="M2230" s="755"/>
    </row>
    <row r="2231" spans="1:13" s="692" customFormat="1" ht="9.1999999999999993" customHeight="1">
      <c r="A2231" s="755"/>
      <c r="B2231" s="764"/>
      <c r="C2231" s="765"/>
      <c r="D2231" s="766"/>
      <c r="E2231" s="762"/>
      <c r="F2231" s="767" t="s">
        <v>648</v>
      </c>
      <c r="G2231" s="767"/>
      <c r="H2231" s="767"/>
      <c r="I2231" s="783"/>
      <c r="J2231" s="784"/>
      <c r="K2231" s="762"/>
      <c r="L2231" s="782"/>
      <c r="M2231" s="755"/>
    </row>
    <row r="2232" spans="1:13" s="692" customFormat="1" ht="9.1999999999999993" customHeight="1">
      <c r="A2232" s="768" t="s">
        <v>216</v>
      </c>
      <c r="B2232" s="768" t="s">
        <v>649</v>
      </c>
      <c r="C2232" s="769" t="s">
        <v>650</v>
      </c>
      <c r="D2232" s="770"/>
      <c r="E2232" s="771" t="s">
        <v>216</v>
      </c>
      <c r="F2232" s="772" t="s">
        <v>649</v>
      </c>
      <c r="G2232" s="771"/>
      <c r="H2232" s="771" t="s">
        <v>651</v>
      </c>
      <c r="I2232" s="785" t="s">
        <v>652</v>
      </c>
      <c r="J2232" s="775"/>
      <c r="K2232" s="762"/>
      <c r="L2232" s="782" t="s">
        <v>653</v>
      </c>
      <c r="M2232" s="755"/>
    </row>
    <row r="2233" spans="1:13" s="692" customFormat="1" ht="9.1999999999999993" customHeight="1">
      <c r="A2233" s="773">
        <v>1</v>
      </c>
      <c r="B2233" s="774" t="s">
        <v>654</v>
      </c>
      <c r="C2233" s="775">
        <f>VLOOKUP(C2229,'Luong VP'!$B$10:$AP$189,9,0)</f>
        <v>6330</v>
      </c>
      <c r="D2233" s="776"/>
      <c r="E2233" s="771" t="s">
        <v>655</v>
      </c>
      <c r="F2233" s="777" t="s">
        <v>656</v>
      </c>
      <c r="G2233" s="771"/>
      <c r="H2233" s="771"/>
      <c r="I2233" s="785"/>
      <c r="J2233" s="775">
        <f>VLOOKUP(C2229,'Luong VP'!$B$10:$AP$189,21,0)</f>
        <v>7080.5</v>
      </c>
      <c r="K2233" s="762"/>
      <c r="L2233" s="782"/>
      <c r="M2233" s="755"/>
    </row>
    <row r="2234" spans="1:13" s="692" customFormat="1" ht="9.1999999999999993" customHeight="1">
      <c r="A2234" s="773">
        <v>2</v>
      </c>
      <c r="B2234" s="774" t="s">
        <v>658</v>
      </c>
      <c r="C2234" s="775"/>
      <c r="D2234" s="778"/>
      <c r="E2234" s="771">
        <v>1</v>
      </c>
      <c r="F2234" s="779" t="s">
        <v>659</v>
      </c>
      <c r="G2234" s="779"/>
      <c r="H2234" s="771" t="s">
        <v>660</v>
      </c>
      <c r="I2234" s="785">
        <f>VLOOKUP(C2229,'Luong VP'!$B$10:$AP$189,22,0)</f>
        <v>30</v>
      </c>
      <c r="J2234" s="786">
        <f>J2233/'Cham cong'!$AT$3*I2234</f>
        <v>7080.5</v>
      </c>
      <c r="K2234" s="762"/>
      <c r="L2234" s="782"/>
      <c r="M2234" s="755"/>
    </row>
    <row r="2235" spans="1:13" s="692" customFormat="1" ht="9.1999999999999993" customHeight="1">
      <c r="A2235" s="773">
        <v>3</v>
      </c>
      <c r="B2235" s="774" t="s">
        <v>661</v>
      </c>
      <c r="C2235" s="775">
        <f>VLOOKUP(C2229,'Luong VP'!$B$10:$AP$189,10,0)</f>
        <v>0</v>
      </c>
      <c r="D2235" s="778"/>
      <c r="E2235" s="771">
        <v>2</v>
      </c>
      <c r="F2235" s="779" t="s">
        <v>662</v>
      </c>
      <c r="G2235" s="779"/>
      <c r="H2235" s="771" t="s">
        <v>660</v>
      </c>
      <c r="I2235" s="785">
        <f>VLOOKUP(C2229,'Luong VP'!$B$10:$AP$189,27,0)</f>
        <v>0</v>
      </c>
      <c r="J2235" s="786">
        <f>J2233/'Cham cong'!$AT$3*I2235*3</f>
        <v>0</v>
      </c>
      <c r="K2235" s="762"/>
      <c r="L2235" s="782"/>
      <c r="M2235" s="755"/>
    </row>
    <row r="2236" spans="1:13" s="692" customFormat="1" ht="9.1999999999999993" customHeight="1">
      <c r="A2236" s="773">
        <v>4</v>
      </c>
      <c r="B2236" s="774" t="s">
        <v>666</v>
      </c>
      <c r="C2236" s="775">
        <f>VLOOKUP(C2229,'Luong VP'!$B$10:$AP$189,11,0)</f>
        <v>0</v>
      </c>
      <c r="D2236" s="778"/>
      <c r="E2236" s="771">
        <v>3</v>
      </c>
      <c r="F2236" s="779" t="s">
        <v>667</v>
      </c>
      <c r="G2236" s="779"/>
      <c r="H2236" s="771" t="s">
        <v>668</v>
      </c>
      <c r="I2236" s="785">
        <f>VLOOKUP(C2229,'Luong VP'!$B$10:$AP$189,26,0)</f>
        <v>27</v>
      </c>
      <c r="J2236" s="786">
        <f>J2233/'Cham cong'!$AT$3*I2236/8*1.5</f>
        <v>1194.8343750000001</v>
      </c>
      <c r="K2236" s="762"/>
      <c r="L2236" s="782"/>
      <c r="M2236" s="755"/>
    </row>
    <row r="2237" spans="1:13" s="692" customFormat="1" ht="9.1999999999999993" customHeight="1">
      <c r="A2237" s="773">
        <v>5</v>
      </c>
      <c r="B2237" s="774" t="s">
        <v>670</v>
      </c>
      <c r="C2237" s="775">
        <f>VLOOKUP(C2229,'Luong VP'!$B$10:$AP$189,12,0)</f>
        <v>0</v>
      </c>
      <c r="D2237" s="778"/>
      <c r="E2237" s="771">
        <v>4</v>
      </c>
      <c r="F2237" s="779" t="s">
        <v>671</v>
      </c>
      <c r="G2237" s="779"/>
      <c r="H2237" s="771" t="s">
        <v>668</v>
      </c>
      <c r="I2237" s="785">
        <f>VLOOKUP(C2229,'Luong VP'!$B$10:$AP$189,25,0)</f>
        <v>0</v>
      </c>
      <c r="J2237" s="786">
        <f>J2233/'Cham cong'!$AT$3*I2237/8*2</f>
        <v>0</v>
      </c>
      <c r="K2237" s="762"/>
      <c r="L2237" s="782"/>
      <c r="M2237" s="755"/>
    </row>
    <row r="2238" spans="1:13" s="692" customFormat="1" ht="9.1999999999999993" customHeight="1">
      <c r="A2238" s="773">
        <v>6</v>
      </c>
      <c r="B2238" s="774" t="s">
        <v>673</v>
      </c>
      <c r="C2238" s="775">
        <f>VLOOKUP(C2229,'Luong VP'!$B$10:$AP$189,13,0)</f>
        <v>0</v>
      </c>
      <c r="D2238" s="778"/>
      <c r="E2238" s="771">
        <v>5</v>
      </c>
      <c r="F2238" s="779" t="s">
        <v>674</v>
      </c>
      <c r="G2238" s="779"/>
      <c r="H2238" s="771" t="s">
        <v>660</v>
      </c>
      <c r="I2238" s="785">
        <f>VLOOKUP(C2229,'Luong VP'!$B$10:$AP$189,23,0)</f>
        <v>0</v>
      </c>
      <c r="J2238" s="786">
        <f>C2233/'Cham cong'!$AT$3*I2238</f>
        <v>0</v>
      </c>
      <c r="K2238" s="762"/>
      <c r="L2238" s="782" t="str">
        <f>G2229</f>
        <v>Đỗ Sỹ Long</v>
      </c>
      <c r="M2238" s="755"/>
    </row>
    <row r="2239" spans="1:13" s="692" customFormat="1" ht="9.1999999999999993" customHeight="1">
      <c r="A2239" s="773">
        <v>7</v>
      </c>
      <c r="B2239" s="774" t="s">
        <v>676</v>
      </c>
      <c r="C2239" s="775"/>
      <c r="D2239" s="778"/>
      <c r="E2239" s="771">
        <v>6</v>
      </c>
      <c r="F2239" s="779" t="s">
        <v>677</v>
      </c>
      <c r="G2239" s="779"/>
      <c r="H2239" s="771" t="s">
        <v>660</v>
      </c>
      <c r="I2239" s="785">
        <f>VLOOKUP(C2229,'Luong VP'!$B$10:$AP$189,24,0)</f>
        <v>1</v>
      </c>
      <c r="J2239" s="775">
        <f>C2233/'Cham cong'!$AT$3*I2239</f>
        <v>211</v>
      </c>
      <c r="K2239" s="762"/>
      <c r="L2239" s="782"/>
      <c r="M2239" s="755"/>
    </row>
    <row r="2240" spans="1:13" s="692" customFormat="1" ht="9.1999999999999993" customHeight="1">
      <c r="A2240" s="773">
        <v>8</v>
      </c>
      <c r="B2240" s="774" t="s">
        <v>679</v>
      </c>
      <c r="C2240" s="775">
        <f>VLOOKUP(C2229,'Luong VP'!$B$10:$AP$189,14,0)</f>
        <v>0</v>
      </c>
      <c r="D2240" s="778"/>
      <c r="E2240" s="771">
        <v>7</v>
      </c>
      <c r="F2240" s="779" t="s">
        <v>680</v>
      </c>
      <c r="G2240" s="779"/>
      <c r="H2240" s="779"/>
      <c r="I2240" s="787"/>
      <c r="J2240" s="775">
        <f>VLOOKUP(C2229,'Luong VP'!$B$10:$AP$189,28,0)</f>
        <v>0</v>
      </c>
      <c r="K2240" s="762"/>
      <c r="L2240" s="782"/>
      <c r="M2240" s="755"/>
    </row>
    <row r="2241" spans="1:13" s="692" customFormat="1" ht="9.1999999999999993" customHeight="1">
      <c r="A2241" s="773">
        <v>9</v>
      </c>
      <c r="B2241" s="774" t="s">
        <v>683</v>
      </c>
      <c r="C2241" s="775">
        <f>VLOOKUP(C2229,'Luong VP'!$B$10:$AP$189,15,0)</f>
        <v>0</v>
      </c>
      <c r="D2241" s="778"/>
      <c r="E2241" s="771">
        <v>8</v>
      </c>
      <c r="F2241" s="779" t="s">
        <v>238</v>
      </c>
      <c r="G2241" s="779"/>
      <c r="H2241" s="779"/>
      <c r="I2241" s="787"/>
      <c r="J2241" s="775">
        <f>VLOOKUP(C2229,'Luong VP'!$B$10:$AP$189,33,0)</f>
        <v>0</v>
      </c>
      <c r="K2241" s="762"/>
      <c r="L2241" s="782"/>
      <c r="M2241" s="755"/>
    </row>
    <row r="2242" spans="1:13" s="692" customFormat="1" ht="9.1999999999999993" customHeight="1">
      <c r="A2242" s="773">
        <v>10</v>
      </c>
      <c r="B2242" s="774" t="s">
        <v>685</v>
      </c>
      <c r="C2242" s="775">
        <f>VLOOKUP(C2229,'Luong VP'!$B$10:$AP$189,16,0)</f>
        <v>0</v>
      </c>
      <c r="D2242" s="778"/>
      <c r="E2242" s="771" t="s">
        <v>686</v>
      </c>
      <c r="F2242" s="777" t="s">
        <v>687</v>
      </c>
      <c r="G2242" s="780"/>
      <c r="H2242" s="780"/>
      <c r="I2242" s="787"/>
      <c r="J2242" s="788"/>
      <c r="K2242" s="762"/>
      <c r="L2242" s="782"/>
      <c r="M2242" s="755"/>
    </row>
    <row r="2243" spans="1:13" s="692" customFormat="1" ht="9.1999999999999993" customHeight="1">
      <c r="A2243" s="773">
        <v>11</v>
      </c>
      <c r="B2243" s="774" t="s">
        <v>688</v>
      </c>
      <c r="C2243" s="775">
        <f>VLOOKUP(C2229,'Luong VP'!$B$10:$AP$189,17,0)</f>
        <v>0</v>
      </c>
      <c r="D2243" s="778"/>
      <c r="E2243" s="771">
        <v>1</v>
      </c>
      <c r="F2243" s="777" t="s">
        <v>689</v>
      </c>
      <c r="G2243" s="780"/>
      <c r="H2243" s="780"/>
      <c r="I2243" s="787"/>
      <c r="J2243" s="775">
        <f>VLOOKUP(C2229,'Luong VP'!$B$10:$AP$189,30,0)</f>
        <v>0</v>
      </c>
      <c r="K2243" s="762"/>
      <c r="L2243" s="782"/>
      <c r="M2243" s="755"/>
    </row>
    <row r="2244" spans="1:13" s="692" customFormat="1" ht="9.1999999999999993" customHeight="1">
      <c r="A2244" s="773">
        <v>12</v>
      </c>
      <c r="B2244" s="774" t="s">
        <v>691</v>
      </c>
      <c r="C2244" s="775">
        <f>VLOOKUP(C2229,'Luong VP'!$B$10:$AP$189,18,0)</f>
        <v>0</v>
      </c>
      <c r="D2244" s="778"/>
      <c r="E2244" s="771">
        <v>2</v>
      </c>
      <c r="F2244" s="779" t="s">
        <v>239</v>
      </c>
      <c r="G2244" s="779"/>
      <c r="H2244" s="779"/>
      <c r="I2244" s="785"/>
      <c r="J2244" s="786">
        <f>VLOOKUP(C2229,'Luong VP'!$B$10:$AP$189,34,0)</f>
        <v>0</v>
      </c>
      <c r="K2244" s="789"/>
      <c r="L2244" s="776"/>
      <c r="M2244" s="755"/>
    </row>
    <row r="2245" spans="1:13" s="692" customFormat="1" ht="9.1999999999999993" customHeight="1">
      <c r="A2245" s="773">
        <v>13</v>
      </c>
      <c r="B2245" s="774" t="s">
        <v>692</v>
      </c>
      <c r="C2245" s="775">
        <f>VLOOKUP(C2229,'Luong VP'!$B$10:$AP$189,19,0)</f>
        <v>0</v>
      </c>
      <c r="D2245" s="778"/>
      <c r="E2245" s="771">
        <v>3</v>
      </c>
      <c r="F2245" s="777" t="s">
        <v>693</v>
      </c>
      <c r="G2245" s="780"/>
      <c r="H2245" s="780"/>
      <c r="I2245" s="787"/>
      <c r="J2245" s="775">
        <f>VLOOKUP(C2229,'Luong VP'!$B$10:$AP$189,40,0)</f>
        <v>0</v>
      </c>
      <c r="K2245" s="789"/>
      <c r="L2245" s="776"/>
      <c r="M2245" s="755"/>
    </row>
    <row r="2246" spans="1:13" s="692" customFormat="1" ht="9.1999999999999993" customHeight="1">
      <c r="A2246" s="773">
        <v>14</v>
      </c>
      <c r="B2246" s="774" t="s">
        <v>694</v>
      </c>
      <c r="C2246" s="775">
        <f>VLOOKUP(C2229,'Luong VP'!$B$10:$AP$189,20,0)</f>
        <v>2000</v>
      </c>
      <c r="D2246" s="778"/>
      <c r="E2246" s="771">
        <v>4</v>
      </c>
      <c r="F2246" s="779" t="s">
        <v>695</v>
      </c>
      <c r="G2246" s="780"/>
      <c r="H2246" s="780"/>
      <c r="I2246" s="787"/>
      <c r="J2246" s="775">
        <f>VLOOKUP(C2229,'Luong VP'!$B$10:$AP$189,35,0)</f>
        <v>0</v>
      </c>
      <c r="K2246" s="790"/>
      <c r="L2246" s="776"/>
      <c r="M2246" s="755"/>
    </row>
    <row r="2247" spans="1:13" s="692" customFormat="1" ht="9.1999999999999993" customHeight="1">
      <c r="A2247" s="773"/>
      <c r="B2247" s="768" t="s">
        <v>656</v>
      </c>
      <c r="C2247" s="775">
        <f>SUM(C2233:C2246)</f>
        <v>8330</v>
      </c>
      <c r="D2247" s="778"/>
      <c r="E2247" s="771"/>
      <c r="F2247" s="777" t="s">
        <v>241</v>
      </c>
      <c r="G2247" s="780"/>
      <c r="H2247" s="780"/>
      <c r="I2247" s="787"/>
      <c r="J2247" s="788">
        <f>SUM(J2234:J2246)+C2241</f>
        <v>8486.3343750000004</v>
      </c>
      <c r="K2247" s="789"/>
      <c r="L2247" s="776"/>
      <c r="M2247" s="755"/>
    </row>
    <row r="2248" spans="1:13" s="692" customFormat="1" ht="9.1999999999999993" customHeight="1">
      <c r="A2248" s="755"/>
      <c r="B2248" s="781"/>
      <c r="C2248" s="778"/>
      <c r="D2248" s="778"/>
      <c r="E2248" s="771" t="s">
        <v>696</v>
      </c>
      <c r="F2248" s="772" t="s">
        <v>697</v>
      </c>
      <c r="G2248" s="771"/>
      <c r="H2248" s="771"/>
      <c r="I2248" s="787"/>
      <c r="J2248" s="788">
        <f>SUM(J2249:J2251)</f>
        <v>2000</v>
      </c>
      <c r="K2248" s="790"/>
      <c r="L2248" s="776"/>
      <c r="M2248" s="755"/>
    </row>
    <row r="2249" spans="1:13" s="692" customFormat="1" ht="9.1999999999999993" customHeight="1">
      <c r="A2249" s="755"/>
      <c r="B2249" s="781"/>
      <c r="C2249" s="778"/>
      <c r="D2249" s="778"/>
      <c r="E2249" s="771">
        <v>1</v>
      </c>
      <c r="F2249" s="779" t="s">
        <v>698</v>
      </c>
      <c r="G2249" s="779"/>
      <c r="H2249" s="779"/>
      <c r="I2249" s="791"/>
      <c r="J2249" s="775">
        <f>VLOOKUP(C2229,'Luong VP'!$B$10:$AP$189,37,0)</f>
        <v>0</v>
      </c>
      <c r="K2249" s="790"/>
      <c r="L2249" s="776"/>
      <c r="M2249" s="755"/>
    </row>
    <row r="2250" spans="1:13" s="692" customFormat="1" ht="9.1999999999999993" customHeight="1">
      <c r="A2250" s="755"/>
      <c r="B2250" s="781"/>
      <c r="C2250" s="778"/>
      <c r="D2250" s="778"/>
      <c r="E2250" s="771">
        <v>2</v>
      </c>
      <c r="F2250" s="779" t="s">
        <v>244</v>
      </c>
      <c r="G2250" s="779"/>
      <c r="H2250" s="779"/>
      <c r="I2250" s="787"/>
      <c r="J2250" s="775">
        <f>VLOOKUP(C2229,'Luong VP'!$B$10:$AP$189,39,0)</f>
        <v>2000</v>
      </c>
      <c r="K2250" s="792"/>
      <c r="L2250" s="793"/>
      <c r="M2250" s="755"/>
    </row>
    <row r="2251" spans="1:13" s="692" customFormat="1" ht="9.1999999999999993" customHeight="1">
      <c r="A2251" s="755"/>
      <c r="B2251" s="781"/>
      <c r="C2251" s="778"/>
      <c r="D2251" s="778"/>
      <c r="E2251" s="771"/>
      <c r="F2251" s="779" t="s">
        <v>699</v>
      </c>
      <c r="G2251" s="779"/>
      <c r="H2251" s="779"/>
      <c r="I2251" s="787"/>
      <c r="J2251" s="775"/>
      <c r="K2251" s="775"/>
      <c r="L2251" s="794"/>
      <c r="M2251" s="755"/>
    </row>
    <row r="2252" spans="1:13" s="692" customFormat="1" ht="9.1999999999999993" customHeight="1">
      <c r="A2252" s="755"/>
      <c r="B2252" s="781"/>
      <c r="C2252" s="778"/>
      <c r="D2252" s="778"/>
      <c r="E2252" s="771" t="s">
        <v>700</v>
      </c>
      <c r="F2252" s="771" t="s">
        <v>246</v>
      </c>
      <c r="G2252" s="771"/>
      <c r="H2252" s="771"/>
      <c r="I2252" s="787"/>
      <c r="J2252" s="786">
        <f>J2247-J2248</f>
        <v>6486.3343750000004</v>
      </c>
      <c r="K2252" s="786">
        <f>ROUND(J2252,-1)</f>
        <v>6490</v>
      </c>
      <c r="L2252" s="771"/>
      <c r="M2252" s="755"/>
    </row>
    <row r="2253" spans="1:13" s="692" customFormat="1" ht="9.1999999999999993" customHeight="1">
      <c r="A2253" s="755"/>
      <c r="B2253" s="781"/>
      <c r="C2253" s="778"/>
      <c r="D2253" s="778"/>
      <c r="E2253" s="776"/>
      <c r="F2253" s="776"/>
      <c r="G2253" s="776"/>
      <c r="H2253" s="762"/>
      <c r="I2253" s="776" t="s">
        <v>701</v>
      </c>
      <c r="J2253" s="795"/>
      <c r="K2253" s="795"/>
      <c r="L2253" s="776"/>
      <c r="M2253" s="755"/>
    </row>
    <row r="2254" spans="1:13" s="692" customFormat="1" ht="9.1999999999999993" customHeight="1">
      <c r="A2254" s="755"/>
      <c r="B2254" s="755"/>
      <c r="C2254" s="762"/>
      <c r="D2254" s="762"/>
      <c r="E2254" s="762"/>
      <c r="F2254" s="762"/>
      <c r="G2254" s="762"/>
      <c r="H2254" s="762"/>
      <c r="I2254" s="762"/>
      <c r="J2254" s="762"/>
      <c r="K2254" s="762"/>
      <c r="L2254" s="782"/>
      <c r="M2254" s="755"/>
    </row>
    <row r="2255" spans="1:13" s="692" customFormat="1" ht="9.1999999999999993" customHeight="1">
      <c r="A2255" s="755"/>
      <c r="B2255" s="755"/>
      <c r="C2255" s="762"/>
      <c r="D2255" s="762"/>
      <c r="E2255" s="762"/>
      <c r="F2255" s="762"/>
      <c r="G2255" s="762"/>
      <c r="H2255" s="762"/>
      <c r="I2255" s="762"/>
      <c r="J2255" s="762"/>
      <c r="K2255" s="762"/>
      <c r="L2255" s="782"/>
      <c r="M2255" s="755"/>
    </row>
    <row r="2256" spans="1:13" s="692" customFormat="1" ht="9.1999999999999993" customHeight="1">
      <c r="A2256" s="755"/>
      <c r="B2256" s="755"/>
      <c r="C2256" s="762"/>
      <c r="D2256" s="762"/>
      <c r="E2256" s="762"/>
      <c r="F2256" s="762"/>
      <c r="G2256" s="762"/>
      <c r="H2256" s="762"/>
      <c r="I2256" s="762"/>
      <c r="J2256" s="762"/>
      <c r="K2256" s="762"/>
      <c r="L2256" s="782"/>
      <c r="M2256" s="755"/>
    </row>
    <row r="2257" spans="1:12" ht="9.1999999999999993" customHeight="1">
      <c r="B2257" s="720"/>
      <c r="C2257" s="717"/>
      <c r="D2257" s="717"/>
      <c r="E2257" s="715"/>
      <c r="F2257" s="715"/>
      <c r="G2257" s="715"/>
      <c r="I2257" s="715"/>
      <c r="J2257" s="737"/>
      <c r="K2257" s="737"/>
      <c r="L2257" s="715"/>
    </row>
    <row r="2258" spans="1:12" ht="9.1999999999999993" customHeight="1">
      <c r="C2258" s="696"/>
      <c r="D2258" s="696"/>
      <c r="E2258" s="697" t="str">
        <f>$E$2</f>
        <v>THẺ LƯƠNG THÁNG 08/2019</v>
      </c>
      <c r="F2258" s="698"/>
      <c r="G2258" s="698"/>
      <c r="H2258" s="698"/>
    </row>
    <row r="2259" spans="1:12" ht="9.1999999999999993" customHeight="1">
      <c r="B2259" s="699" t="s">
        <v>644</v>
      </c>
      <c r="C2259" s="700" t="s">
        <v>405</v>
      </c>
      <c r="D2259" s="701"/>
      <c r="F2259" s="702" t="s">
        <v>645</v>
      </c>
      <c r="G2259" s="689" t="str">
        <f>VLOOKUP(C2259,'Luong VP'!$B$10:$AP$189,2,0)</f>
        <v>Đào Công Thắng</v>
      </c>
    </row>
    <row r="2260" spans="1:12" ht="9.1999999999999993" customHeight="1">
      <c r="B2260" s="699" t="s">
        <v>646</v>
      </c>
      <c r="C2260" s="689" t="str">
        <f>VLOOKUP(C2259,'Luong VP'!$B$10:$AP$189,3,0)</f>
        <v>Trưởng BP bảo trì</v>
      </c>
      <c r="F2260" s="702" t="s">
        <v>647</v>
      </c>
      <c r="G2260" s="689">
        <f>VLOOKUP(C2259,'Luong VP'!$B$10:$AP$189,5,0)</f>
        <v>3</v>
      </c>
    </row>
    <row r="2261" spans="1:12" ht="9.1999999999999993" customHeight="1">
      <c r="B2261" s="703"/>
      <c r="C2261" s="704"/>
      <c r="D2261" s="705"/>
      <c r="F2261" s="706" t="s">
        <v>648</v>
      </c>
      <c r="G2261" s="706"/>
      <c r="H2261" s="706"/>
      <c r="I2261" s="725"/>
      <c r="J2261" s="726"/>
    </row>
    <row r="2262" spans="1:12" ht="9.1999999999999993" customHeight="1">
      <c r="A2262" s="707" t="s">
        <v>216</v>
      </c>
      <c r="B2262" s="707" t="s">
        <v>649</v>
      </c>
      <c r="C2262" s="708" t="s">
        <v>650</v>
      </c>
      <c r="D2262" s="709"/>
      <c r="E2262" s="710" t="s">
        <v>216</v>
      </c>
      <c r="F2262" s="711" t="s">
        <v>649</v>
      </c>
      <c r="G2262" s="710"/>
      <c r="H2262" s="710" t="s">
        <v>651</v>
      </c>
      <c r="I2262" s="727" t="s">
        <v>652</v>
      </c>
      <c r="J2262" s="714"/>
      <c r="L2262" s="694" t="s">
        <v>653</v>
      </c>
    </row>
    <row r="2263" spans="1:12" ht="9.1999999999999993" customHeight="1">
      <c r="A2263" s="712">
        <v>1</v>
      </c>
      <c r="B2263" s="713" t="s">
        <v>654</v>
      </c>
      <c r="C2263" s="714">
        <f>VLOOKUP(C2259,'Luong VP'!$B$10:$AP$189,9,0)</f>
        <v>15380</v>
      </c>
      <c r="D2263" s="715"/>
      <c r="E2263" s="710" t="s">
        <v>655</v>
      </c>
      <c r="F2263" s="716" t="s">
        <v>656</v>
      </c>
      <c r="G2263" s="710"/>
      <c r="H2263" s="710"/>
      <c r="I2263" s="727"/>
      <c r="J2263" s="714">
        <f>VLOOKUP(C2259,'Luong VP'!$B$10:$AP$189,21,0)</f>
        <v>16849</v>
      </c>
    </row>
    <row r="2264" spans="1:12" ht="9.1999999999999993" customHeight="1">
      <c r="A2264" s="712">
        <v>2</v>
      </c>
      <c r="B2264" s="713" t="s">
        <v>658</v>
      </c>
      <c r="C2264" s="714"/>
      <c r="D2264" s="717"/>
      <c r="E2264" s="710">
        <v>1</v>
      </c>
      <c r="F2264" s="718" t="s">
        <v>659</v>
      </c>
      <c r="G2264" s="718"/>
      <c r="H2264" s="710" t="s">
        <v>660</v>
      </c>
      <c r="I2264" s="727">
        <f>VLOOKUP(C2259,'Luong VP'!$B$10:$AP$189,22,0)</f>
        <v>26</v>
      </c>
      <c r="J2264" s="728">
        <f>J2263/'Cham cong'!$AS$3*I2264</f>
        <v>16849</v>
      </c>
    </row>
    <row r="2265" spans="1:12" ht="9.1999999999999993" customHeight="1">
      <c r="A2265" s="712">
        <v>3</v>
      </c>
      <c r="B2265" s="713" t="s">
        <v>661</v>
      </c>
      <c r="C2265" s="714">
        <f>VLOOKUP(C2259,'Luong VP'!$B$10:$AP$189,10,0)</f>
        <v>0</v>
      </c>
      <c r="D2265" s="717"/>
      <c r="E2265" s="710">
        <v>2</v>
      </c>
      <c r="F2265" s="718" t="s">
        <v>662</v>
      </c>
      <c r="G2265" s="718"/>
      <c r="H2265" s="710" t="s">
        <v>660</v>
      </c>
      <c r="I2265" s="727">
        <f>VLOOKUP(C2259,'Luong VP'!$B$10:$AP$189,27,0)</f>
        <v>0</v>
      </c>
      <c r="J2265" s="728">
        <f>J2263/'Cham cong'!$AS$3*I2265*3</f>
        <v>0</v>
      </c>
    </row>
    <row r="2266" spans="1:12" ht="9.1999999999999993" customHeight="1">
      <c r="A2266" s="712">
        <v>4</v>
      </c>
      <c r="B2266" s="713" t="s">
        <v>666</v>
      </c>
      <c r="C2266" s="714">
        <f>VLOOKUP(C2259,'Luong VP'!$B$10:$AP$189,11,0)</f>
        <v>500</v>
      </c>
      <c r="D2266" s="717"/>
      <c r="E2266" s="710">
        <v>3</v>
      </c>
      <c r="F2266" s="718" t="s">
        <v>667</v>
      </c>
      <c r="G2266" s="718"/>
      <c r="H2266" s="710" t="s">
        <v>668</v>
      </c>
      <c r="I2266" s="727">
        <f>VLOOKUP(C2259,'Luong VP'!$B$10:$AP$189,26,0)</f>
        <v>0</v>
      </c>
      <c r="J2266" s="728">
        <f>J2263/'Cham cong'!$AS$3*I2266/8*1.5</f>
        <v>0</v>
      </c>
    </row>
    <row r="2267" spans="1:12" ht="9.1999999999999993" customHeight="1">
      <c r="A2267" s="712">
        <v>5</v>
      </c>
      <c r="B2267" s="713" t="s">
        <v>670</v>
      </c>
      <c r="C2267" s="714">
        <f>VLOOKUP(C2259,'Luong VP'!$B$10:$AP$189,12,0)</f>
        <v>769</v>
      </c>
      <c r="D2267" s="717"/>
      <c r="E2267" s="710">
        <v>4</v>
      </c>
      <c r="F2267" s="718" t="s">
        <v>671</v>
      </c>
      <c r="G2267" s="718"/>
      <c r="H2267" s="710" t="s">
        <v>668</v>
      </c>
      <c r="I2267" s="727">
        <f>VLOOKUP(C2259,'Luong VP'!$B$10:$AP$189,25,0)</f>
        <v>8</v>
      </c>
      <c r="J2267" s="728">
        <f>J2263/'Cham cong'!$AS$3*I2267/8*2</f>
        <v>1296.0769230769231</v>
      </c>
    </row>
    <row r="2268" spans="1:12" ht="9.1999999999999993" customHeight="1">
      <c r="A2268" s="712">
        <v>6</v>
      </c>
      <c r="B2268" s="713" t="s">
        <v>673</v>
      </c>
      <c r="C2268" s="714">
        <f>VLOOKUP(C2259,'Luong VP'!$B$10:$AP$189,13,0)</f>
        <v>0</v>
      </c>
      <c r="D2268" s="717"/>
      <c r="E2268" s="710">
        <v>5</v>
      </c>
      <c r="F2268" s="718" t="s">
        <v>674</v>
      </c>
      <c r="G2268" s="718"/>
      <c r="H2268" s="710" t="s">
        <v>660</v>
      </c>
      <c r="I2268" s="727">
        <f>VLOOKUP(C2259,'Luong VP'!$B$10:$AP$189,23,0)</f>
        <v>0</v>
      </c>
      <c r="J2268" s="728">
        <f>C2263/'Cham cong'!$AS$3*I2268</f>
        <v>0</v>
      </c>
      <c r="L2268" s="694" t="str">
        <f>G2259</f>
        <v>Đào Công Thắng</v>
      </c>
    </row>
    <row r="2269" spans="1:12" ht="9.1999999999999993" customHeight="1">
      <c r="A2269" s="712">
        <v>7</v>
      </c>
      <c r="B2269" s="713" t="s">
        <v>676</v>
      </c>
      <c r="C2269" s="714"/>
      <c r="D2269" s="717"/>
      <c r="E2269" s="710">
        <v>6</v>
      </c>
      <c r="F2269" s="718" t="s">
        <v>677</v>
      </c>
      <c r="G2269" s="718"/>
      <c r="H2269" s="710" t="s">
        <v>660</v>
      </c>
      <c r="I2269" s="727">
        <f>VLOOKUP(C2259,'Luong VP'!$B$10:$AP$189,24,0)</f>
        <v>1</v>
      </c>
      <c r="J2269" s="714">
        <f>C2263/'Cham cong'!$AS$3*I2269</f>
        <v>591.53846153846155</v>
      </c>
    </row>
    <row r="2270" spans="1:12" ht="9.1999999999999993" customHeight="1">
      <c r="A2270" s="712">
        <v>8</v>
      </c>
      <c r="B2270" s="713" t="s">
        <v>679</v>
      </c>
      <c r="C2270" s="714">
        <f>VLOOKUP(C2259,'Luong VP'!$B$10:$AP$189,14,0)</f>
        <v>200</v>
      </c>
      <c r="D2270" s="717"/>
      <c r="E2270" s="710">
        <v>7</v>
      </c>
      <c r="F2270" s="718" t="s">
        <v>680</v>
      </c>
      <c r="G2270" s="718"/>
      <c r="H2270" s="718"/>
      <c r="I2270" s="729"/>
      <c r="J2270" s="714">
        <f>VLOOKUP(C2259,'Luong VP'!$B$10:$AP$189,28,0)</f>
        <v>0</v>
      </c>
    </row>
    <row r="2271" spans="1:12" ht="9.1999999999999993" customHeight="1">
      <c r="A2271" s="712">
        <v>9</v>
      </c>
      <c r="B2271" s="713" t="s">
        <v>683</v>
      </c>
      <c r="C2271" s="714">
        <f>VLOOKUP(C2259,'Luong VP'!$B$10:$AP$189,15,0)</f>
        <v>300</v>
      </c>
      <c r="D2271" s="717"/>
      <c r="E2271" s="710">
        <v>8</v>
      </c>
      <c r="F2271" s="718" t="s">
        <v>238</v>
      </c>
      <c r="G2271" s="779"/>
      <c r="H2271" s="779"/>
      <c r="I2271" s="787"/>
      <c r="J2271" s="775">
        <f>VLOOKUP(C2259,'Luong VP'!$B$10:$AP$189,33,0)</f>
        <v>0</v>
      </c>
    </row>
    <row r="2272" spans="1:12" ht="9.1999999999999993" customHeight="1">
      <c r="A2272" s="712">
        <v>10</v>
      </c>
      <c r="B2272" s="713" t="s">
        <v>685</v>
      </c>
      <c r="C2272" s="714">
        <f>VLOOKUP(C2259,'Luong VP'!$B$10:$AP$189,16,0)</f>
        <v>0</v>
      </c>
      <c r="D2272" s="717"/>
      <c r="E2272" s="710" t="s">
        <v>686</v>
      </c>
      <c r="F2272" s="716" t="s">
        <v>687</v>
      </c>
      <c r="G2272" s="719"/>
      <c r="H2272" s="719"/>
      <c r="I2272" s="729"/>
      <c r="J2272" s="730"/>
    </row>
    <row r="2273" spans="1:12" ht="9.1999999999999993" customHeight="1">
      <c r="A2273" s="712">
        <v>11</v>
      </c>
      <c r="B2273" s="713" t="s">
        <v>688</v>
      </c>
      <c r="C2273" s="714">
        <f>VLOOKUP(C2259,'Luong VP'!$B$10:$AP$189,17,0)</f>
        <v>0</v>
      </c>
      <c r="D2273" s="717"/>
      <c r="E2273" s="710">
        <v>1</v>
      </c>
      <c r="F2273" s="716" t="s">
        <v>689</v>
      </c>
      <c r="G2273" s="719"/>
      <c r="H2273" s="719"/>
      <c r="I2273" s="714">
        <f>VLOOKUP(C2259,'Luong VP'!$B$10:$AP$189,30,0)</f>
        <v>0</v>
      </c>
      <c r="J2273" s="714">
        <f>VLOOKUP(C2259,'Luong VP'!$B$10:$AP$189,30,0)</f>
        <v>0</v>
      </c>
    </row>
    <row r="2274" spans="1:12" ht="9.1999999999999993" customHeight="1">
      <c r="A2274" s="712">
        <v>12</v>
      </c>
      <c r="B2274" s="713" t="s">
        <v>691</v>
      </c>
      <c r="C2274" s="714">
        <f>VLOOKUP(C2259,'Luong VP'!$B$10:$AP$189,18,0)</f>
        <v>0</v>
      </c>
      <c r="D2274" s="717"/>
      <c r="E2274" s="710">
        <v>2</v>
      </c>
      <c r="F2274" s="718" t="s">
        <v>239</v>
      </c>
      <c r="G2274" s="718"/>
      <c r="H2274" s="718"/>
      <c r="I2274" s="727"/>
      <c r="J2274" s="728">
        <f>VLOOKUP(C2259,'Luong VP'!$B$10:$AP$189,34,0)</f>
        <v>0</v>
      </c>
      <c r="K2274" s="731"/>
      <c r="L2274" s="715"/>
    </row>
    <row r="2275" spans="1:12" ht="9.1999999999999993" customHeight="1">
      <c r="A2275" s="712">
        <v>13</v>
      </c>
      <c r="B2275" s="713" t="s">
        <v>692</v>
      </c>
      <c r="C2275" s="714">
        <f>VLOOKUP(C2259,'Luong VP'!$B$10:$AP$189,19,0)</f>
        <v>0</v>
      </c>
      <c r="D2275" s="717"/>
      <c r="E2275" s="710">
        <v>3</v>
      </c>
      <c r="F2275" s="716" t="s">
        <v>693</v>
      </c>
      <c r="G2275" s="719"/>
      <c r="H2275" s="719"/>
      <c r="I2275" s="729"/>
      <c r="J2275" s="714">
        <f>VLOOKUP(C2259,'Luong VP'!$B$10:$AP$189,40,0)</f>
        <v>0</v>
      </c>
      <c r="K2275" s="731"/>
      <c r="L2275" s="715"/>
    </row>
    <row r="2276" spans="1:12" ht="9.1999999999999993" customHeight="1">
      <c r="A2276" s="712">
        <v>14</v>
      </c>
      <c r="B2276" s="713" t="s">
        <v>694</v>
      </c>
      <c r="C2276" s="714">
        <f>VLOOKUP(C2259,'Luong VP'!$B$10:$AP$189,20,0)</f>
        <v>0</v>
      </c>
      <c r="D2276" s="717"/>
      <c r="E2276" s="710">
        <v>4</v>
      </c>
      <c r="F2276" s="718" t="s">
        <v>695</v>
      </c>
      <c r="G2276" s="719"/>
      <c r="H2276" s="719"/>
      <c r="I2276" s="729"/>
      <c r="J2276" s="714">
        <f>VLOOKUP(C2259,'Luong VP'!$B$10:$AP$189,35,0)</f>
        <v>0</v>
      </c>
      <c r="K2276" s="732"/>
      <c r="L2276" s="715"/>
    </row>
    <row r="2277" spans="1:12" ht="9.1999999999999993" customHeight="1">
      <c r="A2277" s="712"/>
      <c r="B2277" s="707" t="s">
        <v>656</v>
      </c>
      <c r="C2277" s="714">
        <f>SUM(C2263:C2276)</f>
        <v>17149</v>
      </c>
      <c r="D2277" s="717"/>
      <c r="E2277" s="710"/>
      <c r="F2277" s="716" t="s">
        <v>241</v>
      </c>
      <c r="G2277" s="719"/>
      <c r="H2277" s="719"/>
      <c r="I2277" s="729"/>
      <c r="J2277" s="730">
        <f>SUM(J2264:J2276)+C2271</f>
        <v>19036.615384615383</v>
      </c>
      <c r="K2277" s="731"/>
      <c r="L2277" s="715"/>
    </row>
    <row r="2278" spans="1:12" ht="9.1999999999999993" customHeight="1">
      <c r="B2278" s="720"/>
      <c r="C2278" s="717"/>
      <c r="D2278" s="717"/>
      <c r="E2278" s="710" t="s">
        <v>696</v>
      </c>
      <c r="F2278" s="711" t="s">
        <v>697</v>
      </c>
      <c r="G2278" s="710"/>
      <c r="H2278" s="710"/>
      <c r="I2278" s="729"/>
      <c r="J2278" s="730">
        <f>SUM(J2279:J2281)</f>
        <v>3535.5</v>
      </c>
      <c r="K2278" s="732"/>
      <c r="L2278" s="715"/>
    </row>
    <row r="2279" spans="1:12" ht="9.1999999999999993" customHeight="1">
      <c r="B2279" s="720"/>
      <c r="C2279" s="717"/>
      <c r="D2279" s="717"/>
      <c r="E2279" s="710">
        <v>1</v>
      </c>
      <c r="F2279" s="718" t="s">
        <v>698</v>
      </c>
      <c r="G2279" s="718"/>
      <c r="H2279" s="718"/>
      <c r="I2279" s="733"/>
      <c r="J2279" s="714">
        <f>VLOOKUP(C2259,'Luong VP'!$B$10:$AP$189,37,0)</f>
        <v>535.5</v>
      </c>
      <c r="K2279" s="732"/>
      <c r="L2279" s="715"/>
    </row>
    <row r="2280" spans="1:12" ht="9.1999999999999993" customHeight="1">
      <c r="B2280" s="720"/>
      <c r="C2280" s="717"/>
      <c r="D2280" s="717"/>
      <c r="E2280" s="710">
        <v>2</v>
      </c>
      <c r="F2280" s="718" t="s">
        <v>244</v>
      </c>
      <c r="G2280" s="718"/>
      <c r="H2280" s="718"/>
      <c r="I2280" s="729"/>
      <c r="J2280" s="714">
        <f>VLOOKUP(C2259,'Luong VP'!$B$10:$AP$189,39,0)</f>
        <v>3000</v>
      </c>
      <c r="K2280" s="734"/>
      <c r="L2280" s="735"/>
    </row>
    <row r="2281" spans="1:12" ht="9.1999999999999993" customHeight="1">
      <c r="B2281" s="720"/>
      <c r="C2281" s="717"/>
      <c r="D2281" s="717"/>
      <c r="E2281" s="710"/>
      <c r="F2281" s="718" t="s">
        <v>699</v>
      </c>
      <c r="G2281" s="718"/>
      <c r="H2281" s="718"/>
      <c r="I2281" s="729"/>
      <c r="J2281" s="714"/>
      <c r="K2281" s="714"/>
      <c r="L2281" s="736"/>
    </row>
    <row r="2282" spans="1:12" ht="9.1999999999999993" customHeight="1">
      <c r="B2282" s="720"/>
      <c r="C2282" s="717"/>
      <c r="D2282" s="717"/>
      <c r="E2282" s="710" t="s">
        <v>700</v>
      </c>
      <c r="F2282" s="710" t="s">
        <v>246</v>
      </c>
      <c r="G2282" s="710"/>
      <c r="H2282" s="710"/>
      <c r="I2282" s="729"/>
      <c r="J2282" s="728">
        <f>J2277-J2278</f>
        <v>15501.115384615383</v>
      </c>
      <c r="K2282" s="728">
        <f>ROUND(J2282,-1)</f>
        <v>15500</v>
      </c>
      <c r="L2282" s="710"/>
    </row>
    <row r="2283" spans="1:12" ht="9.1999999999999993" customHeight="1">
      <c r="B2283" s="720"/>
      <c r="C2283" s="717"/>
      <c r="D2283" s="717"/>
      <c r="E2283" s="715"/>
      <c r="F2283" s="715"/>
      <c r="G2283" s="715"/>
      <c r="I2283" s="715" t="s">
        <v>701</v>
      </c>
      <c r="J2283" s="737"/>
      <c r="K2283" s="737"/>
      <c r="L2283" s="715"/>
    </row>
    <row r="2288" spans="1:12" ht="9.1999999999999993" customHeight="1">
      <c r="C2288" s="696"/>
      <c r="D2288" s="696"/>
      <c r="E2288" s="697" t="str">
        <f>$E$2</f>
        <v>THẺ LƯƠNG THÁNG 08/2019</v>
      </c>
      <c r="F2288" s="698"/>
      <c r="G2288" s="698"/>
      <c r="H2288" s="698"/>
    </row>
    <row r="2289" spans="1:12" ht="9.1999999999999993" customHeight="1">
      <c r="B2289" s="699" t="s">
        <v>644</v>
      </c>
      <c r="C2289" s="700" t="s">
        <v>410</v>
      </c>
      <c r="D2289" s="701"/>
      <c r="F2289" s="702" t="s">
        <v>645</v>
      </c>
      <c r="G2289" s="689" t="str">
        <f>VLOOKUP(C2289,'Luong VP'!$B$10:$AP$189,2,0)</f>
        <v>Nguyễn Thanh Nhàn</v>
      </c>
    </row>
    <row r="2290" spans="1:12" ht="9.1999999999999993" customHeight="1">
      <c r="B2290" s="699" t="s">
        <v>646</v>
      </c>
      <c r="C2290" s="689" t="str">
        <f>VLOOKUP(C2289,'Luong VP'!$B$10:$AP$189,3,0)</f>
        <v>Tổ trưởng cơ khí - xe cơ giới</v>
      </c>
      <c r="F2290" s="702" t="s">
        <v>647</v>
      </c>
      <c r="G2290" s="689">
        <f>VLOOKUP(C2289,'Luong VP'!$B$10:$AP$189,5,0)</f>
        <v>1</v>
      </c>
    </row>
    <row r="2291" spans="1:12" ht="9.1999999999999993" customHeight="1">
      <c r="B2291" s="703"/>
      <c r="C2291" s="704"/>
      <c r="D2291" s="705"/>
      <c r="F2291" s="706" t="s">
        <v>648</v>
      </c>
      <c r="G2291" s="706"/>
      <c r="H2291" s="706"/>
      <c r="I2291" s="725"/>
      <c r="J2291" s="726"/>
    </row>
    <row r="2292" spans="1:12" ht="9.1999999999999993" customHeight="1">
      <c r="A2292" s="707" t="s">
        <v>216</v>
      </c>
      <c r="B2292" s="707" t="s">
        <v>649</v>
      </c>
      <c r="C2292" s="708" t="s">
        <v>650</v>
      </c>
      <c r="D2292" s="709"/>
      <c r="E2292" s="710" t="s">
        <v>216</v>
      </c>
      <c r="F2292" s="711" t="s">
        <v>649</v>
      </c>
      <c r="G2292" s="710"/>
      <c r="H2292" s="710" t="s">
        <v>651</v>
      </c>
      <c r="I2292" s="727" t="s">
        <v>652</v>
      </c>
      <c r="J2292" s="714"/>
      <c r="L2292" s="694" t="s">
        <v>653</v>
      </c>
    </row>
    <row r="2293" spans="1:12" ht="9.1999999999999993" customHeight="1">
      <c r="A2293" s="712">
        <v>1</v>
      </c>
      <c r="B2293" s="713" t="s">
        <v>654</v>
      </c>
      <c r="C2293" s="714">
        <f>VLOOKUP(C2289,'Luong VP'!$B$10:$AP$189,9,0)</f>
        <v>9850</v>
      </c>
      <c r="D2293" s="715"/>
      <c r="E2293" s="710" t="s">
        <v>655</v>
      </c>
      <c r="F2293" s="716" t="s">
        <v>656</v>
      </c>
      <c r="G2293" s="710"/>
      <c r="H2293" s="710"/>
      <c r="I2293" s="727"/>
      <c r="J2293" s="714">
        <f>VLOOKUP(C2289,'Luong VP'!$B$10:$AP$189,21,0)</f>
        <v>10544</v>
      </c>
    </row>
    <row r="2294" spans="1:12" ht="9.1999999999999993" customHeight="1">
      <c r="A2294" s="712">
        <v>2</v>
      </c>
      <c r="B2294" s="713" t="s">
        <v>658</v>
      </c>
      <c r="C2294" s="714"/>
      <c r="D2294" s="717"/>
      <c r="E2294" s="710">
        <v>1</v>
      </c>
      <c r="F2294" s="718" t="s">
        <v>659</v>
      </c>
      <c r="G2294" s="718"/>
      <c r="H2294" s="710" t="s">
        <v>660</v>
      </c>
      <c r="I2294" s="727">
        <f>VLOOKUP(C2289,'Luong VP'!$B$10:$AP$189,22,0)</f>
        <v>26</v>
      </c>
      <c r="J2294" s="728">
        <f>J2293/'Cham cong'!$AS$3*I2294</f>
        <v>10544</v>
      </c>
    </row>
    <row r="2295" spans="1:12" ht="9.1999999999999993" customHeight="1">
      <c r="A2295" s="712">
        <v>3</v>
      </c>
      <c r="B2295" s="713" t="s">
        <v>661</v>
      </c>
      <c r="C2295" s="714">
        <f>VLOOKUP(C2289,'Luong VP'!$B$10:$AP$189,10,0)</f>
        <v>0</v>
      </c>
      <c r="D2295" s="717"/>
      <c r="E2295" s="710">
        <v>2</v>
      </c>
      <c r="F2295" s="718" t="s">
        <v>662</v>
      </c>
      <c r="G2295" s="718"/>
      <c r="H2295" s="710" t="s">
        <v>660</v>
      </c>
      <c r="I2295" s="727">
        <f>VLOOKUP(C2289,'Luong VP'!$B$10:$AP$189,27,0)</f>
        <v>0</v>
      </c>
      <c r="J2295" s="728">
        <f>J2293/'Cham cong'!$AS$3*I2295*3</f>
        <v>0</v>
      </c>
    </row>
    <row r="2296" spans="1:12" ht="9.1999999999999993" customHeight="1">
      <c r="A2296" s="712">
        <v>4</v>
      </c>
      <c r="B2296" s="713" t="s">
        <v>666</v>
      </c>
      <c r="C2296" s="714">
        <f>VLOOKUP(C2289,'Luong VP'!$B$10:$AP$189,11,0)</f>
        <v>200</v>
      </c>
      <c r="D2296" s="717"/>
      <c r="E2296" s="710">
        <v>3</v>
      </c>
      <c r="F2296" s="718" t="s">
        <v>667</v>
      </c>
      <c r="G2296" s="718"/>
      <c r="H2296" s="710" t="s">
        <v>668</v>
      </c>
      <c r="I2296" s="727">
        <f>VLOOKUP(C2289,'Luong VP'!$B$10:$AP$189,26,0)</f>
        <v>0</v>
      </c>
      <c r="J2296" s="728">
        <f>J2293/'Cham cong'!$AS$3*I2296/8*1.5</f>
        <v>0</v>
      </c>
    </row>
    <row r="2297" spans="1:12" ht="9.1999999999999993" customHeight="1">
      <c r="A2297" s="712">
        <v>5</v>
      </c>
      <c r="B2297" s="713" t="s">
        <v>670</v>
      </c>
      <c r="C2297" s="714">
        <f>VLOOKUP(C2289,'Luong VP'!$B$10:$AP$189,12,0)</f>
        <v>394</v>
      </c>
      <c r="D2297" s="717"/>
      <c r="E2297" s="710">
        <v>4</v>
      </c>
      <c r="F2297" s="718" t="s">
        <v>671</v>
      </c>
      <c r="G2297" s="718"/>
      <c r="H2297" s="710" t="s">
        <v>668</v>
      </c>
      <c r="I2297" s="727">
        <f>VLOOKUP(C2289,'Luong VP'!$B$10:$AP$189,25,0)</f>
        <v>8</v>
      </c>
      <c r="J2297" s="728">
        <f>J2293/'Cham cong'!$AS$3*I2297/8*2</f>
        <v>811.07692307692309</v>
      </c>
    </row>
    <row r="2298" spans="1:12" ht="9.1999999999999993" customHeight="1">
      <c r="A2298" s="712">
        <v>6</v>
      </c>
      <c r="B2298" s="713" t="s">
        <v>673</v>
      </c>
      <c r="C2298" s="714">
        <f>VLOOKUP(C2289,'Luong VP'!$B$10:$AP$189,13,0)</f>
        <v>0</v>
      </c>
      <c r="D2298" s="717"/>
      <c r="E2298" s="710">
        <v>5</v>
      </c>
      <c r="F2298" s="718" t="s">
        <v>674</v>
      </c>
      <c r="G2298" s="718"/>
      <c r="H2298" s="710" t="s">
        <v>660</v>
      </c>
      <c r="I2298" s="727">
        <f>VLOOKUP(C2289,'Luong VP'!$B$10:$AP$189,23,0)</f>
        <v>0</v>
      </c>
      <c r="J2298" s="728">
        <f>C2293/'Cham cong'!$AS$3*I2298</f>
        <v>0</v>
      </c>
      <c r="L2298" s="694" t="str">
        <f>G2289</f>
        <v>Nguyễn Thanh Nhàn</v>
      </c>
    </row>
    <row r="2299" spans="1:12" ht="9.1999999999999993" customHeight="1">
      <c r="A2299" s="712">
        <v>7</v>
      </c>
      <c r="B2299" s="713" t="s">
        <v>676</v>
      </c>
      <c r="C2299" s="714"/>
      <c r="D2299" s="717"/>
      <c r="E2299" s="710">
        <v>6</v>
      </c>
      <c r="F2299" s="718" t="s">
        <v>677</v>
      </c>
      <c r="G2299" s="718"/>
      <c r="H2299" s="710" t="s">
        <v>660</v>
      </c>
      <c r="I2299" s="727">
        <f>VLOOKUP(C2289,'Luong VP'!$B$10:$AP$189,24,0)</f>
        <v>1</v>
      </c>
      <c r="J2299" s="714">
        <f>C2293/'Cham cong'!$AS$3*I2299</f>
        <v>378.84615384615387</v>
      </c>
    </row>
    <row r="2300" spans="1:12" ht="9.1999999999999993" customHeight="1">
      <c r="A2300" s="712">
        <v>8</v>
      </c>
      <c r="B2300" s="713" t="s">
        <v>679</v>
      </c>
      <c r="C2300" s="714">
        <f>VLOOKUP(C2289,'Luong VP'!$B$10:$AP$189,14,0)</f>
        <v>100</v>
      </c>
      <c r="D2300" s="717"/>
      <c r="E2300" s="710">
        <v>7</v>
      </c>
      <c r="F2300" s="718" t="s">
        <v>680</v>
      </c>
      <c r="G2300" s="718"/>
      <c r="H2300" s="718"/>
      <c r="I2300" s="729"/>
      <c r="J2300" s="714">
        <f>VLOOKUP(C2289,'Luong VP'!$B$10:$AP$189,28,0)</f>
        <v>0</v>
      </c>
    </row>
    <row r="2301" spans="1:12" ht="9.1999999999999993" customHeight="1">
      <c r="A2301" s="712">
        <v>9</v>
      </c>
      <c r="B2301" s="713" t="s">
        <v>683</v>
      </c>
      <c r="C2301" s="714">
        <f>VLOOKUP(C2289,'Luong VP'!$B$10:$AP$189,15,0)</f>
        <v>200</v>
      </c>
      <c r="D2301" s="717"/>
      <c r="E2301" s="710">
        <v>8</v>
      </c>
      <c r="F2301" s="718" t="s">
        <v>238</v>
      </c>
      <c r="G2301" s="718"/>
      <c r="H2301" s="779"/>
      <c r="I2301" s="787"/>
      <c r="J2301" s="775">
        <f>VLOOKUP(C2289,'Luong VP'!$B$10:$AP$189,33,0)</f>
        <v>0</v>
      </c>
    </row>
    <row r="2302" spans="1:12" ht="9.1999999999999993" customHeight="1">
      <c r="A2302" s="712">
        <v>10</v>
      </c>
      <c r="B2302" s="713" t="s">
        <v>685</v>
      </c>
      <c r="C2302" s="714">
        <f>VLOOKUP(C2289,'Luong VP'!$B$10:$AP$189,16,0)</f>
        <v>0</v>
      </c>
      <c r="D2302" s="717"/>
      <c r="E2302" s="710" t="s">
        <v>686</v>
      </c>
      <c r="F2302" s="716" t="s">
        <v>687</v>
      </c>
      <c r="G2302" s="719"/>
      <c r="H2302" s="719"/>
      <c r="I2302" s="729"/>
      <c r="J2302" s="730"/>
    </row>
    <row r="2303" spans="1:12" ht="9.1999999999999993" customHeight="1">
      <c r="A2303" s="712">
        <v>11</v>
      </c>
      <c r="B2303" s="713" t="s">
        <v>688</v>
      </c>
      <c r="C2303" s="714">
        <f>VLOOKUP(C2289,'Luong VP'!$B$10:$AP$189,17,0)</f>
        <v>0</v>
      </c>
      <c r="D2303" s="717"/>
      <c r="E2303" s="710">
        <v>1</v>
      </c>
      <c r="F2303" s="716" t="s">
        <v>689</v>
      </c>
      <c r="G2303" s="719"/>
      <c r="H2303" s="719"/>
      <c r="I2303" s="714">
        <f>VLOOKUP(C2289,'Luong VP'!$B$10:$AP$189,30,0)</f>
        <v>0</v>
      </c>
      <c r="J2303" s="714">
        <f>VLOOKUP(C2289,'Luong VP'!$B$10:$AP$189,30,0)</f>
        <v>0</v>
      </c>
    </row>
    <row r="2304" spans="1:12" ht="9.1999999999999993" customHeight="1">
      <c r="A2304" s="712">
        <v>12</v>
      </c>
      <c r="B2304" s="713" t="s">
        <v>691</v>
      </c>
      <c r="C2304" s="714">
        <f>VLOOKUP(C2289,'Luong VP'!$B$10:$AP$189,18,0)</f>
        <v>0</v>
      </c>
      <c r="D2304" s="717"/>
      <c r="E2304" s="710">
        <v>2</v>
      </c>
      <c r="F2304" s="718" t="s">
        <v>239</v>
      </c>
      <c r="G2304" s="718"/>
      <c r="H2304" s="718"/>
      <c r="I2304" s="727"/>
      <c r="J2304" s="728">
        <f>VLOOKUP(C2289,'Luong VP'!$B$10:$AP$189,34,0)</f>
        <v>0</v>
      </c>
      <c r="K2304" s="731"/>
      <c r="L2304" s="715"/>
    </row>
    <row r="2305" spans="1:12" ht="9.1999999999999993" customHeight="1">
      <c r="A2305" s="712">
        <v>13</v>
      </c>
      <c r="B2305" s="713" t="s">
        <v>692</v>
      </c>
      <c r="C2305" s="714">
        <f>VLOOKUP(C2289,'Luong VP'!$B$10:$AP$189,19,0)</f>
        <v>0</v>
      </c>
      <c r="D2305" s="717"/>
      <c r="E2305" s="710">
        <v>3</v>
      </c>
      <c r="F2305" s="716" t="s">
        <v>693</v>
      </c>
      <c r="G2305" s="719"/>
      <c r="H2305" s="719"/>
      <c r="I2305" s="729"/>
      <c r="J2305" s="714">
        <f>VLOOKUP(C2289,'Luong VP'!$B$10:$AP$189,40,0)</f>
        <v>0</v>
      </c>
      <c r="K2305" s="731"/>
      <c r="L2305" s="715"/>
    </row>
    <row r="2306" spans="1:12" ht="9.1999999999999993" customHeight="1">
      <c r="A2306" s="712">
        <v>14</v>
      </c>
      <c r="B2306" s="713" t="s">
        <v>694</v>
      </c>
      <c r="C2306" s="714">
        <f>VLOOKUP(C2289,'Luong VP'!$B$10:$AP$189,20,0)</f>
        <v>0</v>
      </c>
      <c r="D2306" s="717"/>
      <c r="E2306" s="710">
        <v>4</v>
      </c>
      <c r="F2306" s="718" t="s">
        <v>695</v>
      </c>
      <c r="G2306" s="719"/>
      <c r="H2306" s="719"/>
      <c r="I2306" s="729"/>
      <c r="J2306" s="714">
        <f>VLOOKUP(C2289,'Luong VP'!$B$10:$AP$189,35,0)</f>
        <v>0</v>
      </c>
      <c r="K2306" s="732"/>
      <c r="L2306" s="715"/>
    </row>
    <row r="2307" spans="1:12" ht="9.1999999999999993" customHeight="1">
      <c r="A2307" s="712"/>
      <c r="B2307" s="707" t="s">
        <v>656</v>
      </c>
      <c r="C2307" s="714">
        <f>SUM(C2293:C2306)</f>
        <v>10744</v>
      </c>
      <c r="D2307" s="717"/>
      <c r="E2307" s="710"/>
      <c r="F2307" s="716" t="s">
        <v>241</v>
      </c>
      <c r="G2307" s="719"/>
      <c r="H2307" s="719"/>
      <c r="I2307" s="729"/>
      <c r="J2307" s="730">
        <f>SUM(J2294:J2306)+C2301</f>
        <v>11933.923076923078</v>
      </c>
      <c r="K2307" s="731"/>
      <c r="L2307" s="715"/>
    </row>
    <row r="2308" spans="1:12" ht="9.1999999999999993" customHeight="1">
      <c r="B2308" s="720"/>
      <c r="C2308" s="717"/>
      <c r="D2308" s="717"/>
      <c r="E2308" s="710" t="s">
        <v>696</v>
      </c>
      <c r="F2308" s="711" t="s">
        <v>697</v>
      </c>
      <c r="G2308" s="710"/>
      <c r="H2308" s="710"/>
      <c r="I2308" s="729"/>
      <c r="J2308" s="730">
        <f>SUM(J2309:J2311)</f>
        <v>3535.5</v>
      </c>
      <c r="K2308" s="732"/>
      <c r="L2308" s="715"/>
    </row>
    <row r="2309" spans="1:12" ht="9.1999999999999993" customHeight="1">
      <c r="B2309" s="720"/>
      <c r="C2309" s="717"/>
      <c r="D2309" s="717"/>
      <c r="E2309" s="710">
        <v>1</v>
      </c>
      <c r="F2309" s="718" t="s">
        <v>698</v>
      </c>
      <c r="G2309" s="718"/>
      <c r="H2309" s="718"/>
      <c r="I2309" s="733"/>
      <c r="J2309" s="714">
        <f>VLOOKUP(C2289,'Luong VP'!$B$10:$AP$189,37,0)</f>
        <v>535.5</v>
      </c>
      <c r="K2309" s="732"/>
      <c r="L2309" s="715"/>
    </row>
    <row r="2310" spans="1:12" ht="9.1999999999999993" customHeight="1">
      <c r="B2310" s="720"/>
      <c r="C2310" s="717"/>
      <c r="D2310" s="717"/>
      <c r="E2310" s="710">
        <v>2</v>
      </c>
      <c r="F2310" s="718" t="s">
        <v>244</v>
      </c>
      <c r="G2310" s="718"/>
      <c r="H2310" s="718"/>
      <c r="I2310" s="729"/>
      <c r="J2310" s="714">
        <f>VLOOKUP(C2289,'Luong VP'!$B$10:$AP$189,39,0)</f>
        <v>3000</v>
      </c>
      <c r="K2310" s="734"/>
      <c r="L2310" s="735"/>
    </row>
    <row r="2311" spans="1:12" ht="9.1999999999999993" customHeight="1">
      <c r="B2311" s="720"/>
      <c r="C2311" s="717"/>
      <c r="D2311" s="717"/>
      <c r="E2311" s="710"/>
      <c r="F2311" s="718" t="s">
        <v>699</v>
      </c>
      <c r="G2311" s="718"/>
      <c r="H2311" s="718"/>
      <c r="I2311" s="729"/>
      <c r="J2311" s="714"/>
      <c r="K2311" s="714"/>
      <c r="L2311" s="736"/>
    </row>
    <row r="2312" spans="1:12" ht="9.1999999999999993" customHeight="1">
      <c r="B2312" s="720"/>
      <c r="C2312" s="717"/>
      <c r="D2312" s="717"/>
      <c r="E2312" s="710" t="s">
        <v>700</v>
      </c>
      <c r="F2312" s="710" t="s">
        <v>246</v>
      </c>
      <c r="G2312" s="710"/>
      <c r="H2312" s="710"/>
      <c r="I2312" s="729"/>
      <c r="J2312" s="728">
        <f>J2307-J2308</f>
        <v>8398.423076923078</v>
      </c>
      <c r="K2312" s="728">
        <f>ROUND(J2312,-1)</f>
        <v>8400</v>
      </c>
      <c r="L2312" s="710"/>
    </row>
    <row r="2313" spans="1:12" ht="9.1999999999999993" customHeight="1">
      <c r="B2313" s="720"/>
      <c r="C2313" s="717"/>
      <c r="D2313" s="717"/>
      <c r="E2313" s="715"/>
      <c r="F2313" s="715"/>
      <c r="G2313" s="715"/>
      <c r="I2313" s="715" t="s">
        <v>701</v>
      </c>
      <c r="J2313" s="737"/>
      <c r="K2313" s="737"/>
      <c r="L2313" s="715"/>
    </row>
    <row r="2314" spans="1:12" ht="9.1999999999999993" customHeight="1">
      <c r="B2314" s="720"/>
      <c r="C2314" s="717"/>
      <c r="D2314" s="717"/>
      <c r="E2314" s="715"/>
      <c r="F2314" s="715"/>
      <c r="G2314" s="715"/>
      <c r="I2314" s="715"/>
      <c r="J2314" s="737"/>
      <c r="K2314" s="737"/>
      <c r="L2314" s="715"/>
    </row>
    <row r="2315" spans="1:12" ht="9.1999999999999993" customHeight="1">
      <c r="B2315" s="720"/>
      <c r="C2315" s="717"/>
      <c r="D2315" s="717"/>
      <c r="E2315" s="715"/>
      <c r="F2315" s="715"/>
      <c r="G2315" s="715"/>
      <c r="I2315" s="715"/>
      <c r="J2315" s="737"/>
      <c r="K2315" s="737"/>
      <c r="L2315" s="715"/>
    </row>
    <row r="2316" spans="1:12" ht="9.1999999999999993" customHeight="1">
      <c r="B2316" s="720"/>
      <c r="C2316" s="717"/>
      <c r="D2316" s="717"/>
      <c r="E2316" s="715"/>
      <c r="F2316" s="715"/>
      <c r="G2316" s="715"/>
      <c r="I2316" s="715"/>
      <c r="J2316" s="737"/>
      <c r="K2316" s="737"/>
      <c r="L2316" s="715"/>
    </row>
    <row r="2317" spans="1:12" ht="9.1999999999999993" customHeight="1">
      <c r="B2317" s="720"/>
      <c r="C2317" s="717"/>
      <c r="D2317" s="717"/>
      <c r="E2317" s="715"/>
      <c r="F2317" s="715"/>
      <c r="G2317" s="715"/>
      <c r="I2317" s="715"/>
      <c r="J2317" s="737"/>
      <c r="K2317" s="737"/>
      <c r="L2317" s="715"/>
    </row>
    <row r="2318" spans="1:12" ht="9.1999999999999993" customHeight="1">
      <c r="C2318" s="696"/>
      <c r="D2318" s="696"/>
      <c r="E2318" s="697" t="str">
        <f>$E$2</f>
        <v>THẺ LƯƠNG THÁNG 08/2019</v>
      </c>
      <c r="F2318" s="698"/>
      <c r="G2318" s="698"/>
      <c r="H2318" s="698"/>
    </row>
    <row r="2319" spans="1:12" ht="9.1999999999999993" customHeight="1">
      <c r="B2319" s="699" t="s">
        <v>644</v>
      </c>
      <c r="C2319" s="700" t="s">
        <v>407</v>
      </c>
      <c r="D2319" s="701"/>
      <c r="F2319" s="702" t="s">
        <v>645</v>
      </c>
      <c r="G2319" s="689" t="str">
        <f>VLOOKUP(C2319,'Luong VP'!$B$10:$AP$189,2,0)</f>
        <v>Nguyễn Thành Luân</v>
      </c>
    </row>
    <row r="2320" spans="1:12" ht="9.1999999999999993" customHeight="1">
      <c r="B2320" s="699" t="s">
        <v>646</v>
      </c>
      <c r="C2320" s="689" t="str">
        <f>VLOOKUP(C2319,'Luong VP'!$B$10:$AP$189,3,0)</f>
        <v>Chuyên viên kỹ thuật bảo trì</v>
      </c>
      <c r="F2320" s="702" t="s">
        <v>647</v>
      </c>
      <c r="G2320" s="689">
        <f>VLOOKUP(C2319,'Luong VP'!$B$10:$AP$189,5,0)</f>
        <v>3</v>
      </c>
    </row>
    <row r="2321" spans="1:12" ht="9.1999999999999993" customHeight="1">
      <c r="B2321" s="703"/>
      <c r="C2321" s="704"/>
      <c r="D2321" s="705"/>
      <c r="F2321" s="706" t="s">
        <v>648</v>
      </c>
      <c r="G2321" s="706"/>
      <c r="H2321" s="706"/>
      <c r="I2321" s="725"/>
      <c r="J2321" s="726"/>
    </row>
    <row r="2322" spans="1:12" ht="9.1999999999999993" customHeight="1">
      <c r="A2322" s="707" t="s">
        <v>216</v>
      </c>
      <c r="B2322" s="707" t="s">
        <v>649</v>
      </c>
      <c r="C2322" s="708" t="s">
        <v>650</v>
      </c>
      <c r="D2322" s="709"/>
      <c r="E2322" s="710" t="s">
        <v>216</v>
      </c>
      <c r="F2322" s="711" t="s">
        <v>649</v>
      </c>
      <c r="G2322" s="710"/>
      <c r="H2322" s="710" t="s">
        <v>651</v>
      </c>
      <c r="I2322" s="727" t="s">
        <v>652</v>
      </c>
      <c r="J2322" s="714"/>
      <c r="L2322" s="694" t="s">
        <v>653</v>
      </c>
    </row>
    <row r="2323" spans="1:12" ht="9.1999999999999993" customHeight="1">
      <c r="A2323" s="712">
        <v>1</v>
      </c>
      <c r="B2323" s="713" t="s">
        <v>654</v>
      </c>
      <c r="C2323" s="714">
        <f>VLOOKUP(C2319,'Luong VP'!$B$10:$AP$189,9,0)</f>
        <v>13830</v>
      </c>
      <c r="D2323" s="715"/>
      <c r="E2323" s="710" t="s">
        <v>655</v>
      </c>
      <c r="F2323" s="716" t="s">
        <v>656</v>
      </c>
      <c r="G2323" s="710"/>
      <c r="H2323" s="710"/>
      <c r="I2323" s="727"/>
      <c r="J2323" s="714">
        <f>VLOOKUP(C2319,'Luong VP'!$B$10:$AP$189,21,0)</f>
        <v>14130</v>
      </c>
    </row>
    <row r="2324" spans="1:12" ht="9.1999999999999993" customHeight="1">
      <c r="A2324" s="712">
        <v>2</v>
      </c>
      <c r="B2324" s="713" t="s">
        <v>658</v>
      </c>
      <c r="C2324" s="714"/>
      <c r="D2324" s="717"/>
      <c r="E2324" s="710">
        <v>1</v>
      </c>
      <c r="F2324" s="718" t="s">
        <v>659</v>
      </c>
      <c r="G2324" s="718"/>
      <c r="H2324" s="710" t="s">
        <v>660</v>
      </c>
      <c r="I2324" s="727">
        <f>VLOOKUP(C2319,'Luong VP'!$B$10:$AP$189,22,0)</f>
        <v>26</v>
      </c>
      <c r="J2324" s="728">
        <f>J2323/'Cham cong'!$AS$3*I2324</f>
        <v>14130</v>
      </c>
    </row>
    <row r="2325" spans="1:12" ht="9.1999999999999993" customHeight="1">
      <c r="A2325" s="712">
        <v>3</v>
      </c>
      <c r="B2325" s="713" t="s">
        <v>661</v>
      </c>
      <c r="C2325" s="714">
        <f>VLOOKUP(C2319,'Luong VP'!$B$10:$AP$189,10,0)</f>
        <v>0</v>
      </c>
      <c r="D2325" s="717"/>
      <c r="E2325" s="710">
        <v>2</v>
      </c>
      <c r="F2325" s="718" t="s">
        <v>662</v>
      </c>
      <c r="G2325" s="718"/>
      <c r="H2325" s="710" t="s">
        <v>660</v>
      </c>
      <c r="I2325" s="727">
        <f>VLOOKUP(C2319,'Luong VP'!$B$10:$AP$189,27,0)</f>
        <v>0</v>
      </c>
      <c r="J2325" s="728">
        <f>J2323/'Cham cong'!$AS$3*I2325*3</f>
        <v>0</v>
      </c>
    </row>
    <row r="2326" spans="1:12" ht="9.1999999999999993" customHeight="1">
      <c r="A2326" s="712">
        <v>4</v>
      </c>
      <c r="B2326" s="713" t="s">
        <v>666</v>
      </c>
      <c r="C2326" s="714">
        <f>VLOOKUP(C2319,'Luong VP'!$B$10:$AP$189,11,0)</f>
        <v>200</v>
      </c>
      <c r="D2326" s="717"/>
      <c r="E2326" s="710">
        <v>3</v>
      </c>
      <c r="F2326" s="718" t="s">
        <v>667</v>
      </c>
      <c r="G2326" s="718"/>
      <c r="H2326" s="710" t="s">
        <v>668</v>
      </c>
      <c r="I2326" s="727">
        <f>VLOOKUP(C2319,'Luong VP'!$B$10:$AP$189,26,0)</f>
        <v>0</v>
      </c>
      <c r="J2326" s="728">
        <f>J2323/'Cham cong'!$AS$3*I2326/8*1.5</f>
        <v>0</v>
      </c>
    </row>
    <row r="2327" spans="1:12" ht="9.1999999999999993" customHeight="1">
      <c r="A2327" s="712">
        <v>5</v>
      </c>
      <c r="B2327" s="713" t="s">
        <v>670</v>
      </c>
      <c r="C2327" s="714">
        <f>VLOOKUP(C2319,'Luong VP'!$B$10:$AP$189,12,0)</f>
        <v>0</v>
      </c>
      <c r="D2327" s="717"/>
      <c r="E2327" s="710">
        <v>4</v>
      </c>
      <c r="F2327" s="718" t="s">
        <v>671</v>
      </c>
      <c r="G2327" s="718"/>
      <c r="H2327" s="710" t="s">
        <v>668</v>
      </c>
      <c r="I2327" s="727">
        <f>VLOOKUP(C2319,'Luong VP'!$B$10:$AP$189,25,0)</f>
        <v>0</v>
      </c>
      <c r="J2327" s="728">
        <f>J2323/'Cham cong'!$AS$3*I2327/8*2</f>
        <v>0</v>
      </c>
    </row>
    <row r="2328" spans="1:12" ht="9.1999999999999993" customHeight="1">
      <c r="A2328" s="712">
        <v>6</v>
      </c>
      <c r="B2328" s="713" t="s">
        <v>673</v>
      </c>
      <c r="C2328" s="714">
        <f>VLOOKUP(C2319,'Luong VP'!$B$10:$AP$189,13,0)</f>
        <v>0</v>
      </c>
      <c r="D2328" s="717"/>
      <c r="E2328" s="710">
        <v>5</v>
      </c>
      <c r="F2328" s="718" t="s">
        <v>674</v>
      </c>
      <c r="G2328" s="718"/>
      <c r="H2328" s="710" t="s">
        <v>660</v>
      </c>
      <c r="I2328" s="727">
        <f>VLOOKUP(C2319,'Luong VP'!$B$10:$AP$189,23,0)</f>
        <v>0</v>
      </c>
      <c r="J2328" s="728">
        <f>C2323/'Cham cong'!$AS$3*I2328</f>
        <v>0</v>
      </c>
      <c r="L2328" s="694" t="str">
        <f>G2319</f>
        <v>Nguyễn Thành Luân</v>
      </c>
    </row>
    <row r="2329" spans="1:12" ht="9.1999999999999993" customHeight="1">
      <c r="A2329" s="712">
        <v>7</v>
      </c>
      <c r="B2329" s="713" t="s">
        <v>676</v>
      </c>
      <c r="C2329" s="714"/>
      <c r="D2329" s="717"/>
      <c r="E2329" s="710">
        <v>6</v>
      </c>
      <c r="F2329" s="718" t="s">
        <v>677</v>
      </c>
      <c r="G2329" s="718"/>
      <c r="H2329" s="710" t="s">
        <v>660</v>
      </c>
      <c r="I2329" s="727">
        <f>VLOOKUP(C2319,'Luong VP'!$B$10:$AP$189,24,0)</f>
        <v>1</v>
      </c>
      <c r="J2329" s="714">
        <f>C2323/'Cham cong'!$AS$3*I2329</f>
        <v>531.92307692307691</v>
      </c>
    </row>
    <row r="2330" spans="1:12" ht="9.1999999999999993" customHeight="1">
      <c r="A2330" s="712">
        <v>8</v>
      </c>
      <c r="B2330" s="713" t="s">
        <v>679</v>
      </c>
      <c r="C2330" s="714">
        <f>VLOOKUP(C2319,'Luong VP'!$B$10:$AP$189,14,0)</f>
        <v>100</v>
      </c>
      <c r="D2330" s="717"/>
      <c r="E2330" s="710">
        <v>7</v>
      </c>
      <c r="F2330" s="718" t="s">
        <v>680</v>
      </c>
      <c r="G2330" s="718"/>
      <c r="H2330" s="718"/>
      <c r="I2330" s="729"/>
      <c r="J2330" s="714">
        <f>VLOOKUP(C2319,'Luong VP'!$B$10:$AP$189,28,0)</f>
        <v>0</v>
      </c>
    </row>
    <row r="2331" spans="1:12" ht="9.1999999999999993" customHeight="1">
      <c r="A2331" s="712">
        <v>9</v>
      </c>
      <c r="B2331" s="713" t="s">
        <v>683</v>
      </c>
      <c r="C2331" s="714">
        <f>VLOOKUP(C2319,'Luong VP'!$B$10:$AP$189,15,0)</f>
        <v>200</v>
      </c>
      <c r="D2331" s="717"/>
      <c r="E2331" s="710">
        <v>8</v>
      </c>
      <c r="F2331" s="718" t="s">
        <v>238</v>
      </c>
      <c r="G2331" s="718"/>
      <c r="H2331" s="710" t="s">
        <v>660</v>
      </c>
      <c r="I2331" s="787"/>
      <c r="J2331" s="775">
        <f>VLOOKUP(C2319,'Luong VP'!$B$10:$AP$189,33,0)</f>
        <v>0</v>
      </c>
    </row>
    <row r="2332" spans="1:12" ht="9.1999999999999993" customHeight="1">
      <c r="A2332" s="712">
        <v>10</v>
      </c>
      <c r="B2332" s="713" t="s">
        <v>685</v>
      </c>
      <c r="C2332" s="714">
        <f>VLOOKUP(C2319,'Luong VP'!$B$10:$AP$189,16,0)</f>
        <v>0</v>
      </c>
      <c r="D2332" s="717"/>
      <c r="E2332" s="710" t="s">
        <v>686</v>
      </c>
      <c r="F2332" s="716" t="s">
        <v>687</v>
      </c>
      <c r="G2332" s="719"/>
      <c r="H2332" s="719"/>
      <c r="I2332" s="729"/>
      <c r="J2332" s="730"/>
    </row>
    <row r="2333" spans="1:12" ht="9.1999999999999993" customHeight="1">
      <c r="A2333" s="712">
        <v>11</v>
      </c>
      <c r="B2333" s="713" t="s">
        <v>688</v>
      </c>
      <c r="C2333" s="714">
        <f>VLOOKUP(C2319,'Luong VP'!$B$10:$AP$189,17,0)</f>
        <v>0</v>
      </c>
      <c r="D2333" s="717"/>
      <c r="E2333" s="710">
        <v>1</v>
      </c>
      <c r="F2333" s="716" t="s">
        <v>689</v>
      </c>
      <c r="G2333" s="719"/>
      <c r="H2333" s="719"/>
      <c r="I2333" s="714">
        <f>VLOOKUP(C2319,'Luong VP'!$B$10:$AP$189,30,0)</f>
        <v>0</v>
      </c>
      <c r="J2333" s="714">
        <f>VLOOKUP(C2319,'Luong VP'!$B$10:$AP$189,30,0)</f>
        <v>0</v>
      </c>
    </row>
    <row r="2334" spans="1:12" ht="9.1999999999999993" customHeight="1">
      <c r="A2334" s="712">
        <v>12</v>
      </c>
      <c r="B2334" s="713" t="s">
        <v>691</v>
      </c>
      <c r="C2334" s="714">
        <f>VLOOKUP(C2319,'Luong VP'!$B$10:$AP$189,18,0)</f>
        <v>0</v>
      </c>
      <c r="D2334" s="717"/>
      <c r="E2334" s="710">
        <v>2</v>
      </c>
      <c r="F2334" s="718" t="s">
        <v>239</v>
      </c>
      <c r="G2334" s="718"/>
      <c r="H2334" s="718"/>
      <c r="I2334" s="727"/>
      <c r="J2334" s="728">
        <f>VLOOKUP(C2319,'Luong VP'!$B$10:$AP$189,34,0)</f>
        <v>0</v>
      </c>
      <c r="K2334" s="731"/>
      <c r="L2334" s="715"/>
    </row>
    <row r="2335" spans="1:12" ht="9.1999999999999993" customHeight="1">
      <c r="A2335" s="712">
        <v>13</v>
      </c>
      <c r="B2335" s="713" t="s">
        <v>692</v>
      </c>
      <c r="C2335" s="714">
        <f>VLOOKUP(C2319,'Luong VP'!$B$10:$AP$189,19,0)</f>
        <v>0</v>
      </c>
      <c r="D2335" s="717"/>
      <c r="E2335" s="710">
        <v>3</v>
      </c>
      <c r="F2335" s="716" t="s">
        <v>693</v>
      </c>
      <c r="G2335" s="719"/>
      <c r="H2335" s="719"/>
      <c r="I2335" s="729"/>
      <c r="J2335" s="714">
        <f>VLOOKUP(C2319,'Luong VP'!$B$10:$AP$189,40,0)</f>
        <v>0</v>
      </c>
      <c r="K2335" s="731"/>
      <c r="L2335" s="715"/>
    </row>
    <row r="2336" spans="1:12" ht="9.1999999999999993" customHeight="1">
      <c r="A2336" s="712">
        <v>14</v>
      </c>
      <c r="B2336" s="713" t="s">
        <v>694</v>
      </c>
      <c r="C2336" s="714">
        <f>VLOOKUP(C2319,'Luong VP'!$B$10:$AP$189,20,0)</f>
        <v>0</v>
      </c>
      <c r="D2336" s="717"/>
      <c r="E2336" s="710">
        <v>4</v>
      </c>
      <c r="F2336" s="718" t="s">
        <v>695</v>
      </c>
      <c r="G2336" s="719"/>
      <c r="H2336" s="719"/>
      <c r="I2336" s="729"/>
      <c r="J2336" s="714">
        <f>VLOOKUP(C2319,'Luong VP'!$B$10:$AP$189,35,0)</f>
        <v>0</v>
      </c>
      <c r="K2336" s="732"/>
      <c r="L2336" s="715"/>
    </row>
    <row r="2337" spans="1:12" ht="9.1999999999999993" customHeight="1">
      <c r="A2337" s="712"/>
      <c r="B2337" s="707" t="s">
        <v>656</v>
      </c>
      <c r="C2337" s="714">
        <f>SUM(C2323:C2336)</f>
        <v>14330</v>
      </c>
      <c r="D2337" s="717"/>
      <c r="E2337" s="710"/>
      <c r="F2337" s="716" t="s">
        <v>241</v>
      </c>
      <c r="G2337" s="719"/>
      <c r="H2337" s="719"/>
      <c r="I2337" s="729"/>
      <c r="J2337" s="730">
        <f>SUM(J2324:J2336)+C2331</f>
        <v>14861.923076923076</v>
      </c>
      <c r="K2337" s="731"/>
      <c r="L2337" s="715"/>
    </row>
    <row r="2338" spans="1:12" ht="9.1999999999999993" customHeight="1">
      <c r="B2338" s="720"/>
      <c r="C2338" s="717"/>
      <c r="D2338" s="717"/>
      <c r="E2338" s="710" t="s">
        <v>696</v>
      </c>
      <c r="F2338" s="711" t="s">
        <v>697</v>
      </c>
      <c r="G2338" s="710"/>
      <c r="H2338" s="710"/>
      <c r="I2338" s="729"/>
      <c r="J2338" s="730">
        <f>SUM(J2339:J2341)</f>
        <v>4525</v>
      </c>
      <c r="K2338" s="732"/>
      <c r="L2338" s="715"/>
    </row>
    <row r="2339" spans="1:12" ht="9.1999999999999993" customHeight="1">
      <c r="B2339" s="720"/>
      <c r="C2339" s="717"/>
      <c r="D2339" s="717"/>
      <c r="E2339" s="710">
        <v>1</v>
      </c>
      <c r="F2339" s="718" t="s">
        <v>698</v>
      </c>
      <c r="G2339" s="718"/>
      <c r="H2339" s="718"/>
      <c r="I2339" s="733"/>
      <c r="J2339" s="714">
        <f>VLOOKUP(C2319,'Luong VP'!$B$10:$AP$189,37,0)</f>
        <v>525</v>
      </c>
      <c r="K2339" s="732"/>
      <c r="L2339" s="715"/>
    </row>
    <row r="2340" spans="1:12" ht="9.1999999999999993" customHeight="1">
      <c r="B2340" s="720"/>
      <c r="C2340" s="717"/>
      <c r="D2340" s="717"/>
      <c r="E2340" s="710">
        <v>2</v>
      </c>
      <c r="F2340" s="718" t="s">
        <v>244</v>
      </c>
      <c r="G2340" s="718"/>
      <c r="H2340" s="718"/>
      <c r="I2340" s="729"/>
      <c r="J2340" s="714">
        <f>VLOOKUP(C2319,'Luong VP'!$B$10:$AP$189,39,0)</f>
        <v>4000</v>
      </c>
      <c r="K2340" s="734"/>
      <c r="L2340" s="735"/>
    </row>
    <row r="2341" spans="1:12" ht="9.1999999999999993" customHeight="1">
      <c r="B2341" s="720"/>
      <c r="C2341" s="717"/>
      <c r="D2341" s="717"/>
      <c r="E2341" s="710"/>
      <c r="F2341" s="718" t="s">
        <v>699</v>
      </c>
      <c r="G2341" s="718"/>
      <c r="H2341" s="718"/>
      <c r="I2341" s="729"/>
      <c r="J2341" s="714"/>
      <c r="K2341" s="714"/>
      <c r="L2341" s="736"/>
    </row>
    <row r="2342" spans="1:12" ht="9.1999999999999993" customHeight="1">
      <c r="B2342" s="720"/>
      <c r="C2342" s="717"/>
      <c r="D2342" s="717"/>
      <c r="E2342" s="710" t="s">
        <v>700</v>
      </c>
      <c r="F2342" s="710" t="s">
        <v>246</v>
      </c>
      <c r="G2342" s="710"/>
      <c r="H2342" s="710"/>
      <c r="I2342" s="729"/>
      <c r="J2342" s="728">
        <f>J2337-J2338</f>
        <v>10336.923076923076</v>
      </c>
      <c r="K2342" s="728">
        <f>ROUND(J2342,-1)</f>
        <v>10340</v>
      </c>
      <c r="L2342" s="710"/>
    </row>
    <row r="2343" spans="1:12" ht="9.1999999999999993" customHeight="1">
      <c r="B2343" s="720"/>
      <c r="C2343" s="717"/>
      <c r="D2343" s="717"/>
      <c r="E2343" s="715"/>
      <c r="F2343" s="715"/>
      <c r="G2343" s="715"/>
      <c r="I2343" s="715" t="s">
        <v>701</v>
      </c>
      <c r="J2343" s="737"/>
      <c r="K2343" s="737"/>
      <c r="L2343" s="715"/>
    </row>
    <row r="2344" spans="1:12" ht="9.1999999999999993" customHeight="1">
      <c r="B2344" s="720"/>
      <c r="C2344" s="717"/>
      <c r="D2344" s="717"/>
      <c r="E2344" s="715"/>
      <c r="F2344" s="715"/>
      <c r="G2344" s="715"/>
      <c r="I2344" s="715"/>
      <c r="J2344" s="737"/>
      <c r="K2344" s="737"/>
      <c r="L2344" s="715"/>
    </row>
    <row r="2345" spans="1:12" ht="9.1999999999999993" customHeight="1">
      <c r="B2345" s="720"/>
      <c r="C2345" s="717"/>
      <c r="D2345" s="717"/>
      <c r="E2345" s="715"/>
      <c r="F2345" s="715"/>
      <c r="G2345" s="715"/>
      <c r="I2345" s="715"/>
      <c r="J2345" s="737"/>
      <c r="K2345" s="737"/>
      <c r="L2345" s="715"/>
    </row>
    <row r="2348" spans="1:12" ht="9.1999999999999993" customHeight="1">
      <c r="C2348" s="696"/>
      <c r="D2348" s="696"/>
      <c r="E2348" s="697" t="str">
        <f>$E$2</f>
        <v>THẺ LƯƠNG THÁNG 08/2019</v>
      </c>
      <c r="F2348" s="698"/>
      <c r="G2348" s="698"/>
      <c r="H2348" s="698"/>
    </row>
    <row r="2349" spans="1:12" ht="9.1999999999999993" customHeight="1">
      <c r="B2349" s="699" t="s">
        <v>644</v>
      </c>
      <c r="C2349" s="700" t="s">
        <v>412</v>
      </c>
      <c r="D2349" s="701"/>
      <c r="F2349" s="702" t="s">
        <v>645</v>
      </c>
      <c r="G2349" s="689" t="str">
        <f>VLOOKUP(C2349,'Luong VP'!$B$10:$AP$189,2,0)</f>
        <v>Nguyễn Thanh Lâm</v>
      </c>
    </row>
    <row r="2350" spans="1:12" ht="9.1999999999999993" customHeight="1">
      <c r="B2350" s="699" t="s">
        <v>646</v>
      </c>
      <c r="C2350" s="689" t="str">
        <f>VLOOKUP(C2349,'Luong VP'!$B$10:$AP$189,3,0)</f>
        <v>Nhân viên bảo trì cơ khí</v>
      </c>
      <c r="F2350" s="702" t="s">
        <v>647</v>
      </c>
      <c r="G2350" s="689">
        <f>VLOOKUP(C2349,'Luong VP'!$B$10:$AP$189,5,0)</f>
        <v>2</v>
      </c>
    </row>
    <row r="2351" spans="1:12" ht="9.1999999999999993" customHeight="1">
      <c r="B2351" s="703"/>
      <c r="C2351" s="704"/>
      <c r="D2351" s="705"/>
      <c r="F2351" s="706" t="s">
        <v>648</v>
      </c>
      <c r="G2351" s="706"/>
      <c r="H2351" s="706"/>
      <c r="I2351" s="725"/>
      <c r="J2351" s="726"/>
    </row>
    <row r="2352" spans="1:12" ht="9.1999999999999993" customHeight="1">
      <c r="A2352" s="707" t="s">
        <v>216</v>
      </c>
      <c r="B2352" s="707" t="s">
        <v>649</v>
      </c>
      <c r="C2352" s="708" t="s">
        <v>650</v>
      </c>
      <c r="D2352" s="709"/>
      <c r="E2352" s="710" t="s">
        <v>216</v>
      </c>
      <c r="F2352" s="711" t="s">
        <v>649</v>
      </c>
      <c r="G2352" s="710"/>
      <c r="H2352" s="710" t="s">
        <v>651</v>
      </c>
      <c r="I2352" s="727" t="s">
        <v>652</v>
      </c>
      <c r="J2352" s="714"/>
      <c r="L2352" s="694" t="s">
        <v>653</v>
      </c>
    </row>
    <row r="2353" spans="1:12" ht="9.1999999999999993" customHeight="1">
      <c r="A2353" s="712">
        <v>1</v>
      </c>
      <c r="B2353" s="713" t="s">
        <v>654</v>
      </c>
      <c r="C2353" s="714">
        <f>VLOOKUP(C2349,'Luong VP'!$B$10:$AP$189,9,0)</f>
        <v>7590</v>
      </c>
      <c r="D2353" s="715"/>
      <c r="E2353" s="710" t="s">
        <v>655</v>
      </c>
      <c r="F2353" s="716" t="s">
        <v>656</v>
      </c>
      <c r="G2353" s="710"/>
      <c r="H2353" s="710"/>
      <c r="I2353" s="727"/>
      <c r="J2353" s="714">
        <f>VLOOKUP(C2349,'Luong VP'!$B$10:$AP$189,21,0)</f>
        <v>7893.6</v>
      </c>
    </row>
    <row r="2354" spans="1:12" ht="9.1999999999999993" customHeight="1">
      <c r="A2354" s="712">
        <v>2</v>
      </c>
      <c r="B2354" s="713" t="s">
        <v>658</v>
      </c>
      <c r="C2354" s="714"/>
      <c r="D2354" s="717"/>
      <c r="E2354" s="710">
        <v>1</v>
      </c>
      <c r="F2354" s="718" t="s">
        <v>659</v>
      </c>
      <c r="G2354" s="718"/>
      <c r="H2354" s="710" t="s">
        <v>660</v>
      </c>
      <c r="I2354" s="727">
        <f>VLOOKUP(C2349,'Luong VP'!$B$10:$AP$189,22,0)</f>
        <v>26</v>
      </c>
      <c r="J2354" s="728">
        <f>J2353/'Cham cong'!$AS$3*I2354</f>
        <v>7893.6</v>
      </c>
    </row>
    <row r="2355" spans="1:12" ht="9.1999999999999993" customHeight="1">
      <c r="A2355" s="712">
        <v>3</v>
      </c>
      <c r="B2355" s="713" t="s">
        <v>661</v>
      </c>
      <c r="C2355" s="714">
        <f>VLOOKUP(C2349,'Luong VP'!$B$10:$AP$189,10,0)</f>
        <v>0</v>
      </c>
      <c r="D2355" s="717"/>
      <c r="E2355" s="710">
        <v>2</v>
      </c>
      <c r="F2355" s="718" t="s">
        <v>662</v>
      </c>
      <c r="G2355" s="718"/>
      <c r="H2355" s="710" t="s">
        <v>660</v>
      </c>
      <c r="I2355" s="727">
        <f>VLOOKUP(C2349,'Luong VP'!$B$10:$AP$189,27,0)</f>
        <v>0</v>
      </c>
      <c r="J2355" s="728">
        <f>J2353/'Cham cong'!$AS$3*I2355*3</f>
        <v>0</v>
      </c>
    </row>
    <row r="2356" spans="1:12" ht="9.1999999999999993" customHeight="1">
      <c r="A2356" s="712">
        <v>4</v>
      </c>
      <c r="B2356" s="713" t="s">
        <v>666</v>
      </c>
      <c r="C2356" s="714">
        <f>VLOOKUP(C2349,'Luong VP'!$B$10:$AP$189,11,0)</f>
        <v>0</v>
      </c>
      <c r="D2356" s="717"/>
      <c r="E2356" s="710">
        <v>3</v>
      </c>
      <c r="F2356" s="718" t="s">
        <v>667</v>
      </c>
      <c r="G2356" s="718"/>
      <c r="H2356" s="710" t="s">
        <v>668</v>
      </c>
      <c r="I2356" s="727">
        <f>VLOOKUP(C2349,'Luong VP'!$B$10:$AP$189,26,0)</f>
        <v>0</v>
      </c>
      <c r="J2356" s="728">
        <f>J2353/'Cham cong'!$AS$3*I2356/8*1.5</f>
        <v>0</v>
      </c>
    </row>
    <row r="2357" spans="1:12" ht="9.1999999999999993" customHeight="1">
      <c r="A2357" s="712">
        <v>5</v>
      </c>
      <c r="B2357" s="713" t="s">
        <v>670</v>
      </c>
      <c r="C2357" s="714">
        <f>VLOOKUP(C2349,'Luong VP'!$B$10:$AP$189,12,0)</f>
        <v>303.60000000000002</v>
      </c>
      <c r="D2357" s="717"/>
      <c r="E2357" s="710">
        <v>4</v>
      </c>
      <c r="F2357" s="718" t="s">
        <v>671</v>
      </c>
      <c r="G2357" s="718"/>
      <c r="H2357" s="710" t="s">
        <v>668</v>
      </c>
      <c r="I2357" s="727">
        <f>VLOOKUP(C2349,'Luong VP'!$B$10:$AP$189,25,0)</f>
        <v>8</v>
      </c>
      <c r="J2357" s="728">
        <f>J2353/'Cham cong'!$AS$3*I2357/8*2</f>
        <v>607.20000000000005</v>
      </c>
    </row>
    <row r="2358" spans="1:12" ht="9.1999999999999993" customHeight="1">
      <c r="A2358" s="712">
        <v>6</v>
      </c>
      <c r="B2358" s="713" t="s">
        <v>673</v>
      </c>
      <c r="C2358" s="714">
        <f>VLOOKUP(C2349,'Luong VP'!$B$10:$AP$189,13,0)</f>
        <v>0</v>
      </c>
      <c r="D2358" s="717"/>
      <c r="E2358" s="710">
        <v>5</v>
      </c>
      <c r="F2358" s="718" t="s">
        <v>674</v>
      </c>
      <c r="G2358" s="718"/>
      <c r="H2358" s="710" t="s">
        <v>660</v>
      </c>
      <c r="I2358" s="727">
        <f>VLOOKUP(C2349,'Luong VP'!$B$10:$AP$189,23,0)</f>
        <v>0</v>
      </c>
      <c r="J2358" s="728">
        <f>C2353/'Cham cong'!$AS$3*I2358</f>
        <v>0</v>
      </c>
      <c r="L2358" s="694" t="str">
        <f>G2349</f>
        <v>Nguyễn Thanh Lâm</v>
      </c>
    </row>
    <row r="2359" spans="1:12" ht="9.1999999999999993" customHeight="1">
      <c r="A2359" s="712">
        <v>7</v>
      </c>
      <c r="B2359" s="713" t="s">
        <v>676</v>
      </c>
      <c r="C2359" s="714"/>
      <c r="D2359" s="717"/>
      <c r="E2359" s="710">
        <v>6</v>
      </c>
      <c r="F2359" s="718" t="s">
        <v>677</v>
      </c>
      <c r="G2359" s="718"/>
      <c r="H2359" s="710" t="s">
        <v>660</v>
      </c>
      <c r="I2359" s="727">
        <f>VLOOKUP(C2349,'Luong VP'!$B$10:$AP$189,24,0)</f>
        <v>1</v>
      </c>
      <c r="J2359" s="714">
        <f>C2353/'Cham cong'!$AS$3*I2359</f>
        <v>291.92307692307691</v>
      </c>
    </row>
    <row r="2360" spans="1:12" ht="9.1999999999999993" customHeight="1">
      <c r="A2360" s="712">
        <v>8</v>
      </c>
      <c r="B2360" s="713" t="s">
        <v>679</v>
      </c>
      <c r="C2360" s="714">
        <f>VLOOKUP(C2349,'Luong VP'!$B$10:$AP$189,14,0)</f>
        <v>0</v>
      </c>
      <c r="D2360" s="717"/>
      <c r="E2360" s="710">
        <v>7</v>
      </c>
      <c r="F2360" s="718" t="s">
        <v>680</v>
      </c>
      <c r="G2360" s="718"/>
      <c r="H2360" s="718"/>
      <c r="I2360" s="729"/>
      <c r="J2360" s="714">
        <f>VLOOKUP(C2349,'Luong VP'!$B$10:$AP$189,28,0)</f>
        <v>0</v>
      </c>
    </row>
    <row r="2361" spans="1:12" ht="9.1999999999999993" customHeight="1">
      <c r="A2361" s="712">
        <v>9</v>
      </c>
      <c r="B2361" s="713" t="s">
        <v>683</v>
      </c>
      <c r="C2361" s="714">
        <f>VLOOKUP(C2349,'Luong VP'!$B$10:$AP$189,15,0)</f>
        <v>0</v>
      </c>
      <c r="D2361" s="717"/>
      <c r="E2361" s="710">
        <v>8</v>
      </c>
      <c r="F2361" s="718" t="s">
        <v>238</v>
      </c>
      <c r="G2361" s="718"/>
      <c r="H2361" s="718"/>
      <c r="I2361" s="729"/>
      <c r="J2361" s="714">
        <f>VLOOKUP(C2349,'Luong VP'!$B$10:$AP$189,33,0)</f>
        <v>0</v>
      </c>
    </row>
    <row r="2362" spans="1:12" ht="9.1999999999999993" customHeight="1">
      <c r="A2362" s="712">
        <v>10</v>
      </c>
      <c r="B2362" s="713" t="s">
        <v>685</v>
      </c>
      <c r="C2362" s="714">
        <f>VLOOKUP(C2349,'Luong VP'!$B$10:$AP$189,16,0)</f>
        <v>0</v>
      </c>
      <c r="D2362" s="717"/>
      <c r="E2362" s="710" t="s">
        <v>686</v>
      </c>
      <c r="F2362" s="716" t="s">
        <v>687</v>
      </c>
      <c r="G2362" s="719"/>
      <c r="H2362" s="719"/>
      <c r="I2362" s="729"/>
      <c r="J2362" s="730"/>
    </row>
    <row r="2363" spans="1:12" ht="9.1999999999999993" customHeight="1">
      <c r="A2363" s="712">
        <v>11</v>
      </c>
      <c r="B2363" s="713" t="s">
        <v>688</v>
      </c>
      <c r="C2363" s="714">
        <f>VLOOKUP(C2349,'Luong VP'!$B$10:$AP$189,17,0)</f>
        <v>0</v>
      </c>
      <c r="D2363" s="717"/>
      <c r="E2363" s="710">
        <v>1</v>
      </c>
      <c r="F2363" s="716" t="s">
        <v>689</v>
      </c>
      <c r="G2363" s="719"/>
      <c r="H2363" s="719"/>
      <c r="I2363" s="714">
        <f>VLOOKUP(C2349,'Luong VP'!$B$10:$AP$189,30,0)</f>
        <v>0</v>
      </c>
      <c r="J2363" s="714">
        <f>VLOOKUP(C2349,'Luong VP'!$B$10:$AP$189,30,0)</f>
        <v>0</v>
      </c>
    </row>
    <row r="2364" spans="1:12" ht="9.1999999999999993" customHeight="1">
      <c r="A2364" s="712">
        <v>12</v>
      </c>
      <c r="B2364" s="713" t="s">
        <v>691</v>
      </c>
      <c r="C2364" s="714">
        <f>VLOOKUP(C2349,'Luong VP'!$B$10:$AP$189,18,0)</f>
        <v>0</v>
      </c>
      <c r="D2364" s="717"/>
      <c r="E2364" s="710">
        <v>2</v>
      </c>
      <c r="F2364" s="718" t="s">
        <v>239</v>
      </c>
      <c r="G2364" s="718"/>
      <c r="H2364" s="718"/>
      <c r="I2364" s="727"/>
      <c r="J2364" s="728">
        <f>VLOOKUP(C2349,'Luong VP'!$B$10:$AP$189,34,0)</f>
        <v>0</v>
      </c>
      <c r="K2364" s="731"/>
      <c r="L2364" s="715"/>
    </row>
    <row r="2365" spans="1:12" ht="9.1999999999999993" customHeight="1">
      <c r="A2365" s="712">
        <v>13</v>
      </c>
      <c r="B2365" s="713" t="s">
        <v>692</v>
      </c>
      <c r="C2365" s="714">
        <f>VLOOKUP(C2349,'Luong VP'!$B$10:$AP$189,19,0)</f>
        <v>0</v>
      </c>
      <c r="D2365" s="717"/>
      <c r="E2365" s="710">
        <v>3</v>
      </c>
      <c r="F2365" s="716" t="s">
        <v>693</v>
      </c>
      <c r="G2365" s="719"/>
      <c r="H2365" s="719"/>
      <c r="I2365" s="729"/>
      <c r="J2365" s="714">
        <f>VLOOKUP(C2349,'Luong VP'!$B$10:$AP$189,40,0)</f>
        <v>0</v>
      </c>
      <c r="K2365" s="731"/>
      <c r="L2365" s="715"/>
    </row>
    <row r="2366" spans="1:12" ht="9.1999999999999993" customHeight="1">
      <c r="A2366" s="712">
        <v>14</v>
      </c>
      <c r="B2366" s="713" t="s">
        <v>694</v>
      </c>
      <c r="C2366" s="714">
        <f>VLOOKUP(C2349,'Luong VP'!$B$10:$AP$189,20,0)</f>
        <v>0</v>
      </c>
      <c r="D2366" s="717"/>
      <c r="E2366" s="710">
        <v>4</v>
      </c>
      <c r="F2366" s="718" t="s">
        <v>695</v>
      </c>
      <c r="G2366" s="719"/>
      <c r="H2366" s="719"/>
      <c r="I2366" s="729"/>
      <c r="J2366" s="714">
        <f>VLOOKUP(C2349,'Luong VP'!$B$10:$AP$189,35,0)</f>
        <v>0</v>
      </c>
      <c r="K2366" s="732"/>
      <c r="L2366" s="715"/>
    </row>
    <row r="2367" spans="1:12" ht="9.1999999999999993" customHeight="1">
      <c r="A2367" s="712"/>
      <c r="B2367" s="707" t="s">
        <v>656</v>
      </c>
      <c r="C2367" s="714">
        <f>SUM(C2353:C2366)</f>
        <v>7893.6</v>
      </c>
      <c r="D2367" s="717"/>
      <c r="E2367" s="710"/>
      <c r="F2367" s="716" t="s">
        <v>241</v>
      </c>
      <c r="G2367" s="719"/>
      <c r="H2367" s="719"/>
      <c r="I2367" s="729"/>
      <c r="J2367" s="730">
        <f>SUM(J2354:J2366)+C2361</f>
        <v>8792.7230769230773</v>
      </c>
      <c r="K2367" s="731"/>
      <c r="L2367" s="715"/>
    </row>
    <row r="2368" spans="1:12" ht="9.1999999999999993" customHeight="1">
      <c r="B2368" s="720"/>
      <c r="C2368" s="717"/>
      <c r="D2368" s="717"/>
      <c r="E2368" s="710" t="s">
        <v>696</v>
      </c>
      <c r="F2368" s="711" t="s">
        <v>697</v>
      </c>
      <c r="G2368" s="710"/>
      <c r="H2368" s="710"/>
      <c r="I2368" s="729"/>
      <c r="J2368" s="730">
        <f>SUM(J2369:J2371)</f>
        <v>4504</v>
      </c>
      <c r="K2368" s="732"/>
      <c r="L2368" s="715"/>
    </row>
    <row r="2369" spans="1:12" ht="9.1999999999999993" customHeight="1">
      <c r="B2369" s="720"/>
      <c r="C2369" s="717"/>
      <c r="D2369" s="717"/>
      <c r="E2369" s="710">
        <v>1</v>
      </c>
      <c r="F2369" s="718" t="s">
        <v>698</v>
      </c>
      <c r="G2369" s="718"/>
      <c r="H2369" s="718"/>
      <c r="I2369" s="733"/>
      <c r="J2369" s="714">
        <f>VLOOKUP(C2349,'Luong VP'!$B$10:$AP$189,37,0)</f>
        <v>504</v>
      </c>
      <c r="K2369" s="732"/>
      <c r="L2369" s="715"/>
    </row>
    <row r="2370" spans="1:12" ht="9.1999999999999993" customHeight="1">
      <c r="B2370" s="720"/>
      <c r="C2370" s="717"/>
      <c r="D2370" s="717"/>
      <c r="E2370" s="710">
        <v>2</v>
      </c>
      <c r="F2370" s="718" t="s">
        <v>244</v>
      </c>
      <c r="G2370" s="718"/>
      <c r="H2370" s="718"/>
      <c r="I2370" s="729"/>
      <c r="J2370" s="714">
        <f>VLOOKUP(C2349,'Luong VP'!$B$10:$AP$189,39,0)</f>
        <v>4000</v>
      </c>
      <c r="K2370" s="734"/>
      <c r="L2370" s="735"/>
    </row>
    <row r="2371" spans="1:12" ht="9.1999999999999993" customHeight="1">
      <c r="B2371" s="720"/>
      <c r="C2371" s="717"/>
      <c r="D2371" s="717"/>
      <c r="E2371" s="710"/>
      <c r="F2371" s="718" t="s">
        <v>699</v>
      </c>
      <c r="G2371" s="718"/>
      <c r="H2371" s="718"/>
      <c r="I2371" s="729"/>
      <c r="J2371" s="714"/>
      <c r="K2371" s="714"/>
      <c r="L2371" s="736"/>
    </row>
    <row r="2372" spans="1:12" ht="9.1999999999999993" customHeight="1">
      <c r="B2372" s="720"/>
      <c r="C2372" s="717"/>
      <c r="D2372" s="717"/>
      <c r="E2372" s="710" t="s">
        <v>700</v>
      </c>
      <c r="F2372" s="710" t="s">
        <v>246</v>
      </c>
      <c r="G2372" s="710"/>
      <c r="H2372" s="710"/>
      <c r="I2372" s="729"/>
      <c r="J2372" s="728">
        <f>J2367-J2368</f>
        <v>4288.7230769230773</v>
      </c>
      <c r="K2372" s="728">
        <f>ROUND(J2372,-1)</f>
        <v>4290</v>
      </c>
      <c r="L2372" s="710"/>
    </row>
    <row r="2373" spans="1:12" ht="9.1999999999999993" customHeight="1">
      <c r="B2373" s="720"/>
      <c r="C2373" s="717"/>
      <c r="D2373" s="717"/>
      <c r="E2373" s="715"/>
      <c r="F2373" s="715"/>
      <c r="G2373" s="715"/>
      <c r="I2373" s="715" t="s">
        <v>701</v>
      </c>
      <c r="J2373" s="737"/>
      <c r="K2373" s="737"/>
      <c r="L2373" s="715"/>
    </row>
    <row r="2374" spans="1:12" ht="9.1999999999999993" customHeight="1">
      <c r="B2374" s="720"/>
      <c r="C2374" s="717"/>
      <c r="D2374" s="717"/>
      <c r="E2374" s="715"/>
      <c r="F2374" s="715"/>
      <c r="G2374" s="715"/>
      <c r="I2374" s="715"/>
      <c r="J2374" s="737"/>
      <c r="K2374" s="737"/>
      <c r="L2374" s="715"/>
    </row>
    <row r="2375" spans="1:12" ht="9.1999999999999993" customHeight="1">
      <c r="B2375" s="720"/>
      <c r="C2375" s="717"/>
      <c r="D2375" s="717"/>
      <c r="E2375" s="715"/>
      <c r="F2375" s="715"/>
      <c r="G2375" s="715"/>
      <c r="I2375" s="715"/>
      <c r="J2375" s="737"/>
      <c r="K2375" s="737"/>
      <c r="L2375" s="715"/>
    </row>
    <row r="2376" spans="1:12" ht="9.1999999999999993" customHeight="1">
      <c r="B2376" s="720"/>
      <c r="C2376" s="717"/>
      <c r="D2376" s="717"/>
      <c r="E2376" s="715"/>
      <c r="F2376" s="715"/>
      <c r="G2376" s="715"/>
      <c r="I2376" s="715"/>
      <c r="J2376" s="737"/>
      <c r="K2376" s="737"/>
      <c r="L2376" s="715"/>
    </row>
    <row r="2378" spans="1:12" ht="9.1999999999999993" customHeight="1">
      <c r="C2378" s="696"/>
      <c r="D2378" s="696"/>
      <c r="E2378" s="697" t="str">
        <f>$E$2</f>
        <v>THẺ LƯƠNG THÁNG 08/2019</v>
      </c>
      <c r="F2378" s="698"/>
      <c r="G2378" s="698"/>
      <c r="H2378" s="698"/>
    </row>
    <row r="2379" spans="1:12" ht="9.1999999999999993" customHeight="1">
      <c r="B2379" s="699" t="s">
        <v>644</v>
      </c>
      <c r="C2379" s="700" t="s">
        <v>414</v>
      </c>
      <c r="D2379" s="701"/>
      <c r="F2379" s="702" t="s">
        <v>645</v>
      </c>
      <c r="G2379" s="689" t="str">
        <f>VLOOKUP(C2379,'Luong VP'!$B$10:$AP$189,2,0)</f>
        <v>Trần Ngọc Minh</v>
      </c>
    </row>
    <row r="2380" spans="1:12" ht="9.1999999999999993" customHeight="1">
      <c r="B2380" s="699" t="s">
        <v>646</v>
      </c>
      <c r="C2380" s="689" t="str">
        <f>VLOOKUP(C2379,'Luong VP'!$B$10:$AP$189,3,0)</f>
        <v>Nhân viên bảo trì cơ khí</v>
      </c>
      <c r="F2380" s="702" t="s">
        <v>647</v>
      </c>
      <c r="G2380" s="689">
        <f>VLOOKUP(C2379,'Luong VP'!$B$10:$AP$189,5,0)</f>
        <v>2</v>
      </c>
    </row>
    <row r="2381" spans="1:12" ht="9.1999999999999993" customHeight="1">
      <c r="B2381" s="703"/>
      <c r="C2381" s="704"/>
      <c r="D2381" s="705"/>
      <c r="F2381" s="706" t="s">
        <v>648</v>
      </c>
      <c r="G2381" s="706"/>
      <c r="H2381" s="706"/>
      <c r="I2381" s="725"/>
      <c r="J2381" s="726"/>
    </row>
    <row r="2382" spans="1:12" ht="9.1999999999999993" customHeight="1">
      <c r="A2382" s="707" t="s">
        <v>216</v>
      </c>
      <c r="B2382" s="707" t="s">
        <v>649</v>
      </c>
      <c r="C2382" s="708" t="s">
        <v>650</v>
      </c>
      <c r="D2382" s="709"/>
      <c r="E2382" s="710" t="s">
        <v>216</v>
      </c>
      <c r="F2382" s="711" t="s">
        <v>649</v>
      </c>
      <c r="G2382" s="710"/>
      <c r="H2382" s="710" t="s">
        <v>651</v>
      </c>
      <c r="I2382" s="727" t="s">
        <v>652</v>
      </c>
      <c r="J2382" s="714"/>
      <c r="L2382" s="694" t="s">
        <v>653</v>
      </c>
    </row>
    <row r="2383" spans="1:12" ht="9.1999999999999993" customHeight="1">
      <c r="A2383" s="712">
        <v>1</v>
      </c>
      <c r="B2383" s="713" t="s">
        <v>654</v>
      </c>
      <c r="C2383" s="714">
        <f>VLOOKUP(C2379,'Luong VP'!$B$10:$AP$189,9,0)</f>
        <v>7590</v>
      </c>
      <c r="D2383" s="715"/>
      <c r="E2383" s="710" t="s">
        <v>655</v>
      </c>
      <c r="F2383" s="716" t="s">
        <v>656</v>
      </c>
      <c r="G2383" s="710"/>
      <c r="H2383" s="710"/>
      <c r="I2383" s="727"/>
      <c r="J2383" s="714">
        <f>VLOOKUP(C2379,'Luong VP'!$B$10:$AP$189,21,0)</f>
        <v>8121.3</v>
      </c>
    </row>
    <row r="2384" spans="1:12" ht="9.1999999999999993" customHeight="1">
      <c r="A2384" s="712">
        <v>2</v>
      </c>
      <c r="B2384" s="713" t="s">
        <v>658</v>
      </c>
      <c r="C2384" s="714"/>
      <c r="D2384" s="717"/>
      <c r="E2384" s="710">
        <v>1</v>
      </c>
      <c r="F2384" s="718" t="s">
        <v>659</v>
      </c>
      <c r="G2384" s="718"/>
      <c r="H2384" s="710" t="s">
        <v>660</v>
      </c>
      <c r="I2384" s="727">
        <f>VLOOKUP(C2379,'Luong VP'!$B$10:$AP$189,22,0)</f>
        <v>26</v>
      </c>
      <c r="J2384" s="728">
        <f>J2383/'Cham cong'!$AS$3*I2384</f>
        <v>8121.3000000000011</v>
      </c>
    </row>
    <row r="2385" spans="1:12" ht="9.1999999999999993" customHeight="1">
      <c r="A2385" s="712">
        <v>3</v>
      </c>
      <c r="B2385" s="713" t="s">
        <v>661</v>
      </c>
      <c r="C2385" s="714">
        <f>VLOOKUP(C2379,'Luong VP'!$B$10:$AP$189,10,0)</f>
        <v>0</v>
      </c>
      <c r="D2385" s="717"/>
      <c r="E2385" s="710">
        <v>2</v>
      </c>
      <c r="F2385" s="718" t="s">
        <v>662</v>
      </c>
      <c r="G2385" s="718"/>
      <c r="H2385" s="710" t="s">
        <v>660</v>
      </c>
      <c r="I2385" s="727">
        <f>VLOOKUP(C2379,'Luong VP'!$B$10:$AP$189,27,0)</f>
        <v>0</v>
      </c>
      <c r="J2385" s="728">
        <f>J2383/'Cham cong'!$AS$3*I2385*3</f>
        <v>0</v>
      </c>
    </row>
    <row r="2386" spans="1:12" ht="9.1999999999999993" customHeight="1">
      <c r="A2386" s="712">
        <v>4</v>
      </c>
      <c r="B2386" s="713" t="s">
        <v>666</v>
      </c>
      <c r="C2386" s="714">
        <f>VLOOKUP(C2379,'Luong VP'!$B$10:$AP$189,11,0)</f>
        <v>0</v>
      </c>
      <c r="D2386" s="717"/>
      <c r="E2386" s="710">
        <v>3</v>
      </c>
      <c r="F2386" s="718" t="s">
        <v>667</v>
      </c>
      <c r="G2386" s="718"/>
      <c r="H2386" s="710" t="s">
        <v>668</v>
      </c>
      <c r="I2386" s="727">
        <f>VLOOKUP(C2379,'Luong VP'!$B$10:$AP$189,26,0)</f>
        <v>0</v>
      </c>
      <c r="J2386" s="728">
        <f>J2383/'Cham cong'!$AS$3*I2386/8*1.5</f>
        <v>0</v>
      </c>
    </row>
    <row r="2387" spans="1:12" ht="9.1999999999999993" customHeight="1">
      <c r="A2387" s="712">
        <v>5</v>
      </c>
      <c r="B2387" s="713" t="s">
        <v>670</v>
      </c>
      <c r="C2387" s="714">
        <f>VLOOKUP(C2379,'Luong VP'!$B$10:$AP$189,12,0)</f>
        <v>531.30000000000007</v>
      </c>
      <c r="D2387" s="717"/>
      <c r="E2387" s="710">
        <v>4</v>
      </c>
      <c r="F2387" s="718" t="s">
        <v>671</v>
      </c>
      <c r="G2387" s="718"/>
      <c r="H2387" s="710" t="s">
        <v>668</v>
      </c>
      <c r="I2387" s="727">
        <f>VLOOKUP(C2379,'Luong VP'!$B$10:$AP$189,25,0)</f>
        <v>8</v>
      </c>
      <c r="J2387" s="728">
        <f>J2383/'Cham cong'!$AS$3*I2387/8*2</f>
        <v>624.71538461538466</v>
      </c>
    </row>
    <row r="2388" spans="1:12" ht="9.1999999999999993" customHeight="1">
      <c r="A2388" s="712">
        <v>6</v>
      </c>
      <c r="B2388" s="713" t="s">
        <v>673</v>
      </c>
      <c r="C2388" s="714">
        <f>VLOOKUP(C2379,'Luong VP'!$B$10:$AP$189,13,0)</f>
        <v>0</v>
      </c>
      <c r="D2388" s="717"/>
      <c r="E2388" s="710">
        <v>5</v>
      </c>
      <c r="F2388" s="718" t="s">
        <v>674</v>
      </c>
      <c r="G2388" s="718"/>
      <c r="H2388" s="710" t="s">
        <v>660</v>
      </c>
      <c r="I2388" s="727">
        <f>VLOOKUP(C2379,'Luong VP'!$B$10:$AP$189,23,0)</f>
        <v>0</v>
      </c>
      <c r="J2388" s="728">
        <f>C2383/'Cham cong'!$AS$3*I2388</f>
        <v>0</v>
      </c>
      <c r="L2388" s="694" t="str">
        <f>G2379</f>
        <v>Trần Ngọc Minh</v>
      </c>
    </row>
    <row r="2389" spans="1:12" ht="9.1999999999999993" customHeight="1">
      <c r="A2389" s="712">
        <v>7</v>
      </c>
      <c r="B2389" s="713" t="s">
        <v>676</v>
      </c>
      <c r="C2389" s="714"/>
      <c r="D2389" s="717"/>
      <c r="E2389" s="710">
        <v>6</v>
      </c>
      <c r="F2389" s="718" t="s">
        <v>677</v>
      </c>
      <c r="G2389" s="718"/>
      <c r="H2389" s="710" t="s">
        <v>660</v>
      </c>
      <c r="I2389" s="727">
        <f>VLOOKUP(C2379,'Luong VP'!$B$10:$AP$189,24,0)</f>
        <v>1</v>
      </c>
      <c r="J2389" s="714">
        <f>C2383/'Cham cong'!$AS$3*I2389</f>
        <v>291.92307692307691</v>
      </c>
    </row>
    <row r="2390" spans="1:12" ht="9.1999999999999993" customHeight="1">
      <c r="A2390" s="712">
        <v>8</v>
      </c>
      <c r="B2390" s="713" t="s">
        <v>679</v>
      </c>
      <c r="C2390" s="714">
        <f>VLOOKUP(C2379,'Luong VP'!$B$10:$AP$189,14,0)</f>
        <v>0</v>
      </c>
      <c r="D2390" s="717"/>
      <c r="E2390" s="710">
        <v>7</v>
      </c>
      <c r="F2390" s="718" t="s">
        <v>680</v>
      </c>
      <c r="G2390" s="718"/>
      <c r="H2390" s="718"/>
      <c r="I2390" s="729"/>
      <c r="J2390" s="714">
        <f>VLOOKUP(C2379,'Luong VP'!$B$10:$AP$189,28,0)</f>
        <v>0</v>
      </c>
    </row>
    <row r="2391" spans="1:12" ht="9.1999999999999993" customHeight="1">
      <c r="A2391" s="712">
        <v>9</v>
      </c>
      <c r="B2391" s="713" t="s">
        <v>683</v>
      </c>
      <c r="C2391" s="714">
        <f>VLOOKUP(C2379,'Luong VP'!$B$10:$AP$189,15,0)</f>
        <v>0</v>
      </c>
      <c r="D2391" s="717"/>
      <c r="E2391" s="710">
        <v>8</v>
      </c>
      <c r="F2391" s="718" t="s">
        <v>238</v>
      </c>
      <c r="G2391" s="718"/>
      <c r="H2391" s="718"/>
      <c r="I2391" s="729"/>
      <c r="J2391" s="714">
        <f>VLOOKUP(C2379,'Luong VP'!$B$10:$AP$189,33,0)</f>
        <v>0</v>
      </c>
    </row>
    <row r="2392" spans="1:12" ht="9.1999999999999993" customHeight="1">
      <c r="A2392" s="712">
        <v>10</v>
      </c>
      <c r="B2392" s="713" t="s">
        <v>685</v>
      </c>
      <c r="C2392" s="714">
        <f>VLOOKUP(C2379,'Luong VP'!$B$10:$AP$189,16,0)</f>
        <v>0</v>
      </c>
      <c r="D2392" s="717"/>
      <c r="E2392" s="710" t="s">
        <v>686</v>
      </c>
      <c r="F2392" s="716" t="s">
        <v>687</v>
      </c>
      <c r="G2392" s="719"/>
      <c r="H2392" s="719"/>
      <c r="I2392" s="729"/>
      <c r="J2392" s="730"/>
    </row>
    <row r="2393" spans="1:12" ht="9.1999999999999993" customHeight="1">
      <c r="A2393" s="712">
        <v>11</v>
      </c>
      <c r="B2393" s="713" t="s">
        <v>688</v>
      </c>
      <c r="C2393" s="714">
        <f>VLOOKUP(C2379,'Luong VP'!$B$10:$AP$189,17,0)</f>
        <v>0</v>
      </c>
      <c r="D2393" s="717"/>
      <c r="E2393" s="710">
        <v>1</v>
      </c>
      <c r="F2393" s="716" t="s">
        <v>689</v>
      </c>
      <c r="G2393" s="719"/>
      <c r="H2393" s="719"/>
      <c r="I2393" s="714">
        <f>VLOOKUP(C2379,'Luong VP'!$B$10:$AP$189,30,0)</f>
        <v>0</v>
      </c>
      <c r="J2393" s="714">
        <f>VLOOKUP(C2379,'Luong VP'!$B$10:$AP$189,30,0)</f>
        <v>0</v>
      </c>
    </row>
    <row r="2394" spans="1:12" ht="9.1999999999999993" customHeight="1">
      <c r="A2394" s="712">
        <v>12</v>
      </c>
      <c r="B2394" s="713" t="s">
        <v>691</v>
      </c>
      <c r="C2394" s="714">
        <f>VLOOKUP(C2379,'Luong VP'!$B$10:$AP$189,18,0)</f>
        <v>0</v>
      </c>
      <c r="D2394" s="717"/>
      <c r="E2394" s="710">
        <v>2</v>
      </c>
      <c r="F2394" s="718" t="s">
        <v>239</v>
      </c>
      <c r="G2394" s="718"/>
      <c r="H2394" s="718"/>
      <c r="I2394" s="727"/>
      <c r="J2394" s="728">
        <f>VLOOKUP(C2379,'Luong VP'!$B$10:$AP$189,34,0)</f>
        <v>0</v>
      </c>
      <c r="K2394" s="731"/>
      <c r="L2394" s="715"/>
    </row>
    <row r="2395" spans="1:12" ht="9.1999999999999993" customHeight="1">
      <c r="A2395" s="712">
        <v>13</v>
      </c>
      <c r="B2395" s="713" t="s">
        <v>692</v>
      </c>
      <c r="C2395" s="714">
        <f>VLOOKUP(C2379,'Luong VP'!$B$10:$AP$189,19,0)</f>
        <v>0</v>
      </c>
      <c r="D2395" s="717"/>
      <c r="E2395" s="710">
        <v>3</v>
      </c>
      <c r="F2395" s="716" t="s">
        <v>693</v>
      </c>
      <c r="G2395" s="719"/>
      <c r="H2395" s="719"/>
      <c r="I2395" s="729"/>
      <c r="J2395" s="714">
        <f>VLOOKUP(C2379,'Luong VP'!$B$10:$AP$189,40,0)</f>
        <v>0</v>
      </c>
      <c r="K2395" s="731"/>
      <c r="L2395" s="715"/>
    </row>
    <row r="2396" spans="1:12" ht="9.1999999999999993" customHeight="1">
      <c r="A2396" s="712">
        <v>14</v>
      </c>
      <c r="B2396" s="713" t="s">
        <v>694</v>
      </c>
      <c r="C2396" s="714">
        <f>VLOOKUP(C2379,'Luong VP'!$B$10:$AP$189,20,0)</f>
        <v>0</v>
      </c>
      <c r="D2396" s="717"/>
      <c r="E2396" s="710">
        <v>4</v>
      </c>
      <c r="F2396" s="718" t="s">
        <v>695</v>
      </c>
      <c r="G2396" s="719"/>
      <c r="H2396" s="719"/>
      <c r="I2396" s="729"/>
      <c r="J2396" s="714">
        <f>VLOOKUP(C2379,'Luong VP'!$B$10:$AP$189,35,0)</f>
        <v>0</v>
      </c>
      <c r="K2396" s="732"/>
      <c r="L2396" s="715"/>
    </row>
    <row r="2397" spans="1:12" ht="9.1999999999999993" customHeight="1">
      <c r="A2397" s="712"/>
      <c r="B2397" s="707" t="s">
        <v>656</v>
      </c>
      <c r="C2397" s="714">
        <f>SUM(C2383:C2396)</f>
        <v>8121.3</v>
      </c>
      <c r="D2397" s="717"/>
      <c r="E2397" s="710"/>
      <c r="F2397" s="716" t="s">
        <v>241</v>
      </c>
      <c r="G2397" s="719"/>
      <c r="H2397" s="719"/>
      <c r="I2397" s="729"/>
      <c r="J2397" s="730">
        <f>SUM(J2384:J2396)+C2391</f>
        <v>9037.9384615384624</v>
      </c>
      <c r="K2397" s="731"/>
      <c r="L2397" s="715"/>
    </row>
    <row r="2398" spans="1:12" ht="9.1999999999999993" customHeight="1">
      <c r="B2398" s="720"/>
      <c r="C2398" s="717"/>
      <c r="D2398" s="717"/>
      <c r="E2398" s="710" t="s">
        <v>696</v>
      </c>
      <c r="F2398" s="711" t="s">
        <v>697</v>
      </c>
      <c r="G2398" s="710"/>
      <c r="H2398" s="710"/>
      <c r="I2398" s="729"/>
      <c r="J2398" s="730">
        <f>SUM(J2399:J2401)</f>
        <v>4504</v>
      </c>
      <c r="K2398" s="732"/>
      <c r="L2398" s="715"/>
    </row>
    <row r="2399" spans="1:12" ht="9.1999999999999993" customHeight="1">
      <c r="B2399" s="720"/>
      <c r="C2399" s="717"/>
      <c r="D2399" s="717"/>
      <c r="E2399" s="710">
        <v>1</v>
      </c>
      <c r="F2399" s="718" t="s">
        <v>698</v>
      </c>
      <c r="G2399" s="718"/>
      <c r="H2399" s="718"/>
      <c r="I2399" s="733"/>
      <c r="J2399" s="714">
        <f>VLOOKUP(C2379,'Luong VP'!$B$10:$AP$189,37,0)</f>
        <v>504</v>
      </c>
      <c r="K2399" s="732"/>
      <c r="L2399" s="715"/>
    </row>
    <row r="2400" spans="1:12" ht="9.1999999999999993" customHeight="1">
      <c r="B2400" s="720"/>
      <c r="C2400" s="717"/>
      <c r="D2400" s="717"/>
      <c r="E2400" s="710">
        <v>2</v>
      </c>
      <c r="F2400" s="718" t="s">
        <v>244</v>
      </c>
      <c r="G2400" s="718"/>
      <c r="H2400" s="718"/>
      <c r="I2400" s="729"/>
      <c r="J2400" s="714">
        <f>VLOOKUP(C2379,'Luong VP'!$B$10:$AP$189,39,0)</f>
        <v>4000</v>
      </c>
      <c r="K2400" s="734"/>
      <c r="L2400" s="735"/>
    </row>
    <row r="2401" spans="1:12" ht="9.1999999999999993" customHeight="1">
      <c r="B2401" s="720"/>
      <c r="C2401" s="717"/>
      <c r="D2401" s="717"/>
      <c r="E2401" s="710"/>
      <c r="F2401" s="718" t="s">
        <v>699</v>
      </c>
      <c r="G2401" s="718"/>
      <c r="H2401" s="718"/>
      <c r="I2401" s="729"/>
      <c r="J2401" s="714"/>
      <c r="K2401" s="714"/>
      <c r="L2401" s="736"/>
    </row>
    <row r="2402" spans="1:12" ht="9.1999999999999993" customHeight="1">
      <c r="B2402" s="720"/>
      <c r="C2402" s="717"/>
      <c r="D2402" s="717"/>
      <c r="E2402" s="710" t="s">
        <v>700</v>
      </c>
      <c r="F2402" s="710" t="s">
        <v>246</v>
      </c>
      <c r="G2402" s="710"/>
      <c r="H2402" s="710"/>
      <c r="I2402" s="729"/>
      <c r="J2402" s="728">
        <f>J2397-J2398</f>
        <v>4533.9384615384624</v>
      </c>
      <c r="K2402" s="728">
        <f>ROUND(J2402,-1)</f>
        <v>4530</v>
      </c>
      <c r="L2402" s="710"/>
    </row>
    <row r="2403" spans="1:12" ht="9.1999999999999993" customHeight="1">
      <c r="B2403" s="720"/>
      <c r="C2403" s="717"/>
      <c r="D2403" s="717"/>
      <c r="E2403" s="715"/>
      <c r="F2403" s="715"/>
      <c r="G2403" s="715"/>
      <c r="I2403" s="715" t="s">
        <v>701</v>
      </c>
      <c r="J2403" s="737"/>
      <c r="K2403" s="737"/>
      <c r="L2403" s="715"/>
    </row>
    <row r="2404" spans="1:12" ht="9.1999999999999993" customHeight="1">
      <c r="B2404" s="720"/>
      <c r="C2404" s="717"/>
      <c r="D2404" s="717"/>
      <c r="E2404" s="715"/>
      <c r="F2404" s="715"/>
      <c r="G2404" s="715"/>
      <c r="I2404" s="715"/>
      <c r="J2404" s="737"/>
      <c r="K2404" s="737"/>
      <c r="L2404" s="715"/>
    </row>
    <row r="2405" spans="1:12" ht="9.1999999999999993" customHeight="1">
      <c r="B2405" s="720"/>
      <c r="C2405" s="717"/>
      <c r="D2405" s="717"/>
      <c r="E2405" s="715"/>
      <c r="F2405" s="715"/>
      <c r="G2405" s="715"/>
      <c r="I2405" s="715"/>
      <c r="J2405" s="737"/>
      <c r="K2405" s="737"/>
      <c r="L2405" s="715"/>
    </row>
    <row r="2406" spans="1:12" ht="9.1999999999999993" customHeight="1">
      <c r="B2406" s="720"/>
      <c r="C2406" s="717"/>
      <c r="D2406" s="717"/>
      <c r="E2406" s="715"/>
      <c r="F2406" s="715"/>
      <c r="G2406" s="715"/>
      <c r="I2406" s="715"/>
      <c r="J2406" s="737"/>
      <c r="K2406" s="737"/>
      <c r="L2406" s="715"/>
    </row>
    <row r="2407" spans="1:12" ht="9.1999999999999993" customHeight="1">
      <c r="B2407" s="720"/>
      <c r="C2407" s="717"/>
      <c r="D2407" s="717"/>
      <c r="E2407" s="715"/>
      <c r="F2407" s="715"/>
      <c r="G2407" s="715"/>
      <c r="I2407" s="715"/>
      <c r="J2407" s="737"/>
      <c r="K2407" s="737"/>
      <c r="L2407" s="715"/>
    </row>
    <row r="2408" spans="1:12" ht="9.1999999999999993" customHeight="1">
      <c r="C2408" s="696"/>
      <c r="D2408" s="696"/>
      <c r="E2408" s="697" t="str">
        <f>$E$2</f>
        <v>THẺ LƯƠNG THÁNG 08/2019</v>
      </c>
      <c r="F2408" s="698"/>
      <c r="G2408" s="698"/>
      <c r="H2408" s="698"/>
    </row>
    <row r="2409" spans="1:12" ht="9.1999999999999993" customHeight="1">
      <c r="B2409" s="699" t="s">
        <v>644</v>
      </c>
      <c r="C2409" s="700" t="s">
        <v>416</v>
      </c>
      <c r="D2409" s="701"/>
      <c r="F2409" s="702" t="s">
        <v>645</v>
      </c>
      <c r="G2409" s="689" t="str">
        <f>VLOOKUP(C2409,'Luong VP'!$B$10:$AP$189,2,0)</f>
        <v>Nguyễn Công Thuận</v>
      </c>
    </row>
    <row r="2410" spans="1:12" ht="9.1999999999999993" customHeight="1">
      <c r="B2410" s="699" t="s">
        <v>646</v>
      </c>
      <c r="C2410" s="689" t="str">
        <f>VLOOKUP(C2409,'Luong VP'!$B$10:$AP$189,3,0)</f>
        <v>Nhân viên bảo trì điện - cơ điện</v>
      </c>
      <c r="F2410" s="702" t="s">
        <v>647</v>
      </c>
      <c r="G2410" s="689">
        <f>VLOOKUP(C2409,'Luong VP'!$B$10:$AP$189,5,0)</f>
        <v>3</v>
      </c>
    </row>
    <row r="2411" spans="1:12" ht="9.1999999999999993" customHeight="1">
      <c r="B2411" s="703"/>
      <c r="C2411" s="704"/>
      <c r="D2411" s="705"/>
      <c r="F2411" s="706" t="s">
        <v>648</v>
      </c>
      <c r="G2411" s="706"/>
      <c r="H2411" s="706"/>
      <c r="I2411" s="725"/>
      <c r="J2411" s="726"/>
    </row>
    <row r="2412" spans="1:12" ht="9.1999999999999993" customHeight="1">
      <c r="A2412" s="707" t="s">
        <v>216</v>
      </c>
      <c r="B2412" s="707" t="s">
        <v>649</v>
      </c>
      <c r="C2412" s="708" t="s">
        <v>650</v>
      </c>
      <c r="D2412" s="709"/>
      <c r="E2412" s="710" t="s">
        <v>216</v>
      </c>
      <c r="F2412" s="711" t="s">
        <v>649</v>
      </c>
      <c r="G2412" s="710"/>
      <c r="H2412" s="710" t="s">
        <v>651</v>
      </c>
      <c r="I2412" s="727" t="s">
        <v>652</v>
      </c>
      <c r="J2412" s="714"/>
      <c r="L2412" s="694" t="s">
        <v>653</v>
      </c>
    </row>
    <row r="2413" spans="1:12" ht="9.1999999999999993" customHeight="1">
      <c r="A2413" s="712">
        <v>1</v>
      </c>
      <c r="B2413" s="713" t="s">
        <v>654</v>
      </c>
      <c r="C2413" s="714">
        <f>VLOOKUP(C2409,'Luong VP'!$B$10:$AP$189,9,0)</f>
        <v>8660</v>
      </c>
      <c r="D2413" s="715"/>
      <c r="E2413" s="710" t="s">
        <v>655</v>
      </c>
      <c r="F2413" s="716" t="s">
        <v>656</v>
      </c>
      <c r="G2413" s="710"/>
      <c r="H2413" s="710"/>
      <c r="I2413" s="727"/>
      <c r="J2413" s="714">
        <f>VLOOKUP(C2409,'Luong VP'!$B$10:$AP$189,21,0)</f>
        <v>8660</v>
      </c>
    </row>
    <row r="2414" spans="1:12" ht="9.1999999999999993" customHeight="1">
      <c r="A2414" s="712">
        <v>2</v>
      </c>
      <c r="B2414" s="713" t="s">
        <v>658</v>
      </c>
      <c r="C2414" s="714"/>
      <c r="D2414" s="717"/>
      <c r="E2414" s="710">
        <v>1</v>
      </c>
      <c r="F2414" s="718" t="s">
        <v>659</v>
      </c>
      <c r="G2414" s="718"/>
      <c r="H2414" s="710" t="s">
        <v>660</v>
      </c>
      <c r="I2414" s="727">
        <f>VLOOKUP(C2409,'Luong VP'!$B$10:$AP$189,22,0)</f>
        <v>26</v>
      </c>
      <c r="J2414" s="728">
        <f>J2413/'Cham cong'!$AS$3*I2414</f>
        <v>8660</v>
      </c>
    </row>
    <row r="2415" spans="1:12" ht="9.1999999999999993" customHeight="1">
      <c r="A2415" s="712">
        <v>3</v>
      </c>
      <c r="B2415" s="713" t="s">
        <v>661</v>
      </c>
      <c r="C2415" s="714">
        <f>VLOOKUP(C2409,'Luong VP'!$B$10:$AP$189,10,0)</f>
        <v>0</v>
      </c>
      <c r="D2415" s="717"/>
      <c r="E2415" s="710">
        <v>2</v>
      </c>
      <c r="F2415" s="718" t="s">
        <v>662</v>
      </c>
      <c r="G2415" s="718"/>
      <c r="H2415" s="710" t="s">
        <v>660</v>
      </c>
      <c r="I2415" s="727">
        <f>VLOOKUP(C2409,'Luong VP'!$B$10:$AP$189,27,0)</f>
        <v>0</v>
      </c>
      <c r="J2415" s="728">
        <f>J2413/'Cham cong'!$AS$3*I2415*3</f>
        <v>0</v>
      </c>
    </row>
    <row r="2416" spans="1:12" ht="9.1999999999999993" customHeight="1">
      <c r="A2416" s="712">
        <v>4</v>
      </c>
      <c r="B2416" s="713" t="s">
        <v>666</v>
      </c>
      <c r="C2416" s="714">
        <f>VLOOKUP(C2409,'Luong VP'!$B$10:$AP$189,11,0)</f>
        <v>0</v>
      </c>
      <c r="D2416" s="717"/>
      <c r="E2416" s="710">
        <v>3</v>
      </c>
      <c r="F2416" s="718" t="s">
        <v>667</v>
      </c>
      <c r="G2416" s="718"/>
      <c r="H2416" s="710" t="s">
        <v>668</v>
      </c>
      <c r="I2416" s="727">
        <f>VLOOKUP(C2409,'Luong VP'!$B$10:$AP$189,26,0)</f>
        <v>0</v>
      </c>
      <c r="J2416" s="728">
        <f>J2413/'Cham cong'!$AS$3*I2416/8*1.5</f>
        <v>0</v>
      </c>
    </row>
    <row r="2417" spans="1:12" ht="9.1999999999999993" customHeight="1">
      <c r="A2417" s="712">
        <v>5</v>
      </c>
      <c r="B2417" s="713" t="s">
        <v>670</v>
      </c>
      <c r="C2417" s="714">
        <f>VLOOKUP(C2409,'Luong VP'!$B$10:$AP$189,12,0)</f>
        <v>0</v>
      </c>
      <c r="D2417" s="717"/>
      <c r="E2417" s="710">
        <v>4</v>
      </c>
      <c r="F2417" s="718" t="s">
        <v>671</v>
      </c>
      <c r="G2417" s="718"/>
      <c r="H2417" s="710" t="s">
        <v>668</v>
      </c>
      <c r="I2417" s="727">
        <f>VLOOKUP(C2409,'Luong VP'!$B$10:$AP$189,25,0)</f>
        <v>8</v>
      </c>
      <c r="J2417" s="728">
        <f>J2413/'Cham cong'!$AS$3*I2417/8*2</f>
        <v>666.15384615384619</v>
      </c>
    </row>
    <row r="2418" spans="1:12" ht="9.1999999999999993" customHeight="1">
      <c r="A2418" s="712">
        <v>6</v>
      </c>
      <c r="B2418" s="713" t="s">
        <v>673</v>
      </c>
      <c r="C2418" s="714">
        <f>VLOOKUP(C2409,'Luong VP'!$B$10:$AP$189,13,0)</f>
        <v>0</v>
      </c>
      <c r="D2418" s="717"/>
      <c r="E2418" s="710">
        <v>5</v>
      </c>
      <c r="F2418" s="718" t="s">
        <v>674</v>
      </c>
      <c r="G2418" s="718"/>
      <c r="H2418" s="710" t="s">
        <v>660</v>
      </c>
      <c r="I2418" s="727">
        <f>VLOOKUP(C2409,'Luong VP'!$B$10:$AP$189,23,0)</f>
        <v>0</v>
      </c>
      <c r="J2418" s="728">
        <f>C2413/'Cham cong'!$AS$3*I2418</f>
        <v>0</v>
      </c>
      <c r="L2418" s="694" t="str">
        <f>G2409</f>
        <v>Nguyễn Công Thuận</v>
      </c>
    </row>
    <row r="2419" spans="1:12" ht="9.1999999999999993" customHeight="1">
      <c r="A2419" s="712">
        <v>7</v>
      </c>
      <c r="B2419" s="713" t="s">
        <v>676</v>
      </c>
      <c r="C2419" s="714"/>
      <c r="D2419" s="717"/>
      <c r="E2419" s="710">
        <v>6</v>
      </c>
      <c r="F2419" s="718" t="s">
        <v>677</v>
      </c>
      <c r="G2419" s="718"/>
      <c r="H2419" s="710" t="s">
        <v>660</v>
      </c>
      <c r="I2419" s="727">
        <f>VLOOKUP(C2409,'Luong VP'!$B$10:$AP$189,24,0)</f>
        <v>1</v>
      </c>
      <c r="J2419" s="714">
        <f>C2413/'Cham cong'!$AS$3*I2419</f>
        <v>333.07692307692309</v>
      </c>
    </row>
    <row r="2420" spans="1:12" ht="9.1999999999999993" customHeight="1">
      <c r="A2420" s="712">
        <v>8</v>
      </c>
      <c r="B2420" s="713" t="s">
        <v>679</v>
      </c>
      <c r="C2420" s="714">
        <f>VLOOKUP(C2409,'Luong VP'!$B$10:$AP$189,14,0)</f>
        <v>0</v>
      </c>
      <c r="D2420" s="717"/>
      <c r="E2420" s="710">
        <v>7</v>
      </c>
      <c r="F2420" s="718" t="s">
        <v>680</v>
      </c>
      <c r="G2420" s="718"/>
      <c r="H2420" s="718"/>
      <c r="I2420" s="729"/>
      <c r="J2420" s="714">
        <f>VLOOKUP(C2409,'Luong VP'!$B$10:$AP$189,28,0)</f>
        <v>0</v>
      </c>
    </row>
    <row r="2421" spans="1:12" ht="9.1999999999999993" customHeight="1">
      <c r="A2421" s="712">
        <v>9</v>
      </c>
      <c r="B2421" s="713" t="s">
        <v>683</v>
      </c>
      <c r="C2421" s="714">
        <f>VLOOKUP(C2409,'Luong VP'!$B$10:$AP$189,15,0)</f>
        <v>0</v>
      </c>
      <c r="D2421" s="717"/>
      <c r="E2421" s="710">
        <v>8</v>
      </c>
      <c r="F2421" s="718" t="s">
        <v>238</v>
      </c>
      <c r="G2421" s="718"/>
      <c r="H2421" s="798" t="s">
        <v>660</v>
      </c>
      <c r="I2421" s="799"/>
      <c r="J2421" s="800"/>
    </row>
    <row r="2422" spans="1:12" ht="9.1999999999999993" customHeight="1">
      <c r="A2422" s="712">
        <v>10</v>
      </c>
      <c r="B2422" s="713" t="s">
        <v>685</v>
      </c>
      <c r="C2422" s="714">
        <f>VLOOKUP(C2409,'Luong VP'!$B$10:$AP$189,16,0)</f>
        <v>0</v>
      </c>
      <c r="D2422" s="717"/>
      <c r="E2422" s="710" t="s">
        <v>686</v>
      </c>
      <c r="F2422" s="716" t="s">
        <v>687</v>
      </c>
      <c r="G2422" s="719"/>
      <c r="H2422" s="719"/>
      <c r="I2422" s="729"/>
      <c r="J2422" s="730"/>
    </row>
    <row r="2423" spans="1:12" ht="9.1999999999999993" customHeight="1">
      <c r="A2423" s="712">
        <v>11</v>
      </c>
      <c r="B2423" s="713" t="s">
        <v>688</v>
      </c>
      <c r="C2423" s="714">
        <f>VLOOKUP(C2409,'Luong VP'!$B$10:$AP$189,17,0)</f>
        <v>0</v>
      </c>
      <c r="D2423" s="717"/>
      <c r="E2423" s="710">
        <v>1</v>
      </c>
      <c r="F2423" s="716" t="s">
        <v>689</v>
      </c>
      <c r="G2423" s="719"/>
      <c r="H2423" s="719"/>
      <c r="I2423" s="714">
        <f>VLOOKUP(C2409,'Luong VP'!$B$10:$AP$189,30,0)</f>
        <v>0</v>
      </c>
      <c r="J2423" s="714">
        <f>VLOOKUP(C2409,'Luong VP'!$B$10:$AP$189,30,0)</f>
        <v>0</v>
      </c>
    </row>
    <row r="2424" spans="1:12" ht="9.1999999999999993" customHeight="1">
      <c r="A2424" s="712">
        <v>12</v>
      </c>
      <c r="B2424" s="713" t="s">
        <v>691</v>
      </c>
      <c r="C2424" s="714">
        <f>VLOOKUP(C2409,'Luong VP'!$B$10:$AP$189,18,0)</f>
        <v>0</v>
      </c>
      <c r="D2424" s="717"/>
      <c r="E2424" s="710">
        <v>2</v>
      </c>
      <c r="F2424" s="718" t="s">
        <v>239</v>
      </c>
      <c r="G2424" s="718"/>
      <c r="H2424" s="718"/>
      <c r="I2424" s="727"/>
      <c r="J2424" s="728">
        <f>VLOOKUP(C2409,'Luong VP'!$B$10:$AP$189,34,0)</f>
        <v>0</v>
      </c>
      <c r="K2424" s="731"/>
      <c r="L2424" s="715"/>
    </row>
    <row r="2425" spans="1:12" ht="9.1999999999999993" customHeight="1">
      <c r="A2425" s="712">
        <v>13</v>
      </c>
      <c r="B2425" s="713" t="s">
        <v>692</v>
      </c>
      <c r="C2425" s="714">
        <f>VLOOKUP(C2409,'Luong VP'!$B$10:$AP$189,19,0)</f>
        <v>0</v>
      </c>
      <c r="D2425" s="717"/>
      <c r="E2425" s="710">
        <v>3</v>
      </c>
      <c r="F2425" s="716" t="s">
        <v>693</v>
      </c>
      <c r="G2425" s="719"/>
      <c r="H2425" s="719"/>
      <c r="I2425" s="729"/>
      <c r="J2425" s="714">
        <f>VLOOKUP(C2409,'Luong VP'!$B$10:$AP$189,40,0)</f>
        <v>0</v>
      </c>
      <c r="K2425" s="731"/>
      <c r="L2425" s="715"/>
    </row>
    <row r="2426" spans="1:12" ht="9.1999999999999993" customHeight="1">
      <c r="A2426" s="712">
        <v>14</v>
      </c>
      <c r="B2426" s="713" t="s">
        <v>694</v>
      </c>
      <c r="C2426" s="714">
        <f>VLOOKUP(C2409,'Luong VP'!$B$10:$AP$189,20,0)</f>
        <v>0</v>
      </c>
      <c r="D2426" s="717"/>
      <c r="E2426" s="710">
        <v>4</v>
      </c>
      <c r="F2426" s="718" t="s">
        <v>695</v>
      </c>
      <c r="G2426" s="719"/>
      <c r="H2426" s="719"/>
      <c r="I2426" s="729"/>
      <c r="J2426" s="714">
        <f>VLOOKUP(C2409,'Luong VP'!$B$10:$AP$189,35,0)</f>
        <v>0</v>
      </c>
      <c r="K2426" s="732"/>
      <c r="L2426" s="715"/>
    </row>
    <row r="2427" spans="1:12" ht="9.1999999999999993" customHeight="1">
      <c r="A2427" s="712"/>
      <c r="B2427" s="707" t="s">
        <v>656</v>
      </c>
      <c r="C2427" s="714">
        <f>SUM(C2413:C2426)</f>
        <v>8660</v>
      </c>
      <c r="D2427" s="717"/>
      <c r="E2427" s="710"/>
      <c r="F2427" s="716" t="s">
        <v>241</v>
      </c>
      <c r="G2427" s="719"/>
      <c r="H2427" s="719"/>
      <c r="I2427" s="729"/>
      <c r="J2427" s="730">
        <f>SUM(J2414:J2426)+C2421</f>
        <v>9659.2307692307695</v>
      </c>
      <c r="K2427" s="731"/>
      <c r="L2427" s="715"/>
    </row>
    <row r="2428" spans="1:12" ht="9.1999999999999993" customHeight="1">
      <c r="B2428" s="720"/>
      <c r="C2428" s="717"/>
      <c r="D2428" s="717"/>
      <c r="E2428" s="710" t="s">
        <v>696</v>
      </c>
      <c r="F2428" s="711" t="s">
        <v>697</v>
      </c>
      <c r="G2428" s="710"/>
      <c r="H2428" s="710"/>
      <c r="I2428" s="729"/>
      <c r="J2428" s="730">
        <f>SUM(J2429:J2431)</f>
        <v>3504</v>
      </c>
      <c r="K2428" s="732"/>
      <c r="L2428" s="715"/>
    </row>
    <row r="2429" spans="1:12" ht="9.1999999999999993" customHeight="1">
      <c r="B2429" s="720"/>
      <c r="C2429" s="717"/>
      <c r="D2429" s="717"/>
      <c r="E2429" s="710">
        <v>1</v>
      </c>
      <c r="F2429" s="718" t="s">
        <v>698</v>
      </c>
      <c r="G2429" s="718"/>
      <c r="H2429" s="718"/>
      <c r="I2429" s="733"/>
      <c r="J2429" s="714">
        <f>VLOOKUP(C2409,'Luong VP'!$B$10:$AP$189,37,0)</f>
        <v>504</v>
      </c>
      <c r="K2429" s="732"/>
      <c r="L2429" s="715"/>
    </row>
    <row r="2430" spans="1:12" ht="9.1999999999999993" customHeight="1">
      <c r="B2430" s="720"/>
      <c r="C2430" s="717"/>
      <c r="D2430" s="717"/>
      <c r="E2430" s="710">
        <v>2</v>
      </c>
      <c r="F2430" s="718" t="s">
        <v>244</v>
      </c>
      <c r="G2430" s="718"/>
      <c r="H2430" s="718"/>
      <c r="I2430" s="729"/>
      <c r="J2430" s="714">
        <f>VLOOKUP(C2409,'Luong VP'!$B$10:$AP$189,39,0)</f>
        <v>3000</v>
      </c>
      <c r="K2430" s="734"/>
      <c r="L2430" s="735"/>
    </row>
    <row r="2431" spans="1:12" ht="9.1999999999999993" customHeight="1">
      <c r="B2431" s="720"/>
      <c r="C2431" s="717"/>
      <c r="D2431" s="717"/>
      <c r="E2431" s="710"/>
      <c r="F2431" s="718" t="s">
        <v>699</v>
      </c>
      <c r="G2431" s="718"/>
      <c r="H2431" s="718"/>
      <c r="I2431" s="729"/>
      <c r="J2431" s="714"/>
      <c r="K2431" s="714"/>
      <c r="L2431" s="736"/>
    </row>
    <row r="2432" spans="1:12" ht="9.1999999999999993" customHeight="1">
      <c r="B2432" s="720"/>
      <c r="C2432" s="717"/>
      <c r="D2432" s="717"/>
      <c r="E2432" s="710" t="s">
        <v>700</v>
      </c>
      <c r="F2432" s="710" t="s">
        <v>246</v>
      </c>
      <c r="G2432" s="710"/>
      <c r="H2432" s="710"/>
      <c r="I2432" s="729"/>
      <c r="J2432" s="728">
        <f>J2427-J2428</f>
        <v>6155.2307692307695</v>
      </c>
      <c r="K2432" s="728">
        <f>ROUND(J2432,-1)</f>
        <v>6160</v>
      </c>
      <c r="L2432" s="710"/>
    </row>
    <row r="2433" spans="1:12" ht="9.1999999999999993" customHeight="1">
      <c r="B2433" s="720"/>
      <c r="C2433" s="717"/>
      <c r="D2433" s="717"/>
      <c r="E2433" s="715"/>
      <c r="F2433" s="715"/>
      <c r="G2433" s="715"/>
      <c r="I2433" s="715" t="s">
        <v>701</v>
      </c>
      <c r="J2433" s="737"/>
      <c r="K2433" s="737"/>
      <c r="L2433" s="715"/>
    </row>
    <row r="2434" spans="1:12" ht="9.1999999999999993" customHeight="1">
      <c r="B2434" s="720"/>
      <c r="C2434" s="717"/>
      <c r="D2434" s="717"/>
      <c r="E2434" s="715"/>
      <c r="F2434" s="715"/>
      <c r="G2434" s="715"/>
      <c r="I2434" s="715"/>
      <c r="J2434" s="737"/>
      <c r="K2434" s="737"/>
      <c r="L2434" s="715"/>
    </row>
    <row r="2435" spans="1:12" ht="9.1999999999999993" customHeight="1">
      <c r="B2435" s="720"/>
      <c r="C2435" s="717"/>
      <c r="D2435" s="717"/>
      <c r="E2435" s="715"/>
      <c r="F2435" s="715"/>
      <c r="G2435" s="715"/>
      <c r="I2435" s="715"/>
      <c r="J2435" s="737"/>
      <c r="K2435" s="737"/>
      <c r="L2435" s="715"/>
    </row>
    <row r="2436" spans="1:12" ht="9.1999999999999993" customHeight="1">
      <c r="B2436" s="720"/>
      <c r="C2436" s="717"/>
      <c r="D2436" s="717"/>
      <c r="E2436" s="715"/>
      <c r="F2436" s="715"/>
      <c r="G2436" s="715"/>
      <c r="I2436" s="715"/>
      <c r="J2436" s="737"/>
      <c r="K2436" s="737"/>
      <c r="L2436" s="715"/>
    </row>
    <row r="2437" spans="1:12" ht="9.1999999999999993" customHeight="1">
      <c r="B2437" s="720"/>
      <c r="C2437" s="717"/>
      <c r="D2437" s="717"/>
      <c r="E2437" s="715"/>
      <c r="F2437" s="715"/>
      <c r="G2437" s="715"/>
      <c r="I2437" s="715"/>
      <c r="J2437" s="737"/>
      <c r="K2437" s="737"/>
      <c r="L2437" s="715"/>
    </row>
    <row r="2438" spans="1:12" ht="9.1999999999999993" customHeight="1">
      <c r="C2438" s="696"/>
      <c r="D2438" s="696"/>
      <c r="E2438" s="697" t="str">
        <f>$E$2</f>
        <v>THẺ LƯƠNG THÁNG 08/2019</v>
      </c>
      <c r="F2438" s="698"/>
      <c r="G2438" s="698"/>
      <c r="H2438" s="698"/>
    </row>
    <row r="2439" spans="1:12" ht="9.1999999999999993" customHeight="1">
      <c r="B2439" s="699" t="s">
        <v>644</v>
      </c>
      <c r="C2439" s="700" t="s">
        <v>420</v>
      </c>
      <c r="D2439" s="701"/>
      <c r="F2439" s="702" t="s">
        <v>645</v>
      </c>
      <c r="G2439" s="689" t="str">
        <f>VLOOKUP(C2439,'Luong VP'!$B$10:$AP$189,2,0)</f>
        <v>Đổng Ngọc Trung</v>
      </c>
    </row>
    <row r="2440" spans="1:12" ht="9.1999999999999993" customHeight="1">
      <c r="B2440" s="699" t="s">
        <v>646</v>
      </c>
      <c r="C2440" s="689" t="str">
        <f>VLOOKUP(C2439,'Luong VP'!$B$10:$AP$189,3,0)</f>
        <v>Trưởng BP cải tiến máy móc</v>
      </c>
      <c r="F2440" s="702" t="s">
        <v>647</v>
      </c>
      <c r="G2440" s="689">
        <f>VLOOKUP(C2439,'Luong VP'!$B$10:$AP$189,5,0)</f>
        <v>1</v>
      </c>
    </row>
    <row r="2441" spans="1:12" ht="9.1999999999999993" customHeight="1">
      <c r="B2441" s="703"/>
      <c r="C2441" s="704"/>
      <c r="D2441" s="705"/>
      <c r="F2441" s="706" t="s">
        <v>648</v>
      </c>
      <c r="G2441" s="706"/>
      <c r="H2441" s="706"/>
      <c r="I2441" s="725"/>
      <c r="J2441" s="726"/>
    </row>
    <row r="2442" spans="1:12" ht="9.1999999999999993" customHeight="1">
      <c r="A2442" s="707" t="s">
        <v>216</v>
      </c>
      <c r="B2442" s="707" t="s">
        <v>649</v>
      </c>
      <c r="C2442" s="708" t="s">
        <v>650</v>
      </c>
      <c r="D2442" s="709"/>
      <c r="E2442" s="710" t="s">
        <v>216</v>
      </c>
      <c r="F2442" s="711" t="s">
        <v>649</v>
      </c>
      <c r="G2442" s="710"/>
      <c r="H2442" s="710" t="s">
        <v>651</v>
      </c>
      <c r="I2442" s="727" t="s">
        <v>652</v>
      </c>
      <c r="J2442" s="714"/>
      <c r="L2442" s="694" t="s">
        <v>653</v>
      </c>
    </row>
    <row r="2443" spans="1:12" ht="9.1999999999999993" customHeight="1">
      <c r="A2443" s="712">
        <v>1</v>
      </c>
      <c r="B2443" s="713" t="s">
        <v>654</v>
      </c>
      <c r="C2443" s="714">
        <f>VLOOKUP(C2439,'Luong VP'!$B$10:$AP$189,9,0)</f>
        <v>11630</v>
      </c>
      <c r="D2443" s="715"/>
      <c r="E2443" s="710" t="s">
        <v>655</v>
      </c>
      <c r="F2443" s="716" t="s">
        <v>656</v>
      </c>
      <c r="G2443" s="710"/>
      <c r="H2443" s="710"/>
      <c r="I2443" s="727"/>
      <c r="J2443" s="714">
        <f>VLOOKUP(C2439,'Luong VP'!$B$10:$AP$189,21,0)</f>
        <v>12330</v>
      </c>
    </row>
    <row r="2444" spans="1:12" ht="9.1999999999999993" customHeight="1">
      <c r="A2444" s="712">
        <v>2</v>
      </c>
      <c r="B2444" s="713" t="s">
        <v>658</v>
      </c>
      <c r="C2444" s="714"/>
      <c r="D2444" s="717"/>
      <c r="E2444" s="710">
        <v>1</v>
      </c>
      <c r="F2444" s="718" t="s">
        <v>659</v>
      </c>
      <c r="G2444" s="718"/>
      <c r="H2444" s="710" t="s">
        <v>660</v>
      </c>
      <c r="I2444" s="727">
        <f>VLOOKUP(C2439,'Luong VP'!$B$10:$AP$189,22,0)</f>
        <v>26</v>
      </c>
      <c r="J2444" s="728">
        <f>J2443/'Cham cong'!$AS$3*I2444</f>
        <v>12330</v>
      </c>
    </row>
    <row r="2445" spans="1:12" ht="9.1999999999999993" customHeight="1">
      <c r="A2445" s="712">
        <v>3</v>
      </c>
      <c r="B2445" s="713" t="s">
        <v>661</v>
      </c>
      <c r="C2445" s="714">
        <f>VLOOKUP(C2439,'Luong VP'!$B$10:$AP$189,10,0)</f>
        <v>0</v>
      </c>
      <c r="D2445" s="717"/>
      <c r="E2445" s="710">
        <v>2</v>
      </c>
      <c r="F2445" s="718" t="s">
        <v>662</v>
      </c>
      <c r="G2445" s="718"/>
      <c r="H2445" s="710" t="s">
        <v>660</v>
      </c>
      <c r="I2445" s="727">
        <f>VLOOKUP(C2439,'Luong VP'!$B$10:$AP$189,27,0)</f>
        <v>0</v>
      </c>
      <c r="J2445" s="728">
        <f>J2443/'Cham cong'!$AS$3*I2445*3</f>
        <v>0</v>
      </c>
    </row>
    <row r="2446" spans="1:12" ht="9.1999999999999993" customHeight="1">
      <c r="A2446" s="712">
        <v>4</v>
      </c>
      <c r="B2446" s="713" t="s">
        <v>666</v>
      </c>
      <c r="C2446" s="714">
        <f>VLOOKUP(C2439,'Luong VP'!$B$10:$AP$189,11,0)</f>
        <v>500</v>
      </c>
      <c r="D2446" s="717"/>
      <c r="E2446" s="710">
        <v>3</v>
      </c>
      <c r="F2446" s="718" t="s">
        <v>667</v>
      </c>
      <c r="G2446" s="718"/>
      <c r="H2446" s="710" t="s">
        <v>668</v>
      </c>
      <c r="I2446" s="727">
        <f>VLOOKUP(C2439,'Luong VP'!$B$10:$AP$189,26,0)</f>
        <v>0</v>
      </c>
      <c r="J2446" s="728">
        <f>J2443/'Cham cong'!$AS$3*I2446/8*1.5</f>
        <v>0</v>
      </c>
    </row>
    <row r="2447" spans="1:12" ht="9.1999999999999993" customHeight="1">
      <c r="A2447" s="712">
        <v>5</v>
      </c>
      <c r="B2447" s="713" t="s">
        <v>670</v>
      </c>
      <c r="C2447" s="714">
        <f>VLOOKUP(C2439,'Luong VP'!$B$10:$AP$189,12,0)</f>
        <v>0</v>
      </c>
      <c r="D2447" s="717"/>
      <c r="E2447" s="710">
        <v>4</v>
      </c>
      <c r="F2447" s="718" t="s">
        <v>671</v>
      </c>
      <c r="G2447" s="718"/>
      <c r="H2447" s="710" t="s">
        <v>668</v>
      </c>
      <c r="I2447" s="727">
        <f>VLOOKUP(C2439,'Luong VP'!$B$10:$AP$189,25,0)</f>
        <v>0</v>
      </c>
      <c r="J2447" s="728">
        <f>J2443/'Cham cong'!$AS$3*I2447/8*2</f>
        <v>0</v>
      </c>
    </row>
    <row r="2448" spans="1:12" ht="9.1999999999999993" customHeight="1">
      <c r="A2448" s="712">
        <v>6</v>
      </c>
      <c r="B2448" s="713" t="s">
        <v>673</v>
      </c>
      <c r="C2448" s="714">
        <f>VLOOKUP(C2439,'Luong VP'!$B$10:$AP$189,13,0)</f>
        <v>0</v>
      </c>
      <c r="D2448" s="717"/>
      <c r="E2448" s="710">
        <v>5</v>
      </c>
      <c r="F2448" s="718" t="s">
        <v>674</v>
      </c>
      <c r="G2448" s="718"/>
      <c r="H2448" s="710" t="s">
        <v>660</v>
      </c>
      <c r="I2448" s="727">
        <f>VLOOKUP(C2439,'Luong VP'!$B$10:$AP$189,23,0)</f>
        <v>0</v>
      </c>
      <c r="J2448" s="728">
        <f>C2443/'Cham cong'!$AS$3*I2448</f>
        <v>0</v>
      </c>
      <c r="L2448" s="694" t="str">
        <f>G2439</f>
        <v>Đổng Ngọc Trung</v>
      </c>
    </row>
    <row r="2449" spans="1:12" ht="9.1999999999999993" customHeight="1">
      <c r="A2449" s="712">
        <v>7</v>
      </c>
      <c r="B2449" s="713" t="s">
        <v>676</v>
      </c>
      <c r="C2449" s="714"/>
      <c r="D2449" s="717"/>
      <c r="E2449" s="710">
        <v>6</v>
      </c>
      <c r="F2449" s="718" t="s">
        <v>677</v>
      </c>
      <c r="G2449" s="718"/>
      <c r="H2449" s="710" t="s">
        <v>660</v>
      </c>
      <c r="I2449" s="727">
        <f>VLOOKUP(C2439,'Luong VP'!$B$10:$AP$189,24,0)</f>
        <v>1</v>
      </c>
      <c r="J2449" s="714">
        <f>C2443/'Cham cong'!$AS$3*I2449</f>
        <v>447.30769230769232</v>
      </c>
    </row>
    <row r="2450" spans="1:12" ht="9.1999999999999993" customHeight="1">
      <c r="A2450" s="712">
        <v>8</v>
      </c>
      <c r="B2450" s="713" t="s">
        <v>679</v>
      </c>
      <c r="C2450" s="714">
        <f>VLOOKUP(C2439,'Luong VP'!$B$10:$AP$189,14,0)</f>
        <v>200</v>
      </c>
      <c r="D2450" s="717"/>
      <c r="E2450" s="710">
        <v>7</v>
      </c>
      <c r="F2450" s="718" t="s">
        <v>680</v>
      </c>
      <c r="G2450" s="718"/>
      <c r="H2450" s="718"/>
      <c r="I2450" s="729"/>
      <c r="J2450" s="714">
        <f>VLOOKUP(C2439,'Luong VP'!$B$10:$AP$189,28,0)</f>
        <v>0</v>
      </c>
    </row>
    <row r="2451" spans="1:12" ht="9.1999999999999993" customHeight="1">
      <c r="A2451" s="712">
        <v>9</v>
      </c>
      <c r="B2451" s="713" t="s">
        <v>683</v>
      </c>
      <c r="C2451" s="714">
        <f>VLOOKUP(C2439,'Luong VP'!$B$10:$AP$189,15,0)</f>
        <v>300</v>
      </c>
      <c r="D2451" s="717"/>
      <c r="E2451" s="710">
        <v>8</v>
      </c>
      <c r="F2451" s="718" t="s">
        <v>238</v>
      </c>
      <c r="G2451" s="718"/>
      <c r="H2451" s="780"/>
      <c r="I2451" s="803"/>
      <c r="J2451" s="804"/>
    </row>
    <row r="2452" spans="1:12" ht="9.1999999999999993" customHeight="1">
      <c r="A2452" s="712">
        <v>10</v>
      </c>
      <c r="B2452" s="713" t="s">
        <v>685</v>
      </c>
      <c r="C2452" s="714">
        <f>VLOOKUP(C2439,'Luong VP'!$B$10:$AP$189,16,0)</f>
        <v>0</v>
      </c>
      <c r="D2452" s="717"/>
      <c r="E2452" s="710" t="s">
        <v>686</v>
      </c>
      <c r="F2452" s="716" t="s">
        <v>687</v>
      </c>
      <c r="G2452" s="719"/>
      <c r="H2452" s="719"/>
      <c r="I2452" s="729"/>
      <c r="J2452" s="730"/>
    </row>
    <row r="2453" spans="1:12" ht="9.1999999999999993" customHeight="1">
      <c r="A2453" s="712">
        <v>11</v>
      </c>
      <c r="B2453" s="713" t="s">
        <v>688</v>
      </c>
      <c r="C2453" s="714">
        <f>VLOOKUP(C2439,'Luong VP'!$B$10:$AP$189,17,0)</f>
        <v>0</v>
      </c>
      <c r="D2453" s="717"/>
      <c r="E2453" s="710">
        <v>1</v>
      </c>
      <c r="F2453" s="716" t="s">
        <v>689</v>
      </c>
      <c r="G2453" s="719"/>
      <c r="H2453" s="719"/>
      <c r="I2453" s="714">
        <f>VLOOKUP(C2439,'Luong VP'!$B$10:$AP$189,30,0)</f>
        <v>0</v>
      </c>
      <c r="J2453" s="714">
        <f>VLOOKUP(C2439,'Luong VP'!$B$10:$AP$189,30,0)</f>
        <v>0</v>
      </c>
    </row>
    <row r="2454" spans="1:12" ht="9.1999999999999993" customHeight="1">
      <c r="A2454" s="712">
        <v>12</v>
      </c>
      <c r="B2454" s="713" t="s">
        <v>691</v>
      </c>
      <c r="C2454" s="714">
        <f>VLOOKUP(C2439,'Luong VP'!$B$10:$AP$189,18,0)</f>
        <v>0</v>
      </c>
      <c r="D2454" s="717"/>
      <c r="E2454" s="710">
        <v>2</v>
      </c>
      <c r="F2454" s="718" t="s">
        <v>239</v>
      </c>
      <c r="G2454" s="718"/>
      <c r="H2454" s="718"/>
      <c r="I2454" s="727"/>
      <c r="J2454" s="728">
        <f>VLOOKUP(C2439,'Luong VP'!$B$10:$AP$189,34,0)</f>
        <v>0</v>
      </c>
      <c r="K2454" s="731"/>
      <c r="L2454" s="715"/>
    </row>
    <row r="2455" spans="1:12" ht="9.1999999999999993" customHeight="1">
      <c r="A2455" s="712">
        <v>13</v>
      </c>
      <c r="B2455" s="713" t="s">
        <v>692</v>
      </c>
      <c r="C2455" s="714">
        <f>VLOOKUP(C2439,'Luong VP'!$B$10:$AP$189,19,0)</f>
        <v>0</v>
      </c>
      <c r="D2455" s="717"/>
      <c r="E2455" s="710">
        <v>3</v>
      </c>
      <c r="F2455" s="716" t="s">
        <v>693</v>
      </c>
      <c r="G2455" s="719"/>
      <c r="H2455" s="719"/>
      <c r="I2455" s="729"/>
      <c r="J2455" s="714">
        <f>VLOOKUP(C2439,'Luong VP'!$B$10:$AP$189,40,0)</f>
        <v>0</v>
      </c>
      <c r="K2455" s="731"/>
      <c r="L2455" s="715"/>
    </row>
    <row r="2456" spans="1:12" ht="9.1999999999999993" customHeight="1">
      <c r="A2456" s="712">
        <v>14</v>
      </c>
      <c r="B2456" s="713" t="s">
        <v>694</v>
      </c>
      <c r="C2456" s="714">
        <f>VLOOKUP(C2439,'Luong VP'!$B$10:$AP$189,20,0)</f>
        <v>0</v>
      </c>
      <c r="D2456" s="717"/>
      <c r="E2456" s="710">
        <v>4</v>
      </c>
      <c r="F2456" s="718" t="s">
        <v>695</v>
      </c>
      <c r="G2456" s="719"/>
      <c r="H2456" s="719"/>
      <c r="I2456" s="729"/>
      <c r="J2456" s="714">
        <f>VLOOKUP(C2439,'Luong VP'!$B$10:$AP$189,35,0)</f>
        <v>0</v>
      </c>
      <c r="K2456" s="732"/>
      <c r="L2456" s="715"/>
    </row>
    <row r="2457" spans="1:12" ht="9.1999999999999993" customHeight="1">
      <c r="A2457" s="712"/>
      <c r="B2457" s="707" t="s">
        <v>656</v>
      </c>
      <c r="C2457" s="714">
        <f>SUM(C2443:C2456)</f>
        <v>12630</v>
      </c>
      <c r="D2457" s="717"/>
      <c r="E2457" s="710"/>
      <c r="F2457" s="716" t="s">
        <v>241</v>
      </c>
      <c r="G2457" s="719"/>
      <c r="H2457" s="719"/>
      <c r="I2457" s="729"/>
      <c r="J2457" s="730">
        <f>SUM(J2444:J2456)+C2451</f>
        <v>13077.307692307691</v>
      </c>
      <c r="K2457" s="731"/>
      <c r="L2457" s="715"/>
    </row>
    <row r="2458" spans="1:12" ht="9.1999999999999993" customHeight="1">
      <c r="B2458" s="720"/>
      <c r="C2458" s="717"/>
      <c r="D2458" s="717"/>
      <c r="E2458" s="710" t="s">
        <v>696</v>
      </c>
      <c r="F2458" s="711" t="s">
        <v>697</v>
      </c>
      <c r="G2458" s="710"/>
      <c r="H2458" s="710"/>
      <c r="I2458" s="729"/>
      <c r="J2458" s="730">
        <f>SUM(J2459:J2461)</f>
        <v>3535.5</v>
      </c>
      <c r="K2458" s="732"/>
      <c r="L2458" s="715"/>
    </row>
    <row r="2459" spans="1:12" ht="9.1999999999999993" customHeight="1">
      <c r="B2459" s="720"/>
      <c r="C2459" s="717"/>
      <c r="D2459" s="717"/>
      <c r="E2459" s="710">
        <v>1</v>
      </c>
      <c r="F2459" s="718" t="s">
        <v>698</v>
      </c>
      <c r="G2459" s="718"/>
      <c r="H2459" s="718"/>
      <c r="I2459" s="733"/>
      <c r="J2459" s="714">
        <f>VLOOKUP(C2439,'Luong VP'!$B$10:$AP$189,37,0)</f>
        <v>535.5</v>
      </c>
      <c r="K2459" s="732"/>
      <c r="L2459" s="715"/>
    </row>
    <row r="2460" spans="1:12" ht="9.1999999999999993" customHeight="1">
      <c r="B2460" s="720"/>
      <c r="C2460" s="717"/>
      <c r="D2460" s="717"/>
      <c r="E2460" s="710">
        <v>2</v>
      </c>
      <c r="F2460" s="718" t="s">
        <v>244</v>
      </c>
      <c r="G2460" s="718"/>
      <c r="H2460" s="718"/>
      <c r="I2460" s="729"/>
      <c r="J2460" s="714">
        <f>VLOOKUP(C2439,'Luong VP'!$B$10:$AP$189,39,0)</f>
        <v>3000</v>
      </c>
      <c r="K2460" s="734"/>
      <c r="L2460" s="735"/>
    </row>
    <row r="2461" spans="1:12" ht="9.1999999999999993" customHeight="1">
      <c r="B2461" s="720"/>
      <c r="C2461" s="717"/>
      <c r="D2461" s="717"/>
      <c r="E2461" s="710"/>
      <c r="F2461" s="718" t="s">
        <v>699</v>
      </c>
      <c r="G2461" s="718"/>
      <c r="H2461" s="718"/>
      <c r="I2461" s="729"/>
      <c r="J2461" s="714"/>
      <c r="K2461" s="714"/>
      <c r="L2461" s="736"/>
    </row>
    <row r="2462" spans="1:12" ht="9.1999999999999993" customHeight="1">
      <c r="B2462" s="720"/>
      <c r="C2462" s="717"/>
      <c r="D2462" s="717"/>
      <c r="E2462" s="710" t="s">
        <v>700</v>
      </c>
      <c r="F2462" s="710" t="s">
        <v>246</v>
      </c>
      <c r="G2462" s="710"/>
      <c r="H2462" s="710"/>
      <c r="I2462" s="729"/>
      <c r="J2462" s="728">
        <f>J2457-J2458</f>
        <v>9541.8076923076915</v>
      </c>
      <c r="K2462" s="728">
        <f>ROUND(J2462,-1)</f>
        <v>9540</v>
      </c>
      <c r="L2462" s="710"/>
    </row>
    <row r="2463" spans="1:12" ht="9.1999999999999993" customHeight="1">
      <c r="B2463" s="720"/>
      <c r="C2463" s="717"/>
      <c r="D2463" s="717"/>
      <c r="E2463" s="715"/>
      <c r="F2463" s="715"/>
      <c r="G2463" s="715"/>
      <c r="I2463" s="715" t="s">
        <v>701</v>
      </c>
      <c r="J2463" s="737"/>
      <c r="K2463" s="737"/>
      <c r="L2463" s="715"/>
    </row>
    <row r="2468" spans="1:12" ht="9.1999999999999993" customHeight="1">
      <c r="C2468" s="696"/>
      <c r="D2468" s="696"/>
      <c r="E2468" s="697" t="str">
        <f>$E$2</f>
        <v>THẺ LƯƠNG THÁNG 08/2019</v>
      </c>
      <c r="F2468" s="698"/>
      <c r="G2468" s="698"/>
      <c r="H2468" s="698"/>
    </row>
    <row r="2469" spans="1:12" ht="9.1999999999999993" customHeight="1">
      <c r="B2469" s="699" t="s">
        <v>644</v>
      </c>
      <c r="C2469" s="700" t="s">
        <v>418</v>
      </c>
      <c r="D2469" s="701"/>
      <c r="F2469" s="702" t="s">
        <v>645</v>
      </c>
      <c r="G2469" s="689" t="str">
        <f>VLOOKUP(C2469,'Luong VP'!$B$10:$AP$189,2,0)</f>
        <v>Huỳnh Văn Phương</v>
      </c>
    </row>
    <row r="2470" spans="1:12" ht="9.1999999999999993" customHeight="1">
      <c r="B2470" s="699" t="s">
        <v>646</v>
      </c>
      <c r="C2470" s="689" t="str">
        <f>VLOOKUP(C2469,'Luong VP'!$B$10:$AP$189,3,0)</f>
        <v>Nhân viên vận hành máy</v>
      </c>
      <c r="F2470" s="702" t="s">
        <v>647</v>
      </c>
      <c r="G2470" s="689">
        <f>VLOOKUP(C2469,'Luong VP'!$B$10:$AP$189,5,0)</f>
        <v>2</v>
      </c>
    </row>
    <row r="2471" spans="1:12" ht="9.1999999999999993" customHeight="1">
      <c r="B2471" s="703"/>
      <c r="C2471" s="704"/>
      <c r="D2471" s="705"/>
      <c r="F2471" s="706" t="s">
        <v>648</v>
      </c>
      <c r="G2471" s="706"/>
      <c r="H2471" s="706"/>
      <c r="I2471" s="725"/>
      <c r="J2471" s="726"/>
    </row>
    <row r="2472" spans="1:12" ht="9.1999999999999993" customHeight="1">
      <c r="A2472" s="707" t="s">
        <v>216</v>
      </c>
      <c r="B2472" s="707" t="s">
        <v>649</v>
      </c>
      <c r="C2472" s="708" t="s">
        <v>650</v>
      </c>
      <c r="D2472" s="709"/>
      <c r="E2472" s="710" t="s">
        <v>216</v>
      </c>
      <c r="F2472" s="711" t="s">
        <v>649</v>
      </c>
      <c r="G2472" s="710"/>
      <c r="H2472" s="710" t="s">
        <v>651</v>
      </c>
      <c r="I2472" s="727" t="s">
        <v>652</v>
      </c>
      <c r="J2472" s="714"/>
      <c r="L2472" s="694" t="s">
        <v>653</v>
      </c>
    </row>
    <row r="2473" spans="1:12" ht="9.1999999999999993" customHeight="1">
      <c r="A2473" s="712">
        <v>1</v>
      </c>
      <c r="B2473" s="713" t="s">
        <v>654</v>
      </c>
      <c r="C2473" s="714">
        <f>VLOOKUP(C2469,'Luong VP'!$B$10:$AP$189,9,0)</f>
        <v>6950</v>
      </c>
      <c r="D2473" s="715"/>
      <c r="E2473" s="710" t="s">
        <v>655</v>
      </c>
      <c r="F2473" s="716" t="s">
        <v>656</v>
      </c>
      <c r="G2473" s="710"/>
      <c r="H2473" s="710"/>
      <c r="I2473" s="727"/>
      <c r="J2473" s="714">
        <f>VLOOKUP(C2469,'Luong VP'!$B$10:$AP$189,21,0)</f>
        <v>7358.5</v>
      </c>
    </row>
    <row r="2474" spans="1:12" ht="9.1999999999999993" customHeight="1">
      <c r="A2474" s="712">
        <v>2</v>
      </c>
      <c r="B2474" s="713" t="s">
        <v>658</v>
      </c>
      <c r="C2474" s="714"/>
      <c r="D2474" s="717"/>
      <c r="E2474" s="710">
        <v>1</v>
      </c>
      <c r="F2474" s="718" t="s">
        <v>659</v>
      </c>
      <c r="G2474" s="718"/>
      <c r="H2474" s="710" t="s">
        <v>660</v>
      </c>
      <c r="I2474" s="727">
        <f>VLOOKUP(C2469,'Luong VP'!$B$10:$AP$189,22,0)</f>
        <v>26</v>
      </c>
      <c r="J2474" s="728">
        <f>J2473/'Cham cong'!$AS$3*I2474</f>
        <v>7358.5</v>
      </c>
    </row>
    <row r="2475" spans="1:12" ht="9.1999999999999993" customHeight="1">
      <c r="A2475" s="712">
        <v>3</v>
      </c>
      <c r="B2475" s="713" t="s">
        <v>661</v>
      </c>
      <c r="C2475" s="714">
        <f>VLOOKUP(C2469,'Luong VP'!$B$10:$AP$189,10,0)</f>
        <v>200</v>
      </c>
      <c r="D2475" s="717"/>
      <c r="E2475" s="710">
        <v>2</v>
      </c>
      <c r="F2475" s="718" t="s">
        <v>662</v>
      </c>
      <c r="G2475" s="718"/>
      <c r="H2475" s="710" t="s">
        <v>660</v>
      </c>
      <c r="I2475" s="727">
        <f>VLOOKUP(C2469,'Luong VP'!$B$10:$AP$189,27,0)</f>
        <v>0</v>
      </c>
      <c r="J2475" s="728">
        <f>J2473/'Cham cong'!$AS$3*I2475*3</f>
        <v>0</v>
      </c>
    </row>
    <row r="2476" spans="1:12" ht="9.1999999999999993" customHeight="1">
      <c r="A2476" s="712">
        <v>4</v>
      </c>
      <c r="B2476" s="713" t="s">
        <v>666</v>
      </c>
      <c r="C2476" s="714">
        <f>VLOOKUP(C2469,'Luong VP'!$B$10:$AP$189,11,0)</f>
        <v>0</v>
      </c>
      <c r="D2476" s="717"/>
      <c r="E2476" s="710">
        <v>3</v>
      </c>
      <c r="F2476" s="718" t="s">
        <v>667</v>
      </c>
      <c r="G2476" s="718"/>
      <c r="H2476" s="710" t="s">
        <v>668</v>
      </c>
      <c r="I2476" s="727">
        <f>VLOOKUP(C2469,'Luong VP'!$B$10:$AP$189,26,0)</f>
        <v>0</v>
      </c>
      <c r="J2476" s="728">
        <f>J2473/'Cham cong'!$AS$3*I2476/8*1.5</f>
        <v>0</v>
      </c>
    </row>
    <row r="2477" spans="1:12" ht="9.1999999999999993" customHeight="1">
      <c r="A2477" s="712">
        <v>5</v>
      </c>
      <c r="B2477" s="713" t="s">
        <v>670</v>
      </c>
      <c r="C2477" s="714">
        <f>VLOOKUP(C2469,'Luong VP'!$B$10:$AP$189,12,0)</f>
        <v>208.5</v>
      </c>
      <c r="D2477" s="717"/>
      <c r="E2477" s="710">
        <v>4</v>
      </c>
      <c r="F2477" s="718" t="s">
        <v>671</v>
      </c>
      <c r="G2477" s="718"/>
      <c r="H2477" s="710" t="s">
        <v>668</v>
      </c>
      <c r="I2477" s="727">
        <f>VLOOKUP(C2469,'Luong VP'!$B$10:$AP$189,25,0)</f>
        <v>8</v>
      </c>
      <c r="J2477" s="728">
        <f>J2473/'Cham cong'!$AS$3*I2477/8*2</f>
        <v>566.03846153846155</v>
      </c>
    </row>
    <row r="2478" spans="1:12" ht="9.1999999999999993" customHeight="1">
      <c r="A2478" s="712">
        <v>6</v>
      </c>
      <c r="B2478" s="713" t="s">
        <v>673</v>
      </c>
      <c r="C2478" s="714">
        <f>VLOOKUP(C2469,'Luong VP'!$B$10:$AP$189,13,0)</f>
        <v>0</v>
      </c>
      <c r="D2478" s="717"/>
      <c r="E2478" s="710">
        <v>5</v>
      </c>
      <c r="F2478" s="718" t="s">
        <v>674</v>
      </c>
      <c r="G2478" s="718"/>
      <c r="H2478" s="710" t="s">
        <v>660</v>
      </c>
      <c r="I2478" s="727">
        <f>VLOOKUP(C2469,'Luong VP'!$B$10:$AP$189,23,0)</f>
        <v>0</v>
      </c>
      <c r="J2478" s="728">
        <f>C2473/'Cham cong'!$AS$3*I2478</f>
        <v>0</v>
      </c>
      <c r="L2478" s="694" t="str">
        <f>G2469</f>
        <v>Huỳnh Văn Phương</v>
      </c>
    </row>
    <row r="2479" spans="1:12" ht="9.1999999999999993" customHeight="1">
      <c r="A2479" s="712">
        <v>7</v>
      </c>
      <c r="B2479" s="713" t="s">
        <v>676</v>
      </c>
      <c r="C2479" s="714"/>
      <c r="D2479" s="717"/>
      <c r="E2479" s="710">
        <v>6</v>
      </c>
      <c r="F2479" s="718" t="s">
        <v>677</v>
      </c>
      <c r="G2479" s="718"/>
      <c r="H2479" s="710" t="s">
        <v>660</v>
      </c>
      <c r="I2479" s="727">
        <f>VLOOKUP(C2469,'Luong VP'!$B$10:$AP$189,24,0)</f>
        <v>1</v>
      </c>
      <c r="J2479" s="714">
        <f>C2473/'Cham cong'!$AS$3*I2479</f>
        <v>267.30769230769232</v>
      </c>
    </row>
    <row r="2480" spans="1:12" ht="9.1999999999999993" customHeight="1">
      <c r="A2480" s="712">
        <v>8</v>
      </c>
      <c r="B2480" s="713" t="s">
        <v>679</v>
      </c>
      <c r="C2480" s="714">
        <f>VLOOKUP(C2469,'Luong VP'!$B$10:$AP$189,14,0)</f>
        <v>0</v>
      </c>
      <c r="D2480" s="717"/>
      <c r="E2480" s="710">
        <v>7</v>
      </c>
      <c r="F2480" s="718" t="s">
        <v>680</v>
      </c>
      <c r="G2480" s="718"/>
      <c r="H2480" s="718"/>
      <c r="I2480" s="729"/>
      <c r="J2480" s="714">
        <f>VLOOKUP(C2469,'Luong VP'!$B$10:$AP$189,28,0)</f>
        <v>0</v>
      </c>
    </row>
    <row r="2481" spans="1:12" ht="9.1999999999999993" customHeight="1">
      <c r="A2481" s="712">
        <v>9</v>
      </c>
      <c r="B2481" s="713" t="s">
        <v>683</v>
      </c>
      <c r="C2481" s="714">
        <f>VLOOKUP(C2469,'Luong VP'!$B$10:$AP$189,15,0)</f>
        <v>0</v>
      </c>
      <c r="D2481" s="717"/>
      <c r="E2481" s="710">
        <v>8</v>
      </c>
      <c r="F2481" s="718" t="s">
        <v>238</v>
      </c>
      <c r="G2481" s="718"/>
      <c r="H2481" s="718"/>
      <c r="I2481" s="729"/>
      <c r="J2481" s="714">
        <f>VLOOKUP(C2469,'Luong VP'!$B$10:$AP$189,33,0)</f>
        <v>0</v>
      </c>
    </row>
    <row r="2482" spans="1:12" ht="9.1999999999999993" customHeight="1">
      <c r="A2482" s="712">
        <v>10</v>
      </c>
      <c r="B2482" s="713" t="s">
        <v>685</v>
      </c>
      <c r="C2482" s="714">
        <f>VLOOKUP(C2469,'Luong VP'!$B$10:$AP$189,16,0)</f>
        <v>0</v>
      </c>
      <c r="D2482" s="717"/>
      <c r="E2482" s="710" t="s">
        <v>686</v>
      </c>
      <c r="F2482" s="716" t="s">
        <v>687</v>
      </c>
      <c r="G2482" s="719"/>
      <c r="H2482" s="719"/>
      <c r="I2482" s="729"/>
      <c r="J2482" s="730"/>
    </row>
    <row r="2483" spans="1:12" ht="9.1999999999999993" customHeight="1">
      <c r="A2483" s="712">
        <v>11</v>
      </c>
      <c r="B2483" s="713" t="s">
        <v>688</v>
      </c>
      <c r="C2483" s="714">
        <f>VLOOKUP(C2469,'Luong VP'!$B$10:$AP$189,17,0)</f>
        <v>0</v>
      </c>
      <c r="D2483" s="717"/>
      <c r="E2483" s="710">
        <v>1</v>
      </c>
      <c r="F2483" s="716" t="s">
        <v>689</v>
      </c>
      <c r="G2483" s="719"/>
      <c r="H2483" s="719"/>
      <c r="I2483" s="714">
        <f>VLOOKUP(C2469,'Luong VP'!$B$10:$AP$189,30,0)</f>
        <v>0</v>
      </c>
      <c r="J2483" s="714">
        <f>VLOOKUP(C2469,'Luong VP'!$B$10:$AP$189,30,0)</f>
        <v>0</v>
      </c>
    </row>
    <row r="2484" spans="1:12" ht="9.1999999999999993" customHeight="1">
      <c r="A2484" s="712">
        <v>12</v>
      </c>
      <c r="B2484" s="713" t="s">
        <v>691</v>
      </c>
      <c r="C2484" s="714">
        <f>VLOOKUP(C2469,'Luong VP'!$B$10:$AP$189,18,0)</f>
        <v>0</v>
      </c>
      <c r="D2484" s="717"/>
      <c r="E2484" s="710">
        <v>2</v>
      </c>
      <c r="F2484" s="718" t="s">
        <v>239</v>
      </c>
      <c r="G2484" s="718"/>
      <c r="H2484" s="718"/>
      <c r="I2484" s="727"/>
      <c r="J2484" s="728">
        <f>VLOOKUP(C2469,'Luong VP'!$B$10:$AP$189,34,0)</f>
        <v>0</v>
      </c>
      <c r="K2484" s="731"/>
      <c r="L2484" s="715"/>
    </row>
    <row r="2485" spans="1:12" ht="9.1999999999999993" customHeight="1">
      <c r="A2485" s="712">
        <v>13</v>
      </c>
      <c r="B2485" s="713" t="s">
        <v>692</v>
      </c>
      <c r="C2485" s="714">
        <f>VLOOKUP(C2469,'Luong VP'!$B$10:$AP$189,19,0)</f>
        <v>0</v>
      </c>
      <c r="D2485" s="717"/>
      <c r="E2485" s="710">
        <v>3</v>
      </c>
      <c r="F2485" s="716" t="s">
        <v>693</v>
      </c>
      <c r="G2485" s="719"/>
      <c r="H2485" s="719"/>
      <c r="I2485" s="729"/>
      <c r="J2485" s="714">
        <f>VLOOKUP(C2469,'Luong VP'!$B$10:$AP$189,40,0)</f>
        <v>0</v>
      </c>
      <c r="K2485" s="731"/>
      <c r="L2485" s="715"/>
    </row>
    <row r="2486" spans="1:12" ht="9.1999999999999993" customHeight="1">
      <c r="A2486" s="712">
        <v>14</v>
      </c>
      <c r="B2486" s="713" t="s">
        <v>694</v>
      </c>
      <c r="C2486" s="714">
        <f>VLOOKUP(C2469,'Luong VP'!$B$10:$AP$189,20,0)</f>
        <v>0</v>
      </c>
      <c r="D2486" s="717"/>
      <c r="E2486" s="710">
        <v>4</v>
      </c>
      <c r="F2486" s="718" t="s">
        <v>695</v>
      </c>
      <c r="G2486" s="719"/>
      <c r="H2486" s="719"/>
      <c r="I2486" s="729"/>
      <c r="J2486" s="714">
        <f>VLOOKUP(C2469,'Luong VP'!$B$10:$AP$189,35,0)</f>
        <v>0</v>
      </c>
      <c r="K2486" s="732"/>
      <c r="L2486" s="715"/>
    </row>
    <row r="2487" spans="1:12" ht="9.1999999999999993" customHeight="1">
      <c r="A2487" s="712"/>
      <c r="B2487" s="707" t="s">
        <v>656</v>
      </c>
      <c r="C2487" s="714">
        <f>SUM(C2473:C2486)</f>
        <v>7358.5</v>
      </c>
      <c r="D2487" s="717"/>
      <c r="E2487" s="710"/>
      <c r="F2487" s="716" t="s">
        <v>241</v>
      </c>
      <c r="G2487" s="719"/>
      <c r="H2487" s="719"/>
      <c r="I2487" s="729"/>
      <c r="J2487" s="730">
        <f>SUM(J2474:J2486)+C2481</f>
        <v>8191.8461538461543</v>
      </c>
      <c r="K2487" s="731"/>
      <c r="L2487" s="715"/>
    </row>
    <row r="2488" spans="1:12" ht="9.1999999999999993" customHeight="1">
      <c r="B2488" s="720"/>
      <c r="C2488" s="717"/>
      <c r="D2488" s="717"/>
      <c r="E2488" s="710" t="s">
        <v>696</v>
      </c>
      <c r="F2488" s="711" t="s">
        <v>697</v>
      </c>
      <c r="G2488" s="710"/>
      <c r="H2488" s="710"/>
      <c r="I2488" s="729"/>
      <c r="J2488" s="730">
        <f>SUM(J2489:J2491)</f>
        <v>3480.585</v>
      </c>
      <c r="K2488" s="732"/>
      <c r="L2488" s="715"/>
    </row>
    <row r="2489" spans="1:12" ht="9.1999999999999993" customHeight="1">
      <c r="B2489" s="720"/>
      <c r="C2489" s="717"/>
      <c r="D2489" s="717"/>
      <c r="E2489" s="710">
        <v>1</v>
      </c>
      <c r="F2489" s="718" t="s">
        <v>698</v>
      </c>
      <c r="G2489" s="718"/>
      <c r="H2489" s="718"/>
      <c r="I2489" s="733"/>
      <c r="J2489" s="714">
        <f>VLOOKUP(C2469,'Luong VP'!$B$10:$AP$189,37,0)</f>
        <v>480.58499999999998</v>
      </c>
      <c r="K2489" s="732"/>
      <c r="L2489" s="715"/>
    </row>
    <row r="2490" spans="1:12" ht="9.1999999999999993" customHeight="1">
      <c r="B2490" s="720"/>
      <c r="C2490" s="717"/>
      <c r="D2490" s="717"/>
      <c r="E2490" s="710">
        <v>2</v>
      </c>
      <c r="F2490" s="718" t="s">
        <v>244</v>
      </c>
      <c r="G2490" s="718"/>
      <c r="H2490" s="718"/>
      <c r="I2490" s="729"/>
      <c r="J2490" s="714">
        <f>VLOOKUP(C2469,'Luong VP'!$B$10:$AP$189,39,0)</f>
        <v>3000</v>
      </c>
      <c r="K2490" s="734"/>
      <c r="L2490" s="735"/>
    </row>
    <row r="2491" spans="1:12" ht="9.1999999999999993" customHeight="1">
      <c r="B2491" s="720"/>
      <c r="C2491" s="717"/>
      <c r="D2491" s="717"/>
      <c r="E2491" s="710"/>
      <c r="F2491" s="718" t="s">
        <v>699</v>
      </c>
      <c r="G2491" s="718"/>
      <c r="H2491" s="718"/>
      <c r="I2491" s="729"/>
      <c r="J2491" s="714"/>
      <c r="K2491" s="714"/>
      <c r="L2491" s="736"/>
    </row>
    <row r="2492" spans="1:12" ht="9.1999999999999993" customHeight="1">
      <c r="B2492" s="720"/>
      <c r="C2492" s="717"/>
      <c r="D2492" s="717"/>
      <c r="E2492" s="710" t="s">
        <v>700</v>
      </c>
      <c r="F2492" s="710" t="s">
        <v>246</v>
      </c>
      <c r="G2492" s="710"/>
      <c r="H2492" s="710"/>
      <c r="I2492" s="729"/>
      <c r="J2492" s="728">
        <f>J2487-J2488</f>
        <v>4711.2611538461542</v>
      </c>
      <c r="K2492" s="728">
        <f>ROUND(J2492,-1)</f>
        <v>4710</v>
      </c>
      <c r="L2492" s="710"/>
    </row>
    <row r="2493" spans="1:12" ht="9.1999999999999993" customHeight="1">
      <c r="B2493" s="720"/>
      <c r="C2493" s="717"/>
      <c r="D2493" s="717"/>
      <c r="E2493" s="715"/>
      <c r="F2493" s="715"/>
      <c r="G2493" s="715"/>
      <c r="I2493" s="715" t="s">
        <v>701</v>
      </c>
      <c r="J2493" s="737"/>
      <c r="K2493" s="737"/>
      <c r="L2493" s="715"/>
    </row>
    <row r="2499" spans="1:13" s="691" customFormat="1" ht="9.1999999999999993" customHeight="1">
      <c r="A2499" s="690"/>
      <c r="B2499" s="690"/>
      <c r="C2499" s="696"/>
      <c r="D2499" s="696"/>
      <c r="E2499" s="697" t="str">
        <f>$E$2</f>
        <v>THẺ LƯƠNG THÁNG 08/2019</v>
      </c>
      <c r="F2499" s="698"/>
      <c r="G2499" s="698"/>
      <c r="H2499" s="698"/>
      <c r="I2499" s="689"/>
      <c r="J2499" s="689"/>
      <c r="K2499" s="689"/>
      <c r="L2499" s="694"/>
      <c r="M2499" s="690"/>
    </row>
    <row r="2500" spans="1:13" s="691" customFormat="1" ht="9.1999999999999993" customHeight="1">
      <c r="A2500" s="690"/>
      <c r="B2500" s="699" t="s">
        <v>644</v>
      </c>
      <c r="C2500" s="700" t="s">
        <v>422</v>
      </c>
      <c r="D2500" s="701"/>
      <c r="E2500" s="689"/>
      <c r="F2500" s="702" t="s">
        <v>645</v>
      </c>
      <c r="G2500" s="689" t="str">
        <f>VLOOKUP(C2500,'Luong VP'!$B$10:$AP$188,2,0)</f>
        <v>Nguyễn Thành Khương</v>
      </c>
      <c r="H2500" s="689"/>
      <c r="I2500" s="689"/>
      <c r="J2500" s="689"/>
      <c r="K2500" s="689"/>
      <c r="L2500" s="694"/>
      <c r="M2500" s="690"/>
    </row>
    <row r="2501" spans="1:13" s="691" customFormat="1" ht="9.1999999999999993" customHeight="1">
      <c r="A2501" s="690"/>
      <c r="B2501" s="699" t="s">
        <v>646</v>
      </c>
      <c r="C2501" s="689" t="str">
        <f>VLOOKUP(C2500,'Luong VP'!$B$10:$AP$188,3,0)</f>
        <v>Nhân viên giám sát - thiết kế</v>
      </c>
      <c r="D2501" s="689"/>
      <c r="E2501" s="689"/>
      <c r="F2501" s="702" t="s">
        <v>647</v>
      </c>
      <c r="G2501" s="689">
        <f>VLOOKUP(C2500,'Luong VP'!$B$10:$AP$188,5,0)</f>
        <v>3</v>
      </c>
      <c r="H2501" s="689"/>
      <c r="I2501" s="689"/>
      <c r="J2501" s="689"/>
      <c r="K2501" s="689"/>
      <c r="L2501" s="694"/>
      <c r="M2501" s="690"/>
    </row>
    <row r="2502" spans="1:13" s="691" customFormat="1" ht="9.1999999999999993" customHeight="1">
      <c r="A2502" s="690"/>
      <c r="B2502" s="703"/>
      <c r="C2502" s="704"/>
      <c r="D2502" s="705"/>
      <c r="E2502" s="689"/>
      <c r="F2502" s="706" t="s">
        <v>648</v>
      </c>
      <c r="G2502" s="706"/>
      <c r="H2502" s="706"/>
      <c r="I2502" s="725"/>
      <c r="J2502" s="726"/>
      <c r="K2502" s="689"/>
      <c r="L2502" s="694"/>
      <c r="M2502" s="690"/>
    </row>
    <row r="2503" spans="1:13" s="691" customFormat="1" ht="9.1999999999999993" customHeight="1">
      <c r="A2503" s="707" t="s">
        <v>216</v>
      </c>
      <c r="B2503" s="707" t="s">
        <v>649</v>
      </c>
      <c r="C2503" s="708" t="s">
        <v>650</v>
      </c>
      <c r="D2503" s="709"/>
      <c r="E2503" s="710" t="s">
        <v>216</v>
      </c>
      <c r="F2503" s="711" t="s">
        <v>649</v>
      </c>
      <c r="G2503" s="710"/>
      <c r="H2503" s="710" t="s">
        <v>651</v>
      </c>
      <c r="I2503" s="727" t="s">
        <v>652</v>
      </c>
      <c r="J2503" s="714"/>
      <c r="K2503" s="689"/>
      <c r="L2503" s="694" t="s">
        <v>653</v>
      </c>
      <c r="M2503" s="690"/>
    </row>
    <row r="2504" spans="1:13" s="691" customFormat="1" ht="9.1999999999999993" customHeight="1">
      <c r="A2504" s="712">
        <v>1</v>
      </c>
      <c r="B2504" s="713" t="s">
        <v>654</v>
      </c>
      <c r="C2504" s="714">
        <f>VLOOKUP(C2500,'Luong VP'!$B$10:$AP$188,9,0)</f>
        <v>11480</v>
      </c>
      <c r="D2504" s="715"/>
      <c r="E2504" s="710" t="s">
        <v>655</v>
      </c>
      <c r="F2504" s="716" t="s">
        <v>656</v>
      </c>
      <c r="G2504" s="710"/>
      <c r="H2504" s="710"/>
      <c r="I2504" s="727"/>
      <c r="J2504" s="714">
        <f>VLOOKUP(C2500,'Luong VP'!$B$10:$AP$188,21,0)</f>
        <v>11480</v>
      </c>
      <c r="K2504" s="689"/>
      <c r="L2504" s="694"/>
      <c r="M2504" s="690"/>
    </row>
    <row r="2505" spans="1:13" s="691" customFormat="1" ht="9.1999999999999993" customHeight="1">
      <c r="A2505" s="712">
        <v>2</v>
      </c>
      <c r="B2505" s="713" t="s">
        <v>658</v>
      </c>
      <c r="C2505" s="714"/>
      <c r="D2505" s="717"/>
      <c r="E2505" s="710">
        <v>1</v>
      </c>
      <c r="F2505" s="718" t="s">
        <v>659</v>
      </c>
      <c r="G2505" s="718"/>
      <c r="H2505" s="710" t="s">
        <v>660</v>
      </c>
      <c r="I2505" s="727">
        <f>VLOOKUP(C2500,'Luong VP'!$B$10:$AP$188,22,0)</f>
        <v>26</v>
      </c>
      <c r="J2505" s="728">
        <f>J2504/'Cham cong'!$AS$3*I2505</f>
        <v>11480</v>
      </c>
      <c r="K2505" s="689"/>
      <c r="L2505" s="694"/>
      <c r="M2505" s="690"/>
    </row>
    <row r="2506" spans="1:13" s="691" customFormat="1" ht="9.1999999999999993" customHeight="1">
      <c r="A2506" s="712">
        <v>3</v>
      </c>
      <c r="B2506" s="713" t="s">
        <v>661</v>
      </c>
      <c r="C2506" s="714">
        <f>VLOOKUP(C2500,'Luong VP'!$B$10:$AP$188,10,0)</f>
        <v>0</v>
      </c>
      <c r="D2506" s="717"/>
      <c r="E2506" s="710">
        <v>2</v>
      </c>
      <c r="F2506" s="718" t="s">
        <v>662</v>
      </c>
      <c r="G2506" s="718"/>
      <c r="H2506" s="710" t="s">
        <v>660</v>
      </c>
      <c r="I2506" s="727">
        <f>VLOOKUP(C2500,'Luong VP'!$B$10:$AP$188,27,0)</f>
        <v>0</v>
      </c>
      <c r="J2506" s="728">
        <f>J2504/'Cham cong'!$AS$3*I2506*3</f>
        <v>0</v>
      </c>
      <c r="K2506" s="689"/>
      <c r="L2506" s="694"/>
      <c r="M2506" s="690"/>
    </row>
    <row r="2507" spans="1:13" s="691" customFormat="1" ht="9.1999999999999993" customHeight="1">
      <c r="A2507" s="712">
        <v>4</v>
      </c>
      <c r="B2507" s="713" t="s">
        <v>666</v>
      </c>
      <c r="C2507" s="714">
        <f>VLOOKUP(C2500,'Luong VP'!$B$10:$AP$188,11,0)</f>
        <v>0</v>
      </c>
      <c r="D2507" s="717"/>
      <c r="E2507" s="710">
        <v>3</v>
      </c>
      <c r="F2507" s="718" t="s">
        <v>667</v>
      </c>
      <c r="G2507" s="718"/>
      <c r="H2507" s="710" t="s">
        <v>668</v>
      </c>
      <c r="I2507" s="727">
        <f>VLOOKUP(C2500,'Luong VP'!$B$10:$AP$189,26,0)</f>
        <v>0</v>
      </c>
      <c r="J2507" s="728">
        <f>J2504/'Cham cong'!$AS$3*I2507/8*1.5</f>
        <v>0</v>
      </c>
      <c r="K2507" s="689"/>
      <c r="L2507" s="694"/>
      <c r="M2507" s="690"/>
    </row>
    <row r="2508" spans="1:13" s="691" customFormat="1" ht="9.1999999999999993" customHeight="1">
      <c r="A2508" s="712">
        <v>5</v>
      </c>
      <c r="B2508" s="713" t="s">
        <v>670</v>
      </c>
      <c r="C2508" s="714">
        <f>VLOOKUP(C2500,'Luong VP'!$B$10:$AP$188,12,0)</f>
        <v>0</v>
      </c>
      <c r="D2508" s="717"/>
      <c r="E2508" s="710">
        <v>4</v>
      </c>
      <c r="F2508" s="718" t="s">
        <v>671</v>
      </c>
      <c r="G2508" s="718"/>
      <c r="H2508" s="710" t="s">
        <v>668</v>
      </c>
      <c r="I2508" s="727">
        <f>VLOOKUP(C2500,'Luong VP'!$B$10:$AP$189,25,0)</f>
        <v>0</v>
      </c>
      <c r="J2508" s="728">
        <f>J2504/'Cham cong'!$AS$3*I2508/8*2</f>
        <v>0</v>
      </c>
      <c r="K2508" s="689"/>
      <c r="L2508" s="694"/>
      <c r="M2508" s="690"/>
    </row>
    <row r="2509" spans="1:13" s="691" customFormat="1" ht="9.1999999999999993" customHeight="1">
      <c r="A2509" s="712">
        <v>6</v>
      </c>
      <c r="B2509" s="713" t="s">
        <v>673</v>
      </c>
      <c r="C2509" s="714">
        <f>VLOOKUP(C2500,'Luong VP'!$B$10:$AP$188,13,0)</f>
        <v>0</v>
      </c>
      <c r="D2509" s="717"/>
      <c r="E2509" s="710">
        <v>5</v>
      </c>
      <c r="F2509" s="718" t="s">
        <v>674</v>
      </c>
      <c r="G2509" s="718"/>
      <c r="H2509" s="710" t="s">
        <v>660</v>
      </c>
      <c r="I2509" s="727">
        <f>VLOOKUP(C2500,'Luong VP'!$B$10:$AP$189,23,0)</f>
        <v>0</v>
      </c>
      <c r="J2509" s="728">
        <f>C2504/'Cham cong'!$AS$3*I2509</f>
        <v>0</v>
      </c>
      <c r="K2509" s="689"/>
      <c r="L2509" s="694" t="str">
        <f>G2500</f>
        <v>Nguyễn Thành Khương</v>
      </c>
      <c r="M2509" s="690"/>
    </row>
    <row r="2510" spans="1:13" s="691" customFormat="1" ht="9.1999999999999993" customHeight="1">
      <c r="A2510" s="712">
        <v>7</v>
      </c>
      <c r="B2510" s="713" t="s">
        <v>676</v>
      </c>
      <c r="C2510" s="714"/>
      <c r="D2510" s="717"/>
      <c r="E2510" s="710">
        <v>6</v>
      </c>
      <c r="F2510" s="718" t="s">
        <v>677</v>
      </c>
      <c r="G2510" s="718"/>
      <c r="H2510" s="710" t="s">
        <v>660</v>
      </c>
      <c r="I2510" s="727">
        <f>VLOOKUP(C2500,'Luong VP'!$B$10:$AP$189,24,0)</f>
        <v>0</v>
      </c>
      <c r="J2510" s="714">
        <f>C2504/'Cham cong'!$AS$3*I2510</f>
        <v>0</v>
      </c>
      <c r="K2510" s="689"/>
      <c r="L2510" s="694"/>
      <c r="M2510" s="690"/>
    </row>
    <row r="2511" spans="1:13" s="691" customFormat="1" ht="9.1999999999999993" customHeight="1">
      <c r="A2511" s="712">
        <v>8</v>
      </c>
      <c r="B2511" s="713" t="s">
        <v>679</v>
      </c>
      <c r="C2511" s="714">
        <f>VLOOKUP(C2500,'Luong VP'!$B$10:$AP$188,14,0)</f>
        <v>0</v>
      </c>
      <c r="D2511" s="717"/>
      <c r="E2511" s="710">
        <v>7</v>
      </c>
      <c r="F2511" s="718" t="s">
        <v>680</v>
      </c>
      <c r="G2511" s="718"/>
      <c r="H2511" s="718"/>
      <c r="I2511" s="729"/>
      <c r="J2511" s="714">
        <f>VLOOKUP(C2500,'Luong VP'!$B$10:$AP$189,28,0)</f>
        <v>0</v>
      </c>
      <c r="K2511" s="689"/>
      <c r="L2511" s="694"/>
      <c r="M2511" s="690"/>
    </row>
    <row r="2512" spans="1:13" s="691" customFormat="1" ht="9.1999999999999993" customHeight="1">
      <c r="A2512" s="712">
        <v>9</v>
      </c>
      <c r="B2512" s="713" t="s">
        <v>683</v>
      </c>
      <c r="C2512" s="714">
        <f>VLOOKUP(C2500,'Luong VP'!$B$10:$AP$188,15,0)</f>
        <v>0</v>
      </c>
      <c r="D2512" s="717"/>
      <c r="E2512" s="710">
        <v>8</v>
      </c>
      <c r="F2512" s="718" t="s">
        <v>238</v>
      </c>
      <c r="G2512" s="718"/>
      <c r="H2512" s="718" t="s">
        <v>660</v>
      </c>
      <c r="I2512" s="729"/>
      <c r="J2512" s="714">
        <f>VLOOKUP(C2500,'Luong VP'!$B$10:$AP$189,33,0)</f>
        <v>0</v>
      </c>
      <c r="K2512" s="689"/>
      <c r="L2512" s="694"/>
      <c r="M2512" s="690"/>
    </row>
    <row r="2513" spans="1:13" s="691" customFormat="1" ht="9.1999999999999993" customHeight="1">
      <c r="A2513" s="712">
        <v>10</v>
      </c>
      <c r="B2513" s="713" t="s">
        <v>685</v>
      </c>
      <c r="C2513" s="714">
        <f>VLOOKUP(C2500,'Luong VP'!$B$10:$AP$188,16,0)</f>
        <v>0</v>
      </c>
      <c r="D2513" s="717"/>
      <c r="E2513" s="710" t="s">
        <v>686</v>
      </c>
      <c r="F2513" s="716" t="s">
        <v>687</v>
      </c>
      <c r="G2513" s="719"/>
      <c r="H2513" s="719"/>
      <c r="I2513" s="729"/>
      <c r="J2513" s="730"/>
      <c r="K2513" s="689"/>
      <c r="L2513" s="694"/>
      <c r="M2513" s="690"/>
    </row>
    <row r="2514" spans="1:13" s="691" customFormat="1" ht="9.1999999999999993" customHeight="1">
      <c r="A2514" s="712">
        <v>11</v>
      </c>
      <c r="B2514" s="713" t="s">
        <v>688</v>
      </c>
      <c r="C2514" s="714">
        <f>VLOOKUP(C2500,'Luong VP'!$B$10:$AP$188,17,0)</f>
        <v>0</v>
      </c>
      <c r="D2514" s="717"/>
      <c r="E2514" s="710">
        <v>1</v>
      </c>
      <c r="F2514" s="716" t="s">
        <v>689</v>
      </c>
      <c r="G2514" s="719"/>
      <c r="H2514" s="719"/>
      <c r="I2514" s="714">
        <f>VLOOKUP(C2500,'Luong VP'!$B$10:$AP$189,30,0)</f>
        <v>0</v>
      </c>
      <c r="J2514" s="714">
        <f>VLOOKUP(C2500,'Luong VP'!$B$10:$AP$189,30,0)</f>
        <v>0</v>
      </c>
      <c r="K2514" s="689"/>
      <c r="L2514" s="694"/>
      <c r="M2514" s="690"/>
    </row>
    <row r="2515" spans="1:13" s="691" customFormat="1" ht="9.1999999999999993" customHeight="1">
      <c r="A2515" s="712">
        <v>12</v>
      </c>
      <c r="B2515" s="713" t="s">
        <v>691</v>
      </c>
      <c r="C2515" s="714">
        <f>VLOOKUP(C2500,'Luong VP'!$B$10:$AP$188,18,0)</f>
        <v>0</v>
      </c>
      <c r="D2515" s="717"/>
      <c r="E2515" s="710">
        <v>2</v>
      </c>
      <c r="F2515" s="718" t="s">
        <v>239</v>
      </c>
      <c r="G2515" s="718"/>
      <c r="H2515" s="718"/>
      <c r="I2515" s="727"/>
      <c r="J2515" s="728">
        <f>VLOOKUP(C2500,'Luong VP'!$B$10:$AP$189,34,0)</f>
        <v>0</v>
      </c>
      <c r="K2515" s="731"/>
      <c r="L2515" s="715"/>
      <c r="M2515" s="690"/>
    </row>
    <row r="2516" spans="1:13" s="691" customFormat="1" ht="9.1999999999999993" customHeight="1">
      <c r="A2516" s="712">
        <v>13</v>
      </c>
      <c r="B2516" s="713" t="s">
        <v>692</v>
      </c>
      <c r="C2516" s="714">
        <f>VLOOKUP(C2500,'Luong VP'!$B$10:$AP$188,19,0)</f>
        <v>0</v>
      </c>
      <c r="D2516" s="717"/>
      <c r="E2516" s="710">
        <v>3</v>
      </c>
      <c r="F2516" s="716" t="s">
        <v>693</v>
      </c>
      <c r="G2516" s="719"/>
      <c r="H2516" s="719"/>
      <c r="I2516" s="729"/>
      <c r="J2516" s="714">
        <f>VLOOKUP(C2500,'Luong VP'!$B$10:$AP$189,40,0)</f>
        <v>0</v>
      </c>
      <c r="K2516" s="731"/>
      <c r="L2516" s="715"/>
      <c r="M2516" s="690"/>
    </row>
    <row r="2517" spans="1:13" s="691" customFormat="1" ht="9.1999999999999993" customHeight="1">
      <c r="A2517" s="712">
        <v>14</v>
      </c>
      <c r="B2517" s="713" t="s">
        <v>694</v>
      </c>
      <c r="C2517" s="714">
        <f>VLOOKUP(C2500,'Luong VP'!$B$10:$AP$188,20,0)</f>
        <v>0</v>
      </c>
      <c r="D2517" s="717"/>
      <c r="E2517" s="710">
        <v>4</v>
      </c>
      <c r="F2517" s="718" t="s">
        <v>695</v>
      </c>
      <c r="G2517" s="719"/>
      <c r="H2517" s="719"/>
      <c r="I2517" s="729"/>
      <c r="J2517" s="714">
        <f>VLOOKUP(C2500,'Luong VP'!$B$10:$AP$188,35,0)</f>
        <v>0</v>
      </c>
      <c r="K2517" s="732"/>
      <c r="L2517" s="715"/>
      <c r="M2517" s="690"/>
    </row>
    <row r="2518" spans="1:13" s="691" customFormat="1" ht="9.1999999999999993" customHeight="1">
      <c r="A2518" s="712"/>
      <c r="B2518" s="707" t="s">
        <v>656</v>
      </c>
      <c r="C2518" s="714">
        <f>SUM(C2504:C2517)</f>
        <v>11480</v>
      </c>
      <c r="D2518" s="717"/>
      <c r="E2518" s="710"/>
      <c r="F2518" s="716" t="s">
        <v>241</v>
      </c>
      <c r="G2518" s="719"/>
      <c r="H2518" s="719"/>
      <c r="I2518" s="729"/>
      <c r="J2518" s="730">
        <f>SUM(J2505:J2517)+C2512</f>
        <v>11480</v>
      </c>
      <c r="K2518" s="731"/>
      <c r="L2518" s="715"/>
      <c r="M2518" s="690"/>
    </row>
    <row r="2519" spans="1:13" s="691" customFormat="1" ht="9.1999999999999993" customHeight="1">
      <c r="A2519" s="690"/>
      <c r="B2519" s="720"/>
      <c r="C2519" s="717"/>
      <c r="D2519" s="717"/>
      <c r="E2519" s="710" t="s">
        <v>696</v>
      </c>
      <c r="F2519" s="711" t="s">
        <v>697</v>
      </c>
      <c r="G2519" s="710"/>
      <c r="H2519" s="710"/>
      <c r="I2519" s="729"/>
      <c r="J2519" s="730">
        <f>SUM(J2520:J2522)</f>
        <v>3000</v>
      </c>
      <c r="K2519" s="732"/>
      <c r="L2519" s="715"/>
      <c r="M2519" s="690"/>
    </row>
    <row r="2520" spans="1:13" s="691" customFormat="1" ht="9.1999999999999993" customHeight="1">
      <c r="A2520" s="690"/>
      <c r="B2520" s="720"/>
      <c r="C2520" s="717"/>
      <c r="D2520" s="717"/>
      <c r="E2520" s="710">
        <v>1</v>
      </c>
      <c r="F2520" s="718" t="s">
        <v>698</v>
      </c>
      <c r="G2520" s="718"/>
      <c r="H2520" s="718"/>
      <c r="I2520" s="733"/>
      <c r="J2520" s="714">
        <f>VLOOKUP(C2500,'Luong VP'!$B$10:$AP$189,37,0)</f>
        <v>0</v>
      </c>
      <c r="K2520" s="732"/>
      <c r="L2520" s="715"/>
      <c r="M2520" s="690"/>
    </row>
    <row r="2521" spans="1:13" s="691" customFormat="1" ht="9.1999999999999993" customHeight="1">
      <c r="A2521" s="690"/>
      <c r="B2521" s="720"/>
      <c r="C2521" s="717"/>
      <c r="D2521" s="717"/>
      <c r="E2521" s="710">
        <v>2</v>
      </c>
      <c r="F2521" s="718" t="s">
        <v>244</v>
      </c>
      <c r="G2521" s="718"/>
      <c r="H2521" s="718"/>
      <c r="I2521" s="729"/>
      <c r="J2521" s="714">
        <f>VLOOKUP(C2500,'Luong VP'!$B$10:$AP$189,39,0)</f>
        <v>3000</v>
      </c>
      <c r="K2521" s="734"/>
      <c r="L2521" s="735"/>
      <c r="M2521" s="690"/>
    </row>
    <row r="2522" spans="1:13" s="691" customFormat="1" ht="9.1999999999999993" customHeight="1">
      <c r="A2522" s="690"/>
      <c r="B2522" s="720"/>
      <c r="C2522" s="717"/>
      <c r="D2522" s="717"/>
      <c r="E2522" s="710"/>
      <c r="F2522" s="718" t="s">
        <v>699</v>
      </c>
      <c r="G2522" s="718"/>
      <c r="H2522" s="718"/>
      <c r="I2522" s="729"/>
      <c r="J2522" s="714"/>
      <c r="K2522" s="714"/>
      <c r="L2522" s="736"/>
      <c r="M2522" s="690"/>
    </row>
    <row r="2523" spans="1:13" s="691" customFormat="1" ht="9.1999999999999993" customHeight="1">
      <c r="A2523" s="690"/>
      <c r="B2523" s="720"/>
      <c r="C2523" s="717"/>
      <c r="D2523" s="717"/>
      <c r="E2523" s="710" t="s">
        <v>700</v>
      </c>
      <c r="F2523" s="710" t="s">
        <v>246</v>
      </c>
      <c r="G2523" s="710"/>
      <c r="H2523" s="710"/>
      <c r="I2523" s="729"/>
      <c r="J2523" s="728">
        <f>J2518-J2519</f>
        <v>8480</v>
      </c>
      <c r="K2523" s="728">
        <f>ROUND(J2523,-1)</f>
        <v>8480</v>
      </c>
      <c r="L2523" s="710"/>
      <c r="M2523" s="690"/>
    </row>
    <row r="2524" spans="1:13" s="691" customFormat="1" ht="9.1999999999999993" customHeight="1">
      <c r="A2524" s="690"/>
      <c r="B2524" s="720"/>
      <c r="C2524" s="717"/>
      <c r="D2524" s="717"/>
      <c r="E2524" s="715"/>
      <c r="F2524" s="1598" t="s">
        <v>701</v>
      </c>
      <c r="G2524" s="1598"/>
      <c r="H2524" s="1598"/>
      <c r="I2524" s="1598"/>
      <c r="J2524" s="1598"/>
      <c r="K2524" s="737"/>
      <c r="L2524" s="717"/>
      <c r="M2524" s="690"/>
    </row>
    <row r="2525" spans="1:13" s="691" customFormat="1" ht="9.1999999999999993" customHeight="1">
      <c r="A2525" s="690"/>
      <c r="B2525" s="720"/>
      <c r="C2525" s="717"/>
      <c r="D2525" s="717"/>
      <c r="E2525" s="715"/>
      <c r="F2525" s="715"/>
      <c r="G2525" s="715"/>
      <c r="H2525" s="689"/>
      <c r="I2525" s="1600"/>
      <c r="J2525" s="1600"/>
      <c r="K2525" s="737"/>
      <c r="L2525" s="717"/>
      <c r="M2525" s="690"/>
    </row>
    <row r="2526" spans="1:13" s="691" customFormat="1" ht="9.1999999999999993" customHeight="1">
      <c r="A2526" s="690"/>
      <c r="B2526" s="720"/>
      <c r="C2526" s="717"/>
      <c r="D2526" s="717"/>
      <c r="E2526" s="715"/>
      <c r="F2526" s="715"/>
      <c r="G2526" s="715"/>
      <c r="H2526" s="689"/>
      <c r="I2526" s="715"/>
      <c r="J2526" s="737"/>
      <c r="K2526" s="737"/>
      <c r="L2526" s="715"/>
      <c r="M2526" s="690"/>
    </row>
    <row r="2527" spans="1:13" s="691" customFormat="1" ht="9.1999999999999993" customHeight="1">
      <c r="A2527" s="690"/>
      <c r="B2527" s="720"/>
      <c r="C2527" s="717"/>
      <c r="D2527" s="717"/>
      <c r="E2527" s="715"/>
      <c r="F2527" s="715"/>
      <c r="G2527" s="715"/>
      <c r="H2527" s="689"/>
      <c r="I2527" s="715"/>
      <c r="J2527" s="737"/>
      <c r="K2527" s="737"/>
      <c r="L2527" s="715"/>
      <c r="M2527" s="690"/>
    </row>
    <row r="2528" spans="1:13" s="691" customFormat="1" ht="9.1999999999999993" customHeight="1">
      <c r="A2528" s="690"/>
      <c r="B2528" s="720"/>
      <c r="C2528" s="717"/>
      <c r="D2528" s="717"/>
      <c r="E2528" s="715"/>
      <c r="F2528" s="715"/>
      <c r="G2528" s="715"/>
      <c r="H2528" s="689"/>
      <c r="I2528" s="715"/>
      <c r="J2528" s="737"/>
      <c r="K2528" s="737"/>
      <c r="L2528" s="715"/>
      <c r="M2528" s="690"/>
    </row>
    <row r="2529" spans="1:13" s="691" customFormat="1" ht="9.1999999999999993" customHeight="1">
      <c r="A2529" s="690"/>
      <c r="B2529" s="720"/>
      <c r="C2529" s="717"/>
      <c r="D2529" s="717"/>
      <c r="E2529" s="715"/>
      <c r="F2529" s="715"/>
      <c r="G2529" s="715"/>
      <c r="H2529" s="689"/>
      <c r="I2529" s="715"/>
      <c r="J2529" s="737"/>
      <c r="K2529" s="737"/>
      <c r="L2529" s="715"/>
      <c r="M2529" s="690"/>
    </row>
    <row r="2530" spans="1:13" s="691" customFormat="1" ht="9.1999999999999993" customHeight="1">
      <c r="A2530" s="690"/>
      <c r="B2530" s="690"/>
      <c r="C2530" s="696"/>
      <c r="D2530" s="696"/>
      <c r="E2530" s="697" t="str">
        <f>$E$2</f>
        <v>THẺ LƯƠNG THÁNG 08/2019</v>
      </c>
      <c r="F2530" s="698"/>
      <c r="G2530" s="698"/>
      <c r="H2530" s="698"/>
      <c r="I2530" s="689"/>
      <c r="J2530" s="689"/>
      <c r="K2530" s="689"/>
      <c r="L2530" s="694"/>
      <c r="M2530" s="690"/>
    </row>
    <row r="2531" spans="1:13" s="691" customFormat="1" ht="9.1999999999999993" customHeight="1">
      <c r="A2531" s="690"/>
      <c r="B2531" s="699" t="s">
        <v>644</v>
      </c>
      <c r="C2531" s="700" t="s">
        <v>424</v>
      </c>
      <c r="D2531" s="701"/>
      <c r="E2531" s="689"/>
      <c r="F2531" s="702" t="s">
        <v>645</v>
      </c>
      <c r="G2531" s="689" t="str">
        <f>VLOOKUP(C2531,'Luong VP'!$B$10:$AP$188,2,0)</f>
        <v>Nguyễn Duy Kha</v>
      </c>
      <c r="H2531" s="689"/>
      <c r="I2531" s="689"/>
      <c r="J2531" s="689"/>
      <c r="K2531" s="689"/>
      <c r="L2531" s="694"/>
      <c r="M2531" s="690"/>
    </row>
    <row r="2532" spans="1:13" s="691" customFormat="1" ht="9.1999999999999993" customHeight="1">
      <c r="A2532" s="690"/>
      <c r="B2532" s="699" t="s">
        <v>646</v>
      </c>
      <c r="C2532" s="689" t="str">
        <f>VLOOKUP(C2531,'Luong VP'!$B$10:$AP$188,3,0)</f>
        <v>Nhân viên thiết kế máy</v>
      </c>
      <c r="D2532" s="689"/>
      <c r="E2532" s="689"/>
      <c r="F2532" s="702" t="s">
        <v>647</v>
      </c>
      <c r="G2532" s="689">
        <f>VLOOKUP(C2531,'Luong VP'!$B$10:$AP$188,5,0)</f>
        <v>1</v>
      </c>
      <c r="H2532" s="689"/>
      <c r="I2532" s="689"/>
      <c r="J2532" s="689"/>
      <c r="K2532" s="689"/>
      <c r="L2532" s="694"/>
      <c r="M2532" s="690"/>
    </row>
    <row r="2533" spans="1:13" s="691" customFormat="1" ht="9.1999999999999993" customHeight="1">
      <c r="A2533" s="690"/>
      <c r="B2533" s="703"/>
      <c r="C2533" s="704"/>
      <c r="D2533" s="705"/>
      <c r="E2533" s="689"/>
      <c r="F2533" s="706" t="s">
        <v>648</v>
      </c>
      <c r="G2533" s="706"/>
      <c r="H2533" s="706"/>
      <c r="I2533" s="725"/>
      <c r="J2533" s="726"/>
      <c r="K2533" s="689"/>
      <c r="L2533" s="694"/>
      <c r="M2533" s="690"/>
    </row>
    <row r="2534" spans="1:13" s="691" customFormat="1" ht="9.1999999999999993" customHeight="1">
      <c r="A2534" s="707" t="s">
        <v>216</v>
      </c>
      <c r="B2534" s="707" t="s">
        <v>649</v>
      </c>
      <c r="C2534" s="708" t="s">
        <v>650</v>
      </c>
      <c r="D2534" s="709"/>
      <c r="E2534" s="710" t="s">
        <v>216</v>
      </c>
      <c r="F2534" s="711" t="s">
        <v>649</v>
      </c>
      <c r="G2534" s="710"/>
      <c r="H2534" s="710" t="s">
        <v>651</v>
      </c>
      <c r="I2534" s="727" t="s">
        <v>652</v>
      </c>
      <c r="J2534" s="714"/>
      <c r="K2534" s="689"/>
      <c r="L2534" s="694" t="s">
        <v>653</v>
      </c>
      <c r="M2534" s="690"/>
    </row>
    <row r="2535" spans="1:13" s="691" customFormat="1" ht="9.1999999999999993" customHeight="1">
      <c r="A2535" s="712">
        <v>1</v>
      </c>
      <c r="B2535" s="713" t="s">
        <v>654</v>
      </c>
      <c r="C2535" s="714">
        <f>VLOOKUP(C2531,'Luong VP'!$B$10:$AP$188,9,0)</f>
        <v>7590</v>
      </c>
      <c r="D2535" s="715"/>
      <c r="E2535" s="710" t="s">
        <v>655</v>
      </c>
      <c r="F2535" s="716" t="s">
        <v>656</v>
      </c>
      <c r="G2535" s="710"/>
      <c r="H2535" s="710"/>
      <c r="I2535" s="727"/>
      <c r="J2535" s="714">
        <f>VLOOKUP(C2531,'Luong VP'!$B$10:$AP$188,21,0)</f>
        <v>7590</v>
      </c>
      <c r="K2535" s="689"/>
      <c r="L2535" s="694"/>
      <c r="M2535" s="690"/>
    </row>
    <row r="2536" spans="1:13" s="691" customFormat="1" ht="9.1999999999999993" customHeight="1">
      <c r="A2536" s="712">
        <v>2</v>
      </c>
      <c r="B2536" s="713" t="s">
        <v>658</v>
      </c>
      <c r="C2536" s="714"/>
      <c r="D2536" s="717"/>
      <c r="E2536" s="710">
        <v>1</v>
      </c>
      <c r="F2536" s="718" t="s">
        <v>659</v>
      </c>
      <c r="G2536" s="718"/>
      <c r="H2536" s="710" t="s">
        <v>660</v>
      </c>
      <c r="I2536" s="727">
        <f>VLOOKUP(C2531,'Luong VP'!$B$10:$AP$188,22,0)</f>
        <v>26</v>
      </c>
      <c r="J2536" s="728">
        <f>J2535/'Cham cong'!$AS$3*I2536</f>
        <v>7590</v>
      </c>
      <c r="K2536" s="689"/>
      <c r="L2536" s="694"/>
      <c r="M2536" s="690"/>
    </row>
    <row r="2537" spans="1:13" s="691" customFormat="1" ht="9.1999999999999993" customHeight="1">
      <c r="A2537" s="712">
        <v>3</v>
      </c>
      <c r="B2537" s="713" t="s">
        <v>661</v>
      </c>
      <c r="C2537" s="714">
        <f>VLOOKUP(C2531,'Luong VP'!$B$10:$AP$188,10,0)</f>
        <v>0</v>
      </c>
      <c r="D2537" s="717"/>
      <c r="E2537" s="710">
        <v>2</v>
      </c>
      <c r="F2537" s="718" t="s">
        <v>662</v>
      </c>
      <c r="G2537" s="718"/>
      <c r="H2537" s="710" t="s">
        <v>660</v>
      </c>
      <c r="I2537" s="727">
        <f>VLOOKUP(C2531,'Luong VP'!$B$10:$AP$188,27,0)</f>
        <v>0</v>
      </c>
      <c r="J2537" s="728">
        <f>J2535/'Cham cong'!$AS$3*I2537*3</f>
        <v>0</v>
      </c>
      <c r="K2537" s="689"/>
      <c r="L2537" s="694"/>
      <c r="M2537" s="690"/>
    </row>
    <row r="2538" spans="1:13" s="691" customFormat="1" ht="9.1999999999999993" customHeight="1">
      <c r="A2538" s="712">
        <v>4</v>
      </c>
      <c r="B2538" s="713" t="s">
        <v>666</v>
      </c>
      <c r="C2538" s="714">
        <f>VLOOKUP(C2531,'Luong VP'!$B$10:$AP$188,11,0)</f>
        <v>0</v>
      </c>
      <c r="D2538" s="717"/>
      <c r="E2538" s="710">
        <v>3</v>
      </c>
      <c r="F2538" s="718" t="s">
        <v>667</v>
      </c>
      <c r="G2538" s="718"/>
      <c r="H2538" s="710" t="s">
        <v>668</v>
      </c>
      <c r="I2538" s="727">
        <f>VLOOKUP(C2531,'Luong VP'!$B$10:$AP$188,26,0)</f>
        <v>0</v>
      </c>
      <c r="J2538" s="728">
        <f>J2535/'Cham cong'!$AS$3*I2538/8*1.5</f>
        <v>0</v>
      </c>
      <c r="K2538" s="689"/>
      <c r="L2538" s="694"/>
      <c r="M2538" s="690"/>
    </row>
    <row r="2539" spans="1:13" s="691" customFormat="1" ht="9.1999999999999993" customHeight="1">
      <c r="A2539" s="712">
        <v>5</v>
      </c>
      <c r="B2539" s="713" t="s">
        <v>670</v>
      </c>
      <c r="C2539" s="714">
        <f>VLOOKUP(C2531,'Luong VP'!$B$10:$AP$188,12,0)</f>
        <v>0</v>
      </c>
      <c r="D2539" s="717"/>
      <c r="E2539" s="710">
        <v>4</v>
      </c>
      <c r="F2539" s="718" t="s">
        <v>671</v>
      </c>
      <c r="G2539" s="718"/>
      <c r="H2539" s="710" t="s">
        <v>668</v>
      </c>
      <c r="I2539" s="727">
        <f>VLOOKUP(C2531,'Luong VP'!$B$10:$AP$188,25,0)</f>
        <v>0</v>
      </c>
      <c r="J2539" s="728">
        <f>J2535/'Cham cong'!$AS$3*I2539/8*2</f>
        <v>0</v>
      </c>
      <c r="K2539" s="689"/>
      <c r="L2539" s="694"/>
      <c r="M2539" s="690"/>
    </row>
    <row r="2540" spans="1:13" s="691" customFormat="1" ht="9.1999999999999993" customHeight="1">
      <c r="A2540" s="712">
        <v>6</v>
      </c>
      <c r="B2540" s="713" t="s">
        <v>673</v>
      </c>
      <c r="C2540" s="714">
        <f>VLOOKUP(C2531,'Luong VP'!$B$10:$AP$188,13,0)</f>
        <v>0</v>
      </c>
      <c r="D2540" s="717"/>
      <c r="E2540" s="710">
        <v>5</v>
      </c>
      <c r="F2540" s="718" t="s">
        <v>674</v>
      </c>
      <c r="G2540" s="718"/>
      <c r="H2540" s="710" t="s">
        <v>660</v>
      </c>
      <c r="I2540" s="727">
        <f>VLOOKUP(C2531,'Luong VP'!$B$10:$AP$188,23,0)</f>
        <v>0</v>
      </c>
      <c r="J2540" s="728">
        <f>C2535/'Cham cong'!$AS$3*I2540</f>
        <v>0</v>
      </c>
      <c r="K2540" s="689"/>
      <c r="L2540" s="694" t="str">
        <f>G2531</f>
        <v>Nguyễn Duy Kha</v>
      </c>
      <c r="M2540" s="690"/>
    </row>
    <row r="2541" spans="1:13" s="691" customFormat="1" ht="9.1999999999999993" customHeight="1">
      <c r="A2541" s="712">
        <v>7</v>
      </c>
      <c r="B2541" s="713" t="s">
        <v>676</v>
      </c>
      <c r="C2541" s="714"/>
      <c r="D2541" s="717"/>
      <c r="E2541" s="710">
        <v>6</v>
      </c>
      <c r="F2541" s="718" t="s">
        <v>677</v>
      </c>
      <c r="G2541" s="718"/>
      <c r="H2541" s="710" t="s">
        <v>660</v>
      </c>
      <c r="I2541" s="727">
        <f>VLOOKUP(C2531,'Luong VP'!$B$10:$AP$188,24,0)</f>
        <v>1</v>
      </c>
      <c r="J2541" s="714">
        <f>C2535/'Cham cong'!$AS$3*I2541</f>
        <v>291.92307692307691</v>
      </c>
      <c r="K2541" s="689"/>
      <c r="L2541" s="694"/>
      <c r="M2541" s="690"/>
    </row>
    <row r="2542" spans="1:13" s="691" customFormat="1" ht="9.1999999999999993" customHeight="1">
      <c r="A2542" s="712">
        <v>8</v>
      </c>
      <c r="B2542" s="713" t="s">
        <v>679</v>
      </c>
      <c r="C2542" s="714">
        <f>VLOOKUP(C2531,'Luong VP'!$B$10:$AP$188,14,0)</f>
        <v>0</v>
      </c>
      <c r="D2542" s="717"/>
      <c r="E2542" s="710">
        <v>7</v>
      </c>
      <c r="F2542" s="718" t="s">
        <v>680</v>
      </c>
      <c r="G2542" s="718"/>
      <c r="H2542" s="710" t="s">
        <v>660</v>
      </c>
      <c r="I2542" s="729"/>
      <c r="J2542" s="714">
        <f>VLOOKUP(C2531,'Luong VP'!$B$10:$AP$188,28,0)</f>
        <v>0</v>
      </c>
      <c r="K2542" s="689"/>
      <c r="L2542" s="694"/>
      <c r="M2542" s="690"/>
    </row>
    <row r="2543" spans="1:13" s="691" customFormat="1" ht="9.1999999999999993" customHeight="1">
      <c r="A2543" s="712">
        <v>9</v>
      </c>
      <c r="B2543" s="713" t="s">
        <v>683</v>
      </c>
      <c r="C2543" s="714">
        <f>VLOOKUP(C2531,'Luong VP'!$B$10:$AP$188,15,0)</f>
        <v>0</v>
      </c>
      <c r="D2543" s="717"/>
      <c r="E2543" s="710">
        <v>8</v>
      </c>
      <c r="F2543" s="718" t="s">
        <v>238</v>
      </c>
      <c r="G2543" s="718"/>
      <c r="H2543" s="710" t="s">
        <v>660</v>
      </c>
      <c r="I2543" s="729"/>
      <c r="J2543" s="714">
        <f>VLOOKUP(C2531,'Luong VP'!$B$10:$AP$189,33,0)</f>
        <v>0</v>
      </c>
      <c r="K2543" s="689"/>
      <c r="L2543" s="694"/>
      <c r="M2543" s="690"/>
    </row>
    <row r="2544" spans="1:13" s="691" customFormat="1" ht="9.1999999999999993" customHeight="1">
      <c r="A2544" s="712">
        <v>10</v>
      </c>
      <c r="B2544" s="713" t="s">
        <v>685</v>
      </c>
      <c r="C2544" s="714">
        <f>VLOOKUP(C2531,'Luong VP'!$B$10:$AP$188,16,0)</f>
        <v>0</v>
      </c>
      <c r="D2544" s="717"/>
      <c r="E2544" s="710" t="s">
        <v>686</v>
      </c>
      <c r="F2544" s="716" t="s">
        <v>687</v>
      </c>
      <c r="G2544" s="719"/>
      <c r="H2544" s="719"/>
      <c r="I2544" s="729"/>
      <c r="J2544" s="730"/>
      <c r="K2544" s="689"/>
      <c r="L2544" s="694"/>
      <c r="M2544" s="690"/>
    </row>
    <row r="2545" spans="1:13" s="691" customFormat="1" ht="9.1999999999999993" customHeight="1">
      <c r="A2545" s="712">
        <v>11</v>
      </c>
      <c r="B2545" s="713" t="s">
        <v>688</v>
      </c>
      <c r="C2545" s="714">
        <f>VLOOKUP(C2531,'Luong VP'!$B$10:$AP$188,17,0)</f>
        <v>0</v>
      </c>
      <c r="D2545" s="717"/>
      <c r="E2545" s="710">
        <v>1</v>
      </c>
      <c r="F2545" s="716" t="s">
        <v>689</v>
      </c>
      <c r="G2545" s="719"/>
      <c r="H2545" s="719"/>
      <c r="I2545" s="714">
        <f>VLOOKUP(C2531,'Luong VP'!$B$10:$AP$188,30,0)</f>
        <v>0</v>
      </c>
      <c r="J2545" s="714">
        <f>VLOOKUP(C2531,'Luong VP'!$B$10:$AP$188,30,0)</f>
        <v>0</v>
      </c>
      <c r="K2545" s="689"/>
      <c r="L2545" s="694"/>
      <c r="M2545" s="690"/>
    </row>
    <row r="2546" spans="1:13" s="691" customFormat="1" ht="9.1999999999999993" customHeight="1">
      <c r="A2546" s="712">
        <v>12</v>
      </c>
      <c r="B2546" s="713" t="s">
        <v>691</v>
      </c>
      <c r="C2546" s="714">
        <f>VLOOKUP(C2531,'Luong VP'!$B$10:$AP$188,18,0)</f>
        <v>0</v>
      </c>
      <c r="D2546" s="717"/>
      <c r="E2546" s="710">
        <v>2</v>
      </c>
      <c r="F2546" s="718" t="s">
        <v>239</v>
      </c>
      <c r="G2546" s="718"/>
      <c r="H2546" s="718"/>
      <c r="I2546" s="727"/>
      <c r="J2546" s="728">
        <f>VLOOKUP(C2531,'Luong VP'!$B$10:$AP$188,34,0)</f>
        <v>0</v>
      </c>
      <c r="K2546" s="731"/>
      <c r="L2546" s="715"/>
      <c r="M2546" s="690"/>
    </row>
    <row r="2547" spans="1:13" s="691" customFormat="1" ht="9.1999999999999993" customHeight="1">
      <c r="A2547" s="712">
        <v>13</v>
      </c>
      <c r="B2547" s="713" t="s">
        <v>692</v>
      </c>
      <c r="C2547" s="714">
        <f>VLOOKUP(C2531,'Luong VP'!$B$10:$AP$188,19,0)</f>
        <v>0</v>
      </c>
      <c r="D2547" s="717"/>
      <c r="E2547" s="710">
        <v>3</v>
      </c>
      <c r="F2547" s="716" t="s">
        <v>693</v>
      </c>
      <c r="G2547" s="719"/>
      <c r="H2547" s="719"/>
      <c r="I2547" s="729"/>
      <c r="J2547" s="714">
        <f>VLOOKUP(C2531,'Luong VP'!$B$10:$AP$188,40,0)</f>
        <v>0</v>
      </c>
      <c r="K2547" s="731"/>
      <c r="L2547" s="715"/>
      <c r="M2547" s="690"/>
    </row>
    <row r="2548" spans="1:13" s="691" customFormat="1" ht="9.1999999999999993" customHeight="1">
      <c r="A2548" s="712">
        <v>14</v>
      </c>
      <c r="B2548" s="713" t="s">
        <v>694</v>
      </c>
      <c r="C2548" s="714">
        <f>VLOOKUP(C2531,'Luong VP'!$B$10:$AP$188,20,0)</f>
        <v>0</v>
      </c>
      <c r="D2548" s="717"/>
      <c r="E2548" s="710">
        <v>4</v>
      </c>
      <c r="F2548" s="718" t="s">
        <v>695</v>
      </c>
      <c r="G2548" s="719"/>
      <c r="H2548" s="719"/>
      <c r="I2548" s="729"/>
      <c r="J2548" s="714">
        <f>VLOOKUP(C2531,'Luong VP'!$B$10:$AP$188,35,0)</f>
        <v>0</v>
      </c>
      <c r="K2548" s="732"/>
      <c r="L2548" s="715"/>
      <c r="M2548" s="690"/>
    </row>
    <row r="2549" spans="1:13" s="691" customFormat="1" ht="9.1999999999999993" customHeight="1">
      <c r="A2549" s="712"/>
      <c r="B2549" s="707" t="s">
        <v>656</v>
      </c>
      <c r="C2549" s="714">
        <f>SUM(C2535:C2548)</f>
        <v>7590</v>
      </c>
      <c r="D2549" s="717"/>
      <c r="E2549" s="710"/>
      <c r="F2549" s="716" t="s">
        <v>241</v>
      </c>
      <c r="G2549" s="719"/>
      <c r="H2549" s="719"/>
      <c r="I2549" s="729"/>
      <c r="J2549" s="730">
        <f>SUM(J2536:J2548)+C2543</f>
        <v>7881.9230769230771</v>
      </c>
      <c r="K2549" s="731"/>
      <c r="L2549" s="715"/>
      <c r="M2549" s="690"/>
    </row>
    <row r="2550" spans="1:13" s="691" customFormat="1" ht="9.1999999999999993" customHeight="1">
      <c r="A2550" s="690"/>
      <c r="B2550" s="720"/>
      <c r="C2550" s="717"/>
      <c r="D2550" s="717"/>
      <c r="E2550" s="710" t="s">
        <v>696</v>
      </c>
      <c r="F2550" s="711" t="s">
        <v>697</v>
      </c>
      <c r="G2550" s="710"/>
      <c r="H2550" s="710"/>
      <c r="I2550" s="729"/>
      <c r="J2550" s="730">
        <f>SUM(J2551:J2553)</f>
        <v>0</v>
      </c>
      <c r="K2550" s="732"/>
      <c r="L2550" s="715"/>
      <c r="M2550" s="690"/>
    </row>
    <row r="2551" spans="1:13" s="691" customFormat="1" ht="9.1999999999999993" customHeight="1">
      <c r="A2551" s="690"/>
      <c r="B2551" s="720"/>
      <c r="C2551" s="717"/>
      <c r="D2551" s="717"/>
      <c r="E2551" s="710">
        <v>1</v>
      </c>
      <c r="F2551" s="718" t="s">
        <v>698</v>
      </c>
      <c r="G2551" s="718"/>
      <c r="H2551" s="718"/>
      <c r="I2551" s="733"/>
      <c r="J2551" s="714">
        <f>VLOOKUP(C2531,'Luong VP'!$B$10:$AP$189,37,0)</f>
        <v>0</v>
      </c>
      <c r="K2551" s="732"/>
      <c r="L2551" s="715"/>
      <c r="M2551" s="690"/>
    </row>
    <row r="2552" spans="1:13" s="691" customFormat="1" ht="9.1999999999999993" customHeight="1">
      <c r="A2552" s="690"/>
      <c r="B2552" s="720"/>
      <c r="C2552" s="717"/>
      <c r="D2552" s="717"/>
      <c r="E2552" s="710">
        <v>2</v>
      </c>
      <c r="F2552" s="718" t="s">
        <v>244</v>
      </c>
      <c r="G2552" s="718"/>
      <c r="H2552" s="718"/>
      <c r="I2552" s="729"/>
      <c r="J2552" s="714">
        <f>VLOOKUP(C2531,'Luong VP'!$B$10:$AP$189,39,0)</f>
        <v>0</v>
      </c>
      <c r="K2552" s="734"/>
      <c r="L2552" s="735"/>
      <c r="M2552" s="690"/>
    </row>
    <row r="2553" spans="1:13" s="691" customFormat="1" ht="9.1999999999999993" customHeight="1">
      <c r="A2553" s="690"/>
      <c r="B2553" s="720"/>
      <c r="C2553" s="717"/>
      <c r="D2553" s="717"/>
      <c r="E2553" s="710"/>
      <c r="F2553" s="718" t="s">
        <v>699</v>
      </c>
      <c r="G2553" s="718"/>
      <c r="H2553" s="718"/>
      <c r="I2553" s="729"/>
      <c r="J2553" s="714"/>
      <c r="K2553" s="714"/>
      <c r="L2553" s="736"/>
      <c r="M2553" s="690"/>
    </row>
    <row r="2554" spans="1:13" s="691" customFormat="1" ht="9.1999999999999993" customHeight="1">
      <c r="A2554" s="690"/>
      <c r="B2554" s="720"/>
      <c r="C2554" s="717"/>
      <c r="D2554" s="717"/>
      <c r="E2554" s="710" t="s">
        <v>700</v>
      </c>
      <c r="F2554" s="710" t="s">
        <v>246</v>
      </c>
      <c r="G2554" s="710"/>
      <c r="H2554" s="710"/>
      <c r="I2554" s="729"/>
      <c r="J2554" s="728">
        <f>J2549-J2550</f>
        <v>7881.9230769230771</v>
      </c>
      <c r="K2554" s="728">
        <f>ROUND(J2554,-1)</f>
        <v>7880</v>
      </c>
      <c r="L2554" s="710"/>
      <c r="M2554" s="690"/>
    </row>
    <row r="2555" spans="1:13" s="691" customFormat="1" ht="9.1999999999999993" customHeight="1">
      <c r="A2555" s="690"/>
      <c r="B2555" s="720"/>
      <c r="C2555" s="717"/>
      <c r="D2555" s="717"/>
      <c r="E2555" s="715"/>
      <c r="F2555" s="715"/>
      <c r="G2555" s="715"/>
      <c r="H2555" s="689"/>
      <c r="I2555" s="715" t="s">
        <v>701</v>
      </c>
      <c r="J2555" s="737"/>
      <c r="K2555" s="737"/>
      <c r="L2555" s="715"/>
      <c r="M2555" s="690"/>
    </row>
    <row r="2556" spans="1:13" s="691" customFormat="1" ht="9.1999999999999993" customHeight="1">
      <c r="A2556" s="690"/>
      <c r="B2556" s="720"/>
      <c r="C2556" s="717"/>
      <c r="D2556" s="717"/>
      <c r="E2556" s="715"/>
      <c r="F2556" s="715"/>
      <c r="G2556" s="715"/>
      <c r="H2556" s="689"/>
      <c r="I2556" s="715"/>
      <c r="J2556" s="737"/>
      <c r="K2556" s="737"/>
      <c r="L2556" s="715"/>
      <c r="M2556" s="690"/>
    </row>
    <row r="2557" spans="1:13" s="691" customFormat="1" ht="9.1999999999999993" customHeight="1">
      <c r="A2557" s="690"/>
      <c r="B2557" s="720"/>
      <c r="C2557" s="717"/>
      <c r="D2557" s="717"/>
      <c r="E2557" s="715"/>
      <c r="F2557" s="715"/>
      <c r="G2557" s="715"/>
      <c r="H2557" s="689"/>
      <c r="I2557" s="715"/>
      <c r="J2557" s="737"/>
      <c r="K2557" s="737"/>
      <c r="L2557" s="715"/>
      <c r="M2557" s="690"/>
    </row>
    <row r="2558" spans="1:13" ht="9.1999999999999993" customHeight="1">
      <c r="A2558" s="755"/>
      <c r="B2558" s="781"/>
      <c r="C2558" s="778"/>
      <c r="D2558" s="778"/>
      <c r="E2558" s="776"/>
      <c r="F2558" s="776"/>
      <c r="G2558" s="776"/>
      <c r="H2558" s="762"/>
      <c r="I2558" s="776"/>
      <c r="J2558" s="795"/>
      <c r="K2558" s="795"/>
      <c r="L2558" s="776"/>
    </row>
    <row r="2559" spans="1:13" ht="9.1999999999999993" customHeight="1">
      <c r="A2559" s="755"/>
      <c r="B2559" s="781"/>
      <c r="C2559" s="778"/>
      <c r="D2559" s="778"/>
      <c r="E2559" s="776"/>
      <c r="F2559" s="776"/>
      <c r="G2559" s="776"/>
      <c r="H2559" s="762"/>
      <c r="I2559" s="776"/>
      <c r="J2559" s="795"/>
      <c r="K2559" s="795"/>
      <c r="L2559" s="776"/>
    </row>
    <row r="2560" spans="1:13" ht="9.1999999999999993" customHeight="1">
      <c r="A2560" s="755"/>
      <c r="B2560" s="781"/>
      <c r="C2560" s="778"/>
      <c r="D2560" s="778"/>
      <c r="E2560" s="776"/>
      <c r="F2560" s="776"/>
      <c r="G2560" s="776"/>
      <c r="H2560" s="762"/>
      <c r="I2560" s="776"/>
      <c r="J2560" s="795"/>
      <c r="K2560" s="795"/>
      <c r="L2560" s="776"/>
    </row>
    <row r="2561" spans="1:13" s="691" customFormat="1" ht="9.1999999999999993" customHeight="1">
      <c r="A2561" s="690"/>
      <c r="B2561" s="690"/>
      <c r="C2561" s="696"/>
      <c r="D2561" s="696"/>
      <c r="E2561" s="697" t="str">
        <f>$E$2</f>
        <v>THẺ LƯƠNG THÁNG 08/2019</v>
      </c>
      <c r="F2561" s="698"/>
      <c r="G2561" s="698"/>
      <c r="H2561" s="698"/>
      <c r="I2561" s="689"/>
      <c r="J2561" s="689"/>
      <c r="K2561" s="689"/>
      <c r="L2561" s="694"/>
      <c r="M2561" s="690"/>
    </row>
    <row r="2562" spans="1:13" s="691" customFormat="1" ht="9.1999999999999993" customHeight="1">
      <c r="A2562" s="690"/>
      <c r="B2562" s="699" t="s">
        <v>644</v>
      </c>
      <c r="C2562" s="700" t="s">
        <v>445</v>
      </c>
      <c r="D2562" s="701"/>
      <c r="E2562" s="689"/>
      <c r="F2562" s="702" t="s">
        <v>645</v>
      </c>
      <c r="G2562" s="689" t="str">
        <f>VLOOKUP(C2562,'Luong VP'!$B$10:$AP$188,2,0)</f>
        <v>Thạch Phương</v>
      </c>
      <c r="H2562" s="689"/>
      <c r="I2562" s="689"/>
      <c r="J2562" s="689"/>
      <c r="K2562" s="689"/>
      <c r="L2562" s="694"/>
      <c r="M2562" s="690"/>
    </row>
    <row r="2563" spans="1:13" s="691" customFormat="1" ht="9.1999999999999993" customHeight="1">
      <c r="A2563" s="690"/>
      <c r="B2563" s="699" t="s">
        <v>646</v>
      </c>
      <c r="C2563" s="689" t="str">
        <f>VLOOKUP(C2562,'Luong VP'!$B$10:$AP$188,3,0)</f>
        <v>Nhân viên vận hành máy</v>
      </c>
      <c r="D2563" s="689"/>
      <c r="E2563" s="689"/>
      <c r="F2563" s="702" t="s">
        <v>647</v>
      </c>
      <c r="G2563" s="689">
        <f>VLOOKUP(C2562,'Luong VP'!$B$10:$AP$188,5,0)</f>
        <v>2</v>
      </c>
      <c r="H2563" s="689"/>
      <c r="I2563" s="689"/>
      <c r="J2563" s="689"/>
      <c r="K2563" s="689"/>
      <c r="L2563" s="694"/>
      <c r="M2563" s="690"/>
    </row>
    <row r="2564" spans="1:13" s="691" customFormat="1" ht="9.1999999999999993" customHeight="1">
      <c r="A2564" s="690"/>
      <c r="B2564" s="703"/>
      <c r="C2564" s="704"/>
      <c r="D2564" s="705"/>
      <c r="E2564" s="689"/>
      <c r="F2564" s="706" t="s">
        <v>648</v>
      </c>
      <c r="G2564" s="706"/>
      <c r="H2564" s="706"/>
      <c r="I2564" s="725"/>
      <c r="J2564" s="726"/>
      <c r="K2564" s="689"/>
      <c r="L2564" s="694"/>
      <c r="M2564" s="690"/>
    </row>
    <row r="2565" spans="1:13" s="691" customFormat="1" ht="9.1999999999999993" customHeight="1">
      <c r="A2565" s="707" t="s">
        <v>216</v>
      </c>
      <c r="B2565" s="707" t="s">
        <v>649</v>
      </c>
      <c r="C2565" s="708" t="s">
        <v>650</v>
      </c>
      <c r="D2565" s="709"/>
      <c r="E2565" s="710" t="s">
        <v>216</v>
      </c>
      <c r="F2565" s="711" t="s">
        <v>649</v>
      </c>
      <c r="G2565" s="710"/>
      <c r="H2565" s="710" t="s">
        <v>651</v>
      </c>
      <c r="I2565" s="727" t="s">
        <v>652</v>
      </c>
      <c r="J2565" s="714"/>
      <c r="K2565" s="689"/>
      <c r="L2565" s="694" t="s">
        <v>653</v>
      </c>
      <c r="M2565" s="690"/>
    </row>
    <row r="2566" spans="1:13" s="691" customFormat="1" ht="9.1999999999999993" customHeight="1">
      <c r="A2566" s="712">
        <v>1</v>
      </c>
      <c r="B2566" s="713" t="s">
        <v>654</v>
      </c>
      <c r="C2566" s="714">
        <f>VLOOKUP(C2562,'Luong VP'!$B$10:$AP$188,9,0)</f>
        <v>6950</v>
      </c>
      <c r="D2566" s="715"/>
      <c r="E2566" s="710" t="s">
        <v>655</v>
      </c>
      <c r="F2566" s="716" t="s">
        <v>656</v>
      </c>
      <c r="G2566" s="710"/>
      <c r="H2566" s="710"/>
      <c r="I2566" s="727"/>
      <c r="J2566" s="714">
        <f>VLOOKUP(C2562,'Luong VP'!$B$10:$AP$188,21,0)</f>
        <v>7358.5</v>
      </c>
      <c r="K2566" s="689"/>
      <c r="L2566" s="694"/>
      <c r="M2566" s="690"/>
    </row>
    <row r="2567" spans="1:13" s="691" customFormat="1" ht="9.1999999999999993" customHeight="1">
      <c r="A2567" s="712">
        <v>2</v>
      </c>
      <c r="B2567" s="713" t="s">
        <v>658</v>
      </c>
      <c r="C2567" s="714"/>
      <c r="D2567" s="717"/>
      <c r="E2567" s="710">
        <v>1</v>
      </c>
      <c r="F2567" s="718" t="s">
        <v>659</v>
      </c>
      <c r="G2567" s="718"/>
      <c r="H2567" s="710" t="s">
        <v>660</v>
      </c>
      <c r="I2567" s="727">
        <f>VLOOKUP(C2562,'Luong VP'!$B$10:$AP$188,22,0)</f>
        <v>26</v>
      </c>
      <c r="J2567" s="728">
        <f>J2566/'Cham cong'!$AS$3*I2567</f>
        <v>7358.5</v>
      </c>
      <c r="K2567" s="689"/>
      <c r="L2567" s="694"/>
      <c r="M2567" s="690"/>
    </row>
    <row r="2568" spans="1:13" s="691" customFormat="1" ht="9.1999999999999993" customHeight="1">
      <c r="A2568" s="712">
        <v>3</v>
      </c>
      <c r="B2568" s="713" t="s">
        <v>661</v>
      </c>
      <c r="C2568" s="714">
        <f>VLOOKUP(C2562,'Luong VP'!$B$10:$AP$188,10,0)</f>
        <v>200</v>
      </c>
      <c r="D2568" s="717"/>
      <c r="E2568" s="710">
        <v>2</v>
      </c>
      <c r="F2568" s="718" t="s">
        <v>662</v>
      </c>
      <c r="G2568" s="718"/>
      <c r="H2568" s="710" t="s">
        <v>660</v>
      </c>
      <c r="I2568" s="727">
        <f>VLOOKUP(C2562,'Luong VP'!$B$10:$AP$188,27,0)</f>
        <v>0</v>
      </c>
      <c r="J2568" s="728">
        <f>J2566/'Cham cong'!$AS$3*I2568*3</f>
        <v>0</v>
      </c>
      <c r="K2568" s="689"/>
      <c r="L2568" s="694"/>
      <c r="M2568" s="690"/>
    </row>
    <row r="2569" spans="1:13" s="691" customFormat="1" ht="9.1999999999999993" customHeight="1">
      <c r="A2569" s="712">
        <v>4</v>
      </c>
      <c r="B2569" s="713" t="s">
        <v>666</v>
      </c>
      <c r="C2569" s="714">
        <f>VLOOKUP(C2562,'Luong VP'!$B$10:$AP$188,11,0)</f>
        <v>0</v>
      </c>
      <c r="D2569" s="717"/>
      <c r="E2569" s="710">
        <v>3</v>
      </c>
      <c r="F2569" s="718" t="s">
        <v>667</v>
      </c>
      <c r="G2569" s="718"/>
      <c r="H2569" s="710" t="s">
        <v>668</v>
      </c>
      <c r="I2569" s="727">
        <f>VLOOKUP(C2562,'Luong VP'!$B$10:$AP$188,26,0)</f>
        <v>0</v>
      </c>
      <c r="J2569" s="728">
        <f>J2566/'Cham cong'!$AS$3*I2569/8*1.5</f>
        <v>0</v>
      </c>
      <c r="K2569" s="689"/>
      <c r="L2569" s="694"/>
      <c r="M2569" s="690"/>
    </row>
    <row r="2570" spans="1:13" s="691" customFormat="1" ht="9.1999999999999993" customHeight="1">
      <c r="A2570" s="712">
        <v>5</v>
      </c>
      <c r="B2570" s="713" t="s">
        <v>670</v>
      </c>
      <c r="C2570" s="714">
        <f>VLOOKUP(C2562,'Luong VP'!$B$10:$AP$188,12,0)</f>
        <v>208.5</v>
      </c>
      <c r="D2570" s="717"/>
      <c r="E2570" s="710">
        <v>4</v>
      </c>
      <c r="F2570" s="718" t="s">
        <v>671</v>
      </c>
      <c r="G2570" s="718"/>
      <c r="H2570" s="710" t="s">
        <v>668</v>
      </c>
      <c r="I2570" s="727">
        <f>VLOOKUP(C2562,'Luong VP'!$B$10:$AP$188,25,0)</f>
        <v>0</v>
      </c>
      <c r="J2570" s="728">
        <f>J2566/'Cham cong'!$AS$3*I2570/8*2</f>
        <v>0</v>
      </c>
      <c r="K2570" s="689"/>
      <c r="L2570" s="694"/>
      <c r="M2570" s="690"/>
    </row>
    <row r="2571" spans="1:13" s="691" customFormat="1" ht="9.1999999999999993" customHeight="1">
      <c r="A2571" s="712">
        <v>6</v>
      </c>
      <c r="B2571" s="713" t="s">
        <v>673</v>
      </c>
      <c r="C2571" s="714">
        <f>VLOOKUP(C2562,'Luong VP'!$B$10:$AP$188,13,0)</f>
        <v>0</v>
      </c>
      <c r="D2571" s="717"/>
      <c r="E2571" s="710">
        <v>5</v>
      </c>
      <c r="F2571" s="718" t="s">
        <v>674</v>
      </c>
      <c r="G2571" s="718"/>
      <c r="H2571" s="710" t="s">
        <v>660</v>
      </c>
      <c r="I2571" s="727">
        <f>VLOOKUP(C2562,'Luong VP'!$B$10:$AP$188,23,0)</f>
        <v>0</v>
      </c>
      <c r="J2571" s="728">
        <f>C2566/'Cham cong'!$AS$3*I2571</f>
        <v>0</v>
      </c>
      <c r="K2571" s="689"/>
      <c r="L2571" s="694" t="str">
        <f>G2562</f>
        <v>Thạch Phương</v>
      </c>
      <c r="M2571" s="690"/>
    </row>
    <row r="2572" spans="1:13" s="691" customFormat="1" ht="9.1999999999999993" customHeight="1">
      <c r="A2572" s="712">
        <v>7</v>
      </c>
      <c r="B2572" s="713" t="s">
        <v>676</v>
      </c>
      <c r="C2572" s="714"/>
      <c r="D2572" s="717"/>
      <c r="E2572" s="710">
        <v>6</v>
      </c>
      <c r="F2572" s="718" t="s">
        <v>677</v>
      </c>
      <c r="G2572" s="718"/>
      <c r="H2572" s="710" t="s">
        <v>660</v>
      </c>
      <c r="I2572" s="727">
        <f>VLOOKUP(C2562,'Luong VP'!$B$10:$AP$188,24,0)</f>
        <v>1</v>
      </c>
      <c r="J2572" s="714">
        <f>C2566/'Cham cong'!$AS$3*I2572</f>
        <v>267.30769230769232</v>
      </c>
      <c r="K2572" s="689"/>
      <c r="L2572" s="694"/>
      <c r="M2572" s="690"/>
    </row>
    <row r="2573" spans="1:13" s="691" customFormat="1" ht="9.1999999999999993" customHeight="1">
      <c r="A2573" s="712">
        <v>8</v>
      </c>
      <c r="B2573" s="713" t="s">
        <v>679</v>
      </c>
      <c r="C2573" s="714">
        <f>VLOOKUP(C2562,'Luong VP'!$B$10:$AP$188,14,0)</f>
        <v>0</v>
      </c>
      <c r="D2573" s="717"/>
      <c r="E2573" s="710">
        <v>7</v>
      </c>
      <c r="F2573" s="718" t="s">
        <v>680</v>
      </c>
      <c r="G2573" s="718"/>
      <c r="H2573" s="718"/>
      <c r="I2573" s="729"/>
      <c r="J2573" s="714">
        <f>VLOOKUP(C2562,'Luong VP'!$B$10:$AP$188,28,0)</f>
        <v>0</v>
      </c>
      <c r="K2573" s="689"/>
      <c r="L2573" s="694"/>
      <c r="M2573" s="690"/>
    </row>
    <row r="2574" spans="1:13" s="691" customFormat="1" ht="9.1999999999999993" customHeight="1">
      <c r="A2574" s="712">
        <v>9</v>
      </c>
      <c r="B2574" s="713" t="s">
        <v>683</v>
      </c>
      <c r="C2574" s="714">
        <f>VLOOKUP(C2562,'Luong VP'!$B$10:$AP$188,15,0)</f>
        <v>0</v>
      </c>
      <c r="D2574" s="717"/>
      <c r="E2574" s="710">
        <v>8</v>
      </c>
      <c r="F2574" s="718" t="s">
        <v>238</v>
      </c>
      <c r="G2574" s="718"/>
      <c r="H2574" s="718"/>
      <c r="I2574" s="729"/>
      <c r="J2574" s="714">
        <f>VLOOKUP(C2562,'Luong VP'!$B$10:$AP$188,33,0)</f>
        <v>0</v>
      </c>
      <c r="K2574" s="689"/>
      <c r="L2574" s="694"/>
      <c r="M2574" s="690"/>
    </row>
    <row r="2575" spans="1:13" s="691" customFormat="1" ht="9.1999999999999993" customHeight="1">
      <c r="A2575" s="712">
        <v>10</v>
      </c>
      <c r="B2575" s="713" t="s">
        <v>685</v>
      </c>
      <c r="C2575" s="714">
        <f>VLOOKUP(C2562,'Luong VP'!$B$10:$AP$188,16,0)</f>
        <v>0</v>
      </c>
      <c r="D2575" s="717"/>
      <c r="E2575" s="710" t="s">
        <v>686</v>
      </c>
      <c r="F2575" s="716" t="s">
        <v>687</v>
      </c>
      <c r="G2575" s="719"/>
      <c r="H2575" s="719"/>
      <c r="I2575" s="729"/>
      <c r="J2575" s="730"/>
      <c r="K2575" s="689"/>
      <c r="L2575" s="694"/>
      <c r="M2575" s="690"/>
    </row>
    <row r="2576" spans="1:13" s="691" customFormat="1" ht="9.1999999999999993" customHeight="1">
      <c r="A2576" s="712">
        <v>11</v>
      </c>
      <c r="B2576" s="713" t="s">
        <v>688</v>
      </c>
      <c r="C2576" s="714">
        <f>VLOOKUP(C2562,'Luong VP'!$B$10:$AP$188,17,0)</f>
        <v>0</v>
      </c>
      <c r="D2576" s="717"/>
      <c r="E2576" s="710">
        <v>1</v>
      </c>
      <c r="F2576" s="716" t="s">
        <v>689</v>
      </c>
      <c r="G2576" s="719"/>
      <c r="H2576" s="719"/>
      <c r="I2576" s="714">
        <f>VLOOKUP(C2562,'Luong VP'!$B$10:$AP$188,30,0)</f>
        <v>0</v>
      </c>
      <c r="J2576" s="714">
        <f>VLOOKUP(C2562,'Luong VP'!$B$10:$AP$188,30,0)</f>
        <v>0</v>
      </c>
      <c r="K2576" s="689"/>
      <c r="L2576" s="694"/>
      <c r="M2576" s="690"/>
    </row>
    <row r="2577" spans="1:13" s="691" customFormat="1" ht="9.1999999999999993" customHeight="1">
      <c r="A2577" s="712">
        <v>12</v>
      </c>
      <c r="B2577" s="713" t="s">
        <v>691</v>
      </c>
      <c r="C2577" s="714">
        <f>VLOOKUP(C2562,'Luong VP'!$B$10:$AP$188,18,0)</f>
        <v>0</v>
      </c>
      <c r="D2577" s="717"/>
      <c r="E2577" s="710">
        <v>2</v>
      </c>
      <c r="F2577" s="718" t="s">
        <v>239</v>
      </c>
      <c r="G2577" s="718"/>
      <c r="H2577" s="718"/>
      <c r="I2577" s="727"/>
      <c r="J2577" s="728">
        <f>VLOOKUP(C2562,'Luong VP'!$B$10:$AP$188,34,0)</f>
        <v>0</v>
      </c>
      <c r="K2577" s="731"/>
      <c r="L2577" s="715"/>
      <c r="M2577" s="690"/>
    </row>
    <row r="2578" spans="1:13" s="691" customFormat="1" ht="9.1999999999999993" customHeight="1">
      <c r="A2578" s="712">
        <v>13</v>
      </c>
      <c r="B2578" s="713" t="s">
        <v>692</v>
      </c>
      <c r="C2578" s="714">
        <f>VLOOKUP(C2562,'Luong VP'!$B$10:$AP$188,19,0)</f>
        <v>0</v>
      </c>
      <c r="D2578" s="717"/>
      <c r="E2578" s="710">
        <v>3</v>
      </c>
      <c r="F2578" s="716" t="s">
        <v>693</v>
      </c>
      <c r="G2578" s="719"/>
      <c r="H2578" s="719"/>
      <c r="I2578" s="729"/>
      <c r="J2578" s="714">
        <f>VLOOKUP(C2562,'Luong VP'!$B$10:$AP$188,40,0)</f>
        <v>0</v>
      </c>
      <c r="K2578" s="731"/>
      <c r="L2578" s="715"/>
      <c r="M2578" s="690"/>
    </row>
    <row r="2579" spans="1:13" s="691" customFormat="1" ht="9.1999999999999993" customHeight="1">
      <c r="A2579" s="712">
        <v>14</v>
      </c>
      <c r="B2579" s="713" t="s">
        <v>694</v>
      </c>
      <c r="C2579" s="714">
        <f>VLOOKUP(C2562,'Luong VP'!$B$10:$AP$188,20,0)</f>
        <v>0</v>
      </c>
      <c r="D2579" s="717"/>
      <c r="E2579" s="710">
        <v>4</v>
      </c>
      <c r="F2579" s="718" t="s">
        <v>695</v>
      </c>
      <c r="G2579" s="719"/>
      <c r="H2579" s="719"/>
      <c r="I2579" s="729"/>
      <c r="J2579" s="714">
        <f>VLOOKUP(C2562,'Luong VP'!$B$10:$AP$188,35,0)</f>
        <v>0</v>
      </c>
      <c r="K2579" s="732"/>
      <c r="L2579" s="715"/>
      <c r="M2579" s="690"/>
    </row>
    <row r="2580" spans="1:13" s="691" customFormat="1" ht="9.1999999999999993" customHeight="1">
      <c r="A2580" s="712"/>
      <c r="B2580" s="707" t="s">
        <v>656</v>
      </c>
      <c r="C2580" s="714">
        <f>SUM(C2566:C2579)</f>
        <v>7358.5</v>
      </c>
      <c r="D2580" s="717"/>
      <c r="E2580" s="710"/>
      <c r="F2580" s="716" t="s">
        <v>241</v>
      </c>
      <c r="G2580" s="719"/>
      <c r="H2580" s="719"/>
      <c r="I2580" s="729"/>
      <c r="J2580" s="730">
        <f>SUM(J2567:J2579)+C2574</f>
        <v>7625.8076923076924</v>
      </c>
      <c r="K2580" s="731"/>
      <c r="L2580" s="715"/>
      <c r="M2580" s="690"/>
    </row>
    <row r="2581" spans="1:13" s="691" customFormat="1" ht="9.1999999999999993" customHeight="1">
      <c r="A2581" s="690"/>
      <c r="B2581" s="720"/>
      <c r="C2581" s="717"/>
      <c r="D2581" s="717"/>
      <c r="E2581" s="710" t="s">
        <v>696</v>
      </c>
      <c r="F2581" s="711" t="s">
        <v>697</v>
      </c>
      <c r="G2581" s="710"/>
      <c r="H2581" s="710"/>
      <c r="I2581" s="729"/>
      <c r="J2581" s="730">
        <f>SUM(J2582:J2584)</f>
        <v>2480.585</v>
      </c>
      <c r="K2581" s="732"/>
      <c r="L2581" s="715"/>
      <c r="M2581" s="690"/>
    </row>
    <row r="2582" spans="1:13" s="691" customFormat="1" ht="9.1999999999999993" customHeight="1">
      <c r="A2582" s="690"/>
      <c r="B2582" s="720"/>
      <c r="C2582" s="717"/>
      <c r="D2582" s="717"/>
      <c r="E2582" s="710">
        <v>1</v>
      </c>
      <c r="F2582" s="718" t="s">
        <v>698</v>
      </c>
      <c r="G2582" s="718"/>
      <c r="H2582" s="718"/>
      <c r="I2582" s="733"/>
      <c r="J2582" s="714">
        <f>VLOOKUP(C2562,'Luong VP'!$B$10:$AP$189,37,0)</f>
        <v>480.58499999999998</v>
      </c>
      <c r="K2582" s="732"/>
      <c r="L2582" s="715"/>
      <c r="M2582" s="690"/>
    </row>
    <row r="2583" spans="1:13" s="691" customFormat="1" ht="9.1999999999999993" customHeight="1">
      <c r="A2583" s="690"/>
      <c r="B2583" s="720"/>
      <c r="C2583" s="717"/>
      <c r="D2583" s="717"/>
      <c r="E2583" s="710">
        <v>2</v>
      </c>
      <c r="F2583" s="718" t="s">
        <v>244</v>
      </c>
      <c r="G2583" s="718"/>
      <c r="H2583" s="718"/>
      <c r="I2583" s="729"/>
      <c r="J2583" s="714">
        <f>VLOOKUP(C2562,'Luong VP'!$B$10:$AP$189,39,0)</f>
        <v>2000</v>
      </c>
      <c r="K2583" s="734"/>
      <c r="L2583" s="735"/>
      <c r="M2583" s="690"/>
    </row>
    <row r="2584" spans="1:13" s="691" customFormat="1" ht="9.1999999999999993" customHeight="1">
      <c r="A2584" s="690"/>
      <c r="B2584" s="720"/>
      <c r="C2584" s="717"/>
      <c r="D2584" s="717"/>
      <c r="E2584" s="710"/>
      <c r="F2584" s="718" t="s">
        <v>699</v>
      </c>
      <c r="G2584" s="718"/>
      <c r="H2584" s="718"/>
      <c r="I2584" s="729"/>
      <c r="J2584" s="714"/>
      <c r="K2584" s="714"/>
      <c r="L2584" s="736"/>
      <c r="M2584" s="690"/>
    </row>
    <row r="2585" spans="1:13" s="691" customFormat="1" ht="9.1999999999999993" customHeight="1">
      <c r="A2585" s="690"/>
      <c r="B2585" s="720"/>
      <c r="C2585" s="717"/>
      <c r="D2585" s="717"/>
      <c r="E2585" s="710" t="s">
        <v>700</v>
      </c>
      <c r="F2585" s="710" t="s">
        <v>246</v>
      </c>
      <c r="G2585" s="710"/>
      <c r="H2585" s="710"/>
      <c r="I2585" s="729"/>
      <c r="J2585" s="728">
        <f>J2580-J2581</f>
        <v>5145.2226923076923</v>
      </c>
      <c r="K2585" s="728">
        <f>ROUND(J2585,-1)</f>
        <v>5150</v>
      </c>
      <c r="L2585" s="710"/>
      <c r="M2585" s="690"/>
    </row>
    <row r="2586" spans="1:13" s="691" customFormat="1" ht="9.1999999999999993" customHeight="1">
      <c r="A2586" s="690"/>
      <c r="B2586" s="720"/>
      <c r="C2586" s="717"/>
      <c r="D2586" s="717"/>
      <c r="E2586" s="715"/>
      <c r="F2586" s="715"/>
      <c r="G2586" s="715"/>
      <c r="H2586" s="1596"/>
      <c r="I2586" s="1596"/>
      <c r="J2586" s="1596"/>
      <c r="K2586" s="737"/>
      <c r="L2586" s="715"/>
      <c r="M2586" s="690"/>
    </row>
    <row r="2587" spans="1:13" ht="9.1999999999999993" customHeight="1">
      <c r="H2587" s="702"/>
      <c r="I2587" s="702"/>
      <c r="J2587" s="702"/>
      <c r="K2587" s="723"/>
    </row>
    <row r="2591" spans="1:13" ht="9.1999999999999993" customHeight="1">
      <c r="C2591" s="696"/>
      <c r="D2591" s="696"/>
      <c r="E2591" s="697" t="str">
        <f>$E$2</f>
        <v>THẺ LƯƠNG THÁNG 08/2019</v>
      </c>
      <c r="F2591" s="698"/>
      <c r="G2591" s="698"/>
      <c r="H2591" s="698"/>
    </row>
    <row r="2592" spans="1:13" ht="9.1999999999999993" customHeight="1">
      <c r="B2592" s="699" t="s">
        <v>644</v>
      </c>
      <c r="C2592" s="700" t="s">
        <v>447</v>
      </c>
      <c r="D2592" s="701"/>
      <c r="F2592" s="702" t="s">
        <v>645</v>
      </c>
      <c r="G2592" s="689" t="str">
        <f>VLOOKUP(C2592,'Luong VP'!$B$10:$AP$188,2,0)</f>
        <v>Lê Tấn Hùng</v>
      </c>
    </row>
    <row r="2593" spans="1:12" ht="9.1999999999999993" customHeight="1">
      <c r="B2593" s="699" t="s">
        <v>646</v>
      </c>
      <c r="C2593" s="689" t="str">
        <f>VLOOKUP(C2592,'Luong VP'!$B$10:$AP$188,3,0)</f>
        <v>Nhân viên vận hành máy</v>
      </c>
      <c r="F2593" s="702" t="s">
        <v>647</v>
      </c>
      <c r="G2593" s="689">
        <f>VLOOKUP(C2592,'Luong VP'!$B$10:$AP$188,5,0)</f>
        <v>2</v>
      </c>
    </row>
    <row r="2594" spans="1:12" ht="9.1999999999999993" customHeight="1">
      <c r="B2594" s="703"/>
      <c r="C2594" s="704"/>
      <c r="D2594" s="705"/>
      <c r="F2594" s="706" t="s">
        <v>648</v>
      </c>
      <c r="G2594" s="706"/>
      <c r="H2594" s="706"/>
      <c r="I2594" s="725"/>
      <c r="J2594" s="726"/>
    </row>
    <row r="2595" spans="1:12" ht="9.1999999999999993" customHeight="1">
      <c r="A2595" s="707" t="s">
        <v>216</v>
      </c>
      <c r="B2595" s="707" t="s">
        <v>649</v>
      </c>
      <c r="C2595" s="708" t="s">
        <v>650</v>
      </c>
      <c r="D2595" s="709"/>
      <c r="E2595" s="710" t="s">
        <v>216</v>
      </c>
      <c r="F2595" s="711" t="s">
        <v>649</v>
      </c>
      <c r="G2595" s="710"/>
      <c r="H2595" s="710" t="s">
        <v>651</v>
      </c>
      <c r="I2595" s="727" t="s">
        <v>652</v>
      </c>
      <c r="J2595" s="714"/>
      <c r="L2595" s="694" t="s">
        <v>653</v>
      </c>
    </row>
    <row r="2596" spans="1:12" ht="9.1999999999999993" customHeight="1">
      <c r="A2596" s="712">
        <v>1</v>
      </c>
      <c r="B2596" s="713" t="s">
        <v>654</v>
      </c>
      <c r="C2596" s="714">
        <f>VLOOKUP(C2592,'Luong VP'!$B$10:$AP$188,9,0)</f>
        <v>6950</v>
      </c>
      <c r="D2596" s="715"/>
      <c r="E2596" s="710" t="s">
        <v>655</v>
      </c>
      <c r="F2596" s="716" t="s">
        <v>656</v>
      </c>
      <c r="G2596" s="710"/>
      <c r="H2596" s="710"/>
      <c r="I2596" s="727"/>
      <c r="J2596" s="714">
        <f>VLOOKUP(C2592,'Luong VP'!$B$10:$AP$188,21,0)</f>
        <v>7428</v>
      </c>
    </row>
    <row r="2597" spans="1:12" ht="9.1999999999999993" customHeight="1">
      <c r="A2597" s="712">
        <v>2</v>
      </c>
      <c r="B2597" s="713" t="s">
        <v>658</v>
      </c>
      <c r="C2597" s="714"/>
      <c r="D2597" s="717"/>
      <c r="E2597" s="710">
        <v>1</v>
      </c>
      <c r="F2597" s="718" t="s">
        <v>659</v>
      </c>
      <c r="G2597" s="718"/>
      <c r="H2597" s="710" t="s">
        <v>660</v>
      </c>
      <c r="I2597" s="727">
        <f>VLOOKUP(C2592,'Luong VP'!$B$10:$AP$188,22,0)</f>
        <v>26</v>
      </c>
      <c r="J2597" s="728">
        <f>J2596/'Cham cong'!$AS$3*I2597</f>
        <v>7428</v>
      </c>
    </row>
    <row r="2598" spans="1:12" ht="9.1999999999999993" customHeight="1">
      <c r="A2598" s="712">
        <v>3</v>
      </c>
      <c r="B2598" s="713" t="s">
        <v>661</v>
      </c>
      <c r="C2598" s="714">
        <f>VLOOKUP(C2592,'Luong VP'!$B$10:$AP$188,10,0)</f>
        <v>200</v>
      </c>
      <c r="D2598" s="717"/>
      <c r="E2598" s="710">
        <v>2</v>
      </c>
      <c r="F2598" s="718" t="s">
        <v>662</v>
      </c>
      <c r="G2598" s="718"/>
      <c r="H2598" s="710" t="s">
        <v>660</v>
      </c>
      <c r="I2598" s="727">
        <f>VLOOKUP(C2592,'Luong VP'!$B$10:$AP$188,27,0)</f>
        <v>0</v>
      </c>
      <c r="J2598" s="728">
        <f>J2596/'Cham cong'!$AS$3*I2598*3</f>
        <v>0</v>
      </c>
    </row>
    <row r="2599" spans="1:12" ht="9.1999999999999993" customHeight="1">
      <c r="A2599" s="712">
        <v>4</v>
      </c>
      <c r="B2599" s="713" t="s">
        <v>666</v>
      </c>
      <c r="C2599" s="714">
        <f>VLOOKUP(C2592,'Luong VP'!$B$10:$AP$188,11,0)</f>
        <v>0</v>
      </c>
      <c r="D2599" s="717"/>
      <c r="E2599" s="710">
        <v>3</v>
      </c>
      <c r="F2599" s="718" t="s">
        <v>667</v>
      </c>
      <c r="G2599" s="718"/>
      <c r="H2599" s="710" t="s">
        <v>668</v>
      </c>
      <c r="I2599" s="727">
        <f>VLOOKUP(C2592,'Luong VP'!$B$10:$AP$188,26,0)</f>
        <v>0</v>
      </c>
      <c r="J2599" s="728">
        <f>J2596/'Cham cong'!$AS$3*I2599/8*1.5</f>
        <v>0</v>
      </c>
    </row>
    <row r="2600" spans="1:12" ht="9.1999999999999993" customHeight="1">
      <c r="A2600" s="712">
        <v>5</v>
      </c>
      <c r="B2600" s="713" t="s">
        <v>670</v>
      </c>
      <c r="C2600" s="714">
        <f>VLOOKUP(C2592,'Luong VP'!$B$10:$AP$188,12,0)</f>
        <v>278</v>
      </c>
      <c r="D2600" s="717"/>
      <c r="E2600" s="710">
        <v>4</v>
      </c>
      <c r="F2600" s="718" t="s">
        <v>671</v>
      </c>
      <c r="G2600" s="718"/>
      <c r="H2600" s="710" t="s">
        <v>668</v>
      </c>
      <c r="I2600" s="727">
        <f>VLOOKUP(C2592,'Luong VP'!$B$10:$AP$188,25,0)</f>
        <v>0</v>
      </c>
      <c r="J2600" s="728">
        <f>J2596/'Cham cong'!$AS$3*I2600/8*2</f>
        <v>0</v>
      </c>
    </row>
    <row r="2601" spans="1:12" ht="9.1999999999999993" customHeight="1">
      <c r="A2601" s="712">
        <v>6</v>
      </c>
      <c r="B2601" s="713" t="s">
        <v>673</v>
      </c>
      <c r="C2601" s="714">
        <f>VLOOKUP(C2592,'Luong VP'!$B$10:$AP$188,13,0)</f>
        <v>0</v>
      </c>
      <c r="D2601" s="717"/>
      <c r="E2601" s="710">
        <v>5</v>
      </c>
      <c r="F2601" s="718" t="s">
        <v>674</v>
      </c>
      <c r="G2601" s="718"/>
      <c r="H2601" s="710" t="s">
        <v>660</v>
      </c>
      <c r="I2601" s="727">
        <f>VLOOKUP(C2592,'Luong VP'!$B$10:$AP$188,23,0)</f>
        <v>0</v>
      </c>
      <c r="J2601" s="728">
        <f>C2596/'Cham cong'!$AS$3*I2601</f>
        <v>0</v>
      </c>
      <c r="L2601" s="694" t="str">
        <f>G2592</f>
        <v>Lê Tấn Hùng</v>
      </c>
    </row>
    <row r="2602" spans="1:12" ht="9.1999999999999993" customHeight="1">
      <c r="A2602" s="712">
        <v>7</v>
      </c>
      <c r="B2602" s="713" t="s">
        <v>676</v>
      </c>
      <c r="C2602" s="714"/>
      <c r="D2602" s="717"/>
      <c r="E2602" s="710">
        <v>6</v>
      </c>
      <c r="F2602" s="718" t="s">
        <v>677</v>
      </c>
      <c r="G2602" s="718"/>
      <c r="H2602" s="710" t="s">
        <v>660</v>
      </c>
      <c r="I2602" s="727">
        <f>VLOOKUP(C2592,'Luong VP'!$B$10:$AP$188,24,0)</f>
        <v>1</v>
      </c>
      <c r="J2602" s="714">
        <f>C2596/'Cham cong'!$AS$3*I2602</f>
        <v>267.30769230769232</v>
      </c>
    </row>
    <row r="2603" spans="1:12" ht="9.1999999999999993" customHeight="1">
      <c r="A2603" s="712">
        <v>8</v>
      </c>
      <c r="B2603" s="713" t="s">
        <v>679</v>
      </c>
      <c r="C2603" s="714">
        <f>VLOOKUP(C2592,'Luong VP'!$B$10:$AP$188,14,0)</f>
        <v>0</v>
      </c>
      <c r="D2603" s="717"/>
      <c r="E2603" s="710">
        <v>7</v>
      </c>
      <c r="F2603" s="718" t="s">
        <v>680</v>
      </c>
      <c r="G2603" s="718"/>
      <c r="H2603" s="718"/>
      <c r="I2603" s="729"/>
      <c r="J2603" s="714">
        <f>VLOOKUP(C2592,'Luong VP'!$B$10:$AP$188,28,0)</f>
        <v>0</v>
      </c>
    </row>
    <row r="2604" spans="1:12" ht="9.1999999999999993" customHeight="1">
      <c r="A2604" s="712">
        <v>9</v>
      </c>
      <c r="B2604" s="713" t="s">
        <v>683</v>
      </c>
      <c r="C2604" s="714">
        <f>VLOOKUP(C2592,'Luong VP'!$B$10:$AP$188,15,0)</f>
        <v>0</v>
      </c>
      <c r="D2604" s="717"/>
      <c r="E2604" s="710">
        <v>8</v>
      </c>
      <c r="F2604" s="718" t="s">
        <v>238</v>
      </c>
      <c r="G2604" s="718"/>
      <c r="H2604" s="718"/>
      <c r="I2604" s="729"/>
      <c r="J2604" s="714">
        <f>VLOOKUP(C2592,'Luong VP'!$B$10:$AP$188,33,0)</f>
        <v>0</v>
      </c>
    </row>
    <row r="2605" spans="1:12" ht="9.1999999999999993" customHeight="1">
      <c r="A2605" s="712">
        <v>10</v>
      </c>
      <c r="B2605" s="713" t="s">
        <v>685</v>
      </c>
      <c r="C2605" s="714">
        <f>VLOOKUP(C2592,'Luong VP'!$B$10:$AP$188,16,0)</f>
        <v>0</v>
      </c>
      <c r="D2605" s="717"/>
      <c r="E2605" s="710" t="s">
        <v>686</v>
      </c>
      <c r="F2605" s="716" t="s">
        <v>687</v>
      </c>
      <c r="G2605" s="719"/>
      <c r="H2605" s="719"/>
      <c r="I2605" s="729"/>
      <c r="J2605" s="730"/>
    </row>
    <row r="2606" spans="1:12" ht="9.1999999999999993" customHeight="1">
      <c r="A2606" s="712">
        <v>11</v>
      </c>
      <c r="B2606" s="713" t="s">
        <v>688</v>
      </c>
      <c r="C2606" s="714">
        <f>VLOOKUP(C2592,'Luong VP'!$B$10:$AP$188,17,0)</f>
        <v>0</v>
      </c>
      <c r="D2606" s="717"/>
      <c r="E2606" s="710">
        <v>1</v>
      </c>
      <c r="F2606" s="716" t="s">
        <v>689</v>
      </c>
      <c r="G2606" s="719"/>
      <c r="H2606" s="719"/>
      <c r="I2606" s="714">
        <f>VLOOKUP(C2592,'Luong VP'!$B$10:$AP$188,30,0)</f>
        <v>0</v>
      </c>
      <c r="J2606" s="714">
        <f>VLOOKUP(C2592,'Luong VP'!$B$10:$AP$188,30,0)</f>
        <v>0</v>
      </c>
    </row>
    <row r="2607" spans="1:12" ht="9.1999999999999993" customHeight="1">
      <c r="A2607" s="712">
        <v>12</v>
      </c>
      <c r="B2607" s="713" t="s">
        <v>691</v>
      </c>
      <c r="C2607" s="714">
        <f>VLOOKUP(C2592,'Luong VP'!$B$10:$AP$188,18,0)</f>
        <v>0</v>
      </c>
      <c r="D2607" s="717"/>
      <c r="E2607" s="710">
        <v>2</v>
      </c>
      <c r="F2607" s="718" t="s">
        <v>239</v>
      </c>
      <c r="G2607" s="718"/>
      <c r="H2607" s="718"/>
      <c r="I2607" s="727"/>
      <c r="J2607" s="728">
        <f>VLOOKUP(C2592,'Luong VP'!$B$10:$AP$188,34,0)</f>
        <v>0</v>
      </c>
      <c r="K2607" s="731"/>
      <c r="L2607" s="715"/>
    </row>
    <row r="2608" spans="1:12" ht="9.1999999999999993" customHeight="1">
      <c r="A2608" s="712">
        <v>13</v>
      </c>
      <c r="B2608" s="713" t="s">
        <v>692</v>
      </c>
      <c r="C2608" s="714">
        <f>VLOOKUP(C2592,'Luong VP'!$B$10:$AP$188,19,0)</f>
        <v>0</v>
      </c>
      <c r="D2608" s="717"/>
      <c r="E2608" s="710">
        <v>3</v>
      </c>
      <c r="F2608" s="716" t="s">
        <v>693</v>
      </c>
      <c r="G2608" s="719"/>
      <c r="H2608" s="719"/>
      <c r="I2608" s="729"/>
      <c r="J2608" s="714">
        <f>VLOOKUP(C2592,'Luong VP'!$B$10:$AP$188,40,0)</f>
        <v>0</v>
      </c>
      <c r="K2608" s="731"/>
      <c r="L2608" s="715"/>
    </row>
    <row r="2609" spans="1:12" ht="9.1999999999999993" customHeight="1">
      <c r="A2609" s="712">
        <v>14</v>
      </c>
      <c r="B2609" s="713" t="s">
        <v>694</v>
      </c>
      <c r="C2609" s="714">
        <f>VLOOKUP(C2592,'Luong VP'!$B$10:$AP$188,20,0)</f>
        <v>0</v>
      </c>
      <c r="D2609" s="717"/>
      <c r="E2609" s="710">
        <v>4</v>
      </c>
      <c r="F2609" s="718" t="s">
        <v>695</v>
      </c>
      <c r="G2609" s="719"/>
      <c r="H2609" s="719"/>
      <c r="I2609" s="729"/>
      <c r="J2609" s="714">
        <f>VLOOKUP(C2592,'Luong VP'!$B$10:$AP$188,35,0)</f>
        <v>0</v>
      </c>
      <c r="K2609" s="732"/>
      <c r="L2609" s="715"/>
    </row>
    <row r="2610" spans="1:12" ht="9.1999999999999993" customHeight="1">
      <c r="A2610" s="712"/>
      <c r="B2610" s="707" t="s">
        <v>656</v>
      </c>
      <c r="C2610" s="714">
        <f>SUM(C2596:C2609)</f>
        <v>7428</v>
      </c>
      <c r="D2610" s="717"/>
      <c r="E2610" s="710"/>
      <c r="F2610" s="716" t="s">
        <v>241</v>
      </c>
      <c r="G2610" s="719"/>
      <c r="H2610" s="719"/>
      <c r="I2610" s="729"/>
      <c r="J2610" s="730">
        <f>SUM(J2597:J2609)+C2604</f>
        <v>7695.3076923076924</v>
      </c>
      <c r="K2610" s="731"/>
      <c r="L2610" s="715"/>
    </row>
    <row r="2611" spans="1:12" ht="9.1999999999999993" customHeight="1">
      <c r="B2611" s="720"/>
      <c r="C2611" s="717"/>
      <c r="D2611" s="717"/>
      <c r="E2611" s="710" t="s">
        <v>696</v>
      </c>
      <c r="F2611" s="711" t="s">
        <v>697</v>
      </c>
      <c r="G2611" s="710"/>
      <c r="H2611" s="710"/>
      <c r="I2611" s="729"/>
      <c r="J2611" s="730">
        <f>SUM(J2612:J2614)</f>
        <v>4480.585</v>
      </c>
      <c r="K2611" s="732"/>
      <c r="L2611" s="715"/>
    </row>
    <row r="2612" spans="1:12" ht="9.1999999999999993" customHeight="1">
      <c r="B2612" s="720"/>
      <c r="C2612" s="717"/>
      <c r="D2612" s="717"/>
      <c r="E2612" s="710">
        <v>1</v>
      </c>
      <c r="F2612" s="718" t="s">
        <v>698</v>
      </c>
      <c r="G2612" s="718"/>
      <c r="H2612" s="718"/>
      <c r="I2612" s="733"/>
      <c r="J2612" s="714">
        <f>VLOOKUP(C2592,'Luong VP'!$B$10:$AP$188,37,0)</f>
        <v>480.58499999999998</v>
      </c>
      <c r="K2612" s="732"/>
      <c r="L2612" s="715"/>
    </row>
    <row r="2613" spans="1:12" ht="9.1999999999999993" customHeight="1">
      <c r="B2613" s="720"/>
      <c r="C2613" s="717"/>
      <c r="D2613" s="717"/>
      <c r="E2613" s="710">
        <v>2</v>
      </c>
      <c r="F2613" s="718" t="s">
        <v>244</v>
      </c>
      <c r="G2613" s="718"/>
      <c r="H2613" s="718"/>
      <c r="I2613" s="729"/>
      <c r="J2613" s="714">
        <f>VLOOKUP(C2592,'Luong VP'!$B$10:$AP$188,39,0)</f>
        <v>4000</v>
      </c>
      <c r="K2613" s="734"/>
      <c r="L2613" s="735"/>
    </row>
    <row r="2614" spans="1:12" ht="9.1999999999999993" customHeight="1">
      <c r="B2614" s="720"/>
      <c r="C2614" s="717"/>
      <c r="D2614" s="717"/>
      <c r="E2614" s="710"/>
      <c r="F2614" s="718" t="s">
        <v>699</v>
      </c>
      <c r="G2614" s="718"/>
      <c r="H2614" s="718"/>
      <c r="I2614" s="729"/>
      <c r="J2614" s="714"/>
      <c r="K2614" s="714"/>
      <c r="L2614" s="736"/>
    </row>
    <row r="2615" spans="1:12" ht="9.1999999999999993" customHeight="1">
      <c r="B2615" s="720"/>
      <c r="C2615" s="717"/>
      <c r="D2615" s="717"/>
      <c r="E2615" s="710" t="s">
        <v>700</v>
      </c>
      <c r="F2615" s="710" t="s">
        <v>246</v>
      </c>
      <c r="G2615" s="710"/>
      <c r="H2615" s="710"/>
      <c r="I2615" s="729"/>
      <c r="J2615" s="728">
        <f>J2610-J2611</f>
        <v>3214.7226923076923</v>
      </c>
      <c r="K2615" s="728">
        <f>ROUND(J2615,-1)</f>
        <v>3210</v>
      </c>
      <c r="L2615" s="710"/>
    </row>
    <row r="2616" spans="1:12" ht="9.1999999999999993" customHeight="1">
      <c r="B2616" s="720"/>
      <c r="C2616" s="717"/>
      <c r="D2616" s="717"/>
      <c r="E2616" s="715"/>
      <c r="F2616" s="715"/>
      <c r="G2616" s="715"/>
      <c r="H2616" s="1596"/>
      <c r="I2616" s="1596"/>
      <c r="J2616" s="1596"/>
      <c r="K2616" s="737"/>
      <c r="L2616" s="715"/>
    </row>
    <row r="2617" spans="1:12" ht="9.1999999999999993" customHeight="1">
      <c r="H2617" s="702"/>
      <c r="I2617" s="702"/>
      <c r="J2617" s="702"/>
      <c r="K2617" s="723"/>
    </row>
    <row r="2621" spans="1:12" ht="9.1999999999999993" customHeight="1">
      <c r="C2621" s="696"/>
      <c r="D2621" s="696"/>
      <c r="E2621" s="697" t="str">
        <f>$E$2</f>
        <v>THẺ LƯƠNG THÁNG 08/2019</v>
      </c>
      <c r="F2621" s="698"/>
      <c r="G2621" s="698"/>
      <c r="H2621" s="698"/>
    </row>
    <row r="2622" spans="1:12" ht="9.1999999999999993" customHeight="1">
      <c r="B2622" s="699" t="s">
        <v>644</v>
      </c>
      <c r="C2622" s="700" t="s">
        <v>437</v>
      </c>
      <c r="D2622" s="701"/>
      <c r="F2622" s="702" t="s">
        <v>645</v>
      </c>
      <c r="G2622" s="689" t="str">
        <f>VLOOKUP(C2622,'Luong VP'!$B$10:$AP$189,2,0)</f>
        <v>Cao Chánh Dũng</v>
      </c>
    </row>
    <row r="2623" spans="1:12" ht="9.1999999999999993" customHeight="1">
      <c r="B2623" s="699" t="s">
        <v>646</v>
      </c>
      <c r="C2623" s="689" t="str">
        <f>VLOOKUP(C2622,'Luong VP'!$B$10:$AP$189,3,0)</f>
        <v>Nhóm trưởng VHM XLB</v>
      </c>
      <c r="F2623" s="702" t="s">
        <v>647</v>
      </c>
      <c r="G2623" s="689">
        <f>VLOOKUP(C2622,'Luong VP'!$B$10:$AP$189,5,0)</f>
        <v>1</v>
      </c>
    </row>
    <row r="2624" spans="1:12" ht="9.1999999999999993" customHeight="1">
      <c r="B2624" s="703"/>
      <c r="C2624" s="704"/>
      <c r="D2624" s="705"/>
      <c r="F2624" s="706" t="s">
        <v>648</v>
      </c>
      <c r="G2624" s="706"/>
      <c r="H2624" s="706"/>
      <c r="I2624" s="725"/>
      <c r="J2624" s="726"/>
    </row>
    <row r="2625" spans="1:12" ht="9.1999999999999993" customHeight="1">
      <c r="A2625" s="707" t="s">
        <v>216</v>
      </c>
      <c r="B2625" s="707" t="s">
        <v>649</v>
      </c>
      <c r="C2625" s="708" t="s">
        <v>650</v>
      </c>
      <c r="D2625" s="709"/>
      <c r="E2625" s="710" t="s">
        <v>216</v>
      </c>
      <c r="F2625" s="711" t="s">
        <v>649</v>
      </c>
      <c r="G2625" s="710"/>
      <c r="H2625" s="710" t="s">
        <v>651</v>
      </c>
      <c r="I2625" s="727" t="s">
        <v>652</v>
      </c>
      <c r="J2625" s="714"/>
      <c r="L2625" s="694" t="s">
        <v>653</v>
      </c>
    </row>
    <row r="2626" spans="1:12" ht="9.1999999999999993" customHeight="1">
      <c r="A2626" s="712">
        <v>1</v>
      </c>
      <c r="B2626" s="713" t="s">
        <v>654</v>
      </c>
      <c r="C2626" s="714">
        <f>VLOOKUP(C2622,'Luong VP'!$B$10:$AP$189,9,0)</f>
        <v>7320</v>
      </c>
      <c r="D2626" s="715"/>
      <c r="E2626" s="710" t="s">
        <v>655</v>
      </c>
      <c r="F2626" s="716" t="s">
        <v>656</v>
      </c>
      <c r="G2626" s="710"/>
      <c r="H2626" s="710"/>
      <c r="I2626" s="727"/>
      <c r="J2626" s="714">
        <f>VLOOKUP(C2622,'Luong VP'!$B$10:$AP$189,21,0)</f>
        <v>7739.6</v>
      </c>
    </row>
    <row r="2627" spans="1:12" ht="9.1999999999999993" customHeight="1">
      <c r="A2627" s="712">
        <v>2</v>
      </c>
      <c r="B2627" s="713" t="s">
        <v>658</v>
      </c>
      <c r="C2627" s="714"/>
      <c r="D2627" s="717"/>
      <c r="E2627" s="710">
        <v>1</v>
      </c>
      <c r="F2627" s="718" t="s">
        <v>659</v>
      </c>
      <c r="G2627" s="718"/>
      <c r="H2627" s="710" t="s">
        <v>660</v>
      </c>
      <c r="I2627" s="727">
        <f>VLOOKUP(C2622,'Luong VP'!$B$10:$AP$189,22,0)</f>
        <v>26</v>
      </c>
      <c r="J2627" s="728">
        <f>J2626/'Cham cong'!$AS$3*I2627</f>
        <v>7739.6000000000013</v>
      </c>
    </row>
    <row r="2628" spans="1:12" ht="9.1999999999999993" customHeight="1">
      <c r="A2628" s="712">
        <v>3</v>
      </c>
      <c r="B2628" s="713" t="s">
        <v>661</v>
      </c>
      <c r="C2628" s="714">
        <f>VLOOKUP(C2622,'Luong VP'!$B$10:$AP$189,10,0)</f>
        <v>200</v>
      </c>
      <c r="D2628" s="717"/>
      <c r="E2628" s="710">
        <v>2</v>
      </c>
      <c r="F2628" s="718" t="s">
        <v>662</v>
      </c>
      <c r="G2628" s="718"/>
      <c r="H2628" s="710" t="s">
        <v>660</v>
      </c>
      <c r="I2628" s="727">
        <f>VLOOKUP(C2622,'Luong VP'!$B$10:$AP$189,27,0)</f>
        <v>0</v>
      </c>
      <c r="J2628" s="728">
        <f>J2626/'Cham cong'!$AS$3*I2628*3</f>
        <v>0</v>
      </c>
    </row>
    <row r="2629" spans="1:12" ht="9.1999999999999993" customHeight="1">
      <c r="A2629" s="712">
        <v>4</v>
      </c>
      <c r="B2629" s="713" t="s">
        <v>666</v>
      </c>
      <c r="C2629" s="714">
        <f>VLOOKUP(C2622,'Luong VP'!$B$10:$AP$189,11,0)</f>
        <v>0</v>
      </c>
      <c r="D2629" s="717"/>
      <c r="E2629" s="710">
        <v>3</v>
      </c>
      <c r="F2629" s="718" t="s">
        <v>667</v>
      </c>
      <c r="G2629" s="718"/>
      <c r="H2629" s="710" t="s">
        <v>668</v>
      </c>
      <c r="I2629" s="727">
        <f>VLOOKUP(C2622,'Luong VP'!$B$10:$AP$189,26,0)</f>
        <v>0</v>
      </c>
      <c r="J2629" s="728">
        <f>J2626/'Cham cong'!$AS$3*I2629/8*1.5</f>
        <v>0</v>
      </c>
    </row>
    <row r="2630" spans="1:12" ht="9.1999999999999993" customHeight="1">
      <c r="A2630" s="712">
        <v>5</v>
      </c>
      <c r="B2630" s="713" t="s">
        <v>670</v>
      </c>
      <c r="C2630" s="714">
        <f>VLOOKUP(C2622,'Luong VP'!$B$10:$AP$189,12,0)</f>
        <v>219.6</v>
      </c>
      <c r="D2630" s="717"/>
      <c r="E2630" s="710">
        <v>4</v>
      </c>
      <c r="F2630" s="718" t="s">
        <v>671</v>
      </c>
      <c r="G2630" s="718"/>
      <c r="H2630" s="710" t="s">
        <v>668</v>
      </c>
      <c r="I2630" s="727">
        <f>VLOOKUP(C2622,'Luong VP'!$B$10:$AP$189,25,0)</f>
        <v>0</v>
      </c>
      <c r="J2630" s="728">
        <f>J2626/'Cham cong'!$AS$3*I2630/8*2</f>
        <v>0</v>
      </c>
    </row>
    <row r="2631" spans="1:12" ht="9.1999999999999993" customHeight="1">
      <c r="A2631" s="712">
        <v>6</v>
      </c>
      <c r="B2631" s="713" t="s">
        <v>673</v>
      </c>
      <c r="C2631" s="714">
        <f>VLOOKUP(C2622,'Luong VP'!$B$10:$AP$189,13,0)</f>
        <v>0</v>
      </c>
      <c r="D2631" s="717"/>
      <c r="E2631" s="710">
        <v>5</v>
      </c>
      <c r="F2631" s="718" t="s">
        <v>674</v>
      </c>
      <c r="G2631" s="718"/>
      <c r="H2631" s="710" t="s">
        <v>660</v>
      </c>
      <c r="I2631" s="727">
        <f>VLOOKUP(C2622,'Luong VP'!$B$10:$AP$189,23,0)</f>
        <v>0</v>
      </c>
      <c r="J2631" s="728">
        <f>C2626/'Cham cong'!$AS$3*I2631</f>
        <v>0</v>
      </c>
      <c r="L2631" s="694" t="str">
        <f>G2622</f>
        <v>Cao Chánh Dũng</v>
      </c>
    </row>
    <row r="2632" spans="1:12" ht="9.1999999999999993" customHeight="1">
      <c r="A2632" s="712">
        <v>7</v>
      </c>
      <c r="B2632" s="713" t="s">
        <v>676</v>
      </c>
      <c r="C2632" s="714"/>
      <c r="D2632" s="717"/>
      <c r="E2632" s="710">
        <v>6</v>
      </c>
      <c r="F2632" s="718" t="s">
        <v>677</v>
      </c>
      <c r="G2632" s="718"/>
      <c r="H2632" s="710" t="s">
        <v>660</v>
      </c>
      <c r="I2632" s="727">
        <f>VLOOKUP(C2622,'Luong VP'!$B$10:$AP$189,24,0)</f>
        <v>1</v>
      </c>
      <c r="J2632" s="714">
        <f>C2626/'Cham cong'!$AS$3*I2632</f>
        <v>281.53846153846155</v>
      </c>
    </row>
    <row r="2633" spans="1:12" ht="9.1999999999999993" customHeight="1">
      <c r="A2633" s="712">
        <v>8</v>
      </c>
      <c r="B2633" s="713" t="s">
        <v>679</v>
      </c>
      <c r="C2633" s="714">
        <f>VLOOKUP(C2622,'Luong VP'!$B$10:$AP$189,14,0)</f>
        <v>0</v>
      </c>
      <c r="D2633" s="717"/>
      <c r="E2633" s="710">
        <v>7</v>
      </c>
      <c r="F2633" s="718" t="s">
        <v>680</v>
      </c>
      <c r="G2633" s="718"/>
      <c r="H2633" s="718"/>
      <c r="I2633" s="729"/>
      <c r="J2633" s="714">
        <f>VLOOKUP(C2622,'Luong VP'!$B$10:$AP$189,28,0)</f>
        <v>0</v>
      </c>
    </row>
    <row r="2634" spans="1:12" ht="9.1999999999999993" customHeight="1">
      <c r="A2634" s="712">
        <v>9</v>
      </c>
      <c r="B2634" s="713" t="s">
        <v>683</v>
      </c>
      <c r="C2634" s="714">
        <f>VLOOKUP(C2622,'Luong VP'!$B$10:$AP$189,15,0)</f>
        <v>200</v>
      </c>
      <c r="D2634" s="717"/>
      <c r="E2634" s="710">
        <v>8</v>
      </c>
      <c r="F2634" s="718" t="s">
        <v>238</v>
      </c>
      <c r="G2634" s="718"/>
      <c r="H2634" s="718"/>
      <c r="I2634" s="729"/>
      <c r="J2634" s="714">
        <f>VLOOKUP(C2622,'Luong VP'!$B$10:$AP$189,33,0)</f>
        <v>0</v>
      </c>
    </row>
    <row r="2635" spans="1:12" ht="9.1999999999999993" customHeight="1">
      <c r="A2635" s="712">
        <v>10</v>
      </c>
      <c r="B2635" s="713" t="s">
        <v>685</v>
      </c>
      <c r="C2635" s="714">
        <f>VLOOKUP(C2622,'Luong VP'!$B$10:$AP$189,16,0)</f>
        <v>0</v>
      </c>
      <c r="D2635" s="717"/>
      <c r="E2635" s="710" t="s">
        <v>686</v>
      </c>
      <c r="F2635" s="716" t="s">
        <v>687</v>
      </c>
      <c r="G2635" s="719"/>
      <c r="H2635" s="719"/>
      <c r="I2635" s="729"/>
      <c r="J2635" s="730"/>
    </row>
    <row r="2636" spans="1:12" ht="9.1999999999999993" customHeight="1">
      <c r="A2636" s="712">
        <v>11</v>
      </c>
      <c r="B2636" s="713" t="s">
        <v>688</v>
      </c>
      <c r="C2636" s="714">
        <f>VLOOKUP(C2622,'Luong VP'!$B$10:$AP$189,17,0)</f>
        <v>0</v>
      </c>
      <c r="D2636" s="717"/>
      <c r="E2636" s="710">
        <v>1</v>
      </c>
      <c r="F2636" s="716" t="s">
        <v>689</v>
      </c>
      <c r="G2636" s="719"/>
      <c r="H2636" s="719"/>
      <c r="I2636" s="714">
        <f>VLOOKUP(C2622,'Luong VP'!$B$10:$AP$189,30,0)</f>
        <v>0</v>
      </c>
      <c r="J2636" s="714">
        <f>VLOOKUP(C2622,'Luong VP'!$B$10:$AP$189,30,0)</f>
        <v>0</v>
      </c>
    </row>
    <row r="2637" spans="1:12" ht="9.1999999999999993" customHeight="1">
      <c r="A2637" s="712">
        <v>12</v>
      </c>
      <c r="B2637" s="713" t="s">
        <v>691</v>
      </c>
      <c r="C2637" s="714">
        <f>VLOOKUP(C2622,'Luong VP'!$B$10:$AP$189,18,0)</f>
        <v>0</v>
      </c>
      <c r="D2637" s="717"/>
      <c r="E2637" s="710">
        <v>2</v>
      </c>
      <c r="F2637" s="718" t="s">
        <v>239</v>
      </c>
      <c r="G2637" s="718"/>
      <c r="H2637" s="718"/>
      <c r="I2637" s="727"/>
      <c r="J2637" s="728">
        <f>VLOOKUP(C2622,'Luong VP'!$B$10:$AP$189,34,0)</f>
        <v>0</v>
      </c>
      <c r="K2637" s="731"/>
      <c r="L2637" s="715"/>
    </row>
    <row r="2638" spans="1:12" ht="9.1999999999999993" customHeight="1">
      <c r="A2638" s="712">
        <v>13</v>
      </c>
      <c r="B2638" s="713" t="s">
        <v>692</v>
      </c>
      <c r="C2638" s="714">
        <f>VLOOKUP(C2622,'Luong VP'!$B$10:$AP$189,19,0)</f>
        <v>0</v>
      </c>
      <c r="D2638" s="717"/>
      <c r="E2638" s="710">
        <v>3</v>
      </c>
      <c r="F2638" s="716" t="s">
        <v>693</v>
      </c>
      <c r="G2638" s="719"/>
      <c r="H2638" s="719"/>
      <c r="I2638" s="729"/>
      <c r="J2638" s="714">
        <f>VLOOKUP(C2622,'Luong VP'!$B$10:$AP$189,40,0)</f>
        <v>0</v>
      </c>
      <c r="K2638" s="731"/>
      <c r="L2638" s="715"/>
    </row>
    <row r="2639" spans="1:12" ht="9.1999999999999993" customHeight="1">
      <c r="A2639" s="712">
        <v>14</v>
      </c>
      <c r="B2639" s="713" t="s">
        <v>694</v>
      </c>
      <c r="C2639" s="714">
        <f>VLOOKUP(C2622,'Luong VP'!$B$10:$AP$189,20,0)</f>
        <v>0</v>
      </c>
      <c r="D2639" s="717"/>
      <c r="E2639" s="710">
        <v>4</v>
      </c>
      <c r="F2639" s="718" t="s">
        <v>695</v>
      </c>
      <c r="G2639" s="719"/>
      <c r="H2639" s="719"/>
      <c r="I2639" s="729"/>
      <c r="J2639" s="714">
        <f>VLOOKUP(C2622,'Luong VP'!$B$10:$AP$189,35,0)</f>
        <v>0</v>
      </c>
      <c r="K2639" s="732"/>
      <c r="L2639" s="715"/>
    </row>
    <row r="2640" spans="1:12" ht="9.1999999999999993" customHeight="1">
      <c r="A2640" s="712"/>
      <c r="B2640" s="707" t="s">
        <v>656</v>
      </c>
      <c r="C2640" s="714">
        <f>SUM(C2626:C2639)</f>
        <v>7939.6</v>
      </c>
      <c r="D2640" s="717"/>
      <c r="E2640" s="710"/>
      <c r="F2640" s="716" t="s">
        <v>241</v>
      </c>
      <c r="G2640" s="719"/>
      <c r="H2640" s="719"/>
      <c r="I2640" s="729"/>
      <c r="J2640" s="730">
        <f>SUM(J2627:J2639)+C2634</f>
        <v>8221.1384615384632</v>
      </c>
      <c r="K2640" s="731"/>
      <c r="L2640" s="715"/>
    </row>
    <row r="2641" spans="1:12" ht="9.1999999999999993" customHeight="1">
      <c r="B2641" s="720"/>
      <c r="C2641" s="717"/>
      <c r="D2641" s="717"/>
      <c r="E2641" s="710" t="s">
        <v>696</v>
      </c>
      <c r="F2641" s="711" t="s">
        <v>697</v>
      </c>
      <c r="G2641" s="710"/>
      <c r="H2641" s="710"/>
      <c r="I2641" s="729"/>
      <c r="J2641" s="730">
        <f>SUM(J2642:J2644)</f>
        <v>4480.585</v>
      </c>
      <c r="K2641" s="732"/>
      <c r="L2641" s="715"/>
    </row>
    <row r="2642" spans="1:12" ht="9.1999999999999993" customHeight="1">
      <c r="B2642" s="720"/>
      <c r="C2642" s="717"/>
      <c r="D2642" s="717"/>
      <c r="E2642" s="710">
        <v>1</v>
      </c>
      <c r="F2642" s="718" t="s">
        <v>698</v>
      </c>
      <c r="G2642" s="718"/>
      <c r="H2642" s="718"/>
      <c r="I2642" s="733"/>
      <c r="J2642" s="714">
        <f>VLOOKUP(C2622,'Luong VP'!$B$10:$AP$189,37,0)</f>
        <v>480.58499999999998</v>
      </c>
      <c r="K2642" s="732"/>
      <c r="L2642" s="715"/>
    </row>
    <row r="2643" spans="1:12" ht="9.1999999999999993" customHeight="1">
      <c r="B2643" s="720"/>
      <c r="C2643" s="717"/>
      <c r="D2643" s="717"/>
      <c r="E2643" s="710">
        <v>2</v>
      </c>
      <c r="F2643" s="718" t="s">
        <v>244</v>
      </c>
      <c r="G2643" s="718"/>
      <c r="H2643" s="718"/>
      <c r="I2643" s="729"/>
      <c r="J2643" s="714">
        <f>VLOOKUP(C2622,'Luong VP'!$B$10:$AP$189,39,0)</f>
        <v>4000</v>
      </c>
      <c r="K2643" s="734"/>
      <c r="L2643" s="735"/>
    </row>
    <row r="2644" spans="1:12" ht="9.1999999999999993" customHeight="1">
      <c r="B2644" s="720"/>
      <c r="C2644" s="717"/>
      <c r="D2644" s="717"/>
      <c r="E2644" s="710"/>
      <c r="F2644" s="718" t="s">
        <v>699</v>
      </c>
      <c r="G2644" s="718"/>
      <c r="H2644" s="718"/>
      <c r="I2644" s="729"/>
      <c r="J2644" s="714"/>
      <c r="K2644" s="714"/>
      <c r="L2644" s="736"/>
    </row>
    <row r="2645" spans="1:12" ht="9.1999999999999993" customHeight="1">
      <c r="B2645" s="720"/>
      <c r="C2645" s="717"/>
      <c r="D2645" s="717"/>
      <c r="E2645" s="710" t="s">
        <v>700</v>
      </c>
      <c r="F2645" s="710" t="s">
        <v>246</v>
      </c>
      <c r="G2645" s="710"/>
      <c r="H2645" s="710"/>
      <c r="I2645" s="729"/>
      <c r="J2645" s="728">
        <f>J2640-J2641</f>
        <v>3740.5534615384631</v>
      </c>
      <c r="K2645" s="728">
        <f>ROUND(J2645,-1)</f>
        <v>3740</v>
      </c>
      <c r="L2645" s="710"/>
    </row>
    <row r="2646" spans="1:12" ht="9.1999999999999993" customHeight="1">
      <c r="B2646" s="720"/>
      <c r="C2646" s="717"/>
      <c r="D2646" s="717"/>
      <c r="E2646" s="715"/>
      <c r="F2646" s="715"/>
      <c r="G2646" s="715"/>
      <c r="I2646" s="715" t="s">
        <v>701</v>
      </c>
      <c r="J2646" s="737"/>
      <c r="K2646" s="737"/>
      <c r="L2646" s="715"/>
    </row>
    <row r="2650" spans="1:12" ht="9.1999999999999993" customHeight="1">
      <c r="C2650" s="696"/>
      <c r="D2650" s="696"/>
      <c r="E2650" s="697" t="str">
        <f>$E$2</f>
        <v>THẺ LƯƠNG THÁNG 08/2019</v>
      </c>
      <c r="F2650" s="698"/>
      <c r="G2650" s="698"/>
      <c r="H2650" s="698"/>
    </row>
    <row r="2651" spans="1:12" ht="9.1999999999999993" customHeight="1">
      <c r="B2651" s="699" t="s">
        <v>644</v>
      </c>
      <c r="C2651" s="700" t="s">
        <v>449</v>
      </c>
      <c r="D2651" s="701"/>
      <c r="F2651" s="702" t="s">
        <v>645</v>
      </c>
      <c r="G2651" s="689" t="str">
        <f>VLOOKUP(C2651,'Luong VP'!$B$10:$AP$189,2,0)</f>
        <v>Thái Minh Tân</v>
      </c>
    </row>
    <row r="2652" spans="1:12" ht="9.1999999999999993" customHeight="1">
      <c r="B2652" s="699" t="s">
        <v>646</v>
      </c>
      <c r="C2652" s="689" t="str">
        <f>VLOOKUP(C2651,'Luong VP'!$B$10:$AP$189,3,0)</f>
        <v>Nhân viên vận hành máy</v>
      </c>
      <c r="F2652" s="702" t="s">
        <v>647</v>
      </c>
      <c r="G2652" s="689">
        <f>VLOOKUP(C2651,'Luong VP'!$B$10:$AP$189,5,0)</f>
        <v>2</v>
      </c>
    </row>
    <row r="2653" spans="1:12" ht="9.1999999999999993" customHeight="1">
      <c r="B2653" s="703"/>
      <c r="C2653" s="704"/>
      <c r="D2653" s="705"/>
      <c r="F2653" s="706" t="s">
        <v>648</v>
      </c>
      <c r="G2653" s="706"/>
      <c r="H2653" s="706"/>
      <c r="I2653" s="725"/>
      <c r="J2653" s="726"/>
    </row>
    <row r="2654" spans="1:12" ht="9.1999999999999993" customHeight="1">
      <c r="A2654" s="707" t="s">
        <v>216</v>
      </c>
      <c r="B2654" s="707" t="s">
        <v>649</v>
      </c>
      <c r="C2654" s="708" t="s">
        <v>650</v>
      </c>
      <c r="D2654" s="709"/>
      <c r="E2654" s="710" t="s">
        <v>216</v>
      </c>
      <c r="F2654" s="711" t="s">
        <v>649</v>
      </c>
      <c r="G2654" s="710"/>
      <c r="H2654" s="710" t="s">
        <v>651</v>
      </c>
      <c r="I2654" s="727" t="s">
        <v>652</v>
      </c>
      <c r="J2654" s="714"/>
      <c r="L2654" s="694" t="s">
        <v>653</v>
      </c>
    </row>
    <row r="2655" spans="1:12" ht="9.1999999999999993" customHeight="1">
      <c r="A2655" s="712">
        <v>1</v>
      </c>
      <c r="B2655" s="713" t="s">
        <v>654</v>
      </c>
      <c r="C2655" s="714">
        <f>VLOOKUP(C2651,'Luong VP'!$B$10:$AP$189,9,0)</f>
        <v>6950</v>
      </c>
      <c r="D2655" s="715"/>
      <c r="E2655" s="710" t="s">
        <v>655</v>
      </c>
      <c r="F2655" s="716" t="s">
        <v>656</v>
      </c>
      <c r="G2655" s="710"/>
      <c r="H2655" s="710"/>
      <c r="I2655" s="727"/>
      <c r="J2655" s="714">
        <f>VLOOKUP(C2651,'Luong VP'!$B$10:$AP$189,21,0)</f>
        <v>7150</v>
      </c>
    </row>
    <row r="2656" spans="1:12" ht="9.1999999999999993" customHeight="1">
      <c r="A2656" s="712">
        <v>2</v>
      </c>
      <c r="B2656" s="713" t="s">
        <v>658</v>
      </c>
      <c r="C2656" s="714"/>
      <c r="D2656" s="717"/>
      <c r="E2656" s="710">
        <v>1</v>
      </c>
      <c r="F2656" s="718" t="s">
        <v>659</v>
      </c>
      <c r="G2656" s="718"/>
      <c r="H2656" s="710" t="s">
        <v>660</v>
      </c>
      <c r="I2656" s="727">
        <f>VLOOKUP(C2651,'Luong VP'!$B$10:$AP$189,22,0)</f>
        <v>26</v>
      </c>
      <c r="J2656" s="728">
        <f>J2655/'Cham cong'!$AS$3*I2656</f>
        <v>7150</v>
      </c>
    </row>
    <row r="2657" spans="1:12" ht="9.1999999999999993" customHeight="1">
      <c r="A2657" s="712">
        <v>3</v>
      </c>
      <c r="B2657" s="713" t="s">
        <v>661</v>
      </c>
      <c r="C2657" s="714">
        <f>VLOOKUP(C2651,'Luong VP'!$B$10:$AP$189,10,0)</f>
        <v>200</v>
      </c>
      <c r="D2657" s="717"/>
      <c r="E2657" s="710">
        <v>2</v>
      </c>
      <c r="F2657" s="718" t="s">
        <v>662</v>
      </c>
      <c r="G2657" s="718"/>
      <c r="H2657" s="710" t="s">
        <v>660</v>
      </c>
      <c r="I2657" s="727">
        <f>VLOOKUP(C2651,'Luong VP'!$B$10:$AP$189,27,0)</f>
        <v>0</v>
      </c>
      <c r="J2657" s="728">
        <f>J2655/'Cham cong'!$AS$3*I2657*3</f>
        <v>0</v>
      </c>
    </row>
    <row r="2658" spans="1:12" ht="9.1999999999999993" customHeight="1">
      <c r="A2658" s="712">
        <v>4</v>
      </c>
      <c r="B2658" s="713" t="s">
        <v>666</v>
      </c>
      <c r="C2658" s="714">
        <f>VLOOKUP(C2651,'Luong VP'!$B$10:$AP$189,11,0)</f>
        <v>0</v>
      </c>
      <c r="D2658" s="717"/>
      <c r="E2658" s="710">
        <v>3</v>
      </c>
      <c r="F2658" s="718" t="s">
        <v>667</v>
      </c>
      <c r="G2658" s="718"/>
      <c r="H2658" s="710" t="s">
        <v>668</v>
      </c>
      <c r="I2658" s="727">
        <f>VLOOKUP(C2651,'Luong VP'!$B$10:$AP$189,26,0)</f>
        <v>0</v>
      </c>
      <c r="J2658" s="728">
        <f>J2655/'Cham cong'!$AS$3*I2658/8*1.5</f>
        <v>0</v>
      </c>
    </row>
    <row r="2659" spans="1:12" ht="9.1999999999999993" customHeight="1">
      <c r="A2659" s="712">
        <v>5</v>
      </c>
      <c r="B2659" s="713" t="s">
        <v>670</v>
      </c>
      <c r="C2659" s="714">
        <f>VLOOKUP(C2651,'Luong VP'!$B$10:$AP$189,12,0)</f>
        <v>0</v>
      </c>
      <c r="D2659" s="717"/>
      <c r="E2659" s="710">
        <v>4</v>
      </c>
      <c r="F2659" s="718" t="s">
        <v>671</v>
      </c>
      <c r="G2659" s="718"/>
      <c r="H2659" s="710" t="s">
        <v>668</v>
      </c>
      <c r="I2659" s="727">
        <f>VLOOKUP(C2651,'Luong VP'!$B$10:$AP$189,25,0)</f>
        <v>0</v>
      </c>
      <c r="J2659" s="728">
        <f>J2655/'Cham cong'!$AS$3*I2659/8*2</f>
        <v>0</v>
      </c>
    </row>
    <row r="2660" spans="1:12" ht="9.1999999999999993" customHeight="1">
      <c r="A2660" s="712">
        <v>6</v>
      </c>
      <c r="B2660" s="713" t="s">
        <v>673</v>
      </c>
      <c r="C2660" s="714">
        <f>VLOOKUP(C2651,'Luong VP'!$B$10:$AP$189,13,0)</f>
        <v>0</v>
      </c>
      <c r="D2660" s="717"/>
      <c r="E2660" s="710">
        <v>5</v>
      </c>
      <c r="F2660" s="718" t="s">
        <v>674</v>
      </c>
      <c r="G2660" s="718"/>
      <c r="H2660" s="710" t="s">
        <v>660</v>
      </c>
      <c r="I2660" s="727">
        <f>VLOOKUP(C2651,'Luong VP'!$B$10:$AP$189,23,0)</f>
        <v>0</v>
      </c>
      <c r="J2660" s="728">
        <f>C2655/'Cham cong'!$AS$3*I2660</f>
        <v>0</v>
      </c>
      <c r="L2660" s="694" t="str">
        <f>G2651</f>
        <v>Thái Minh Tân</v>
      </c>
    </row>
    <row r="2661" spans="1:12" ht="9.1999999999999993" customHeight="1">
      <c r="A2661" s="712">
        <v>7</v>
      </c>
      <c r="B2661" s="713" t="s">
        <v>676</v>
      </c>
      <c r="C2661" s="714"/>
      <c r="D2661" s="717"/>
      <c r="E2661" s="710">
        <v>6</v>
      </c>
      <c r="F2661" s="718" t="s">
        <v>677</v>
      </c>
      <c r="G2661" s="718"/>
      <c r="H2661" s="710" t="s">
        <v>660</v>
      </c>
      <c r="I2661" s="727">
        <f>VLOOKUP(C2651,'Luong VP'!$B$10:$AP$189,24,0)</f>
        <v>1</v>
      </c>
      <c r="J2661" s="714">
        <f>C2655/'Cham cong'!$AS$3*I2661</f>
        <v>267.30769230769232</v>
      </c>
    </row>
    <row r="2662" spans="1:12" ht="9.1999999999999993" customHeight="1">
      <c r="A2662" s="712">
        <v>8</v>
      </c>
      <c r="B2662" s="713" t="s">
        <v>679</v>
      </c>
      <c r="C2662" s="714">
        <f>VLOOKUP(C2651,'Luong VP'!$B$10:$AP$189,14,0)</f>
        <v>0</v>
      </c>
      <c r="D2662" s="717"/>
      <c r="E2662" s="710">
        <v>7</v>
      </c>
      <c r="F2662" s="718" t="s">
        <v>680</v>
      </c>
      <c r="G2662" s="718"/>
      <c r="H2662" s="718"/>
      <c r="I2662" s="729"/>
      <c r="J2662" s="714">
        <f>VLOOKUP(C2651,'Luong VP'!$B$10:$AP$189,28,0)</f>
        <v>0</v>
      </c>
    </row>
    <row r="2663" spans="1:12" ht="9.1999999999999993" customHeight="1">
      <c r="A2663" s="712">
        <v>9</v>
      </c>
      <c r="B2663" s="713" t="s">
        <v>683</v>
      </c>
      <c r="C2663" s="714">
        <f>VLOOKUP(C2651,'Luong VP'!$B$10:$AP$189,15,0)</f>
        <v>0</v>
      </c>
      <c r="D2663" s="717"/>
      <c r="E2663" s="710">
        <v>8</v>
      </c>
      <c r="F2663" s="718" t="s">
        <v>238</v>
      </c>
      <c r="G2663" s="718"/>
      <c r="H2663" s="718"/>
      <c r="I2663" s="729"/>
      <c r="J2663" s="714">
        <f>VLOOKUP(C2651,'Luong VP'!$B$10:$AP$189,33,0)</f>
        <v>0</v>
      </c>
    </row>
    <row r="2664" spans="1:12" ht="9.1999999999999993" customHeight="1">
      <c r="A2664" s="712">
        <v>10</v>
      </c>
      <c r="B2664" s="713" t="s">
        <v>685</v>
      </c>
      <c r="C2664" s="714">
        <f>VLOOKUP(C2651,'Luong VP'!$B$10:$AP$189,16,0)</f>
        <v>0</v>
      </c>
      <c r="D2664" s="717"/>
      <c r="E2664" s="710" t="s">
        <v>686</v>
      </c>
      <c r="F2664" s="716" t="s">
        <v>687</v>
      </c>
      <c r="G2664" s="719"/>
      <c r="H2664" s="719"/>
      <c r="I2664" s="729"/>
      <c r="J2664" s="730"/>
    </row>
    <row r="2665" spans="1:12" ht="9.1999999999999993" customHeight="1">
      <c r="A2665" s="712">
        <v>11</v>
      </c>
      <c r="B2665" s="713" t="s">
        <v>688</v>
      </c>
      <c r="C2665" s="714">
        <f>VLOOKUP(C2651,'Luong VP'!$B$10:$AP$189,17,0)</f>
        <v>0</v>
      </c>
      <c r="D2665" s="717"/>
      <c r="E2665" s="710">
        <v>1</v>
      </c>
      <c r="F2665" s="716" t="s">
        <v>689</v>
      </c>
      <c r="G2665" s="719"/>
      <c r="H2665" s="719"/>
      <c r="I2665" s="714">
        <f>VLOOKUP(C2651,'Luong VP'!$B$10:$AP$189,30,0)</f>
        <v>0</v>
      </c>
      <c r="J2665" s="714">
        <f>VLOOKUP(C2651,'Luong VP'!$B$10:$AP$189,30,0)</f>
        <v>0</v>
      </c>
    </row>
    <row r="2666" spans="1:12" ht="9.1999999999999993" customHeight="1">
      <c r="A2666" s="712">
        <v>12</v>
      </c>
      <c r="B2666" s="713" t="s">
        <v>691</v>
      </c>
      <c r="C2666" s="714">
        <f>VLOOKUP(C2651,'Luong VP'!$B$10:$AP$189,18,0)</f>
        <v>0</v>
      </c>
      <c r="D2666" s="717"/>
      <c r="E2666" s="710">
        <v>2</v>
      </c>
      <c r="F2666" s="718" t="s">
        <v>239</v>
      </c>
      <c r="G2666" s="718"/>
      <c r="H2666" s="718"/>
      <c r="I2666" s="727"/>
      <c r="J2666" s="728">
        <f>VLOOKUP(C2651,'Luong VP'!$B$10:$AP$189,34,0)</f>
        <v>0</v>
      </c>
      <c r="K2666" s="731"/>
      <c r="L2666" s="715"/>
    </row>
    <row r="2667" spans="1:12" ht="9.1999999999999993" customHeight="1">
      <c r="A2667" s="712">
        <v>13</v>
      </c>
      <c r="B2667" s="713" t="s">
        <v>692</v>
      </c>
      <c r="C2667" s="714">
        <f>VLOOKUP(C2651,'Luong VP'!$B$10:$AP$189,19,0)</f>
        <v>0</v>
      </c>
      <c r="D2667" s="717"/>
      <c r="E2667" s="710">
        <v>3</v>
      </c>
      <c r="F2667" s="716" t="s">
        <v>693</v>
      </c>
      <c r="G2667" s="719"/>
      <c r="H2667" s="719"/>
      <c r="I2667" s="729"/>
      <c r="J2667" s="714">
        <f>VLOOKUP(C2651,'Luong VP'!$B$10:$AP$189,40,0)</f>
        <v>0</v>
      </c>
      <c r="K2667" s="731"/>
      <c r="L2667" s="715"/>
    </row>
    <row r="2668" spans="1:12" ht="9.1999999999999993" customHeight="1">
      <c r="A2668" s="712">
        <v>14</v>
      </c>
      <c r="B2668" s="713" t="s">
        <v>694</v>
      </c>
      <c r="C2668" s="714">
        <f>VLOOKUP(C2651,'Luong VP'!$B$10:$AP$189,20,0)</f>
        <v>0</v>
      </c>
      <c r="D2668" s="717"/>
      <c r="E2668" s="710">
        <v>4</v>
      </c>
      <c r="F2668" s="718" t="s">
        <v>695</v>
      </c>
      <c r="G2668" s="719"/>
      <c r="H2668" s="719"/>
      <c r="I2668" s="729"/>
      <c r="J2668" s="714">
        <f>VLOOKUP(C2651,'Luong VP'!$B$10:$AP$189,35,0)</f>
        <v>0</v>
      </c>
      <c r="K2668" s="732"/>
      <c r="L2668" s="715"/>
    </row>
    <row r="2669" spans="1:12" ht="9.1999999999999993" customHeight="1">
      <c r="A2669" s="712"/>
      <c r="B2669" s="707" t="s">
        <v>656</v>
      </c>
      <c r="C2669" s="714">
        <f>SUM(C2655:C2668)</f>
        <v>7150</v>
      </c>
      <c r="D2669" s="717"/>
      <c r="E2669" s="710"/>
      <c r="F2669" s="716" t="s">
        <v>241</v>
      </c>
      <c r="G2669" s="719"/>
      <c r="H2669" s="719"/>
      <c r="I2669" s="729"/>
      <c r="J2669" s="730">
        <f>SUM(J2656:J2668)+C2663</f>
        <v>7417.3076923076924</v>
      </c>
      <c r="K2669" s="731"/>
      <c r="L2669" s="715"/>
    </row>
    <row r="2670" spans="1:12" ht="9.1999999999999993" customHeight="1">
      <c r="B2670" s="720"/>
      <c r="C2670" s="717"/>
      <c r="D2670" s="717"/>
      <c r="E2670" s="710" t="s">
        <v>696</v>
      </c>
      <c r="F2670" s="711" t="s">
        <v>697</v>
      </c>
      <c r="G2670" s="710"/>
      <c r="H2670" s="710"/>
      <c r="I2670" s="729"/>
      <c r="J2670" s="730">
        <f>SUM(J2671:J2673)</f>
        <v>4480.585</v>
      </c>
      <c r="K2670" s="732"/>
      <c r="L2670" s="715"/>
    </row>
    <row r="2671" spans="1:12" ht="9.1999999999999993" customHeight="1">
      <c r="B2671" s="720"/>
      <c r="C2671" s="717"/>
      <c r="D2671" s="717"/>
      <c r="E2671" s="710">
        <v>1</v>
      </c>
      <c r="F2671" s="718" t="s">
        <v>698</v>
      </c>
      <c r="G2671" s="718"/>
      <c r="H2671" s="718"/>
      <c r="I2671" s="733"/>
      <c r="J2671" s="714">
        <f>VLOOKUP(C2651,'Luong VP'!$B$10:$AP$189,37,0)</f>
        <v>480.58499999999998</v>
      </c>
      <c r="K2671" s="732"/>
      <c r="L2671" s="715"/>
    </row>
    <row r="2672" spans="1:12" ht="9.1999999999999993" customHeight="1">
      <c r="B2672" s="720"/>
      <c r="C2672" s="717"/>
      <c r="D2672" s="717"/>
      <c r="E2672" s="710">
        <v>2</v>
      </c>
      <c r="F2672" s="718" t="s">
        <v>244</v>
      </c>
      <c r="G2672" s="718"/>
      <c r="H2672" s="718"/>
      <c r="I2672" s="729"/>
      <c r="J2672" s="714">
        <f>VLOOKUP(C2651,'Luong VP'!$B$10:$AP$189,39,0)</f>
        <v>4000</v>
      </c>
      <c r="K2672" s="734"/>
      <c r="L2672" s="735"/>
    </row>
    <row r="2673" spans="1:12" ht="9.1999999999999993" customHeight="1">
      <c r="B2673" s="720"/>
      <c r="C2673" s="717"/>
      <c r="D2673" s="717"/>
      <c r="E2673" s="710"/>
      <c r="F2673" s="718" t="s">
        <v>699</v>
      </c>
      <c r="G2673" s="718"/>
      <c r="H2673" s="718"/>
      <c r="I2673" s="729"/>
      <c r="J2673" s="714"/>
      <c r="K2673" s="714"/>
      <c r="L2673" s="736"/>
    </row>
    <row r="2674" spans="1:12" ht="9.1999999999999993" customHeight="1">
      <c r="B2674" s="720"/>
      <c r="C2674" s="717"/>
      <c r="D2674" s="717"/>
      <c r="E2674" s="710" t="s">
        <v>700</v>
      </c>
      <c r="F2674" s="710" t="s">
        <v>246</v>
      </c>
      <c r="G2674" s="710"/>
      <c r="H2674" s="710"/>
      <c r="I2674" s="729"/>
      <c r="J2674" s="728">
        <f>J2669-J2670</f>
        <v>2936.7226923076923</v>
      </c>
      <c r="K2674" s="728">
        <f>ROUND(J2674,-1)</f>
        <v>2940</v>
      </c>
      <c r="L2674" s="710"/>
    </row>
    <row r="2675" spans="1:12" ht="9.1999999999999993" customHeight="1">
      <c r="B2675" s="720"/>
      <c r="C2675" s="717"/>
      <c r="D2675" s="717"/>
      <c r="E2675" s="715"/>
      <c r="F2675" s="715"/>
      <c r="G2675" s="715"/>
      <c r="I2675" s="715" t="s">
        <v>701</v>
      </c>
      <c r="J2675" s="737"/>
      <c r="K2675" s="737"/>
      <c r="L2675" s="715"/>
    </row>
    <row r="2676" spans="1:12" ht="9.1999999999999993" customHeight="1">
      <c r="B2676" s="720"/>
      <c r="C2676" s="717"/>
      <c r="D2676" s="717"/>
      <c r="E2676" s="715"/>
      <c r="F2676" s="715"/>
      <c r="G2676" s="715"/>
      <c r="I2676" s="715"/>
      <c r="J2676" s="737"/>
      <c r="K2676" s="737"/>
      <c r="L2676" s="715"/>
    </row>
    <row r="2677" spans="1:12" ht="9.1999999999999993" customHeight="1">
      <c r="B2677" s="720"/>
      <c r="C2677" s="717"/>
      <c r="D2677" s="717"/>
      <c r="E2677" s="715"/>
      <c r="F2677" s="715"/>
      <c r="G2677" s="715"/>
      <c r="I2677" s="715"/>
      <c r="J2677" s="737"/>
      <c r="K2677" s="737"/>
      <c r="L2677" s="715"/>
    </row>
    <row r="2678" spans="1:12" ht="9.1999999999999993" customHeight="1">
      <c r="B2678" s="720"/>
      <c r="C2678" s="717"/>
      <c r="D2678" s="717"/>
      <c r="E2678" s="715"/>
      <c r="F2678" s="715"/>
      <c r="G2678" s="715"/>
      <c r="I2678" s="715"/>
      <c r="J2678" s="737"/>
      <c r="K2678" s="737"/>
      <c r="L2678" s="715"/>
    </row>
    <row r="2680" spans="1:12" ht="9.1999999999999993" customHeight="1">
      <c r="C2680" s="696"/>
      <c r="D2680" s="696"/>
      <c r="E2680" s="697" t="str">
        <f>$E$2</f>
        <v>THẺ LƯƠNG THÁNG 08/2019</v>
      </c>
      <c r="F2680" s="698"/>
      <c r="G2680" s="698"/>
      <c r="H2680" s="698"/>
    </row>
    <row r="2681" spans="1:12" ht="9.1999999999999993" customHeight="1">
      <c r="B2681" s="699" t="s">
        <v>644</v>
      </c>
      <c r="C2681" s="700" t="s">
        <v>451</v>
      </c>
      <c r="D2681" s="701"/>
      <c r="F2681" s="702" t="s">
        <v>645</v>
      </c>
      <c r="G2681" s="689" t="str">
        <f>VLOOKUP(C2681,'Luong VP'!$B$10:$AP$189,2,0)</f>
        <v>Trần Văn Phi</v>
      </c>
    </row>
    <row r="2682" spans="1:12" ht="9.1999999999999993" customHeight="1">
      <c r="B2682" s="699" t="s">
        <v>646</v>
      </c>
      <c r="C2682" s="689" t="str">
        <f>VLOOKUP(C2681,'Luong VP'!$B$10:$AP$189,3,0)</f>
        <v>Nhân viên vận hành máy</v>
      </c>
      <c r="F2682" s="702" t="s">
        <v>647</v>
      </c>
      <c r="G2682" s="689">
        <f>VLOOKUP(C2681,'Luong VP'!$B$10:$AP$189,5,0)</f>
        <v>2</v>
      </c>
    </row>
    <row r="2683" spans="1:12" ht="9.1999999999999993" customHeight="1">
      <c r="B2683" s="703"/>
      <c r="C2683" s="704"/>
      <c r="D2683" s="705"/>
      <c r="F2683" s="706" t="s">
        <v>648</v>
      </c>
      <c r="G2683" s="706"/>
      <c r="H2683" s="706"/>
      <c r="I2683" s="725"/>
      <c r="J2683" s="726"/>
    </row>
    <row r="2684" spans="1:12" ht="9.1999999999999993" customHeight="1">
      <c r="A2684" s="707" t="s">
        <v>216</v>
      </c>
      <c r="B2684" s="707" t="s">
        <v>649</v>
      </c>
      <c r="C2684" s="708" t="s">
        <v>650</v>
      </c>
      <c r="D2684" s="709"/>
      <c r="E2684" s="710" t="s">
        <v>216</v>
      </c>
      <c r="F2684" s="711" t="s">
        <v>649</v>
      </c>
      <c r="G2684" s="710"/>
      <c r="H2684" s="710" t="s">
        <v>651</v>
      </c>
      <c r="I2684" s="727" t="s">
        <v>652</v>
      </c>
      <c r="J2684" s="714"/>
      <c r="L2684" s="694" t="s">
        <v>653</v>
      </c>
    </row>
    <row r="2685" spans="1:12" ht="9.1999999999999993" customHeight="1">
      <c r="A2685" s="712">
        <v>1</v>
      </c>
      <c r="B2685" s="713" t="s">
        <v>654</v>
      </c>
      <c r="C2685" s="714">
        <f>VLOOKUP(C2681,'Luong VP'!$B$10:$AP$189,9,0)</f>
        <v>6950</v>
      </c>
      <c r="D2685" s="715"/>
      <c r="E2685" s="710" t="s">
        <v>655</v>
      </c>
      <c r="F2685" s="716" t="s">
        <v>656</v>
      </c>
      <c r="G2685" s="710"/>
      <c r="H2685" s="710"/>
      <c r="I2685" s="727"/>
      <c r="J2685" s="714">
        <f>VLOOKUP(C2681,'Luong VP'!$B$10:$AP$189,21,0)</f>
        <v>7358.5</v>
      </c>
    </row>
    <row r="2686" spans="1:12" ht="9.1999999999999993" customHeight="1">
      <c r="A2686" s="712">
        <v>2</v>
      </c>
      <c r="B2686" s="713" t="s">
        <v>658</v>
      </c>
      <c r="C2686" s="714"/>
      <c r="D2686" s="717"/>
      <c r="E2686" s="710">
        <v>1</v>
      </c>
      <c r="F2686" s="718" t="s">
        <v>659</v>
      </c>
      <c r="G2686" s="718"/>
      <c r="H2686" s="710" t="s">
        <v>660</v>
      </c>
      <c r="I2686" s="727">
        <f>VLOOKUP(C2681,'Luong VP'!$B$10:$AP$189,22,0)</f>
        <v>26</v>
      </c>
      <c r="J2686" s="728">
        <f>J2685/'Cham cong'!$AS$3*I2686</f>
        <v>7358.5</v>
      </c>
    </row>
    <row r="2687" spans="1:12" ht="9.1999999999999993" customHeight="1">
      <c r="A2687" s="712">
        <v>3</v>
      </c>
      <c r="B2687" s="713" t="s">
        <v>661</v>
      </c>
      <c r="C2687" s="714">
        <f>VLOOKUP(C2681,'Luong VP'!$B$10:$AP$189,10,0)</f>
        <v>200</v>
      </c>
      <c r="D2687" s="717"/>
      <c r="E2687" s="710">
        <v>2</v>
      </c>
      <c r="F2687" s="718" t="s">
        <v>662</v>
      </c>
      <c r="G2687" s="718"/>
      <c r="H2687" s="710" t="s">
        <v>660</v>
      </c>
      <c r="I2687" s="727">
        <f>VLOOKUP(C2681,'Luong VP'!$B$10:$AP$189,27,0)</f>
        <v>0</v>
      </c>
      <c r="J2687" s="728">
        <f>J2685/'Cham cong'!$AS$3*I2687*3</f>
        <v>0</v>
      </c>
    </row>
    <row r="2688" spans="1:12" ht="9.1999999999999993" customHeight="1">
      <c r="A2688" s="712">
        <v>4</v>
      </c>
      <c r="B2688" s="713" t="s">
        <v>666</v>
      </c>
      <c r="C2688" s="714">
        <f>VLOOKUP(C2681,'Luong VP'!$B$10:$AP$189,11,0)</f>
        <v>0</v>
      </c>
      <c r="D2688" s="717"/>
      <c r="E2688" s="710">
        <v>3</v>
      </c>
      <c r="F2688" s="718" t="s">
        <v>667</v>
      </c>
      <c r="G2688" s="718"/>
      <c r="H2688" s="710" t="s">
        <v>668</v>
      </c>
      <c r="I2688" s="727">
        <f>VLOOKUP(C2681,'Luong VP'!$B$10:$AP$189,26,0)</f>
        <v>0</v>
      </c>
      <c r="J2688" s="728">
        <f>J2685/'Cham cong'!$AS$3*I2688/8*1.5</f>
        <v>0</v>
      </c>
    </row>
    <row r="2689" spans="1:12" ht="9.1999999999999993" customHeight="1">
      <c r="A2689" s="712">
        <v>5</v>
      </c>
      <c r="B2689" s="713" t="s">
        <v>670</v>
      </c>
      <c r="C2689" s="714">
        <f>VLOOKUP(C2681,'Luong VP'!$B$10:$AP$189,12,0)</f>
        <v>208.5</v>
      </c>
      <c r="D2689" s="717"/>
      <c r="E2689" s="710">
        <v>4</v>
      </c>
      <c r="F2689" s="718" t="s">
        <v>671</v>
      </c>
      <c r="G2689" s="718"/>
      <c r="H2689" s="710" t="s">
        <v>668</v>
      </c>
      <c r="I2689" s="727">
        <f>VLOOKUP(C2681,'Luong VP'!$B$10:$AP$189,25,0)</f>
        <v>0</v>
      </c>
      <c r="J2689" s="728">
        <f>J2685/'Cham cong'!$AS$3*I2689/8*2</f>
        <v>0</v>
      </c>
    </row>
    <row r="2690" spans="1:12" ht="9.1999999999999993" customHeight="1">
      <c r="A2690" s="712">
        <v>6</v>
      </c>
      <c r="B2690" s="713" t="s">
        <v>673</v>
      </c>
      <c r="C2690" s="714">
        <f>VLOOKUP(C2681,'Luong VP'!$B$10:$AP$189,13,0)</f>
        <v>0</v>
      </c>
      <c r="D2690" s="717"/>
      <c r="E2690" s="710">
        <v>5</v>
      </c>
      <c r="F2690" s="718" t="s">
        <v>674</v>
      </c>
      <c r="G2690" s="718"/>
      <c r="H2690" s="710" t="s">
        <v>660</v>
      </c>
      <c r="I2690" s="727">
        <f>VLOOKUP(C2681,'Luong VP'!$B$10:$AP$189,23,0)</f>
        <v>0</v>
      </c>
      <c r="J2690" s="728">
        <f>C2685/'Cham cong'!$AS$3*I2690</f>
        <v>0</v>
      </c>
      <c r="L2690" s="694" t="str">
        <f>G2681</f>
        <v>Trần Văn Phi</v>
      </c>
    </row>
    <row r="2691" spans="1:12" ht="9.1999999999999993" customHeight="1">
      <c r="A2691" s="712">
        <v>7</v>
      </c>
      <c r="B2691" s="713" t="s">
        <v>676</v>
      </c>
      <c r="C2691" s="714"/>
      <c r="D2691" s="717"/>
      <c r="E2691" s="710">
        <v>6</v>
      </c>
      <c r="F2691" s="718" t="s">
        <v>677</v>
      </c>
      <c r="G2691" s="718"/>
      <c r="H2691" s="710" t="s">
        <v>660</v>
      </c>
      <c r="I2691" s="727">
        <f>VLOOKUP(C2681,'Luong VP'!$B$10:$AP$189,24,0)</f>
        <v>1</v>
      </c>
      <c r="J2691" s="714">
        <f>C2685/'Cham cong'!$AS$3*I2691</f>
        <v>267.30769230769232</v>
      </c>
    </row>
    <row r="2692" spans="1:12" ht="9.1999999999999993" customHeight="1">
      <c r="A2692" s="712">
        <v>8</v>
      </c>
      <c r="B2692" s="713" t="s">
        <v>679</v>
      </c>
      <c r="C2692" s="714">
        <f>VLOOKUP(C2681,'Luong VP'!$B$10:$AP$189,14,0)</f>
        <v>0</v>
      </c>
      <c r="D2692" s="717"/>
      <c r="E2692" s="710">
        <v>7</v>
      </c>
      <c r="F2692" s="718" t="s">
        <v>680</v>
      </c>
      <c r="G2692" s="718"/>
      <c r="H2692" s="718"/>
      <c r="I2692" s="729"/>
      <c r="J2692" s="714">
        <f>VLOOKUP(C2681,'Luong VP'!$B$10:$AP$189,28,0)</f>
        <v>0</v>
      </c>
    </row>
    <row r="2693" spans="1:12" ht="9.1999999999999993" customHeight="1">
      <c r="A2693" s="712">
        <v>9</v>
      </c>
      <c r="B2693" s="713" t="s">
        <v>683</v>
      </c>
      <c r="C2693" s="714">
        <f>VLOOKUP(C2681,'Luong VP'!$B$10:$AP$189,15,0)</f>
        <v>0</v>
      </c>
      <c r="D2693" s="717"/>
      <c r="E2693" s="710">
        <v>8</v>
      </c>
      <c r="F2693" s="718" t="s">
        <v>238</v>
      </c>
      <c r="G2693" s="718"/>
      <c r="H2693" s="718"/>
      <c r="I2693" s="729"/>
      <c r="J2693" s="714">
        <f>VLOOKUP(C2681,'Luong VP'!$B$10:$AP$189,33,0)</f>
        <v>0</v>
      </c>
    </row>
    <row r="2694" spans="1:12" ht="9.1999999999999993" customHeight="1">
      <c r="A2694" s="712">
        <v>10</v>
      </c>
      <c r="B2694" s="713" t="s">
        <v>685</v>
      </c>
      <c r="C2694" s="714">
        <f>VLOOKUP(C2681,'Luong VP'!$B$10:$AP$189,16,0)</f>
        <v>0</v>
      </c>
      <c r="D2694" s="717"/>
      <c r="E2694" s="710" t="s">
        <v>686</v>
      </c>
      <c r="F2694" s="716" t="s">
        <v>687</v>
      </c>
      <c r="G2694" s="719"/>
      <c r="H2694" s="719"/>
      <c r="I2694" s="729"/>
      <c r="J2694" s="730"/>
    </row>
    <row r="2695" spans="1:12" ht="9.1999999999999993" customHeight="1">
      <c r="A2695" s="712">
        <v>11</v>
      </c>
      <c r="B2695" s="713" t="s">
        <v>688</v>
      </c>
      <c r="C2695" s="714">
        <f>VLOOKUP(C2681,'Luong VP'!$B$10:$AP$189,17,0)</f>
        <v>0</v>
      </c>
      <c r="D2695" s="717"/>
      <c r="E2695" s="710">
        <v>1</v>
      </c>
      <c r="F2695" s="716" t="s">
        <v>689</v>
      </c>
      <c r="G2695" s="719"/>
      <c r="H2695" s="719"/>
      <c r="I2695" s="714">
        <f>VLOOKUP(C2681,'Luong VP'!$B$10:$AP$189,30,0)</f>
        <v>0</v>
      </c>
      <c r="J2695" s="714">
        <f>VLOOKUP(C2681,'Luong VP'!$B$10:$AP$189,30,0)</f>
        <v>0</v>
      </c>
    </row>
    <row r="2696" spans="1:12" ht="9.1999999999999993" customHeight="1">
      <c r="A2696" s="712">
        <v>12</v>
      </c>
      <c r="B2696" s="713" t="s">
        <v>691</v>
      </c>
      <c r="C2696" s="714">
        <f>VLOOKUP(C2681,'Luong VP'!$B$10:$AP$189,18,0)</f>
        <v>0</v>
      </c>
      <c r="D2696" s="717"/>
      <c r="E2696" s="710">
        <v>2</v>
      </c>
      <c r="F2696" s="718" t="s">
        <v>239</v>
      </c>
      <c r="G2696" s="718"/>
      <c r="H2696" s="718"/>
      <c r="I2696" s="727"/>
      <c r="J2696" s="728">
        <f>VLOOKUP(C2681,'Luong VP'!$B$10:$AP$189,34,0)</f>
        <v>0</v>
      </c>
      <c r="K2696" s="731"/>
      <c r="L2696" s="715"/>
    </row>
    <row r="2697" spans="1:12" ht="9.1999999999999993" customHeight="1">
      <c r="A2697" s="712">
        <v>13</v>
      </c>
      <c r="B2697" s="713" t="s">
        <v>692</v>
      </c>
      <c r="C2697" s="714">
        <f>VLOOKUP(C2681,'Luong VP'!$B$10:$AP$189,19,0)</f>
        <v>0</v>
      </c>
      <c r="D2697" s="717"/>
      <c r="E2697" s="710">
        <v>3</v>
      </c>
      <c r="F2697" s="716" t="s">
        <v>693</v>
      </c>
      <c r="G2697" s="719"/>
      <c r="H2697" s="719"/>
      <c r="I2697" s="729"/>
      <c r="J2697" s="714">
        <f>VLOOKUP(C2681,'Luong VP'!$B$10:$AP$189,40,0)</f>
        <v>0</v>
      </c>
      <c r="K2697" s="731"/>
      <c r="L2697" s="715"/>
    </row>
    <row r="2698" spans="1:12" ht="9.1999999999999993" customHeight="1">
      <c r="A2698" s="712">
        <v>14</v>
      </c>
      <c r="B2698" s="713" t="s">
        <v>694</v>
      </c>
      <c r="C2698" s="714">
        <f>VLOOKUP(C2681,'Luong VP'!$B$10:$AP$189,20,0)</f>
        <v>0</v>
      </c>
      <c r="D2698" s="717"/>
      <c r="E2698" s="710">
        <v>4</v>
      </c>
      <c r="F2698" s="718" t="s">
        <v>695</v>
      </c>
      <c r="G2698" s="719"/>
      <c r="H2698" s="719"/>
      <c r="I2698" s="729"/>
      <c r="J2698" s="714">
        <f>VLOOKUP(C2681,'Luong VP'!$B$10:$AP$189,35,0)</f>
        <v>0</v>
      </c>
      <c r="K2698" s="732"/>
      <c r="L2698" s="715"/>
    </row>
    <row r="2699" spans="1:12" ht="9.1999999999999993" customHeight="1">
      <c r="A2699" s="712"/>
      <c r="B2699" s="707" t="s">
        <v>656</v>
      </c>
      <c r="C2699" s="714">
        <f>SUM(C2685:C2698)</f>
        <v>7358.5</v>
      </c>
      <c r="D2699" s="717"/>
      <c r="E2699" s="710"/>
      <c r="F2699" s="716" t="s">
        <v>241</v>
      </c>
      <c r="G2699" s="719"/>
      <c r="H2699" s="719"/>
      <c r="I2699" s="729"/>
      <c r="J2699" s="730">
        <f>SUM(J2686:J2698)+C2693</f>
        <v>7625.8076923076924</v>
      </c>
      <c r="K2699" s="731"/>
      <c r="L2699" s="715"/>
    </row>
    <row r="2700" spans="1:12" ht="9.1999999999999993" customHeight="1">
      <c r="B2700" s="720"/>
      <c r="C2700" s="717"/>
      <c r="D2700" s="717"/>
      <c r="E2700" s="710" t="s">
        <v>696</v>
      </c>
      <c r="F2700" s="711" t="s">
        <v>697</v>
      </c>
      <c r="G2700" s="710"/>
      <c r="H2700" s="710"/>
      <c r="I2700" s="729"/>
      <c r="J2700" s="730">
        <f>SUM(J2701:J2703)</f>
        <v>4480.585</v>
      </c>
      <c r="K2700" s="732"/>
      <c r="L2700" s="715"/>
    </row>
    <row r="2701" spans="1:12" ht="9.1999999999999993" customHeight="1">
      <c r="B2701" s="720"/>
      <c r="C2701" s="717"/>
      <c r="D2701" s="717"/>
      <c r="E2701" s="710">
        <v>1</v>
      </c>
      <c r="F2701" s="718" t="s">
        <v>698</v>
      </c>
      <c r="G2701" s="718"/>
      <c r="H2701" s="718"/>
      <c r="I2701" s="733"/>
      <c r="J2701" s="714">
        <f>VLOOKUP(C2681,'Luong VP'!$B$10:$AP$189,37,0)</f>
        <v>480.58499999999998</v>
      </c>
      <c r="K2701" s="732"/>
      <c r="L2701" s="715"/>
    </row>
    <row r="2702" spans="1:12" ht="9.1999999999999993" customHeight="1">
      <c r="B2702" s="720"/>
      <c r="C2702" s="717"/>
      <c r="D2702" s="717"/>
      <c r="E2702" s="710">
        <v>2</v>
      </c>
      <c r="F2702" s="718" t="s">
        <v>244</v>
      </c>
      <c r="G2702" s="718"/>
      <c r="H2702" s="718"/>
      <c r="I2702" s="729"/>
      <c r="J2702" s="714">
        <f>VLOOKUP(C2681,'Luong VP'!$B$10:$AP$189,39,0)</f>
        <v>4000</v>
      </c>
      <c r="K2702" s="734"/>
      <c r="L2702" s="735"/>
    </row>
    <row r="2703" spans="1:12" ht="9.1999999999999993" customHeight="1">
      <c r="B2703" s="720"/>
      <c r="C2703" s="717"/>
      <c r="D2703" s="717"/>
      <c r="E2703" s="710"/>
      <c r="F2703" s="718" t="s">
        <v>699</v>
      </c>
      <c r="G2703" s="718"/>
      <c r="H2703" s="718"/>
      <c r="I2703" s="729"/>
      <c r="J2703" s="714"/>
      <c r="K2703" s="714"/>
      <c r="L2703" s="736"/>
    </row>
    <row r="2704" spans="1:12" ht="9.1999999999999993" customHeight="1">
      <c r="B2704" s="720"/>
      <c r="C2704" s="717"/>
      <c r="D2704" s="717"/>
      <c r="E2704" s="710" t="s">
        <v>700</v>
      </c>
      <c r="F2704" s="710" t="s">
        <v>246</v>
      </c>
      <c r="G2704" s="710"/>
      <c r="H2704" s="710"/>
      <c r="I2704" s="729"/>
      <c r="J2704" s="728">
        <f>J2699-J2700</f>
        <v>3145.2226923076923</v>
      </c>
      <c r="K2704" s="728">
        <f>ROUND(J2704,-1)</f>
        <v>3150</v>
      </c>
      <c r="L2704" s="710"/>
    </row>
    <row r="2705" spans="1:12" ht="9.1999999999999993" customHeight="1">
      <c r="B2705" s="720"/>
      <c r="C2705" s="717"/>
      <c r="D2705" s="717"/>
      <c r="E2705" s="715"/>
      <c r="F2705" s="715"/>
      <c r="G2705" s="715"/>
      <c r="H2705" s="1596"/>
      <c r="I2705" s="1596"/>
      <c r="J2705" s="1596"/>
      <c r="K2705" s="737"/>
      <c r="L2705" s="715"/>
    </row>
    <row r="2706" spans="1:12" ht="9.1999999999999993" customHeight="1">
      <c r="B2706" s="720"/>
      <c r="C2706" s="717"/>
      <c r="D2706" s="717"/>
      <c r="E2706" s="715"/>
      <c r="F2706" s="715"/>
      <c r="G2706" s="715"/>
      <c r="H2706" s="702"/>
      <c r="I2706" s="702"/>
      <c r="J2706" s="702"/>
      <c r="K2706" s="723"/>
      <c r="L2706" s="715"/>
    </row>
    <row r="2707" spans="1:12" ht="9.1999999999999993" customHeight="1">
      <c r="B2707" s="720"/>
      <c r="C2707" s="717"/>
      <c r="D2707" s="717"/>
      <c r="E2707" s="715"/>
      <c r="F2707" s="715"/>
      <c r="G2707" s="715"/>
      <c r="I2707" s="715"/>
      <c r="J2707" s="737"/>
      <c r="K2707" s="737"/>
      <c r="L2707" s="715"/>
    </row>
    <row r="2708" spans="1:12" ht="9.1999999999999993" customHeight="1">
      <c r="B2708" s="720"/>
      <c r="C2708" s="717"/>
      <c r="D2708" s="717"/>
      <c r="E2708" s="715"/>
      <c r="F2708" s="715"/>
      <c r="G2708" s="715"/>
      <c r="I2708" s="715"/>
      <c r="J2708" s="737"/>
      <c r="K2708" s="737"/>
      <c r="L2708" s="715"/>
    </row>
    <row r="2709" spans="1:12" ht="9.1999999999999993" customHeight="1">
      <c r="B2709" s="720"/>
      <c r="C2709" s="717"/>
      <c r="D2709" s="717"/>
      <c r="E2709" s="715"/>
      <c r="F2709" s="715"/>
      <c r="G2709" s="715"/>
      <c r="I2709" s="715"/>
      <c r="J2709" s="737"/>
      <c r="K2709" s="737"/>
      <c r="L2709" s="715"/>
    </row>
    <row r="2710" spans="1:12" ht="9.1999999999999993" customHeight="1">
      <c r="C2710" s="696"/>
      <c r="D2710" s="696"/>
      <c r="E2710" s="697" t="str">
        <f>$E$2</f>
        <v>THẺ LƯƠNG THÁNG 08/2019</v>
      </c>
      <c r="F2710" s="698"/>
      <c r="G2710" s="698"/>
      <c r="H2710" s="698"/>
    </row>
    <row r="2711" spans="1:12" ht="9.1999999999999993" customHeight="1">
      <c r="B2711" s="699" t="s">
        <v>644</v>
      </c>
      <c r="C2711" s="700" t="s">
        <v>433</v>
      </c>
      <c r="D2711" s="701"/>
      <c r="F2711" s="702" t="s">
        <v>645</v>
      </c>
      <c r="G2711" s="689" t="str">
        <f>VLOOKUP(C2711,'Luong VP'!$B$10:$AP$189,2,0)</f>
        <v>Trần Quốc Nam</v>
      </c>
    </row>
    <row r="2712" spans="1:12" ht="9.1999999999999993" customHeight="1">
      <c r="B2712" s="699" t="s">
        <v>646</v>
      </c>
      <c r="C2712" s="689" t="str">
        <f>VLOOKUP(C2711,'Luong VP'!$B$10:$AP$189,3,0)</f>
        <v>Nhân viên vận hành máy</v>
      </c>
      <c r="F2712" s="702" t="s">
        <v>647</v>
      </c>
      <c r="G2712" s="689">
        <f>VLOOKUP(C2711,'Luong VP'!$B$10:$AP$189,5,0)</f>
        <v>2</v>
      </c>
    </row>
    <row r="2713" spans="1:12" ht="9.1999999999999993" customHeight="1">
      <c r="B2713" s="703"/>
      <c r="C2713" s="704"/>
      <c r="D2713" s="705"/>
      <c r="F2713" s="706" t="s">
        <v>648</v>
      </c>
      <c r="G2713" s="706"/>
      <c r="H2713" s="706"/>
      <c r="I2713" s="725"/>
      <c r="J2713" s="726"/>
    </row>
    <row r="2714" spans="1:12" ht="9.1999999999999993" customHeight="1">
      <c r="A2714" s="707" t="s">
        <v>216</v>
      </c>
      <c r="B2714" s="707" t="s">
        <v>649</v>
      </c>
      <c r="C2714" s="708" t="s">
        <v>650</v>
      </c>
      <c r="D2714" s="709"/>
      <c r="E2714" s="710" t="s">
        <v>216</v>
      </c>
      <c r="F2714" s="711" t="s">
        <v>649</v>
      </c>
      <c r="G2714" s="710"/>
      <c r="H2714" s="710" t="s">
        <v>651</v>
      </c>
      <c r="I2714" s="727" t="s">
        <v>652</v>
      </c>
      <c r="J2714" s="714"/>
      <c r="L2714" s="694" t="s">
        <v>653</v>
      </c>
    </row>
    <row r="2715" spans="1:12" ht="9.1999999999999993" customHeight="1">
      <c r="A2715" s="712">
        <v>1</v>
      </c>
      <c r="B2715" s="713" t="s">
        <v>654</v>
      </c>
      <c r="C2715" s="714">
        <f>VLOOKUP(C2711,'Luong VP'!$B$10:$AP$189,9,0)</f>
        <v>6950</v>
      </c>
      <c r="D2715" s="715"/>
      <c r="E2715" s="710" t="s">
        <v>655</v>
      </c>
      <c r="F2715" s="716" t="s">
        <v>656</v>
      </c>
      <c r="G2715" s="710"/>
      <c r="H2715" s="710"/>
      <c r="I2715" s="727"/>
      <c r="J2715" s="714">
        <f>VLOOKUP(C2711,'Luong VP'!$B$10:$AP$189,21,0)</f>
        <v>7358.5</v>
      </c>
    </row>
    <row r="2716" spans="1:12" ht="9.1999999999999993" customHeight="1">
      <c r="A2716" s="712">
        <v>2</v>
      </c>
      <c r="B2716" s="713" t="s">
        <v>658</v>
      </c>
      <c r="C2716" s="714"/>
      <c r="D2716" s="717"/>
      <c r="E2716" s="710">
        <v>1</v>
      </c>
      <c r="F2716" s="718" t="s">
        <v>659</v>
      </c>
      <c r="G2716" s="718"/>
      <c r="H2716" s="710" t="s">
        <v>660</v>
      </c>
      <c r="I2716" s="727">
        <f>VLOOKUP(C2711,'Luong VP'!$B$10:$AP$189,22,0)</f>
        <v>26</v>
      </c>
      <c r="J2716" s="728">
        <f>J2715/'Cham cong'!$AS$3*I2716</f>
        <v>7358.5</v>
      </c>
    </row>
    <row r="2717" spans="1:12" ht="9.1999999999999993" customHeight="1">
      <c r="A2717" s="712">
        <v>3</v>
      </c>
      <c r="B2717" s="713" t="s">
        <v>661</v>
      </c>
      <c r="C2717" s="714">
        <f>VLOOKUP(C2711,'Luong VP'!$B$10:$AP$189,10,0)</f>
        <v>200</v>
      </c>
      <c r="D2717" s="717"/>
      <c r="E2717" s="710">
        <v>2</v>
      </c>
      <c r="F2717" s="718" t="s">
        <v>662</v>
      </c>
      <c r="G2717" s="718"/>
      <c r="H2717" s="710" t="s">
        <v>660</v>
      </c>
      <c r="I2717" s="727">
        <f>VLOOKUP(C2711,'Luong VP'!$B$10:$AP$189,27,0)</f>
        <v>0</v>
      </c>
      <c r="J2717" s="728">
        <f>J2715/'Cham cong'!$AS$3*I2717*3</f>
        <v>0</v>
      </c>
    </row>
    <row r="2718" spans="1:12" ht="9.1999999999999993" customHeight="1">
      <c r="A2718" s="712">
        <v>4</v>
      </c>
      <c r="B2718" s="713" t="s">
        <v>666</v>
      </c>
      <c r="C2718" s="714">
        <f>VLOOKUP(C2711,'Luong VP'!$B$10:$AP$189,11,0)</f>
        <v>0</v>
      </c>
      <c r="D2718" s="717"/>
      <c r="E2718" s="710">
        <v>3</v>
      </c>
      <c r="F2718" s="718" t="s">
        <v>667</v>
      </c>
      <c r="G2718" s="718"/>
      <c r="H2718" s="710" t="s">
        <v>668</v>
      </c>
      <c r="I2718" s="727">
        <f>VLOOKUP(C2711,'Luong VP'!$B$10:$AP$189,26,0)</f>
        <v>8.5</v>
      </c>
      <c r="J2718" s="728">
        <f>J2715/'Cham cong'!$AS$3*I2718/8*1.5</f>
        <v>451.06189903846155</v>
      </c>
    </row>
    <row r="2719" spans="1:12" ht="9.1999999999999993" customHeight="1">
      <c r="A2719" s="712">
        <v>5</v>
      </c>
      <c r="B2719" s="713" t="s">
        <v>670</v>
      </c>
      <c r="C2719" s="714">
        <f>VLOOKUP(C2711,'Luong VP'!$B$10:$AP$189,12,0)</f>
        <v>208.5</v>
      </c>
      <c r="D2719" s="717"/>
      <c r="E2719" s="710">
        <v>4</v>
      </c>
      <c r="F2719" s="718" t="s">
        <v>671</v>
      </c>
      <c r="G2719" s="718"/>
      <c r="H2719" s="710" t="s">
        <v>668</v>
      </c>
      <c r="I2719" s="727">
        <f>VLOOKUP(C2711,'Luong VP'!$B$10:$AP$189,25,0)</f>
        <v>16</v>
      </c>
      <c r="J2719" s="728">
        <f>J2715/'Cham cong'!$AS$3*I2719/8*2</f>
        <v>1132.0769230769231</v>
      </c>
    </row>
    <row r="2720" spans="1:12" ht="9.1999999999999993" customHeight="1">
      <c r="A2720" s="712">
        <v>6</v>
      </c>
      <c r="B2720" s="713" t="s">
        <v>673</v>
      </c>
      <c r="C2720" s="714">
        <f>VLOOKUP(C2711,'Luong VP'!$B$10:$AP$189,13,0)</f>
        <v>0</v>
      </c>
      <c r="D2720" s="717"/>
      <c r="E2720" s="710">
        <v>5</v>
      </c>
      <c r="F2720" s="718" t="s">
        <v>674</v>
      </c>
      <c r="G2720" s="718"/>
      <c r="H2720" s="710" t="s">
        <v>660</v>
      </c>
      <c r="I2720" s="727">
        <f>VLOOKUP(C2711,'Luong VP'!$B$10:$AP$189,23,0)</f>
        <v>0</v>
      </c>
      <c r="J2720" s="728">
        <f>C2715/'Cham cong'!$AS$3*I2720</f>
        <v>0</v>
      </c>
      <c r="L2720" s="694" t="str">
        <f>G2711</f>
        <v>Trần Quốc Nam</v>
      </c>
    </row>
    <row r="2721" spans="1:12" ht="9.1999999999999993" customHeight="1">
      <c r="A2721" s="712">
        <v>7</v>
      </c>
      <c r="B2721" s="713" t="s">
        <v>676</v>
      </c>
      <c r="C2721" s="714"/>
      <c r="D2721" s="717"/>
      <c r="E2721" s="710">
        <v>6</v>
      </c>
      <c r="F2721" s="718" t="s">
        <v>677</v>
      </c>
      <c r="G2721" s="718"/>
      <c r="H2721" s="710" t="s">
        <v>660</v>
      </c>
      <c r="I2721" s="727">
        <f>VLOOKUP(C2711,'Luong VP'!$B$10:$AP$189,24,0)</f>
        <v>1</v>
      </c>
      <c r="J2721" s="714">
        <f>C2715/'Cham cong'!$AS$3*I2721</f>
        <v>267.30769230769232</v>
      </c>
    </row>
    <row r="2722" spans="1:12" ht="9.1999999999999993" customHeight="1">
      <c r="A2722" s="712">
        <v>8</v>
      </c>
      <c r="B2722" s="713" t="s">
        <v>679</v>
      </c>
      <c r="C2722" s="714">
        <f>VLOOKUP(C2711,'Luong VP'!$B$10:$AP$189,14,0)</f>
        <v>0</v>
      </c>
      <c r="D2722" s="717"/>
      <c r="E2722" s="710">
        <v>7</v>
      </c>
      <c r="F2722" s="718" t="s">
        <v>680</v>
      </c>
      <c r="G2722" s="718"/>
      <c r="H2722" s="718"/>
      <c r="I2722" s="729"/>
      <c r="J2722" s="714">
        <f>VLOOKUP(C2711,'Luong VP'!$B$10:$AP$189,28,0)</f>
        <v>0</v>
      </c>
    </row>
    <row r="2723" spans="1:12" ht="9.1999999999999993" customHeight="1">
      <c r="A2723" s="712">
        <v>9</v>
      </c>
      <c r="B2723" s="713" t="s">
        <v>683</v>
      </c>
      <c r="C2723" s="714">
        <f>VLOOKUP(C2711,'Luong VP'!$B$10:$AP$189,15,0)</f>
        <v>0</v>
      </c>
      <c r="D2723" s="717"/>
      <c r="E2723" s="710">
        <v>8</v>
      </c>
      <c r="F2723" s="718" t="s">
        <v>238</v>
      </c>
      <c r="G2723" s="718"/>
      <c r="H2723" s="718"/>
      <c r="I2723" s="729"/>
      <c r="J2723" s="714">
        <f>VLOOKUP(C2711,'Luong VP'!$B$10:$AP$189,33,0)</f>
        <v>0</v>
      </c>
    </row>
    <row r="2724" spans="1:12" ht="9.1999999999999993" customHeight="1">
      <c r="A2724" s="712">
        <v>10</v>
      </c>
      <c r="B2724" s="713" t="s">
        <v>685</v>
      </c>
      <c r="C2724" s="714">
        <f>VLOOKUP(C2711,'Luong VP'!$B$10:$AP$189,16,0)</f>
        <v>0</v>
      </c>
      <c r="D2724" s="717"/>
      <c r="E2724" s="710" t="s">
        <v>686</v>
      </c>
      <c r="F2724" s="716" t="s">
        <v>687</v>
      </c>
      <c r="G2724" s="719"/>
      <c r="H2724" s="719"/>
      <c r="I2724" s="729"/>
      <c r="J2724" s="730"/>
    </row>
    <row r="2725" spans="1:12" ht="9.1999999999999993" customHeight="1">
      <c r="A2725" s="712">
        <v>11</v>
      </c>
      <c r="B2725" s="713" t="s">
        <v>688</v>
      </c>
      <c r="C2725" s="714">
        <f>VLOOKUP(C2711,'Luong VP'!$B$10:$AP$189,17,0)</f>
        <v>0</v>
      </c>
      <c r="D2725" s="717"/>
      <c r="E2725" s="710">
        <v>1</v>
      </c>
      <c r="F2725" s="716" t="s">
        <v>689</v>
      </c>
      <c r="G2725" s="719"/>
      <c r="H2725" s="719"/>
      <c r="I2725" s="714">
        <f>VLOOKUP(C2711,'Luong VP'!$B$10:$AP$189,30,0)</f>
        <v>0</v>
      </c>
      <c r="J2725" s="714">
        <f>VLOOKUP(C2711,'Luong VP'!$B$10:$AP$189,30,0)</f>
        <v>0</v>
      </c>
    </row>
    <row r="2726" spans="1:12" ht="9.1999999999999993" customHeight="1">
      <c r="A2726" s="712">
        <v>12</v>
      </c>
      <c r="B2726" s="713" t="s">
        <v>691</v>
      </c>
      <c r="C2726" s="714">
        <f>VLOOKUP(C2711,'Luong VP'!$B$10:$AP$189,18,0)</f>
        <v>0</v>
      </c>
      <c r="D2726" s="717"/>
      <c r="E2726" s="710">
        <v>2</v>
      </c>
      <c r="F2726" s="718" t="s">
        <v>239</v>
      </c>
      <c r="G2726" s="718"/>
      <c r="H2726" s="718"/>
      <c r="I2726" s="727"/>
      <c r="J2726" s="728">
        <f>VLOOKUP(C2711,'Luong VP'!$B$10:$AP$189,34,0)</f>
        <v>0</v>
      </c>
      <c r="K2726" s="731"/>
      <c r="L2726" s="715"/>
    </row>
    <row r="2727" spans="1:12" ht="9.1999999999999993" customHeight="1">
      <c r="A2727" s="712">
        <v>13</v>
      </c>
      <c r="B2727" s="713" t="s">
        <v>692</v>
      </c>
      <c r="C2727" s="714">
        <f>VLOOKUP(C2711,'Luong VP'!$B$10:$AP$189,19,0)</f>
        <v>0</v>
      </c>
      <c r="D2727" s="717"/>
      <c r="E2727" s="710">
        <v>3</v>
      </c>
      <c r="F2727" s="716" t="s">
        <v>693</v>
      </c>
      <c r="G2727" s="719"/>
      <c r="H2727" s="719"/>
      <c r="I2727" s="729"/>
      <c r="J2727" s="714">
        <f>VLOOKUP(C2711,'Luong VP'!$B$10:$AP$189,40,0)</f>
        <v>0</v>
      </c>
      <c r="K2727" s="731"/>
      <c r="L2727" s="715"/>
    </row>
    <row r="2728" spans="1:12" ht="9.1999999999999993" customHeight="1">
      <c r="A2728" s="712">
        <v>14</v>
      </c>
      <c r="B2728" s="713" t="s">
        <v>694</v>
      </c>
      <c r="C2728" s="714">
        <f>VLOOKUP(C2711,'Luong VP'!$B$10:$AP$189,20,0)</f>
        <v>0</v>
      </c>
      <c r="D2728" s="717"/>
      <c r="E2728" s="710">
        <v>4</v>
      </c>
      <c r="F2728" s="718" t="s">
        <v>695</v>
      </c>
      <c r="G2728" s="719"/>
      <c r="H2728" s="719"/>
      <c r="I2728" s="729"/>
      <c r="J2728" s="714">
        <f>VLOOKUP(C2711,'Luong VP'!$B$10:$AP$189,35,0)</f>
        <v>0</v>
      </c>
      <c r="K2728" s="732"/>
      <c r="L2728" s="715"/>
    </row>
    <row r="2729" spans="1:12" ht="9.1999999999999993" customHeight="1">
      <c r="A2729" s="712"/>
      <c r="B2729" s="707" t="s">
        <v>656</v>
      </c>
      <c r="C2729" s="714">
        <f>SUM(C2715:C2728)</f>
        <v>7358.5</v>
      </c>
      <c r="D2729" s="717"/>
      <c r="E2729" s="710"/>
      <c r="F2729" s="716" t="s">
        <v>241</v>
      </c>
      <c r="G2729" s="719"/>
      <c r="H2729" s="719"/>
      <c r="I2729" s="729"/>
      <c r="J2729" s="730">
        <f>SUM(J2716:J2728)+C2723</f>
        <v>9208.9465144230762</v>
      </c>
      <c r="K2729" s="731"/>
      <c r="L2729" s="715"/>
    </row>
    <row r="2730" spans="1:12" ht="9.1999999999999993" customHeight="1">
      <c r="B2730" s="720"/>
      <c r="C2730" s="717"/>
      <c r="D2730" s="717"/>
      <c r="E2730" s="710" t="s">
        <v>696</v>
      </c>
      <c r="F2730" s="711" t="s">
        <v>697</v>
      </c>
      <c r="G2730" s="710"/>
      <c r="H2730" s="710"/>
      <c r="I2730" s="729"/>
      <c r="J2730" s="730">
        <f>SUM(J2731:J2733)</f>
        <v>4480.585</v>
      </c>
      <c r="K2730" s="732"/>
      <c r="L2730" s="715"/>
    </row>
    <row r="2731" spans="1:12" ht="9.1999999999999993" customHeight="1">
      <c r="B2731" s="720"/>
      <c r="C2731" s="717"/>
      <c r="D2731" s="717"/>
      <c r="E2731" s="710">
        <v>1</v>
      </c>
      <c r="F2731" s="718" t="s">
        <v>698</v>
      </c>
      <c r="G2731" s="718"/>
      <c r="H2731" s="718"/>
      <c r="I2731" s="733"/>
      <c r="J2731" s="714">
        <f>VLOOKUP(C2711,'Luong VP'!$B$10:$AP$189,37,0)</f>
        <v>480.58499999999998</v>
      </c>
      <c r="K2731" s="732"/>
      <c r="L2731" s="715"/>
    </row>
    <row r="2732" spans="1:12" ht="9.1999999999999993" customHeight="1">
      <c r="B2732" s="720"/>
      <c r="C2732" s="717"/>
      <c r="D2732" s="717"/>
      <c r="E2732" s="710">
        <v>2</v>
      </c>
      <c r="F2732" s="718" t="s">
        <v>244</v>
      </c>
      <c r="G2732" s="718"/>
      <c r="H2732" s="718"/>
      <c r="I2732" s="729"/>
      <c r="J2732" s="714">
        <f>VLOOKUP(C2711,'Luong VP'!$B$10:$AP$189,39,0)</f>
        <v>4000</v>
      </c>
      <c r="K2732" s="734"/>
      <c r="L2732" s="735"/>
    </row>
    <row r="2733" spans="1:12" ht="9.1999999999999993" customHeight="1">
      <c r="B2733" s="720"/>
      <c r="C2733" s="717"/>
      <c r="D2733" s="717"/>
      <c r="E2733" s="710"/>
      <c r="F2733" s="718" t="s">
        <v>699</v>
      </c>
      <c r="G2733" s="718"/>
      <c r="H2733" s="718"/>
      <c r="I2733" s="729"/>
      <c r="J2733" s="714"/>
      <c r="K2733" s="714"/>
      <c r="L2733" s="736"/>
    </row>
    <row r="2734" spans="1:12" ht="9.1999999999999993" customHeight="1">
      <c r="B2734" s="720"/>
      <c r="C2734" s="717"/>
      <c r="D2734" s="717"/>
      <c r="E2734" s="710" t="s">
        <v>700</v>
      </c>
      <c r="F2734" s="710" t="s">
        <v>246</v>
      </c>
      <c r="G2734" s="710"/>
      <c r="H2734" s="710"/>
      <c r="I2734" s="729"/>
      <c r="J2734" s="728">
        <f>J2729-J2730</f>
        <v>4728.3615144230762</v>
      </c>
      <c r="K2734" s="728">
        <f>ROUND(J2734,-1)</f>
        <v>4730</v>
      </c>
      <c r="L2734" s="710"/>
    </row>
    <row r="2735" spans="1:12" ht="9.1999999999999993" customHeight="1">
      <c r="B2735" s="720"/>
      <c r="C2735" s="717"/>
      <c r="D2735" s="717"/>
      <c r="E2735" s="715"/>
      <c r="F2735" s="715"/>
      <c r="G2735" s="715"/>
      <c r="I2735" s="715" t="s">
        <v>701</v>
      </c>
      <c r="J2735" s="737"/>
      <c r="K2735" s="737"/>
      <c r="L2735" s="715"/>
    </row>
    <row r="2736" spans="1:12" ht="9.1999999999999993" customHeight="1">
      <c r="B2736" s="720"/>
      <c r="C2736" s="717"/>
      <c r="D2736" s="717"/>
      <c r="E2736" s="715"/>
      <c r="F2736" s="715"/>
      <c r="G2736" s="715"/>
      <c r="I2736" s="715"/>
      <c r="J2736" s="737"/>
      <c r="K2736" s="737"/>
      <c r="L2736" s="715"/>
    </row>
    <row r="2737" spans="1:12" ht="9.1999999999999993" customHeight="1">
      <c r="B2737" s="720"/>
      <c r="C2737" s="717"/>
      <c r="D2737" s="717"/>
      <c r="E2737" s="715"/>
      <c r="F2737" s="715"/>
      <c r="G2737" s="715"/>
      <c r="I2737" s="715"/>
      <c r="J2737" s="737"/>
      <c r="K2737" s="737"/>
      <c r="L2737" s="715"/>
    </row>
    <row r="2738" spans="1:12" ht="9.1999999999999993" customHeight="1">
      <c r="B2738" s="720"/>
      <c r="C2738" s="717"/>
      <c r="D2738" s="717"/>
      <c r="E2738" s="715"/>
      <c r="F2738" s="715"/>
      <c r="G2738" s="715"/>
      <c r="I2738" s="715"/>
      <c r="J2738" s="737"/>
      <c r="K2738" s="737"/>
      <c r="L2738" s="715"/>
    </row>
    <row r="2739" spans="1:12" ht="9.1999999999999993" customHeight="1">
      <c r="C2739" s="696"/>
      <c r="D2739" s="696"/>
      <c r="E2739" s="697" t="str">
        <f>$E$2</f>
        <v>THẺ LƯƠNG THÁNG 08/2019</v>
      </c>
      <c r="F2739" s="698"/>
      <c r="G2739" s="698"/>
      <c r="H2739" s="698"/>
    </row>
    <row r="2740" spans="1:12" ht="9.1999999999999993" customHeight="1">
      <c r="B2740" s="699" t="s">
        <v>644</v>
      </c>
      <c r="C2740" s="700" t="s">
        <v>439</v>
      </c>
      <c r="D2740" s="701"/>
      <c r="F2740" s="702" t="s">
        <v>645</v>
      </c>
      <c r="G2740" s="689" t="str">
        <f>VLOOKUP(C2740,'Luong VP'!$B$10:$AP$189,2,0)</f>
        <v>Nguyễn Văn Đức</v>
      </c>
    </row>
    <row r="2741" spans="1:12" ht="9.1999999999999993" customHeight="1">
      <c r="B2741" s="699" t="s">
        <v>646</v>
      </c>
      <c r="C2741" s="689" t="str">
        <f>VLOOKUP(C2740,'Luong VP'!$B$10:$AP$189,3,0)</f>
        <v>Nhân viên vận hành máy</v>
      </c>
      <c r="F2741" s="702" t="s">
        <v>647</v>
      </c>
      <c r="G2741" s="689">
        <f>VLOOKUP(C2740,'Luong VP'!$B$10:$AP$189,5,0)</f>
        <v>2</v>
      </c>
    </row>
    <row r="2742" spans="1:12" ht="9.1999999999999993" customHeight="1">
      <c r="B2742" s="703"/>
      <c r="C2742" s="704"/>
      <c r="D2742" s="705"/>
      <c r="F2742" s="706" t="s">
        <v>648</v>
      </c>
      <c r="G2742" s="706"/>
      <c r="H2742" s="706"/>
      <c r="I2742" s="725"/>
      <c r="J2742" s="726"/>
    </row>
    <row r="2743" spans="1:12" ht="9.1999999999999993" customHeight="1">
      <c r="A2743" s="707" t="s">
        <v>216</v>
      </c>
      <c r="B2743" s="707" t="s">
        <v>649</v>
      </c>
      <c r="C2743" s="708" t="s">
        <v>650</v>
      </c>
      <c r="D2743" s="709"/>
      <c r="E2743" s="710" t="s">
        <v>216</v>
      </c>
      <c r="F2743" s="711" t="s">
        <v>649</v>
      </c>
      <c r="G2743" s="710"/>
      <c r="H2743" s="710" t="s">
        <v>651</v>
      </c>
      <c r="I2743" s="727" t="s">
        <v>652</v>
      </c>
      <c r="J2743" s="714"/>
      <c r="L2743" s="694" t="s">
        <v>653</v>
      </c>
    </row>
    <row r="2744" spans="1:12" ht="9.1999999999999993" customHeight="1">
      <c r="A2744" s="712">
        <v>1</v>
      </c>
      <c r="B2744" s="713" t="s">
        <v>654</v>
      </c>
      <c r="C2744" s="714">
        <f>VLOOKUP(C2740,'Luong VP'!$B$10:$AP$189,9,0)</f>
        <v>6950</v>
      </c>
      <c r="D2744" s="715"/>
      <c r="E2744" s="710" t="s">
        <v>655</v>
      </c>
      <c r="F2744" s="716" t="s">
        <v>656</v>
      </c>
      <c r="G2744" s="710"/>
      <c r="H2744" s="710"/>
      <c r="I2744" s="727"/>
      <c r="J2744" s="714">
        <f>VLOOKUP(C2740,'Luong VP'!$B$10:$AP$189,21,0)</f>
        <v>7150</v>
      </c>
    </row>
    <row r="2745" spans="1:12" ht="9.1999999999999993" customHeight="1">
      <c r="A2745" s="712">
        <v>2</v>
      </c>
      <c r="B2745" s="713" t="s">
        <v>658</v>
      </c>
      <c r="C2745" s="714"/>
      <c r="D2745" s="717"/>
      <c r="E2745" s="710">
        <v>1</v>
      </c>
      <c r="F2745" s="718" t="s">
        <v>659</v>
      </c>
      <c r="G2745" s="718"/>
      <c r="H2745" s="710" t="s">
        <v>660</v>
      </c>
      <c r="I2745" s="727">
        <f>VLOOKUP(C2740,'Luong VP'!$B$10:$AP$189,22,0)</f>
        <v>26</v>
      </c>
      <c r="J2745" s="728">
        <f>J2744/'Cham cong'!$AS$3*I2745</f>
        <v>7150</v>
      </c>
    </row>
    <row r="2746" spans="1:12" ht="9.1999999999999993" customHeight="1">
      <c r="A2746" s="712">
        <v>3</v>
      </c>
      <c r="B2746" s="713" t="s">
        <v>661</v>
      </c>
      <c r="C2746" s="714">
        <f>VLOOKUP(C2740,'Luong VP'!$B$10:$AP$189,10,0)</f>
        <v>200</v>
      </c>
      <c r="D2746" s="717"/>
      <c r="E2746" s="710">
        <v>2</v>
      </c>
      <c r="F2746" s="718" t="s">
        <v>662</v>
      </c>
      <c r="G2746" s="718"/>
      <c r="H2746" s="710" t="s">
        <v>660</v>
      </c>
      <c r="I2746" s="727">
        <f>VLOOKUP(C2740,'Luong VP'!$B$10:$AP$189,27,0)</f>
        <v>0</v>
      </c>
      <c r="J2746" s="728">
        <f>J2744/'Cham cong'!$AS$3*I2746*3</f>
        <v>0</v>
      </c>
    </row>
    <row r="2747" spans="1:12" ht="9.1999999999999993" customHeight="1">
      <c r="A2747" s="712">
        <v>4</v>
      </c>
      <c r="B2747" s="713" t="s">
        <v>666</v>
      </c>
      <c r="C2747" s="714">
        <f>VLOOKUP(C2740,'Luong VP'!$B$10:$AP$189,11,0)</f>
        <v>0</v>
      </c>
      <c r="D2747" s="717"/>
      <c r="E2747" s="710">
        <v>3</v>
      </c>
      <c r="F2747" s="718" t="s">
        <v>667</v>
      </c>
      <c r="G2747" s="718"/>
      <c r="H2747" s="710" t="s">
        <v>668</v>
      </c>
      <c r="I2747" s="727">
        <f>VLOOKUP(C2740,'Luong VP'!$B$10:$AP$189,26,0)</f>
        <v>0</v>
      </c>
      <c r="J2747" s="728">
        <f>J2744/'Cham cong'!$AS$3*I2747/8*1.5</f>
        <v>0</v>
      </c>
    </row>
    <row r="2748" spans="1:12" ht="9.1999999999999993" customHeight="1">
      <c r="A2748" s="712">
        <v>5</v>
      </c>
      <c r="B2748" s="713" t="s">
        <v>670</v>
      </c>
      <c r="C2748" s="714">
        <f>VLOOKUP(C2740,'Luong VP'!$B$10:$AP$189,12,0)</f>
        <v>0</v>
      </c>
      <c r="D2748" s="717"/>
      <c r="E2748" s="710">
        <v>4</v>
      </c>
      <c r="F2748" s="718" t="s">
        <v>671</v>
      </c>
      <c r="G2748" s="718"/>
      <c r="H2748" s="710" t="s">
        <v>668</v>
      </c>
      <c r="I2748" s="727">
        <f>VLOOKUP(C2740,'Luong VP'!$B$10:$AP$189,25,0)</f>
        <v>0</v>
      </c>
      <c r="J2748" s="728">
        <f>J2744/'Cham cong'!$AS$3*I2748/8*2</f>
        <v>0</v>
      </c>
    </row>
    <row r="2749" spans="1:12" ht="9.1999999999999993" customHeight="1">
      <c r="A2749" s="712">
        <v>6</v>
      </c>
      <c r="B2749" s="713" t="s">
        <v>673</v>
      </c>
      <c r="C2749" s="714">
        <f>VLOOKUP(C2740,'Luong VP'!$B$10:$AP$189,13,0)</f>
        <v>0</v>
      </c>
      <c r="D2749" s="717"/>
      <c r="E2749" s="710">
        <v>5</v>
      </c>
      <c r="F2749" s="718" t="s">
        <v>674</v>
      </c>
      <c r="G2749" s="718"/>
      <c r="H2749" s="710" t="s">
        <v>660</v>
      </c>
      <c r="I2749" s="727">
        <f>VLOOKUP(C2740,'Luong VP'!$B$10:$AP$189,23,0)</f>
        <v>0</v>
      </c>
      <c r="J2749" s="728">
        <f>C2744/'Cham cong'!$AS$3*I2749</f>
        <v>0</v>
      </c>
      <c r="L2749" s="694" t="str">
        <f>G2740</f>
        <v>Nguyễn Văn Đức</v>
      </c>
    </row>
    <row r="2750" spans="1:12" ht="9.1999999999999993" customHeight="1">
      <c r="A2750" s="712">
        <v>7</v>
      </c>
      <c r="B2750" s="713" t="s">
        <v>676</v>
      </c>
      <c r="C2750" s="714"/>
      <c r="D2750" s="717"/>
      <c r="E2750" s="710">
        <v>6</v>
      </c>
      <c r="F2750" s="718" t="s">
        <v>677</v>
      </c>
      <c r="G2750" s="718"/>
      <c r="H2750" s="710" t="s">
        <v>660</v>
      </c>
      <c r="I2750" s="727">
        <f>VLOOKUP(C2740,'Luong VP'!$B$10:$AP$189,24,0)</f>
        <v>1</v>
      </c>
      <c r="J2750" s="714">
        <f>C2744/'Cham cong'!$AS$3*I2750</f>
        <v>267.30769230769232</v>
      </c>
    </row>
    <row r="2751" spans="1:12" ht="9.1999999999999993" customHeight="1">
      <c r="A2751" s="712">
        <v>8</v>
      </c>
      <c r="B2751" s="713" t="s">
        <v>679</v>
      </c>
      <c r="C2751" s="714">
        <f>VLOOKUP(C2740,'Luong VP'!$B$10:$AP$189,14,0)</f>
        <v>0</v>
      </c>
      <c r="D2751" s="717"/>
      <c r="E2751" s="710">
        <v>7</v>
      </c>
      <c r="F2751" s="718" t="s">
        <v>680</v>
      </c>
      <c r="G2751" s="718"/>
      <c r="H2751" s="718"/>
      <c r="I2751" s="729"/>
      <c r="J2751" s="714">
        <f>VLOOKUP(C2740,'Luong VP'!$B$10:$AP$189,28,0)</f>
        <v>0</v>
      </c>
    </row>
    <row r="2752" spans="1:12" ht="9.1999999999999993" customHeight="1">
      <c r="A2752" s="712">
        <v>9</v>
      </c>
      <c r="B2752" s="713" t="s">
        <v>683</v>
      </c>
      <c r="C2752" s="714">
        <f>VLOOKUP(C2740,'Luong VP'!$B$10:$AP$189,15,0)</f>
        <v>0</v>
      </c>
      <c r="D2752" s="717"/>
      <c r="E2752" s="710">
        <v>8</v>
      </c>
      <c r="F2752" s="718" t="s">
        <v>238</v>
      </c>
      <c r="G2752" s="718"/>
      <c r="H2752" s="718"/>
      <c r="I2752" s="729"/>
      <c r="J2752" s="714">
        <f>VLOOKUP(C2740,'Luong VP'!$B$10:$AP$189,33,0)</f>
        <v>0</v>
      </c>
    </row>
    <row r="2753" spans="1:12" ht="9.1999999999999993" customHeight="1">
      <c r="A2753" s="712">
        <v>10</v>
      </c>
      <c r="B2753" s="713" t="s">
        <v>685</v>
      </c>
      <c r="C2753" s="714">
        <f>VLOOKUP(C2740,'Luong VP'!$B$10:$AP$189,16,0)</f>
        <v>0</v>
      </c>
      <c r="D2753" s="717"/>
      <c r="E2753" s="710" t="s">
        <v>686</v>
      </c>
      <c r="F2753" s="716" t="s">
        <v>687</v>
      </c>
      <c r="G2753" s="719"/>
      <c r="H2753" s="719"/>
      <c r="I2753" s="729"/>
      <c r="J2753" s="730"/>
    </row>
    <row r="2754" spans="1:12" ht="9.1999999999999993" customHeight="1">
      <c r="A2754" s="712">
        <v>11</v>
      </c>
      <c r="B2754" s="713" t="s">
        <v>688</v>
      </c>
      <c r="C2754" s="714">
        <f>VLOOKUP(C2740,'Luong VP'!$B$10:$AP$189,17,0)</f>
        <v>0</v>
      </c>
      <c r="D2754" s="717"/>
      <c r="E2754" s="710">
        <v>1</v>
      </c>
      <c r="F2754" s="716" t="s">
        <v>689</v>
      </c>
      <c r="G2754" s="719"/>
      <c r="H2754" s="719"/>
      <c r="I2754" s="714">
        <f>VLOOKUP(C2740,'Luong VP'!$B$10:$AP$189,30,0)</f>
        <v>0</v>
      </c>
      <c r="J2754" s="714">
        <f>VLOOKUP(C2740,'Luong VP'!$B$10:$AP$189,30,0)</f>
        <v>0</v>
      </c>
    </row>
    <row r="2755" spans="1:12" ht="9.1999999999999993" customHeight="1">
      <c r="A2755" s="712">
        <v>12</v>
      </c>
      <c r="B2755" s="713" t="s">
        <v>691</v>
      </c>
      <c r="C2755" s="714">
        <f>VLOOKUP(C2740,'Luong VP'!$B$10:$AP$189,18,0)</f>
        <v>0</v>
      </c>
      <c r="D2755" s="717"/>
      <c r="E2755" s="710">
        <v>2</v>
      </c>
      <c r="F2755" s="718" t="s">
        <v>239</v>
      </c>
      <c r="G2755" s="718"/>
      <c r="H2755" s="718"/>
      <c r="I2755" s="727"/>
      <c r="J2755" s="728">
        <f>VLOOKUP(C2740,'Luong VP'!$B$10:$AP$189,34,0)</f>
        <v>0</v>
      </c>
      <c r="K2755" s="731"/>
      <c r="L2755" s="715"/>
    </row>
    <row r="2756" spans="1:12" ht="9.1999999999999993" customHeight="1">
      <c r="A2756" s="712">
        <v>13</v>
      </c>
      <c r="B2756" s="713" t="s">
        <v>692</v>
      </c>
      <c r="C2756" s="714">
        <f>VLOOKUP(C2740,'Luong VP'!$B$10:$AP$189,19,0)</f>
        <v>0</v>
      </c>
      <c r="D2756" s="717"/>
      <c r="E2756" s="710">
        <v>3</v>
      </c>
      <c r="F2756" s="716" t="s">
        <v>693</v>
      </c>
      <c r="G2756" s="719"/>
      <c r="H2756" s="719"/>
      <c r="I2756" s="729"/>
      <c r="J2756" s="714">
        <f>VLOOKUP(C2740,'Luong VP'!$B$10:$AP$189,40,0)</f>
        <v>0</v>
      </c>
      <c r="K2756" s="731"/>
      <c r="L2756" s="715"/>
    </row>
    <row r="2757" spans="1:12" ht="9.1999999999999993" customHeight="1">
      <c r="A2757" s="712">
        <v>14</v>
      </c>
      <c r="B2757" s="713" t="s">
        <v>694</v>
      </c>
      <c r="C2757" s="714">
        <f>VLOOKUP(C2740,'Luong VP'!$B$10:$AP$189,20,0)</f>
        <v>0</v>
      </c>
      <c r="D2757" s="717"/>
      <c r="E2757" s="710">
        <v>4</v>
      </c>
      <c r="F2757" s="718" t="s">
        <v>695</v>
      </c>
      <c r="G2757" s="719"/>
      <c r="H2757" s="719"/>
      <c r="I2757" s="729"/>
      <c r="J2757" s="714">
        <f>VLOOKUP(C2740,'Luong VP'!$B$10:$AP$189,35,0)</f>
        <v>0</v>
      </c>
      <c r="K2757" s="732"/>
      <c r="L2757" s="715"/>
    </row>
    <row r="2758" spans="1:12" ht="9.1999999999999993" customHeight="1">
      <c r="A2758" s="712"/>
      <c r="B2758" s="707" t="s">
        <v>656</v>
      </c>
      <c r="C2758" s="714">
        <f>SUM(C2744:C2757)</f>
        <v>7150</v>
      </c>
      <c r="D2758" s="717"/>
      <c r="E2758" s="710"/>
      <c r="F2758" s="716" t="s">
        <v>241</v>
      </c>
      <c r="G2758" s="719"/>
      <c r="H2758" s="719"/>
      <c r="I2758" s="729"/>
      <c r="J2758" s="730">
        <f>SUM(J2745:J2757)+C2752</f>
        <v>7417.3076923076924</v>
      </c>
      <c r="K2758" s="731"/>
      <c r="L2758" s="715"/>
    </row>
    <row r="2759" spans="1:12" ht="9.1999999999999993" customHeight="1">
      <c r="B2759" s="720"/>
      <c r="C2759" s="717"/>
      <c r="D2759" s="717"/>
      <c r="E2759" s="710" t="s">
        <v>696</v>
      </c>
      <c r="F2759" s="711" t="s">
        <v>697</v>
      </c>
      <c r="G2759" s="710"/>
      <c r="H2759" s="710"/>
      <c r="I2759" s="729"/>
      <c r="J2759" s="730">
        <f>SUM(J2760:J2762)</f>
        <v>2480.585</v>
      </c>
      <c r="K2759" s="732"/>
      <c r="L2759" s="715"/>
    </row>
    <row r="2760" spans="1:12" ht="9.1999999999999993" customHeight="1">
      <c r="B2760" s="720"/>
      <c r="C2760" s="717"/>
      <c r="D2760" s="717"/>
      <c r="E2760" s="710">
        <v>1</v>
      </c>
      <c r="F2760" s="718" t="s">
        <v>698</v>
      </c>
      <c r="G2760" s="718"/>
      <c r="H2760" s="718"/>
      <c r="I2760" s="733"/>
      <c r="J2760" s="714">
        <f>VLOOKUP(C2740,'Luong VP'!$B$10:$AP$189,37,0)</f>
        <v>480.58499999999998</v>
      </c>
      <c r="K2760" s="732"/>
      <c r="L2760" s="715"/>
    </row>
    <row r="2761" spans="1:12" ht="9.1999999999999993" customHeight="1">
      <c r="B2761" s="720"/>
      <c r="C2761" s="717"/>
      <c r="D2761" s="717"/>
      <c r="E2761" s="710">
        <v>2</v>
      </c>
      <c r="F2761" s="718" t="s">
        <v>244</v>
      </c>
      <c r="G2761" s="718"/>
      <c r="H2761" s="718"/>
      <c r="I2761" s="729"/>
      <c r="J2761" s="714">
        <f>VLOOKUP(C2740,'Luong VP'!$B$10:$AP$189,39,0)</f>
        <v>2000</v>
      </c>
      <c r="K2761" s="734"/>
      <c r="L2761" s="735"/>
    </row>
    <row r="2762" spans="1:12" ht="9.1999999999999993" customHeight="1">
      <c r="B2762" s="720"/>
      <c r="C2762" s="717"/>
      <c r="D2762" s="717"/>
      <c r="E2762" s="710"/>
      <c r="F2762" s="718" t="s">
        <v>699</v>
      </c>
      <c r="G2762" s="718"/>
      <c r="H2762" s="718"/>
      <c r="I2762" s="729"/>
      <c r="J2762" s="714"/>
      <c r="K2762" s="714"/>
      <c r="L2762" s="736"/>
    </row>
    <row r="2763" spans="1:12" ht="9.1999999999999993" customHeight="1">
      <c r="B2763" s="720"/>
      <c r="C2763" s="717"/>
      <c r="D2763" s="717"/>
      <c r="E2763" s="710" t="s">
        <v>700</v>
      </c>
      <c r="F2763" s="710" t="s">
        <v>246</v>
      </c>
      <c r="G2763" s="710"/>
      <c r="H2763" s="710"/>
      <c r="I2763" s="729"/>
      <c r="J2763" s="728">
        <f>J2758-J2759</f>
        <v>4936.7226923076923</v>
      </c>
      <c r="K2763" s="728">
        <f>ROUND(J2763,-1)</f>
        <v>4940</v>
      </c>
      <c r="L2763" s="710"/>
    </row>
    <row r="2764" spans="1:12" ht="9.1999999999999993" customHeight="1">
      <c r="B2764" s="720"/>
      <c r="C2764" s="717"/>
      <c r="D2764" s="717"/>
      <c r="E2764" s="715"/>
      <c r="F2764" s="715"/>
      <c r="G2764" s="715"/>
      <c r="I2764" s="715" t="s">
        <v>701</v>
      </c>
      <c r="J2764" s="737"/>
      <c r="K2764" s="737"/>
      <c r="L2764" s="715"/>
    </row>
    <row r="2765" spans="1:12" ht="9.1999999999999993" customHeight="1">
      <c r="B2765" s="720"/>
      <c r="C2765" s="717"/>
      <c r="D2765" s="717"/>
      <c r="E2765" s="715"/>
      <c r="F2765" s="715"/>
      <c r="G2765" s="715"/>
      <c r="I2765" s="715"/>
      <c r="J2765" s="737"/>
      <c r="K2765" s="737"/>
      <c r="L2765" s="715"/>
    </row>
    <row r="2766" spans="1:12" ht="9.1999999999999993" customHeight="1">
      <c r="B2766" s="720"/>
      <c r="C2766" s="717"/>
      <c r="D2766" s="717"/>
      <c r="E2766" s="715"/>
      <c r="F2766" s="715"/>
      <c r="G2766" s="715"/>
      <c r="I2766" s="715"/>
      <c r="J2766" s="737"/>
      <c r="K2766" s="737"/>
      <c r="L2766" s="715"/>
    </row>
    <row r="2767" spans="1:12" ht="9.1999999999999993" customHeight="1">
      <c r="B2767" s="720"/>
      <c r="C2767" s="717"/>
      <c r="D2767" s="717"/>
      <c r="E2767" s="715"/>
      <c r="F2767" s="715"/>
      <c r="G2767" s="715"/>
      <c r="I2767" s="715"/>
      <c r="J2767" s="737"/>
      <c r="K2767" s="737"/>
      <c r="L2767" s="715"/>
    </row>
    <row r="2768" spans="1:12" ht="9.1999999999999993" customHeight="1">
      <c r="B2768" s="720"/>
      <c r="C2768" s="717"/>
      <c r="D2768" s="717"/>
      <c r="E2768" s="715"/>
      <c r="F2768" s="715"/>
      <c r="G2768" s="715"/>
      <c r="I2768" s="715"/>
      <c r="J2768" s="737"/>
      <c r="K2768" s="737"/>
      <c r="L2768" s="715"/>
    </row>
    <row r="2769" spans="1:12" ht="9.1999999999999993" customHeight="1">
      <c r="C2769" s="696"/>
      <c r="D2769" s="696"/>
      <c r="E2769" s="697" t="str">
        <f>$E$2</f>
        <v>THẺ LƯƠNG THÁNG 08/2019</v>
      </c>
      <c r="F2769" s="698"/>
      <c r="G2769" s="698"/>
      <c r="H2769" s="698"/>
    </row>
    <row r="2770" spans="1:12" ht="9.1999999999999993" customHeight="1">
      <c r="B2770" s="699" t="s">
        <v>644</v>
      </c>
      <c r="C2770" s="700" t="s">
        <v>441</v>
      </c>
      <c r="D2770" s="701"/>
      <c r="F2770" s="702" t="s">
        <v>645</v>
      </c>
      <c r="G2770" s="689" t="str">
        <f>VLOOKUP(C2770,'Luong VP'!$B$10:$AP$189,2,0)</f>
        <v>Cao Văn Lượm</v>
      </c>
    </row>
    <row r="2771" spans="1:12" ht="9.1999999999999993" customHeight="1">
      <c r="B2771" s="699" t="s">
        <v>646</v>
      </c>
      <c r="C2771" s="689" t="str">
        <f>VLOOKUP(C2770,'Luong VP'!$B$10:$AP$189,3,0)</f>
        <v>Nhân viên vận hành máy</v>
      </c>
      <c r="F2771" s="702" t="s">
        <v>647</v>
      </c>
      <c r="G2771" s="689">
        <f>VLOOKUP(C2770,'Luong VP'!$B$10:$AP$189,5,0)</f>
        <v>2</v>
      </c>
    </row>
    <row r="2772" spans="1:12" ht="9.1999999999999993" customHeight="1">
      <c r="B2772" s="703"/>
      <c r="C2772" s="704"/>
      <c r="D2772" s="705"/>
      <c r="F2772" s="706" t="s">
        <v>648</v>
      </c>
      <c r="G2772" s="706"/>
      <c r="H2772" s="706"/>
      <c r="I2772" s="725"/>
      <c r="J2772" s="726"/>
    </row>
    <row r="2773" spans="1:12" ht="9.1999999999999993" customHeight="1">
      <c r="A2773" s="707" t="s">
        <v>216</v>
      </c>
      <c r="B2773" s="707" t="s">
        <v>649</v>
      </c>
      <c r="C2773" s="708" t="s">
        <v>650</v>
      </c>
      <c r="D2773" s="709"/>
      <c r="E2773" s="710" t="s">
        <v>216</v>
      </c>
      <c r="F2773" s="711" t="s">
        <v>649</v>
      </c>
      <c r="G2773" s="710"/>
      <c r="H2773" s="710" t="s">
        <v>651</v>
      </c>
      <c r="I2773" s="727" t="s">
        <v>652</v>
      </c>
      <c r="J2773" s="714"/>
      <c r="L2773" s="694" t="s">
        <v>653</v>
      </c>
    </row>
    <row r="2774" spans="1:12" ht="9.1999999999999993" customHeight="1">
      <c r="A2774" s="712">
        <v>1</v>
      </c>
      <c r="B2774" s="713" t="s">
        <v>654</v>
      </c>
      <c r="C2774" s="714">
        <f>VLOOKUP(C2770,'Luong VP'!$B$10:$AP$189,9,0)</f>
        <v>6950</v>
      </c>
      <c r="D2774" s="715"/>
      <c r="E2774" s="710" t="s">
        <v>655</v>
      </c>
      <c r="F2774" s="716" t="s">
        <v>656</v>
      </c>
      <c r="G2774" s="710"/>
      <c r="H2774" s="710"/>
      <c r="I2774" s="727"/>
      <c r="J2774" s="714">
        <f>VLOOKUP(C2770,'Luong VP'!$B$10:$AP$189,21,0)</f>
        <v>7150</v>
      </c>
    </row>
    <row r="2775" spans="1:12" ht="9.1999999999999993" customHeight="1">
      <c r="A2775" s="712">
        <v>2</v>
      </c>
      <c r="B2775" s="713" t="s">
        <v>658</v>
      </c>
      <c r="C2775" s="714"/>
      <c r="D2775" s="717"/>
      <c r="E2775" s="710">
        <v>1</v>
      </c>
      <c r="F2775" s="718" t="s">
        <v>659</v>
      </c>
      <c r="G2775" s="718"/>
      <c r="H2775" s="710" t="s">
        <v>660</v>
      </c>
      <c r="I2775" s="727">
        <f>VLOOKUP(C2770,'Luong VP'!$B$10:$AP$189,22,0)</f>
        <v>26</v>
      </c>
      <c r="J2775" s="728">
        <f>J2774/'Cham cong'!$AS$3*I2775</f>
        <v>7150</v>
      </c>
    </row>
    <row r="2776" spans="1:12" ht="9.1999999999999993" customHeight="1">
      <c r="A2776" s="712">
        <v>3</v>
      </c>
      <c r="B2776" s="713" t="s">
        <v>661</v>
      </c>
      <c r="C2776" s="714">
        <f>VLOOKUP(C2770,'Luong VP'!$B$10:$AP$189,10,0)</f>
        <v>200</v>
      </c>
      <c r="D2776" s="717"/>
      <c r="E2776" s="710">
        <v>2</v>
      </c>
      <c r="F2776" s="718" t="s">
        <v>662</v>
      </c>
      <c r="G2776" s="718"/>
      <c r="H2776" s="710" t="s">
        <v>660</v>
      </c>
      <c r="I2776" s="727">
        <f>VLOOKUP(C2770,'Luong VP'!$B$10:$AP$189,27,0)</f>
        <v>0</v>
      </c>
      <c r="J2776" s="728">
        <f>J2774/'Cham cong'!$AS$3*I2776*3</f>
        <v>0</v>
      </c>
    </row>
    <row r="2777" spans="1:12" ht="9.1999999999999993" customHeight="1">
      <c r="A2777" s="712">
        <v>4</v>
      </c>
      <c r="B2777" s="713" t="s">
        <v>666</v>
      </c>
      <c r="C2777" s="714">
        <f>VLOOKUP(C2770,'Luong VP'!$B$10:$AP$189,11,0)</f>
        <v>0</v>
      </c>
      <c r="D2777" s="717"/>
      <c r="E2777" s="710">
        <v>3</v>
      </c>
      <c r="F2777" s="718" t="s">
        <v>667</v>
      </c>
      <c r="G2777" s="718"/>
      <c r="H2777" s="710" t="s">
        <v>668</v>
      </c>
      <c r="I2777" s="727">
        <f>VLOOKUP(C2770,'Luong VP'!$B$10:$AP$189,26,0)</f>
        <v>0</v>
      </c>
      <c r="J2777" s="728">
        <f>J2774/'Cham cong'!$AS$3*I2777/8*1.5</f>
        <v>0</v>
      </c>
    </row>
    <row r="2778" spans="1:12" ht="9.1999999999999993" customHeight="1">
      <c r="A2778" s="712">
        <v>5</v>
      </c>
      <c r="B2778" s="713" t="s">
        <v>670</v>
      </c>
      <c r="C2778" s="714">
        <f>VLOOKUP(C2770,'Luong VP'!$B$10:$AP$189,12,0)</f>
        <v>0</v>
      </c>
      <c r="D2778" s="717"/>
      <c r="E2778" s="710">
        <v>4</v>
      </c>
      <c r="F2778" s="718" t="s">
        <v>671</v>
      </c>
      <c r="G2778" s="718"/>
      <c r="H2778" s="710" t="s">
        <v>668</v>
      </c>
      <c r="I2778" s="727">
        <f>VLOOKUP(C2770,'Luong VP'!$B$10:$AP$189,25,0)</f>
        <v>0</v>
      </c>
      <c r="J2778" s="728">
        <f>J2774/'Cham cong'!$AS$3*I2778/8*2</f>
        <v>0</v>
      </c>
    </row>
    <row r="2779" spans="1:12" ht="9.1999999999999993" customHeight="1">
      <c r="A2779" s="712">
        <v>6</v>
      </c>
      <c r="B2779" s="713" t="s">
        <v>673</v>
      </c>
      <c r="C2779" s="714">
        <f>VLOOKUP(C2770,'Luong VP'!$B$10:$AP$189,13,0)</f>
        <v>0</v>
      </c>
      <c r="D2779" s="717"/>
      <c r="E2779" s="710">
        <v>5</v>
      </c>
      <c r="F2779" s="718" t="s">
        <v>674</v>
      </c>
      <c r="G2779" s="718"/>
      <c r="H2779" s="710" t="s">
        <v>660</v>
      </c>
      <c r="I2779" s="727">
        <f>VLOOKUP(C2770,'Luong VP'!$B$10:$AP$189,23,0)</f>
        <v>0</v>
      </c>
      <c r="J2779" s="728">
        <f>C2774/'Cham cong'!$AS$3*I2779</f>
        <v>0</v>
      </c>
      <c r="L2779" s="694" t="str">
        <f>G2770</f>
        <v>Cao Văn Lượm</v>
      </c>
    </row>
    <row r="2780" spans="1:12" ht="9.1999999999999993" customHeight="1">
      <c r="A2780" s="712">
        <v>7</v>
      </c>
      <c r="B2780" s="713" t="s">
        <v>676</v>
      </c>
      <c r="C2780" s="714"/>
      <c r="D2780" s="717"/>
      <c r="E2780" s="710">
        <v>6</v>
      </c>
      <c r="F2780" s="718" t="s">
        <v>677</v>
      </c>
      <c r="G2780" s="718"/>
      <c r="H2780" s="710" t="s">
        <v>660</v>
      </c>
      <c r="I2780" s="727">
        <f>VLOOKUP(C2770,'Luong VP'!$B$10:$AP$189,24,0)</f>
        <v>1</v>
      </c>
      <c r="J2780" s="714">
        <f>C2774/'Cham cong'!$AS$3*I2780</f>
        <v>267.30769230769232</v>
      </c>
    </row>
    <row r="2781" spans="1:12" ht="9.1999999999999993" customHeight="1">
      <c r="A2781" s="712">
        <v>8</v>
      </c>
      <c r="B2781" s="713" t="s">
        <v>679</v>
      </c>
      <c r="C2781" s="714">
        <f>VLOOKUP(C2770,'Luong VP'!$B$10:$AP$189,14,0)</f>
        <v>0</v>
      </c>
      <c r="D2781" s="717"/>
      <c r="E2781" s="710">
        <v>7</v>
      </c>
      <c r="F2781" s="718" t="s">
        <v>680</v>
      </c>
      <c r="G2781" s="718"/>
      <c r="H2781" s="718"/>
      <c r="I2781" s="729"/>
      <c r="J2781" s="714">
        <f>VLOOKUP(C2770,'Luong VP'!$B$10:$AP$189,28,0)</f>
        <v>0</v>
      </c>
    </row>
    <row r="2782" spans="1:12" ht="9.1999999999999993" customHeight="1">
      <c r="A2782" s="712">
        <v>9</v>
      </c>
      <c r="B2782" s="713" t="s">
        <v>683</v>
      </c>
      <c r="C2782" s="714">
        <f>VLOOKUP(C2770,'Luong VP'!$B$10:$AP$189,15,0)</f>
        <v>0</v>
      </c>
      <c r="D2782" s="717"/>
      <c r="E2782" s="710">
        <v>8</v>
      </c>
      <c r="F2782" s="718" t="s">
        <v>238</v>
      </c>
      <c r="G2782" s="718"/>
      <c r="H2782" s="718"/>
      <c r="I2782" s="729"/>
      <c r="J2782" s="714">
        <f>VLOOKUP(C2770,'Luong VP'!$B$10:$AP$189,33,0)</f>
        <v>0</v>
      </c>
    </row>
    <row r="2783" spans="1:12" ht="9.1999999999999993" customHeight="1">
      <c r="A2783" s="712">
        <v>10</v>
      </c>
      <c r="B2783" s="713" t="s">
        <v>685</v>
      </c>
      <c r="C2783" s="714">
        <f>VLOOKUP(C2770,'Luong VP'!$B$10:$AP$189,16,0)</f>
        <v>0</v>
      </c>
      <c r="D2783" s="717"/>
      <c r="E2783" s="710" t="s">
        <v>686</v>
      </c>
      <c r="F2783" s="716" t="s">
        <v>687</v>
      </c>
      <c r="G2783" s="719"/>
      <c r="H2783" s="719"/>
      <c r="I2783" s="729"/>
      <c r="J2783" s="730"/>
    </row>
    <row r="2784" spans="1:12" ht="9.1999999999999993" customHeight="1">
      <c r="A2784" s="712">
        <v>11</v>
      </c>
      <c r="B2784" s="713" t="s">
        <v>688</v>
      </c>
      <c r="C2784" s="714">
        <f>VLOOKUP(C2770,'Luong VP'!$B$10:$AP$189,17,0)</f>
        <v>0</v>
      </c>
      <c r="D2784" s="717"/>
      <c r="E2784" s="710">
        <v>1</v>
      </c>
      <c r="F2784" s="716" t="s">
        <v>689</v>
      </c>
      <c r="G2784" s="719"/>
      <c r="H2784" s="719"/>
      <c r="I2784" s="714">
        <f>VLOOKUP(C2770,'Luong VP'!$B$10:$AP$189,30,0)</f>
        <v>0</v>
      </c>
      <c r="J2784" s="714">
        <f>VLOOKUP(C2770,'Luong VP'!$B$10:$AP$189,30,0)</f>
        <v>0</v>
      </c>
    </row>
    <row r="2785" spans="1:12" ht="9.1999999999999993" customHeight="1">
      <c r="A2785" s="712">
        <v>12</v>
      </c>
      <c r="B2785" s="713" t="s">
        <v>691</v>
      </c>
      <c r="C2785" s="714">
        <f>VLOOKUP(C2770,'Luong VP'!$B$10:$AP$189,18,0)</f>
        <v>0</v>
      </c>
      <c r="D2785" s="717"/>
      <c r="E2785" s="710">
        <v>2</v>
      </c>
      <c r="F2785" s="718" t="s">
        <v>239</v>
      </c>
      <c r="G2785" s="718"/>
      <c r="H2785" s="718"/>
      <c r="I2785" s="727"/>
      <c r="J2785" s="728">
        <f>VLOOKUP(C2770,'Luong VP'!$B$10:$AP$189,34,0)</f>
        <v>0</v>
      </c>
      <c r="K2785" s="731"/>
      <c r="L2785" s="715"/>
    </row>
    <row r="2786" spans="1:12" ht="9.1999999999999993" customHeight="1">
      <c r="A2786" s="712">
        <v>13</v>
      </c>
      <c r="B2786" s="713" t="s">
        <v>692</v>
      </c>
      <c r="C2786" s="714">
        <f>VLOOKUP(C2770,'Luong VP'!$B$10:$AP$189,19,0)</f>
        <v>0</v>
      </c>
      <c r="D2786" s="717"/>
      <c r="E2786" s="710">
        <v>3</v>
      </c>
      <c r="F2786" s="716" t="s">
        <v>693</v>
      </c>
      <c r="G2786" s="719"/>
      <c r="H2786" s="719"/>
      <c r="I2786" s="729"/>
      <c r="J2786" s="714">
        <f>VLOOKUP(C2770,'Luong VP'!$B$10:$AP$189,40,0)</f>
        <v>0</v>
      </c>
      <c r="K2786" s="731"/>
      <c r="L2786" s="715"/>
    </row>
    <row r="2787" spans="1:12" ht="9.1999999999999993" customHeight="1">
      <c r="A2787" s="712">
        <v>14</v>
      </c>
      <c r="B2787" s="713" t="s">
        <v>694</v>
      </c>
      <c r="C2787" s="714">
        <f>VLOOKUP(C2770,'Luong VP'!$B$10:$AP$189,20,0)</f>
        <v>0</v>
      </c>
      <c r="D2787" s="717"/>
      <c r="E2787" s="710">
        <v>4</v>
      </c>
      <c r="F2787" s="718" t="s">
        <v>695</v>
      </c>
      <c r="G2787" s="719"/>
      <c r="H2787" s="719"/>
      <c r="I2787" s="729"/>
      <c r="J2787" s="714">
        <f>VLOOKUP(C2770,'Luong VP'!$B$10:$AP$189,35,0)</f>
        <v>0</v>
      </c>
      <c r="K2787" s="732"/>
      <c r="L2787" s="715"/>
    </row>
    <row r="2788" spans="1:12" ht="9.1999999999999993" customHeight="1">
      <c r="A2788" s="712"/>
      <c r="B2788" s="707" t="s">
        <v>656</v>
      </c>
      <c r="C2788" s="714">
        <f>SUM(C2774:C2787)</f>
        <v>7150</v>
      </c>
      <c r="D2788" s="717"/>
      <c r="E2788" s="710"/>
      <c r="F2788" s="716" t="s">
        <v>241</v>
      </c>
      <c r="G2788" s="719"/>
      <c r="H2788" s="719"/>
      <c r="I2788" s="729"/>
      <c r="J2788" s="730">
        <f>SUM(J2775:J2787)+C2782</f>
        <v>7417.3076923076924</v>
      </c>
      <c r="K2788" s="731"/>
      <c r="L2788" s="715"/>
    </row>
    <row r="2789" spans="1:12" ht="9.1999999999999993" customHeight="1">
      <c r="B2789" s="720"/>
      <c r="C2789" s="717"/>
      <c r="D2789" s="717"/>
      <c r="E2789" s="710" t="s">
        <v>696</v>
      </c>
      <c r="F2789" s="711" t="s">
        <v>697</v>
      </c>
      <c r="G2789" s="710"/>
      <c r="H2789" s="710"/>
      <c r="I2789" s="729"/>
      <c r="J2789" s="730">
        <f>SUM(J2790:J2792)</f>
        <v>2480.585</v>
      </c>
      <c r="K2789" s="732"/>
      <c r="L2789" s="715"/>
    </row>
    <row r="2790" spans="1:12" ht="9.1999999999999993" customHeight="1">
      <c r="B2790" s="720"/>
      <c r="C2790" s="717"/>
      <c r="D2790" s="717"/>
      <c r="E2790" s="710">
        <v>1</v>
      </c>
      <c r="F2790" s="718" t="s">
        <v>698</v>
      </c>
      <c r="G2790" s="718"/>
      <c r="H2790" s="718"/>
      <c r="I2790" s="733"/>
      <c r="J2790" s="714">
        <f>VLOOKUP(C2770,'Luong VP'!$B$10:$AP$189,37,0)</f>
        <v>480.58499999999998</v>
      </c>
      <c r="K2790" s="732"/>
      <c r="L2790" s="715"/>
    </row>
    <row r="2791" spans="1:12" ht="9.1999999999999993" customHeight="1">
      <c r="B2791" s="720"/>
      <c r="C2791" s="717"/>
      <c r="D2791" s="717"/>
      <c r="E2791" s="710">
        <v>2</v>
      </c>
      <c r="F2791" s="718" t="s">
        <v>244</v>
      </c>
      <c r="G2791" s="718"/>
      <c r="H2791" s="718"/>
      <c r="I2791" s="729"/>
      <c r="J2791" s="714">
        <f>VLOOKUP(C2770,'Luong VP'!$B$10:$AP$189,39,0)</f>
        <v>2000</v>
      </c>
      <c r="K2791" s="734"/>
      <c r="L2791" s="735"/>
    </row>
    <row r="2792" spans="1:12" ht="9.1999999999999993" customHeight="1">
      <c r="B2792" s="720"/>
      <c r="C2792" s="717"/>
      <c r="D2792" s="717"/>
      <c r="E2792" s="710"/>
      <c r="F2792" s="718" t="s">
        <v>699</v>
      </c>
      <c r="G2792" s="718"/>
      <c r="H2792" s="718"/>
      <c r="I2792" s="729"/>
      <c r="J2792" s="714"/>
      <c r="K2792" s="714"/>
      <c r="L2792" s="736"/>
    </row>
    <row r="2793" spans="1:12" ht="9.1999999999999993" customHeight="1">
      <c r="B2793" s="720"/>
      <c r="C2793" s="717"/>
      <c r="D2793" s="717"/>
      <c r="E2793" s="710" t="s">
        <v>700</v>
      </c>
      <c r="F2793" s="710" t="s">
        <v>246</v>
      </c>
      <c r="G2793" s="710"/>
      <c r="H2793" s="710"/>
      <c r="I2793" s="729"/>
      <c r="J2793" s="728">
        <f>J2788-J2789</f>
        <v>4936.7226923076923</v>
      </c>
      <c r="K2793" s="728">
        <f>ROUND(J2793,-1)</f>
        <v>4940</v>
      </c>
      <c r="L2793" s="710"/>
    </row>
    <row r="2794" spans="1:12" ht="9.1999999999999993" customHeight="1">
      <c r="B2794" s="720"/>
      <c r="C2794" s="717"/>
      <c r="D2794" s="717"/>
      <c r="E2794" s="715"/>
      <c r="F2794" s="715"/>
      <c r="G2794" s="715"/>
      <c r="I2794" s="715" t="s">
        <v>701</v>
      </c>
      <c r="J2794" s="737"/>
      <c r="K2794" s="737"/>
      <c r="L2794" s="715"/>
    </row>
    <row r="2795" spans="1:12" ht="9.1999999999999993" customHeight="1">
      <c r="B2795" s="720"/>
      <c r="C2795" s="717"/>
      <c r="D2795" s="717"/>
      <c r="E2795" s="715"/>
      <c r="F2795" s="715"/>
      <c r="G2795" s="715"/>
      <c r="I2795" s="715"/>
      <c r="J2795" s="737"/>
      <c r="K2795" s="737"/>
      <c r="L2795" s="715"/>
    </row>
    <row r="2796" spans="1:12" ht="9.1999999999999993" customHeight="1">
      <c r="B2796" s="720"/>
      <c r="C2796" s="717"/>
      <c r="D2796" s="717"/>
      <c r="E2796" s="715"/>
      <c r="F2796" s="715"/>
      <c r="G2796" s="715"/>
      <c r="I2796" s="715"/>
      <c r="J2796" s="737"/>
      <c r="K2796" s="737"/>
      <c r="L2796" s="715"/>
    </row>
    <row r="2799" spans="1:12" ht="9.1999999999999993" customHeight="1">
      <c r="C2799" s="696"/>
      <c r="D2799" s="696"/>
      <c r="E2799" s="697" t="str">
        <f>$E$2</f>
        <v>THẺ LƯƠNG THÁNG 08/2019</v>
      </c>
      <c r="F2799" s="698"/>
      <c r="G2799" s="698"/>
      <c r="H2799" s="698"/>
    </row>
    <row r="2800" spans="1:12" ht="9.1999999999999993" customHeight="1">
      <c r="B2800" s="699" t="s">
        <v>644</v>
      </c>
      <c r="C2800" s="700" t="s">
        <v>443</v>
      </c>
      <c r="D2800" s="701"/>
      <c r="F2800" s="702" t="s">
        <v>645</v>
      </c>
      <c r="G2800" s="689" t="str">
        <f>VLOOKUP(C2800,'Luong VP'!$B$10:$AP$189,2,0)</f>
        <v>Nguyễn Đăng Khoa</v>
      </c>
    </row>
    <row r="2801" spans="1:12" ht="9.1999999999999993" customHeight="1">
      <c r="B2801" s="699" t="s">
        <v>646</v>
      </c>
      <c r="C2801" s="689" t="str">
        <f>VLOOKUP(C2800,'Luong VP'!$B$10:$AP$189,3,0)</f>
        <v>Nhân viên vận hành máy</v>
      </c>
      <c r="F2801" s="702" t="s">
        <v>647</v>
      </c>
      <c r="G2801" s="689">
        <f>VLOOKUP(C2800,'Luong VP'!$B$10:$AP$189,5,0)</f>
        <v>2</v>
      </c>
    </row>
    <row r="2802" spans="1:12" ht="9.1999999999999993" customHeight="1">
      <c r="B2802" s="703"/>
      <c r="C2802" s="704"/>
      <c r="D2802" s="705"/>
      <c r="F2802" s="706" t="s">
        <v>648</v>
      </c>
      <c r="G2802" s="706"/>
      <c r="H2802" s="706"/>
      <c r="I2802" s="725"/>
      <c r="J2802" s="726"/>
    </row>
    <row r="2803" spans="1:12" ht="9.1999999999999993" customHeight="1">
      <c r="A2803" s="707" t="s">
        <v>216</v>
      </c>
      <c r="B2803" s="707" t="s">
        <v>649</v>
      </c>
      <c r="C2803" s="708" t="s">
        <v>650</v>
      </c>
      <c r="D2803" s="709"/>
      <c r="E2803" s="710" t="s">
        <v>216</v>
      </c>
      <c r="F2803" s="711" t="s">
        <v>649</v>
      </c>
      <c r="G2803" s="710"/>
      <c r="H2803" s="710" t="s">
        <v>651</v>
      </c>
      <c r="I2803" s="727" t="s">
        <v>652</v>
      </c>
      <c r="J2803" s="714"/>
      <c r="L2803" s="694" t="s">
        <v>653</v>
      </c>
    </row>
    <row r="2804" spans="1:12" ht="9.1999999999999993" customHeight="1">
      <c r="A2804" s="712">
        <v>1</v>
      </c>
      <c r="B2804" s="713" t="s">
        <v>654</v>
      </c>
      <c r="C2804" s="714">
        <f>VLOOKUP(C2800,'Luong VP'!$B$10:$AP$189,9,0)</f>
        <v>6950</v>
      </c>
      <c r="D2804" s="715"/>
      <c r="E2804" s="710" t="s">
        <v>655</v>
      </c>
      <c r="F2804" s="716" t="s">
        <v>656</v>
      </c>
      <c r="G2804" s="710"/>
      <c r="H2804" s="710"/>
      <c r="I2804" s="727"/>
      <c r="J2804" s="714">
        <f>VLOOKUP(C2800,'Luong VP'!$B$10:$AP$189,21,0)</f>
        <v>7150</v>
      </c>
    </row>
    <row r="2805" spans="1:12" ht="9.1999999999999993" customHeight="1">
      <c r="A2805" s="712">
        <v>2</v>
      </c>
      <c r="B2805" s="713" t="s">
        <v>658</v>
      </c>
      <c r="C2805" s="714"/>
      <c r="D2805" s="717"/>
      <c r="E2805" s="710">
        <v>1</v>
      </c>
      <c r="F2805" s="718" t="s">
        <v>659</v>
      </c>
      <c r="G2805" s="718"/>
      <c r="H2805" s="710" t="s">
        <v>660</v>
      </c>
      <c r="I2805" s="727">
        <f>VLOOKUP(C2800,'Luong VP'!$B$10:$AP$189,22,0)</f>
        <v>26</v>
      </c>
      <c r="J2805" s="728">
        <f>J2804/'Cham cong'!$AS$3*I2805</f>
        <v>7150</v>
      </c>
    </row>
    <row r="2806" spans="1:12" ht="9.1999999999999993" customHeight="1">
      <c r="A2806" s="712">
        <v>3</v>
      </c>
      <c r="B2806" s="713" t="s">
        <v>661</v>
      </c>
      <c r="C2806" s="714">
        <f>VLOOKUP(C2800,'Luong VP'!$B$10:$AP$189,10,0)</f>
        <v>200</v>
      </c>
      <c r="D2806" s="717"/>
      <c r="E2806" s="710">
        <v>2</v>
      </c>
      <c r="F2806" s="718" t="s">
        <v>662</v>
      </c>
      <c r="G2806" s="718"/>
      <c r="H2806" s="710" t="s">
        <v>660</v>
      </c>
      <c r="I2806" s="727">
        <f>VLOOKUP(C2800,'Luong VP'!$B$10:$AP$189,27,0)</f>
        <v>0</v>
      </c>
      <c r="J2806" s="728">
        <f>J2804/'Cham cong'!$AS$3*I2806*3</f>
        <v>0</v>
      </c>
    </row>
    <row r="2807" spans="1:12" ht="9.1999999999999993" customHeight="1">
      <c r="A2807" s="712">
        <v>4</v>
      </c>
      <c r="B2807" s="713" t="s">
        <v>666</v>
      </c>
      <c r="C2807" s="714">
        <f>VLOOKUP(C2800,'Luong VP'!$B$10:$AP$189,11,0)</f>
        <v>0</v>
      </c>
      <c r="D2807" s="717"/>
      <c r="E2807" s="710">
        <v>3</v>
      </c>
      <c r="F2807" s="718" t="s">
        <v>667</v>
      </c>
      <c r="G2807" s="718"/>
      <c r="H2807" s="710" t="s">
        <v>668</v>
      </c>
      <c r="I2807" s="727">
        <f>VLOOKUP(C2800,'Luong VP'!$B$10:$AP$189,26,0)</f>
        <v>0</v>
      </c>
      <c r="J2807" s="728">
        <f>J2804/'Cham cong'!$AS$3*I2807/8*1.5</f>
        <v>0</v>
      </c>
    </row>
    <row r="2808" spans="1:12" ht="9.1999999999999993" customHeight="1">
      <c r="A2808" s="712">
        <v>5</v>
      </c>
      <c r="B2808" s="713" t="s">
        <v>670</v>
      </c>
      <c r="C2808" s="714">
        <f>VLOOKUP(C2800,'Luong VP'!$B$10:$AP$189,12,0)</f>
        <v>0</v>
      </c>
      <c r="D2808" s="717"/>
      <c r="E2808" s="710">
        <v>4</v>
      </c>
      <c r="F2808" s="718" t="s">
        <v>671</v>
      </c>
      <c r="G2808" s="718"/>
      <c r="H2808" s="710" t="s">
        <v>668</v>
      </c>
      <c r="I2808" s="727">
        <f>VLOOKUP(C2800,'Luong VP'!$B$10:$AP$189,25,0)</f>
        <v>0</v>
      </c>
      <c r="J2808" s="728">
        <f>J2804/'Cham cong'!$AS$3*I2808/8*2</f>
        <v>0</v>
      </c>
    </row>
    <row r="2809" spans="1:12" ht="9.1999999999999993" customHeight="1">
      <c r="A2809" s="712">
        <v>6</v>
      </c>
      <c r="B2809" s="713" t="s">
        <v>673</v>
      </c>
      <c r="C2809" s="714">
        <f>VLOOKUP(C2800,'Luong VP'!$B$10:$AP$189,13,0)</f>
        <v>0</v>
      </c>
      <c r="D2809" s="717"/>
      <c r="E2809" s="710">
        <v>5</v>
      </c>
      <c r="F2809" s="718" t="s">
        <v>674</v>
      </c>
      <c r="G2809" s="718"/>
      <c r="H2809" s="710" t="s">
        <v>660</v>
      </c>
      <c r="I2809" s="727">
        <f>VLOOKUP(C2800,'Luong VP'!$B$10:$AP$189,23,0)</f>
        <v>0</v>
      </c>
      <c r="J2809" s="728">
        <f>C2804/'Cham cong'!$AS$3*I2809</f>
        <v>0</v>
      </c>
      <c r="L2809" s="694" t="str">
        <f>G2800</f>
        <v>Nguyễn Đăng Khoa</v>
      </c>
    </row>
    <row r="2810" spans="1:12" ht="9.1999999999999993" customHeight="1">
      <c r="A2810" s="712">
        <v>7</v>
      </c>
      <c r="B2810" s="713" t="s">
        <v>676</v>
      </c>
      <c r="C2810" s="714"/>
      <c r="D2810" s="717"/>
      <c r="E2810" s="710">
        <v>6</v>
      </c>
      <c r="F2810" s="718" t="s">
        <v>677</v>
      </c>
      <c r="G2810" s="718"/>
      <c r="H2810" s="710" t="s">
        <v>660</v>
      </c>
      <c r="I2810" s="727">
        <f>VLOOKUP(C2800,'Luong VP'!$B$10:$AP$189,24,0)</f>
        <v>1</v>
      </c>
      <c r="J2810" s="714">
        <f>C2804/'Cham cong'!$AS$3*I2810</f>
        <v>267.30769230769232</v>
      </c>
    </row>
    <row r="2811" spans="1:12" ht="9.1999999999999993" customHeight="1">
      <c r="A2811" s="712">
        <v>8</v>
      </c>
      <c r="B2811" s="713" t="s">
        <v>679</v>
      </c>
      <c r="C2811" s="714">
        <f>VLOOKUP(C2800,'Luong VP'!$B$10:$AP$189,14,0)</f>
        <v>0</v>
      </c>
      <c r="D2811" s="717"/>
      <c r="E2811" s="710">
        <v>7</v>
      </c>
      <c r="F2811" s="718" t="s">
        <v>680</v>
      </c>
      <c r="G2811" s="718"/>
      <c r="H2811" s="718"/>
      <c r="I2811" s="729"/>
      <c r="J2811" s="714">
        <f>VLOOKUP(C2800,'Luong VP'!$B$10:$AP$189,28,0)</f>
        <v>0</v>
      </c>
    </row>
    <row r="2812" spans="1:12" ht="9.1999999999999993" customHeight="1">
      <c r="A2812" s="712">
        <v>9</v>
      </c>
      <c r="B2812" s="713" t="s">
        <v>683</v>
      </c>
      <c r="C2812" s="714">
        <f>VLOOKUP(C2800,'Luong VP'!$B$10:$AP$189,15,0)</f>
        <v>0</v>
      </c>
      <c r="D2812" s="717"/>
      <c r="E2812" s="710">
        <v>8</v>
      </c>
      <c r="F2812" s="718" t="s">
        <v>238</v>
      </c>
      <c r="G2812" s="718"/>
      <c r="H2812" s="718"/>
      <c r="I2812" s="729"/>
      <c r="J2812" s="714">
        <f>VLOOKUP(C2800,'Luong VP'!$B$10:$AP$189,33,0)</f>
        <v>0</v>
      </c>
    </row>
    <row r="2813" spans="1:12" ht="9.1999999999999993" customHeight="1">
      <c r="A2813" s="712">
        <v>10</v>
      </c>
      <c r="B2813" s="713" t="s">
        <v>685</v>
      </c>
      <c r="C2813" s="714">
        <f>VLOOKUP(C2800,'Luong VP'!$B$10:$AP$189,16,0)</f>
        <v>0</v>
      </c>
      <c r="D2813" s="717"/>
      <c r="E2813" s="710" t="s">
        <v>686</v>
      </c>
      <c r="F2813" s="716" t="s">
        <v>687</v>
      </c>
      <c r="G2813" s="719"/>
      <c r="H2813" s="719"/>
      <c r="I2813" s="729"/>
      <c r="J2813" s="730"/>
    </row>
    <row r="2814" spans="1:12" ht="9.1999999999999993" customHeight="1">
      <c r="A2814" s="712">
        <v>11</v>
      </c>
      <c r="B2814" s="713" t="s">
        <v>688</v>
      </c>
      <c r="C2814" s="714">
        <f>VLOOKUP(C2800,'Luong VP'!$B$10:$AP$189,17,0)</f>
        <v>0</v>
      </c>
      <c r="D2814" s="717"/>
      <c r="E2814" s="710">
        <v>1</v>
      </c>
      <c r="F2814" s="716" t="s">
        <v>689</v>
      </c>
      <c r="G2814" s="719"/>
      <c r="H2814" s="719"/>
      <c r="I2814" s="714">
        <f>VLOOKUP(C2800,'Luong VP'!$B$10:$AP$189,30,0)</f>
        <v>0</v>
      </c>
      <c r="J2814" s="714">
        <f>VLOOKUP(C2800,'Luong VP'!$B$10:$AP$189,30,0)</f>
        <v>0</v>
      </c>
    </row>
    <row r="2815" spans="1:12" ht="9.1999999999999993" customHeight="1">
      <c r="A2815" s="712">
        <v>12</v>
      </c>
      <c r="B2815" s="713" t="s">
        <v>691</v>
      </c>
      <c r="C2815" s="714">
        <f>VLOOKUP(C2800,'Luong VP'!$B$10:$AP$189,18,0)</f>
        <v>0</v>
      </c>
      <c r="D2815" s="717"/>
      <c r="E2815" s="710">
        <v>2</v>
      </c>
      <c r="F2815" s="718" t="s">
        <v>239</v>
      </c>
      <c r="G2815" s="718"/>
      <c r="H2815" s="718"/>
      <c r="I2815" s="727"/>
      <c r="J2815" s="728">
        <f>VLOOKUP(C2800,'Luong VP'!$B$10:$AP$189,34,0)</f>
        <v>0</v>
      </c>
      <c r="K2815" s="731"/>
      <c r="L2815" s="715"/>
    </row>
    <row r="2816" spans="1:12" ht="9.1999999999999993" customHeight="1">
      <c r="A2816" s="712">
        <v>13</v>
      </c>
      <c r="B2816" s="713" t="s">
        <v>692</v>
      </c>
      <c r="C2816" s="714">
        <f>VLOOKUP(C2800,'Luong VP'!$B$10:$AP$189,19,0)</f>
        <v>0</v>
      </c>
      <c r="D2816" s="717"/>
      <c r="E2816" s="710">
        <v>3</v>
      </c>
      <c r="F2816" s="716" t="s">
        <v>693</v>
      </c>
      <c r="G2816" s="719"/>
      <c r="H2816" s="719"/>
      <c r="I2816" s="729"/>
      <c r="J2816" s="714">
        <f>VLOOKUP(C2800,'Luong VP'!$B$10:$AP$189,40,0)</f>
        <v>0</v>
      </c>
      <c r="K2816" s="731"/>
      <c r="L2816" s="715"/>
    </row>
    <row r="2817" spans="1:12" ht="9.1999999999999993" customHeight="1">
      <c r="A2817" s="712">
        <v>14</v>
      </c>
      <c r="B2817" s="713" t="s">
        <v>694</v>
      </c>
      <c r="C2817" s="714">
        <f>VLOOKUP(C2800,'Luong VP'!$B$10:$AP$189,20,0)</f>
        <v>0</v>
      </c>
      <c r="D2817" s="717"/>
      <c r="E2817" s="710">
        <v>4</v>
      </c>
      <c r="F2817" s="718" t="s">
        <v>695</v>
      </c>
      <c r="G2817" s="719"/>
      <c r="H2817" s="719"/>
      <c r="I2817" s="729"/>
      <c r="J2817" s="714">
        <f>VLOOKUP(C2800,'Luong VP'!$B$10:$AP$189,35,0)</f>
        <v>0</v>
      </c>
      <c r="K2817" s="732"/>
      <c r="L2817" s="715"/>
    </row>
    <row r="2818" spans="1:12" ht="9.1999999999999993" customHeight="1">
      <c r="A2818" s="712"/>
      <c r="B2818" s="707" t="s">
        <v>656</v>
      </c>
      <c r="C2818" s="714">
        <f>SUM(C2804:C2817)</f>
        <v>7150</v>
      </c>
      <c r="D2818" s="717"/>
      <c r="E2818" s="710"/>
      <c r="F2818" s="716" t="s">
        <v>241</v>
      </c>
      <c r="G2818" s="719"/>
      <c r="H2818" s="719"/>
      <c r="I2818" s="729"/>
      <c r="J2818" s="730">
        <f>SUM(J2805:J2817)+C2812</f>
        <v>7417.3076923076924</v>
      </c>
      <c r="K2818" s="731"/>
      <c r="L2818" s="715"/>
    </row>
    <row r="2819" spans="1:12" ht="9.1999999999999993" customHeight="1">
      <c r="B2819" s="720"/>
      <c r="C2819" s="717"/>
      <c r="D2819" s="717"/>
      <c r="E2819" s="710" t="s">
        <v>696</v>
      </c>
      <c r="F2819" s="711" t="s">
        <v>697</v>
      </c>
      <c r="G2819" s="710"/>
      <c r="H2819" s="710"/>
      <c r="I2819" s="729"/>
      <c r="J2819" s="730">
        <f>SUM(J2820:J2822)</f>
        <v>3480.585</v>
      </c>
      <c r="K2819" s="732"/>
      <c r="L2819" s="715"/>
    </row>
    <row r="2820" spans="1:12" ht="9.1999999999999993" customHeight="1">
      <c r="B2820" s="720"/>
      <c r="C2820" s="717"/>
      <c r="D2820" s="717"/>
      <c r="E2820" s="710">
        <v>1</v>
      </c>
      <c r="F2820" s="718" t="s">
        <v>698</v>
      </c>
      <c r="G2820" s="718"/>
      <c r="H2820" s="718"/>
      <c r="I2820" s="733"/>
      <c r="J2820" s="714">
        <f>VLOOKUP(C2800,'Luong VP'!$B$10:$AP$189,37,0)</f>
        <v>480.58499999999998</v>
      </c>
      <c r="K2820" s="732"/>
      <c r="L2820" s="715"/>
    </row>
    <row r="2821" spans="1:12" ht="9.1999999999999993" customHeight="1">
      <c r="B2821" s="720"/>
      <c r="C2821" s="717"/>
      <c r="D2821" s="717"/>
      <c r="E2821" s="710">
        <v>2</v>
      </c>
      <c r="F2821" s="718" t="s">
        <v>244</v>
      </c>
      <c r="G2821" s="718"/>
      <c r="H2821" s="718"/>
      <c r="I2821" s="729"/>
      <c r="J2821" s="714">
        <f>VLOOKUP(C2800,'Luong VP'!$B$10:$AP$189,39,0)</f>
        <v>3000</v>
      </c>
      <c r="K2821" s="734"/>
      <c r="L2821" s="735"/>
    </row>
    <row r="2822" spans="1:12" ht="9.1999999999999993" customHeight="1">
      <c r="B2822" s="720"/>
      <c r="C2822" s="717"/>
      <c r="D2822" s="717"/>
      <c r="E2822" s="710"/>
      <c r="F2822" s="718" t="s">
        <v>699</v>
      </c>
      <c r="G2822" s="718"/>
      <c r="H2822" s="718"/>
      <c r="I2822" s="729"/>
      <c r="J2822" s="714"/>
      <c r="K2822" s="714"/>
      <c r="L2822" s="736"/>
    </row>
    <row r="2823" spans="1:12" ht="9.1999999999999993" customHeight="1">
      <c r="B2823" s="720"/>
      <c r="C2823" s="717"/>
      <c r="D2823" s="717"/>
      <c r="E2823" s="710" t="s">
        <v>700</v>
      </c>
      <c r="F2823" s="710" t="s">
        <v>246</v>
      </c>
      <c r="G2823" s="710"/>
      <c r="H2823" s="710"/>
      <c r="I2823" s="729"/>
      <c r="J2823" s="728">
        <f>J2818-J2819</f>
        <v>3936.7226923076923</v>
      </c>
      <c r="K2823" s="728">
        <f>ROUND(J2823,-1)</f>
        <v>3940</v>
      </c>
      <c r="L2823" s="710"/>
    </row>
    <row r="2824" spans="1:12" ht="9.1999999999999993" customHeight="1">
      <c r="B2824" s="720"/>
      <c r="C2824" s="717"/>
      <c r="D2824" s="717"/>
      <c r="E2824" s="715"/>
      <c r="F2824" s="715"/>
      <c r="G2824" s="715"/>
      <c r="H2824" s="1596"/>
      <c r="I2824" s="1596"/>
      <c r="J2824" s="1596"/>
      <c r="K2824" s="737"/>
      <c r="L2824" s="715"/>
    </row>
    <row r="2825" spans="1:12" ht="9.1999999999999993" customHeight="1">
      <c r="H2825" s="702"/>
      <c r="I2825" s="702"/>
      <c r="J2825" s="702"/>
      <c r="K2825" s="723"/>
    </row>
    <row r="2830" spans="1:12" ht="9.1999999999999993" customHeight="1">
      <c r="C2830" s="696"/>
      <c r="D2830" s="696"/>
      <c r="E2830" s="697" t="str">
        <f>$E$2</f>
        <v>THẺ LƯƠNG THÁNG 08/2019</v>
      </c>
      <c r="F2830" s="698"/>
      <c r="G2830" s="698"/>
      <c r="H2830" s="698"/>
    </row>
    <row r="2831" spans="1:12" ht="9.1999999999999993" customHeight="1">
      <c r="B2831" s="699" t="s">
        <v>644</v>
      </c>
      <c r="C2831" s="700" t="s">
        <v>453</v>
      </c>
      <c r="D2831" s="701"/>
      <c r="F2831" s="702" t="s">
        <v>645</v>
      </c>
      <c r="G2831" s="689" t="str">
        <f>VLOOKUP(C2831,'Luong VP'!$B$10:$AP$189,2,0)</f>
        <v>Lê Văn Triệu</v>
      </c>
    </row>
    <row r="2832" spans="1:12" ht="9.1999999999999993" customHeight="1">
      <c r="B2832" s="699" t="s">
        <v>646</v>
      </c>
      <c r="C2832" s="689" t="str">
        <f>VLOOKUP(C2831,'Luong VP'!$B$10:$AP$189,3,0)</f>
        <v>Nhân viên vận hành máy</v>
      </c>
      <c r="F2832" s="702" t="s">
        <v>647</v>
      </c>
      <c r="G2832" s="689">
        <f>VLOOKUP(C2831,'Luong VP'!$B$10:$AP$189,5,0)</f>
        <v>2</v>
      </c>
    </row>
    <row r="2833" spans="1:12" ht="9.1999999999999993" customHeight="1">
      <c r="B2833" s="703"/>
      <c r="C2833" s="704"/>
      <c r="D2833" s="705"/>
      <c r="F2833" s="706" t="s">
        <v>648</v>
      </c>
      <c r="G2833" s="706"/>
      <c r="H2833" s="706"/>
      <c r="I2833" s="725"/>
      <c r="J2833" s="726"/>
    </row>
    <row r="2834" spans="1:12" ht="9.1999999999999993" customHeight="1">
      <c r="A2834" s="707" t="s">
        <v>216</v>
      </c>
      <c r="B2834" s="707" t="s">
        <v>649</v>
      </c>
      <c r="C2834" s="708" t="s">
        <v>650</v>
      </c>
      <c r="D2834" s="709"/>
      <c r="E2834" s="710" t="s">
        <v>216</v>
      </c>
      <c r="F2834" s="711" t="s">
        <v>649</v>
      </c>
      <c r="G2834" s="710"/>
      <c r="H2834" s="710" t="s">
        <v>651</v>
      </c>
      <c r="I2834" s="727" t="s">
        <v>652</v>
      </c>
      <c r="J2834" s="714"/>
      <c r="L2834" s="694" t="s">
        <v>653</v>
      </c>
    </row>
    <row r="2835" spans="1:12" ht="9.1999999999999993" customHeight="1">
      <c r="A2835" s="712">
        <v>1</v>
      </c>
      <c r="B2835" s="713" t="s">
        <v>654</v>
      </c>
      <c r="C2835" s="714">
        <f>VLOOKUP(C2831,'Luong VP'!$B$10:$AP$189,9,0)</f>
        <v>6950</v>
      </c>
      <c r="D2835" s="715"/>
      <c r="E2835" s="710" t="s">
        <v>655</v>
      </c>
      <c r="F2835" s="716" t="s">
        <v>656</v>
      </c>
      <c r="G2835" s="710"/>
      <c r="H2835" s="710"/>
      <c r="I2835" s="727"/>
      <c r="J2835" s="714">
        <f>VLOOKUP(C2831,'Luong VP'!$B$10:$AP$189,21,0)</f>
        <v>7358.5</v>
      </c>
    </row>
    <row r="2836" spans="1:12" ht="9.1999999999999993" customHeight="1">
      <c r="A2836" s="712">
        <v>2</v>
      </c>
      <c r="B2836" s="713" t="s">
        <v>658</v>
      </c>
      <c r="C2836" s="714"/>
      <c r="D2836" s="717"/>
      <c r="E2836" s="710">
        <v>1</v>
      </c>
      <c r="F2836" s="718" t="s">
        <v>659</v>
      </c>
      <c r="G2836" s="718"/>
      <c r="H2836" s="710" t="s">
        <v>660</v>
      </c>
      <c r="I2836" s="727">
        <f>VLOOKUP(C2831,'Luong VP'!$B$10:$AP$189,22,0)</f>
        <v>26</v>
      </c>
      <c r="J2836" s="728">
        <f>J2835/'Cham cong'!$AS$3*I2836</f>
        <v>7358.5</v>
      </c>
    </row>
    <row r="2837" spans="1:12" ht="9.1999999999999993" customHeight="1">
      <c r="A2837" s="712">
        <v>3</v>
      </c>
      <c r="B2837" s="713" t="s">
        <v>661</v>
      </c>
      <c r="C2837" s="714">
        <f>VLOOKUP(C2831,'Luong VP'!$B$10:$AP$189,10,0)</f>
        <v>200</v>
      </c>
      <c r="D2837" s="717"/>
      <c r="E2837" s="710">
        <v>2</v>
      </c>
      <c r="F2837" s="718" t="s">
        <v>662</v>
      </c>
      <c r="G2837" s="718"/>
      <c r="H2837" s="710" t="s">
        <v>660</v>
      </c>
      <c r="I2837" s="727">
        <f>VLOOKUP(C2831,'Luong VP'!$B$10:$AP$189,27,0)</f>
        <v>0</v>
      </c>
      <c r="J2837" s="728">
        <f>J2835/'Cham cong'!$AS$3*I2837*3</f>
        <v>0</v>
      </c>
    </row>
    <row r="2838" spans="1:12" ht="9.1999999999999993" customHeight="1">
      <c r="A2838" s="712">
        <v>4</v>
      </c>
      <c r="B2838" s="713" t="s">
        <v>666</v>
      </c>
      <c r="C2838" s="714">
        <f>VLOOKUP(C2831,'Luong VP'!$B$10:$AP$189,11,0)</f>
        <v>0</v>
      </c>
      <c r="D2838" s="717"/>
      <c r="E2838" s="710">
        <v>3</v>
      </c>
      <c r="F2838" s="718" t="s">
        <v>667</v>
      </c>
      <c r="G2838" s="718"/>
      <c r="H2838" s="710" t="s">
        <v>668</v>
      </c>
      <c r="I2838" s="727">
        <f>VLOOKUP(C2831,'Luong VP'!$B$10:$AP$189,26,0)</f>
        <v>0</v>
      </c>
      <c r="J2838" s="728">
        <f>J2835/'Cham cong'!$AS$3*I2838/8*1.5</f>
        <v>0</v>
      </c>
    </row>
    <row r="2839" spans="1:12" ht="9.1999999999999993" customHeight="1">
      <c r="A2839" s="712">
        <v>5</v>
      </c>
      <c r="B2839" s="713" t="s">
        <v>670</v>
      </c>
      <c r="C2839" s="714">
        <f>VLOOKUP(C2831,'Luong VP'!$B$10:$AP$189,12,0)</f>
        <v>208.5</v>
      </c>
      <c r="D2839" s="717"/>
      <c r="E2839" s="710">
        <v>4</v>
      </c>
      <c r="F2839" s="718" t="s">
        <v>671</v>
      </c>
      <c r="G2839" s="718"/>
      <c r="H2839" s="710" t="s">
        <v>668</v>
      </c>
      <c r="I2839" s="727">
        <f>VLOOKUP(C2831,'Luong VP'!$B$10:$AP$189,25,0)</f>
        <v>0</v>
      </c>
      <c r="J2839" s="728">
        <f>J2835/'Cham cong'!$AS$3*I2839/8*2</f>
        <v>0</v>
      </c>
    </row>
    <row r="2840" spans="1:12" ht="9.1999999999999993" customHeight="1">
      <c r="A2840" s="712">
        <v>6</v>
      </c>
      <c r="B2840" s="713" t="s">
        <v>673</v>
      </c>
      <c r="C2840" s="714">
        <f>VLOOKUP(C2831,'Luong VP'!$B$10:$AP$189,13,0)</f>
        <v>0</v>
      </c>
      <c r="D2840" s="717"/>
      <c r="E2840" s="710">
        <v>5</v>
      </c>
      <c r="F2840" s="718" t="s">
        <v>674</v>
      </c>
      <c r="G2840" s="718"/>
      <c r="H2840" s="710" t="s">
        <v>660</v>
      </c>
      <c r="I2840" s="727">
        <f>VLOOKUP(C2831,'Luong VP'!$B$10:$AP$189,23,0)</f>
        <v>0</v>
      </c>
      <c r="J2840" s="728">
        <f>C2835/'Cham cong'!$AS$3*I2840</f>
        <v>0</v>
      </c>
      <c r="L2840" s="694" t="str">
        <f>G2831</f>
        <v>Lê Văn Triệu</v>
      </c>
    </row>
    <row r="2841" spans="1:12" ht="9.1999999999999993" customHeight="1">
      <c r="A2841" s="712">
        <v>7</v>
      </c>
      <c r="B2841" s="713" t="s">
        <v>676</v>
      </c>
      <c r="C2841" s="714"/>
      <c r="D2841" s="717"/>
      <c r="E2841" s="710">
        <v>6</v>
      </c>
      <c r="F2841" s="718" t="s">
        <v>677</v>
      </c>
      <c r="G2841" s="718"/>
      <c r="H2841" s="710" t="s">
        <v>660</v>
      </c>
      <c r="I2841" s="727">
        <f>VLOOKUP(C2831,'Luong VP'!$B$10:$AP$189,24,0)</f>
        <v>1</v>
      </c>
      <c r="J2841" s="714">
        <f>C2835/'Cham cong'!$AS$3*I2841</f>
        <v>267.30769230769232</v>
      </c>
    </row>
    <row r="2842" spans="1:12" ht="9.1999999999999993" customHeight="1">
      <c r="A2842" s="712">
        <v>8</v>
      </c>
      <c r="B2842" s="713" t="s">
        <v>679</v>
      </c>
      <c r="C2842" s="714">
        <f>VLOOKUP(C2831,'Luong VP'!$B$10:$AP$189,14,0)</f>
        <v>0</v>
      </c>
      <c r="D2842" s="717"/>
      <c r="E2842" s="710">
        <v>7</v>
      </c>
      <c r="F2842" s="718" t="s">
        <v>680</v>
      </c>
      <c r="G2842" s="718"/>
      <c r="H2842" s="718"/>
      <c r="I2842" s="729"/>
      <c r="J2842" s="714">
        <f>VLOOKUP(C2831,'Luong VP'!$B$10:$AP$189,28,0)</f>
        <v>0</v>
      </c>
    </row>
    <row r="2843" spans="1:12" ht="9.1999999999999993" customHeight="1">
      <c r="A2843" s="712">
        <v>9</v>
      </c>
      <c r="B2843" s="713" t="s">
        <v>683</v>
      </c>
      <c r="C2843" s="714">
        <f>VLOOKUP(C2831,'Luong VP'!$B$10:$AP$189,15,0)</f>
        <v>0</v>
      </c>
      <c r="D2843" s="717"/>
      <c r="E2843" s="710">
        <v>8</v>
      </c>
      <c r="F2843" s="718" t="s">
        <v>238</v>
      </c>
      <c r="G2843" s="718"/>
      <c r="H2843" s="718"/>
      <c r="I2843" s="729"/>
      <c r="J2843" s="714">
        <f>VLOOKUP(C2831,'Luong VP'!$B$10:$AP$189,33,0)</f>
        <v>0</v>
      </c>
    </row>
    <row r="2844" spans="1:12" ht="9.1999999999999993" customHeight="1">
      <c r="A2844" s="712">
        <v>10</v>
      </c>
      <c r="B2844" s="713" t="s">
        <v>685</v>
      </c>
      <c r="C2844" s="714">
        <f>VLOOKUP(C2831,'Luong VP'!$B$10:$AP$189,16,0)</f>
        <v>0</v>
      </c>
      <c r="D2844" s="717"/>
      <c r="E2844" s="710" t="s">
        <v>686</v>
      </c>
      <c r="F2844" s="716" t="s">
        <v>687</v>
      </c>
      <c r="G2844" s="719"/>
      <c r="H2844" s="719"/>
      <c r="I2844" s="729"/>
      <c r="J2844" s="730"/>
    </row>
    <row r="2845" spans="1:12" ht="9.1999999999999993" customHeight="1">
      <c r="A2845" s="712">
        <v>11</v>
      </c>
      <c r="B2845" s="713" t="s">
        <v>688</v>
      </c>
      <c r="C2845" s="714">
        <f>VLOOKUP(C2831,'Luong VP'!$B$10:$AP$189,17,0)</f>
        <v>0</v>
      </c>
      <c r="D2845" s="717"/>
      <c r="E2845" s="710">
        <v>1</v>
      </c>
      <c r="F2845" s="716" t="s">
        <v>689</v>
      </c>
      <c r="G2845" s="719"/>
      <c r="H2845" s="719"/>
      <c r="I2845" s="714">
        <f>VLOOKUP(C2831,'Luong VP'!$B$10:$AP$189,30,0)</f>
        <v>0</v>
      </c>
      <c r="J2845" s="714">
        <f>VLOOKUP(C2831,'Luong VP'!$B$10:$AP$189,30,0)</f>
        <v>0</v>
      </c>
    </row>
    <row r="2846" spans="1:12" ht="9.1999999999999993" customHeight="1">
      <c r="A2846" s="712">
        <v>12</v>
      </c>
      <c r="B2846" s="713" t="s">
        <v>691</v>
      </c>
      <c r="C2846" s="714">
        <f>VLOOKUP(C2831,'Luong VP'!$B$10:$AP$189,18,0)</f>
        <v>0</v>
      </c>
      <c r="D2846" s="717"/>
      <c r="E2846" s="710">
        <v>2</v>
      </c>
      <c r="F2846" s="718" t="s">
        <v>239</v>
      </c>
      <c r="G2846" s="718"/>
      <c r="H2846" s="718"/>
      <c r="I2846" s="727"/>
      <c r="J2846" s="728">
        <f>VLOOKUP(C2831,'Luong VP'!$B$10:$AP$189,34,0)</f>
        <v>0</v>
      </c>
      <c r="K2846" s="731"/>
      <c r="L2846" s="715"/>
    </row>
    <row r="2847" spans="1:12" ht="9.1999999999999993" customHeight="1">
      <c r="A2847" s="712">
        <v>13</v>
      </c>
      <c r="B2847" s="713" t="s">
        <v>692</v>
      </c>
      <c r="C2847" s="714">
        <f>VLOOKUP(C2831,'Luong VP'!$B$10:$AP$189,19,0)</f>
        <v>0</v>
      </c>
      <c r="D2847" s="717"/>
      <c r="E2847" s="710">
        <v>3</v>
      </c>
      <c r="F2847" s="716" t="s">
        <v>693</v>
      </c>
      <c r="G2847" s="719"/>
      <c r="H2847" s="719"/>
      <c r="I2847" s="729"/>
      <c r="J2847" s="714">
        <f>VLOOKUP(C2831,'Luong VP'!$B$10:$AP$189,40,0)</f>
        <v>0</v>
      </c>
      <c r="K2847" s="731"/>
      <c r="L2847" s="715"/>
    </row>
    <row r="2848" spans="1:12" ht="9.1999999999999993" customHeight="1">
      <c r="A2848" s="712">
        <v>14</v>
      </c>
      <c r="B2848" s="713" t="s">
        <v>694</v>
      </c>
      <c r="C2848" s="714">
        <f>VLOOKUP(C2831,'Luong VP'!$B$10:$AP$189,20,0)</f>
        <v>0</v>
      </c>
      <c r="D2848" s="717"/>
      <c r="E2848" s="710">
        <v>4</v>
      </c>
      <c r="F2848" s="718" t="s">
        <v>695</v>
      </c>
      <c r="G2848" s="719"/>
      <c r="H2848" s="719"/>
      <c r="I2848" s="729"/>
      <c r="J2848" s="714">
        <f>VLOOKUP(C2831,'Luong VP'!$B$10:$AP$189,35,0)</f>
        <v>0</v>
      </c>
      <c r="K2848" s="732"/>
      <c r="L2848" s="715"/>
    </row>
    <row r="2849" spans="1:12" ht="9.1999999999999993" customHeight="1">
      <c r="A2849" s="712"/>
      <c r="B2849" s="707" t="s">
        <v>656</v>
      </c>
      <c r="C2849" s="714">
        <f>SUM(C2835:C2848)</f>
        <v>7358.5</v>
      </c>
      <c r="D2849" s="717"/>
      <c r="E2849" s="710"/>
      <c r="F2849" s="716" t="s">
        <v>241</v>
      </c>
      <c r="G2849" s="719"/>
      <c r="H2849" s="719"/>
      <c r="I2849" s="729"/>
      <c r="J2849" s="730">
        <f>SUM(J2836:J2848)+C2843</f>
        <v>7625.8076923076924</v>
      </c>
      <c r="K2849" s="731"/>
      <c r="L2849" s="715"/>
    </row>
    <row r="2850" spans="1:12" ht="9.1999999999999993" customHeight="1">
      <c r="B2850" s="720"/>
      <c r="C2850" s="717"/>
      <c r="D2850" s="717"/>
      <c r="E2850" s="710" t="s">
        <v>696</v>
      </c>
      <c r="F2850" s="711" t="s">
        <v>697</v>
      </c>
      <c r="G2850" s="710"/>
      <c r="H2850" s="710"/>
      <c r="I2850" s="729"/>
      <c r="J2850" s="730">
        <f>SUM(J2851:J2853)</f>
        <v>4480.585</v>
      </c>
      <c r="K2850" s="732"/>
      <c r="L2850" s="715"/>
    </row>
    <row r="2851" spans="1:12" ht="9.1999999999999993" customHeight="1">
      <c r="B2851" s="720"/>
      <c r="C2851" s="717"/>
      <c r="D2851" s="717"/>
      <c r="E2851" s="710">
        <v>1</v>
      </c>
      <c r="F2851" s="718" t="s">
        <v>698</v>
      </c>
      <c r="G2851" s="718"/>
      <c r="H2851" s="718"/>
      <c r="I2851" s="733"/>
      <c r="J2851" s="714">
        <f>VLOOKUP(C2831,'Luong VP'!$B$10:$AP$189,37,0)</f>
        <v>480.58499999999998</v>
      </c>
      <c r="K2851" s="732"/>
      <c r="L2851" s="715"/>
    </row>
    <row r="2852" spans="1:12" ht="9.1999999999999993" customHeight="1">
      <c r="B2852" s="720"/>
      <c r="C2852" s="717"/>
      <c r="D2852" s="717"/>
      <c r="E2852" s="710">
        <v>2</v>
      </c>
      <c r="F2852" s="718" t="s">
        <v>244</v>
      </c>
      <c r="G2852" s="718"/>
      <c r="H2852" s="718"/>
      <c r="I2852" s="729"/>
      <c r="J2852" s="714">
        <f>VLOOKUP(C2831,'Luong VP'!$B$10:$AP$189,39,0)</f>
        <v>4000</v>
      </c>
      <c r="K2852" s="734"/>
      <c r="L2852" s="735"/>
    </row>
    <row r="2853" spans="1:12" ht="9.1999999999999993" customHeight="1">
      <c r="B2853" s="720"/>
      <c r="C2853" s="717"/>
      <c r="D2853" s="717"/>
      <c r="E2853" s="710"/>
      <c r="F2853" s="718" t="s">
        <v>699</v>
      </c>
      <c r="G2853" s="718"/>
      <c r="H2853" s="718"/>
      <c r="I2853" s="729"/>
      <c r="J2853" s="714"/>
      <c r="K2853" s="714"/>
      <c r="L2853" s="736"/>
    </row>
    <row r="2854" spans="1:12" ht="9.1999999999999993" customHeight="1">
      <c r="B2854" s="720"/>
      <c r="C2854" s="717"/>
      <c r="D2854" s="717"/>
      <c r="E2854" s="710" t="s">
        <v>700</v>
      </c>
      <c r="F2854" s="710" t="s">
        <v>246</v>
      </c>
      <c r="G2854" s="710"/>
      <c r="H2854" s="710"/>
      <c r="I2854" s="729"/>
      <c r="J2854" s="728">
        <f>J2849-J2850</f>
        <v>3145.2226923076923</v>
      </c>
      <c r="K2854" s="728">
        <f>ROUND(J2854,-1)</f>
        <v>3150</v>
      </c>
      <c r="L2854" s="710"/>
    </row>
    <row r="2855" spans="1:12" ht="9.1999999999999993" customHeight="1">
      <c r="B2855" s="720"/>
      <c r="C2855" s="717"/>
      <c r="D2855" s="717"/>
      <c r="E2855" s="715"/>
      <c r="F2855" s="715"/>
      <c r="G2855" s="715"/>
      <c r="H2855" s="1596"/>
      <c r="I2855" s="1596"/>
      <c r="J2855" s="1596"/>
      <c r="K2855" s="737"/>
      <c r="L2855" s="715"/>
    </row>
    <row r="2856" spans="1:12" ht="9.1999999999999993" customHeight="1">
      <c r="B2856" s="720"/>
      <c r="C2856" s="717"/>
      <c r="D2856" s="717"/>
      <c r="E2856" s="715"/>
      <c r="F2856" s="715"/>
      <c r="G2856" s="715"/>
      <c r="H2856" s="702"/>
      <c r="I2856" s="702"/>
      <c r="J2856" s="702"/>
      <c r="K2856" s="723"/>
      <c r="L2856" s="715"/>
    </row>
    <row r="2857" spans="1:12" ht="9.1999999999999993" customHeight="1">
      <c r="B2857" s="720"/>
      <c r="C2857" s="717"/>
      <c r="D2857" s="717"/>
      <c r="E2857" s="715"/>
      <c r="F2857" s="715"/>
      <c r="G2857" s="715"/>
      <c r="I2857" s="715"/>
      <c r="J2857" s="737"/>
      <c r="K2857" s="737"/>
      <c r="L2857" s="715"/>
    </row>
    <row r="2858" spans="1:12" ht="9.1999999999999993" customHeight="1">
      <c r="B2858" s="720"/>
      <c r="C2858" s="717"/>
      <c r="D2858" s="717"/>
      <c r="E2858" s="715"/>
      <c r="F2858" s="715"/>
      <c r="G2858" s="715"/>
      <c r="I2858" s="715"/>
      <c r="J2858" s="737"/>
      <c r="K2858" s="737"/>
      <c r="L2858" s="715"/>
    </row>
    <row r="2859" spans="1:12" ht="9.1999999999999993" customHeight="1">
      <c r="B2859" s="720"/>
      <c r="C2859" s="717"/>
      <c r="D2859" s="717"/>
      <c r="E2859" s="715"/>
      <c r="F2859" s="715"/>
      <c r="G2859" s="715"/>
      <c r="I2859" s="715"/>
      <c r="J2859" s="737"/>
      <c r="K2859" s="737"/>
      <c r="L2859" s="715"/>
    </row>
    <row r="2860" spans="1:12" ht="9.1999999999999993" customHeight="1">
      <c r="B2860" s="720"/>
      <c r="C2860" s="717"/>
      <c r="D2860" s="717"/>
      <c r="E2860" s="715"/>
      <c r="F2860" s="715"/>
      <c r="G2860" s="715"/>
      <c r="I2860" s="715"/>
      <c r="J2860" s="737"/>
      <c r="K2860" s="737"/>
      <c r="L2860" s="715"/>
    </row>
    <row r="2861" spans="1:12" ht="9.1999999999999993" customHeight="1">
      <c r="C2861" s="696"/>
      <c r="D2861" s="696"/>
      <c r="E2861" s="697" t="str">
        <f>$E$2</f>
        <v>THẺ LƯƠNG THÁNG 08/2019</v>
      </c>
      <c r="F2861" s="698"/>
      <c r="G2861" s="698"/>
      <c r="H2861" s="698"/>
    </row>
    <row r="2862" spans="1:12" ht="9.1999999999999993" customHeight="1">
      <c r="B2862" s="699" t="s">
        <v>644</v>
      </c>
      <c r="C2862" s="700" t="s">
        <v>455</v>
      </c>
      <c r="D2862" s="701"/>
      <c r="F2862" s="702" t="s">
        <v>645</v>
      </c>
      <c r="G2862" s="689" t="str">
        <f>VLOOKUP(C2862,'Luong VP'!$B$10:$AP$189,2,0)</f>
        <v>Lâm Bal</v>
      </c>
    </row>
    <row r="2863" spans="1:12" ht="9.1999999999999993" customHeight="1">
      <c r="B2863" s="699" t="s">
        <v>646</v>
      </c>
      <c r="C2863" s="689" t="str">
        <f>VLOOKUP(C2862,'Luong VP'!$B$10:$AP$189,3,0)</f>
        <v>Nhân viên vận hành máy</v>
      </c>
      <c r="F2863" s="702" t="s">
        <v>647</v>
      </c>
      <c r="G2863" s="689">
        <f>VLOOKUP(C2862,'Luong VP'!$B$10:$AP$189,5,0)</f>
        <v>2</v>
      </c>
    </row>
    <row r="2864" spans="1:12" ht="9.1999999999999993" customHeight="1">
      <c r="B2864" s="703"/>
      <c r="C2864" s="704"/>
      <c r="D2864" s="705"/>
      <c r="F2864" s="706" t="s">
        <v>648</v>
      </c>
      <c r="G2864" s="706"/>
      <c r="H2864" s="706"/>
      <c r="I2864" s="725"/>
      <c r="J2864" s="726"/>
    </row>
    <row r="2865" spans="1:12" ht="9.1999999999999993" customHeight="1">
      <c r="A2865" s="707" t="s">
        <v>216</v>
      </c>
      <c r="B2865" s="707" t="s">
        <v>649</v>
      </c>
      <c r="C2865" s="708" t="s">
        <v>650</v>
      </c>
      <c r="D2865" s="709"/>
      <c r="E2865" s="710" t="s">
        <v>216</v>
      </c>
      <c r="F2865" s="711" t="s">
        <v>649</v>
      </c>
      <c r="G2865" s="710"/>
      <c r="H2865" s="710" t="s">
        <v>651</v>
      </c>
      <c r="I2865" s="727" t="s">
        <v>652</v>
      </c>
      <c r="J2865" s="714"/>
      <c r="L2865" s="694" t="s">
        <v>653</v>
      </c>
    </row>
    <row r="2866" spans="1:12" ht="9.1999999999999993" customHeight="1">
      <c r="A2866" s="712">
        <v>1</v>
      </c>
      <c r="B2866" s="713" t="s">
        <v>654</v>
      </c>
      <c r="C2866" s="714">
        <f>VLOOKUP(C2862,'Luong VP'!$B$10:$AP$189,9,0)</f>
        <v>6950</v>
      </c>
      <c r="D2866" s="715"/>
      <c r="E2866" s="710" t="s">
        <v>655</v>
      </c>
      <c r="F2866" s="716" t="s">
        <v>656</v>
      </c>
      <c r="G2866" s="710"/>
      <c r="H2866" s="710"/>
      <c r="I2866" s="727"/>
      <c r="J2866" s="714">
        <f>VLOOKUP(C2862,'Luong VP'!$B$10:$AP$189,21,0)</f>
        <v>7706</v>
      </c>
    </row>
    <row r="2867" spans="1:12" ht="9.1999999999999993" customHeight="1">
      <c r="A2867" s="712">
        <v>2</v>
      </c>
      <c r="B2867" s="713" t="s">
        <v>658</v>
      </c>
      <c r="C2867" s="714"/>
      <c r="D2867" s="717"/>
      <c r="E2867" s="710">
        <v>1</v>
      </c>
      <c r="F2867" s="718" t="s">
        <v>659</v>
      </c>
      <c r="G2867" s="718"/>
      <c r="H2867" s="710" t="s">
        <v>660</v>
      </c>
      <c r="I2867" s="727">
        <f>VLOOKUP(C2862,'Luong VP'!$B$10:$AP$189,22,0)</f>
        <v>26</v>
      </c>
      <c r="J2867" s="728">
        <f>J2866/'Cham cong'!$AS$3*I2867</f>
        <v>7705.9999999999991</v>
      </c>
    </row>
    <row r="2868" spans="1:12" ht="9.1999999999999993" customHeight="1">
      <c r="A2868" s="712">
        <v>3</v>
      </c>
      <c r="B2868" s="713" t="s">
        <v>661</v>
      </c>
      <c r="C2868" s="714">
        <f>VLOOKUP(C2862,'Luong VP'!$B$10:$AP$189,10,0)</f>
        <v>200</v>
      </c>
      <c r="D2868" s="717"/>
      <c r="E2868" s="710">
        <v>2</v>
      </c>
      <c r="F2868" s="718" t="s">
        <v>662</v>
      </c>
      <c r="G2868" s="718"/>
      <c r="H2868" s="710" t="s">
        <v>660</v>
      </c>
      <c r="I2868" s="727">
        <f>VLOOKUP(C2862,'Luong VP'!$B$10:$AP$189,27,0)</f>
        <v>0</v>
      </c>
      <c r="J2868" s="728">
        <f>J2866/'Cham cong'!$AS$3*I2868*3</f>
        <v>0</v>
      </c>
    </row>
    <row r="2869" spans="1:12" ht="9.1999999999999993" customHeight="1">
      <c r="A2869" s="712">
        <v>4</v>
      </c>
      <c r="B2869" s="713" t="s">
        <v>666</v>
      </c>
      <c r="C2869" s="714">
        <f>VLOOKUP(C2862,'Luong VP'!$B$10:$AP$189,11,0)</f>
        <v>0</v>
      </c>
      <c r="D2869" s="717"/>
      <c r="E2869" s="710">
        <v>3</v>
      </c>
      <c r="F2869" s="718" t="s">
        <v>667</v>
      </c>
      <c r="G2869" s="718"/>
      <c r="H2869" s="710" t="s">
        <v>668</v>
      </c>
      <c r="I2869" s="727">
        <f>VLOOKUP(C2862,'Luong VP'!$B$10:$AP$189,26,0)</f>
        <v>0</v>
      </c>
      <c r="J2869" s="728">
        <f>J2866/'Cham cong'!$AS$3*I2869/8*1.5</f>
        <v>0</v>
      </c>
    </row>
    <row r="2870" spans="1:12" ht="9.1999999999999993" customHeight="1">
      <c r="A2870" s="712">
        <v>5</v>
      </c>
      <c r="B2870" s="713" t="s">
        <v>670</v>
      </c>
      <c r="C2870" s="714">
        <f>VLOOKUP(C2862,'Luong VP'!$B$10:$AP$189,12,0)</f>
        <v>556</v>
      </c>
      <c r="D2870" s="717"/>
      <c r="E2870" s="710">
        <v>4</v>
      </c>
      <c r="F2870" s="718" t="s">
        <v>671</v>
      </c>
      <c r="G2870" s="718"/>
      <c r="H2870" s="710" t="s">
        <v>668</v>
      </c>
      <c r="I2870" s="727">
        <f>VLOOKUP(C2862,'Luong VP'!$B$10:$AP$189,25,0)</f>
        <v>0</v>
      </c>
      <c r="J2870" s="728">
        <f>J2866/'Cham cong'!$AS$3*I2870/8*2</f>
        <v>0</v>
      </c>
    </row>
    <row r="2871" spans="1:12" ht="9.1999999999999993" customHeight="1">
      <c r="A2871" s="712">
        <v>6</v>
      </c>
      <c r="B2871" s="713" t="s">
        <v>673</v>
      </c>
      <c r="C2871" s="714">
        <f>VLOOKUP(C2862,'Luong VP'!$B$10:$AP$189,13,0)</f>
        <v>0</v>
      </c>
      <c r="D2871" s="717"/>
      <c r="E2871" s="710">
        <v>5</v>
      </c>
      <c r="F2871" s="718" t="s">
        <v>674</v>
      </c>
      <c r="G2871" s="718"/>
      <c r="H2871" s="710" t="s">
        <v>660</v>
      </c>
      <c r="I2871" s="727">
        <f>VLOOKUP(C2862,'Luong VP'!$B$10:$AP$189,23,0)</f>
        <v>0</v>
      </c>
      <c r="J2871" s="728">
        <f>C2866/'Cham cong'!$AS$3*I2871</f>
        <v>0</v>
      </c>
      <c r="L2871" s="694" t="str">
        <f>G2862</f>
        <v>Lâm Bal</v>
      </c>
    </row>
    <row r="2872" spans="1:12" ht="9.1999999999999993" customHeight="1">
      <c r="A2872" s="712">
        <v>7</v>
      </c>
      <c r="B2872" s="713" t="s">
        <v>676</v>
      </c>
      <c r="C2872" s="714"/>
      <c r="D2872" s="717"/>
      <c r="E2872" s="710">
        <v>6</v>
      </c>
      <c r="F2872" s="718" t="s">
        <v>677</v>
      </c>
      <c r="G2872" s="718"/>
      <c r="H2872" s="710" t="s">
        <v>660</v>
      </c>
      <c r="I2872" s="727">
        <f>VLOOKUP(C2862,'Luong VP'!$B$10:$AP$189,24,0)</f>
        <v>1</v>
      </c>
      <c r="J2872" s="714">
        <f>C2866/'Cham cong'!$AS$3*I2872</f>
        <v>267.30769230769232</v>
      </c>
    </row>
    <row r="2873" spans="1:12" ht="9.1999999999999993" customHeight="1">
      <c r="A2873" s="712">
        <v>8</v>
      </c>
      <c r="B2873" s="713" t="s">
        <v>679</v>
      </c>
      <c r="C2873" s="714">
        <f>VLOOKUP(C2862,'Luong VP'!$B$10:$AP$189,14,0)</f>
        <v>0</v>
      </c>
      <c r="D2873" s="717"/>
      <c r="E2873" s="710">
        <v>7</v>
      </c>
      <c r="F2873" s="718" t="s">
        <v>680</v>
      </c>
      <c r="G2873" s="718"/>
      <c r="H2873" s="718"/>
      <c r="I2873" s="729"/>
      <c r="J2873" s="714">
        <f>VLOOKUP(C2862,'Luong VP'!$B$10:$AP$189,28,0)</f>
        <v>0</v>
      </c>
    </row>
    <row r="2874" spans="1:12" ht="9.1999999999999993" customHeight="1">
      <c r="A2874" s="712">
        <v>9</v>
      </c>
      <c r="B2874" s="713" t="s">
        <v>683</v>
      </c>
      <c r="C2874" s="714">
        <f>VLOOKUP(C2862,'Luong VP'!$B$10:$AP$189,15,0)</f>
        <v>0</v>
      </c>
      <c r="D2874" s="717"/>
      <c r="E2874" s="710">
        <v>8</v>
      </c>
      <c r="F2874" s="718" t="s">
        <v>238</v>
      </c>
      <c r="G2874" s="718"/>
      <c r="H2874" s="718"/>
      <c r="I2874" s="729"/>
      <c r="J2874" s="714">
        <f>VLOOKUP(C2862,'Luong VP'!$B$10:$AP$189,33,0)</f>
        <v>0</v>
      </c>
    </row>
    <row r="2875" spans="1:12" ht="9.1999999999999993" customHeight="1">
      <c r="A2875" s="712">
        <v>10</v>
      </c>
      <c r="B2875" s="713" t="s">
        <v>685</v>
      </c>
      <c r="C2875" s="714">
        <f>VLOOKUP(C2862,'Luong VP'!$B$10:$AP$189,16,0)</f>
        <v>0</v>
      </c>
      <c r="D2875" s="717"/>
      <c r="E2875" s="710" t="s">
        <v>686</v>
      </c>
      <c r="F2875" s="716" t="s">
        <v>687</v>
      </c>
      <c r="G2875" s="719"/>
      <c r="H2875" s="719"/>
      <c r="I2875" s="729"/>
      <c r="J2875" s="730"/>
    </row>
    <row r="2876" spans="1:12" ht="9.1999999999999993" customHeight="1">
      <c r="A2876" s="712">
        <v>11</v>
      </c>
      <c r="B2876" s="713" t="s">
        <v>688</v>
      </c>
      <c r="C2876" s="714">
        <f>VLOOKUP(C2862,'Luong VP'!$B$10:$AP$189,17,0)</f>
        <v>0</v>
      </c>
      <c r="D2876" s="717"/>
      <c r="E2876" s="710">
        <v>1</v>
      </c>
      <c r="F2876" s="716" t="s">
        <v>689</v>
      </c>
      <c r="G2876" s="719"/>
      <c r="H2876" s="719"/>
      <c r="I2876" s="714">
        <f>VLOOKUP(C2862,'Luong VP'!$B$10:$AP$189,30,0)</f>
        <v>0</v>
      </c>
      <c r="J2876" s="714">
        <f>VLOOKUP(C2862,'Luong VP'!$B$10:$AP$189,30,0)</f>
        <v>0</v>
      </c>
    </row>
    <row r="2877" spans="1:12" ht="9.1999999999999993" customHeight="1">
      <c r="A2877" s="712">
        <v>12</v>
      </c>
      <c r="B2877" s="713" t="s">
        <v>691</v>
      </c>
      <c r="C2877" s="714">
        <f>VLOOKUP(C2862,'Luong VP'!$B$10:$AP$189,18,0)</f>
        <v>0</v>
      </c>
      <c r="D2877" s="717"/>
      <c r="E2877" s="710">
        <v>2</v>
      </c>
      <c r="F2877" s="718" t="s">
        <v>239</v>
      </c>
      <c r="G2877" s="718"/>
      <c r="H2877" s="718"/>
      <c r="I2877" s="727"/>
      <c r="J2877" s="728">
        <f>VLOOKUP(C2862,'Luong VP'!$B$10:$AP$189,34,0)</f>
        <v>0</v>
      </c>
      <c r="K2877" s="731"/>
      <c r="L2877" s="715"/>
    </row>
    <row r="2878" spans="1:12" ht="9.1999999999999993" customHeight="1">
      <c r="A2878" s="712">
        <v>13</v>
      </c>
      <c r="B2878" s="713" t="s">
        <v>692</v>
      </c>
      <c r="C2878" s="714">
        <f>VLOOKUP(C2862,'Luong VP'!$B$10:$AP$189,19,0)</f>
        <v>0</v>
      </c>
      <c r="D2878" s="717"/>
      <c r="E2878" s="710">
        <v>3</v>
      </c>
      <c r="F2878" s="716" t="s">
        <v>693</v>
      </c>
      <c r="G2878" s="719"/>
      <c r="H2878" s="719"/>
      <c r="I2878" s="729"/>
      <c r="J2878" s="714">
        <f>VLOOKUP(C2862,'Luong VP'!$B$10:$AP$189,40,0)</f>
        <v>0</v>
      </c>
      <c r="K2878" s="731"/>
      <c r="L2878" s="715"/>
    </row>
    <row r="2879" spans="1:12" ht="9.1999999999999993" customHeight="1">
      <c r="A2879" s="712">
        <v>14</v>
      </c>
      <c r="B2879" s="713" t="s">
        <v>694</v>
      </c>
      <c r="C2879" s="714">
        <f>VLOOKUP(C2862,'Luong VP'!$B$10:$AP$189,20,0)</f>
        <v>0</v>
      </c>
      <c r="D2879" s="717"/>
      <c r="E2879" s="710">
        <v>4</v>
      </c>
      <c r="F2879" s="718" t="s">
        <v>695</v>
      </c>
      <c r="G2879" s="719"/>
      <c r="H2879" s="719"/>
      <c r="I2879" s="729"/>
      <c r="J2879" s="714">
        <f>VLOOKUP(C2862,'Luong VP'!$B$10:$AP$189,35,0)</f>
        <v>0</v>
      </c>
      <c r="K2879" s="732"/>
      <c r="L2879" s="715"/>
    </row>
    <row r="2880" spans="1:12" ht="9.1999999999999993" customHeight="1">
      <c r="A2880" s="712"/>
      <c r="B2880" s="707" t="s">
        <v>656</v>
      </c>
      <c r="C2880" s="714">
        <f>SUM(C2866:C2879)</f>
        <v>7706</v>
      </c>
      <c r="D2880" s="717"/>
      <c r="E2880" s="710"/>
      <c r="F2880" s="716" t="s">
        <v>241</v>
      </c>
      <c r="G2880" s="719"/>
      <c r="H2880" s="719"/>
      <c r="I2880" s="729"/>
      <c r="J2880" s="730">
        <f>SUM(J2867:J2879)+C2874</f>
        <v>7973.3076923076915</v>
      </c>
      <c r="K2880" s="731"/>
      <c r="L2880" s="715"/>
    </row>
    <row r="2881" spans="1:12" ht="9.1999999999999993" customHeight="1">
      <c r="B2881" s="720"/>
      <c r="C2881" s="717"/>
      <c r="D2881" s="717"/>
      <c r="E2881" s="710" t="s">
        <v>696</v>
      </c>
      <c r="F2881" s="711" t="s">
        <v>697</v>
      </c>
      <c r="G2881" s="710"/>
      <c r="H2881" s="710"/>
      <c r="I2881" s="729"/>
      <c r="J2881" s="730">
        <f>SUM(J2882:J2884)</f>
        <v>4480.585</v>
      </c>
      <c r="K2881" s="732"/>
      <c r="L2881" s="715"/>
    </row>
    <row r="2882" spans="1:12" ht="9.1999999999999993" customHeight="1">
      <c r="B2882" s="720"/>
      <c r="C2882" s="717"/>
      <c r="D2882" s="717"/>
      <c r="E2882" s="710">
        <v>1</v>
      </c>
      <c r="F2882" s="718" t="s">
        <v>698</v>
      </c>
      <c r="G2882" s="718"/>
      <c r="H2882" s="718"/>
      <c r="I2882" s="733"/>
      <c r="J2882" s="714">
        <f>VLOOKUP(C2862,'Luong VP'!$B$10:$AP$189,37,0)</f>
        <v>480.58499999999998</v>
      </c>
      <c r="K2882" s="732"/>
      <c r="L2882" s="715"/>
    </row>
    <row r="2883" spans="1:12" ht="9.1999999999999993" customHeight="1">
      <c r="B2883" s="720"/>
      <c r="C2883" s="717"/>
      <c r="D2883" s="717"/>
      <c r="E2883" s="710">
        <v>2</v>
      </c>
      <c r="F2883" s="718" t="s">
        <v>244</v>
      </c>
      <c r="G2883" s="718"/>
      <c r="H2883" s="718"/>
      <c r="I2883" s="729"/>
      <c r="J2883" s="714">
        <f>VLOOKUP(C2862,'Luong VP'!$B$10:$AP$189,39,0)</f>
        <v>4000</v>
      </c>
      <c r="K2883" s="734"/>
      <c r="L2883" s="735"/>
    </row>
    <row r="2884" spans="1:12" ht="9.1999999999999993" customHeight="1">
      <c r="B2884" s="720"/>
      <c r="C2884" s="717"/>
      <c r="D2884" s="717"/>
      <c r="E2884" s="710"/>
      <c r="F2884" s="718" t="s">
        <v>699</v>
      </c>
      <c r="G2884" s="718"/>
      <c r="H2884" s="718"/>
      <c r="I2884" s="729"/>
      <c r="J2884" s="714"/>
      <c r="K2884" s="714"/>
      <c r="L2884" s="736"/>
    </row>
    <row r="2885" spans="1:12" ht="9.1999999999999993" customHeight="1">
      <c r="B2885" s="720"/>
      <c r="C2885" s="717"/>
      <c r="D2885" s="717"/>
      <c r="E2885" s="710" t="s">
        <v>700</v>
      </c>
      <c r="F2885" s="710" t="s">
        <v>246</v>
      </c>
      <c r="G2885" s="710"/>
      <c r="H2885" s="710"/>
      <c r="I2885" s="729"/>
      <c r="J2885" s="728">
        <f>J2880-J2881</f>
        <v>3492.7226923076914</v>
      </c>
      <c r="K2885" s="728">
        <f>ROUND(J2885,-1)</f>
        <v>3490</v>
      </c>
      <c r="L2885" s="710"/>
    </row>
    <row r="2886" spans="1:12" ht="9.1999999999999993" customHeight="1">
      <c r="B2886" s="720"/>
      <c r="C2886" s="717"/>
      <c r="D2886" s="717"/>
      <c r="E2886" s="715"/>
      <c r="F2886" s="715"/>
      <c r="G2886" s="715"/>
      <c r="H2886" s="1596"/>
      <c r="I2886" s="1596"/>
      <c r="J2886" s="1596"/>
      <c r="K2886" s="737"/>
      <c r="L2886" s="715"/>
    </row>
    <row r="2887" spans="1:12" ht="9.1999999999999993" customHeight="1">
      <c r="B2887" s="720"/>
      <c r="C2887" s="717"/>
      <c r="D2887" s="717"/>
      <c r="E2887" s="715"/>
      <c r="F2887" s="715"/>
      <c r="G2887" s="715"/>
      <c r="H2887" s="702"/>
      <c r="I2887" s="702"/>
      <c r="J2887" s="702"/>
      <c r="K2887" s="723"/>
      <c r="L2887" s="715"/>
    </row>
    <row r="2888" spans="1:12" ht="9.1999999999999993" customHeight="1">
      <c r="B2888" s="720"/>
      <c r="C2888" s="717"/>
      <c r="D2888" s="717"/>
      <c r="E2888" s="715"/>
      <c r="F2888" s="715"/>
      <c r="G2888" s="715"/>
      <c r="I2888" s="715"/>
      <c r="J2888" s="737"/>
      <c r="K2888" s="737"/>
      <c r="L2888" s="715"/>
    </row>
    <row r="2889" spans="1:12" ht="9.1999999999999993" customHeight="1">
      <c r="B2889" s="720"/>
      <c r="C2889" s="717"/>
      <c r="D2889" s="717"/>
      <c r="E2889" s="715"/>
      <c r="F2889" s="715"/>
      <c r="G2889" s="715"/>
      <c r="I2889" s="715"/>
      <c r="J2889" s="737"/>
      <c r="K2889" s="737"/>
      <c r="L2889" s="715"/>
    </row>
    <row r="2890" spans="1:12" ht="9.1999999999999993" customHeight="1">
      <c r="B2890" s="720"/>
      <c r="C2890" s="717"/>
      <c r="D2890" s="717"/>
      <c r="E2890" s="715"/>
      <c r="F2890" s="715"/>
      <c r="G2890" s="715"/>
      <c r="I2890" s="715"/>
      <c r="J2890" s="737"/>
      <c r="K2890" s="737"/>
      <c r="L2890" s="715"/>
    </row>
    <row r="2891" spans="1:12" ht="9.1999999999999993" customHeight="1">
      <c r="C2891" s="696"/>
      <c r="D2891" s="696"/>
      <c r="E2891" s="697" t="str">
        <f>$E$2</f>
        <v>THẺ LƯƠNG THÁNG 08/2019</v>
      </c>
      <c r="F2891" s="698"/>
      <c r="G2891" s="698"/>
      <c r="H2891" s="698"/>
    </row>
    <row r="2892" spans="1:12" ht="9.1999999999999993" customHeight="1">
      <c r="B2892" s="699" t="s">
        <v>644</v>
      </c>
      <c r="C2892" s="700" t="s">
        <v>457</v>
      </c>
      <c r="D2892" s="701"/>
      <c r="F2892" s="702" t="s">
        <v>645</v>
      </c>
      <c r="G2892" s="689" t="str">
        <f>VLOOKUP(C2892,'Luong VP'!$B$10:$AP$189,2,0)</f>
        <v>Thạch Phiên</v>
      </c>
    </row>
    <row r="2893" spans="1:12" ht="9.1999999999999993" customHeight="1">
      <c r="B2893" s="699" t="s">
        <v>646</v>
      </c>
      <c r="C2893" s="689" t="str">
        <f>VLOOKUP(C2892,'Luong VP'!$B$10:$AP$189,3,0)</f>
        <v>Nhân viên vận hành máy</v>
      </c>
      <c r="F2893" s="702" t="s">
        <v>647</v>
      </c>
      <c r="G2893" s="689">
        <f>VLOOKUP(C2892,'Luong VP'!$B$10:$AP$189,5,0)</f>
        <v>2</v>
      </c>
    </row>
    <row r="2894" spans="1:12" ht="9.1999999999999993" customHeight="1">
      <c r="B2894" s="703"/>
      <c r="C2894" s="704"/>
      <c r="D2894" s="705"/>
      <c r="F2894" s="706" t="s">
        <v>648</v>
      </c>
      <c r="G2894" s="706"/>
      <c r="H2894" s="706"/>
      <c r="I2894" s="725"/>
      <c r="J2894" s="726"/>
    </row>
    <row r="2895" spans="1:12" ht="9.1999999999999993" customHeight="1">
      <c r="A2895" s="707" t="s">
        <v>216</v>
      </c>
      <c r="B2895" s="707" t="s">
        <v>649</v>
      </c>
      <c r="C2895" s="708" t="s">
        <v>650</v>
      </c>
      <c r="D2895" s="709"/>
      <c r="E2895" s="710" t="s">
        <v>216</v>
      </c>
      <c r="F2895" s="711" t="s">
        <v>649</v>
      </c>
      <c r="G2895" s="710"/>
      <c r="H2895" s="710" t="s">
        <v>651</v>
      </c>
      <c r="I2895" s="727" t="s">
        <v>652</v>
      </c>
      <c r="J2895" s="714"/>
      <c r="L2895" s="694" t="s">
        <v>653</v>
      </c>
    </row>
    <row r="2896" spans="1:12" ht="9.1999999999999993" customHeight="1">
      <c r="A2896" s="712">
        <v>1</v>
      </c>
      <c r="B2896" s="713" t="s">
        <v>654</v>
      </c>
      <c r="C2896" s="714">
        <f>VLOOKUP(C2892,'Luong VP'!$B$10:$AP$189,9,0)</f>
        <v>6950</v>
      </c>
      <c r="D2896" s="715"/>
      <c r="E2896" s="710" t="s">
        <v>655</v>
      </c>
      <c r="F2896" s="716" t="s">
        <v>656</v>
      </c>
      <c r="G2896" s="710"/>
      <c r="H2896" s="710"/>
      <c r="I2896" s="727"/>
      <c r="J2896" s="714">
        <f>VLOOKUP(C2892,'Luong VP'!$B$10:$AP$189,21,0)</f>
        <v>7150</v>
      </c>
    </row>
    <row r="2897" spans="1:12" ht="9.1999999999999993" customHeight="1">
      <c r="A2897" s="712">
        <v>2</v>
      </c>
      <c r="B2897" s="713" t="s">
        <v>658</v>
      </c>
      <c r="C2897" s="714"/>
      <c r="D2897" s="717"/>
      <c r="E2897" s="710">
        <v>1</v>
      </c>
      <c r="F2897" s="718" t="s">
        <v>659</v>
      </c>
      <c r="G2897" s="718"/>
      <c r="H2897" s="710" t="s">
        <v>660</v>
      </c>
      <c r="I2897" s="727">
        <f>VLOOKUP(C2892,'Luong VP'!$B$10:$AP$189,22,0)</f>
        <v>26</v>
      </c>
      <c r="J2897" s="728">
        <f>J2896/'Cham cong'!$AS$3*I2897</f>
        <v>7150</v>
      </c>
    </row>
    <row r="2898" spans="1:12" ht="9.1999999999999993" customHeight="1">
      <c r="A2898" s="712">
        <v>3</v>
      </c>
      <c r="B2898" s="713" t="s">
        <v>661</v>
      </c>
      <c r="C2898" s="714">
        <f>VLOOKUP(C2892,'Luong VP'!$B$10:$AP$189,10,0)</f>
        <v>200</v>
      </c>
      <c r="D2898" s="717"/>
      <c r="E2898" s="710">
        <v>2</v>
      </c>
      <c r="F2898" s="718" t="s">
        <v>662</v>
      </c>
      <c r="G2898" s="718"/>
      <c r="H2898" s="710" t="s">
        <v>660</v>
      </c>
      <c r="I2898" s="727">
        <f>VLOOKUP(C2892,'Luong VP'!$B$10:$AP$189,27,0)</f>
        <v>0</v>
      </c>
      <c r="J2898" s="728">
        <f>J2896/'Cham cong'!$AS$3*I2898*3</f>
        <v>0</v>
      </c>
    </row>
    <row r="2899" spans="1:12" ht="9.1999999999999993" customHeight="1">
      <c r="A2899" s="712">
        <v>4</v>
      </c>
      <c r="B2899" s="713" t="s">
        <v>666</v>
      </c>
      <c r="C2899" s="714">
        <f>VLOOKUP(C2892,'Luong VP'!$B$10:$AP$189,11,0)</f>
        <v>0</v>
      </c>
      <c r="D2899" s="717"/>
      <c r="E2899" s="710">
        <v>3</v>
      </c>
      <c r="F2899" s="718" t="s">
        <v>667</v>
      </c>
      <c r="G2899" s="718"/>
      <c r="H2899" s="710" t="s">
        <v>668</v>
      </c>
      <c r="I2899" s="727">
        <f>VLOOKUP(C2892,'Luong VP'!$B$10:$AP$189,26,0)</f>
        <v>0</v>
      </c>
      <c r="J2899" s="728">
        <f>J2896/'Cham cong'!$AS$3*I2899/8*1.5</f>
        <v>0</v>
      </c>
    </row>
    <row r="2900" spans="1:12" ht="9.1999999999999993" customHeight="1">
      <c r="A2900" s="712">
        <v>5</v>
      </c>
      <c r="B2900" s="713" t="s">
        <v>670</v>
      </c>
      <c r="C2900" s="714">
        <f>VLOOKUP(C2892,'Luong VP'!$B$10:$AP$189,12,0)</f>
        <v>0</v>
      </c>
      <c r="D2900" s="717"/>
      <c r="E2900" s="710">
        <v>4</v>
      </c>
      <c r="F2900" s="718" t="s">
        <v>671</v>
      </c>
      <c r="G2900" s="718"/>
      <c r="H2900" s="710" t="s">
        <v>668</v>
      </c>
      <c r="I2900" s="727">
        <f>VLOOKUP(C2892,'Luong VP'!$B$10:$AP$189,25,0)</f>
        <v>0</v>
      </c>
      <c r="J2900" s="728">
        <f>J2896/'Cham cong'!$AS$3*I2900/8*2</f>
        <v>0</v>
      </c>
    </row>
    <row r="2901" spans="1:12" ht="9.1999999999999993" customHeight="1">
      <c r="A2901" s="712">
        <v>6</v>
      </c>
      <c r="B2901" s="713" t="s">
        <v>673</v>
      </c>
      <c r="C2901" s="714">
        <f>VLOOKUP(C2892,'Luong VP'!$B$10:$AP$189,13,0)</f>
        <v>0</v>
      </c>
      <c r="D2901" s="717"/>
      <c r="E2901" s="710">
        <v>5</v>
      </c>
      <c r="F2901" s="718" t="s">
        <v>674</v>
      </c>
      <c r="G2901" s="718"/>
      <c r="H2901" s="710" t="s">
        <v>660</v>
      </c>
      <c r="I2901" s="727">
        <f>VLOOKUP(C2892,'Luong VP'!$B$10:$AP$189,23,0)</f>
        <v>0</v>
      </c>
      <c r="J2901" s="728">
        <f>C2896/'Cham cong'!$AS$3*I2901</f>
        <v>0</v>
      </c>
      <c r="L2901" s="694" t="str">
        <f>G2892</f>
        <v>Thạch Phiên</v>
      </c>
    </row>
    <row r="2902" spans="1:12" ht="9.1999999999999993" customHeight="1">
      <c r="A2902" s="712">
        <v>7</v>
      </c>
      <c r="B2902" s="713" t="s">
        <v>676</v>
      </c>
      <c r="C2902" s="714"/>
      <c r="D2902" s="717"/>
      <c r="E2902" s="710">
        <v>6</v>
      </c>
      <c r="F2902" s="718" t="s">
        <v>677</v>
      </c>
      <c r="G2902" s="718"/>
      <c r="H2902" s="710" t="s">
        <v>660</v>
      </c>
      <c r="I2902" s="727">
        <f>VLOOKUP(C2892,'Luong VP'!$B$10:$AP$189,24,0)</f>
        <v>1</v>
      </c>
      <c r="J2902" s="714">
        <f>C2896/'Cham cong'!$AS$3*I2902</f>
        <v>267.30769230769232</v>
      </c>
    </row>
    <row r="2903" spans="1:12" ht="9.1999999999999993" customHeight="1">
      <c r="A2903" s="712">
        <v>8</v>
      </c>
      <c r="B2903" s="713" t="s">
        <v>679</v>
      </c>
      <c r="C2903" s="714">
        <f>VLOOKUP(C2892,'Luong VP'!$B$10:$AP$189,14,0)</f>
        <v>0</v>
      </c>
      <c r="D2903" s="717"/>
      <c r="E2903" s="710">
        <v>7</v>
      </c>
      <c r="F2903" s="718" t="s">
        <v>680</v>
      </c>
      <c r="G2903" s="718"/>
      <c r="H2903" s="718"/>
      <c r="I2903" s="729"/>
      <c r="J2903" s="714">
        <f>VLOOKUP(C2892,'Luong VP'!$B$10:$AP$189,28,0)</f>
        <v>0</v>
      </c>
    </row>
    <row r="2904" spans="1:12" ht="9.1999999999999993" customHeight="1">
      <c r="A2904" s="712">
        <v>9</v>
      </c>
      <c r="B2904" s="713" t="s">
        <v>683</v>
      </c>
      <c r="C2904" s="714">
        <f>VLOOKUP(C2892,'Luong VP'!$B$10:$AP$189,15,0)</f>
        <v>0</v>
      </c>
      <c r="D2904" s="717"/>
      <c r="E2904" s="710">
        <v>8</v>
      </c>
      <c r="F2904" s="718" t="s">
        <v>238</v>
      </c>
      <c r="G2904" s="718"/>
      <c r="H2904" s="718"/>
      <c r="I2904" s="729"/>
      <c r="J2904" s="714">
        <f>VLOOKUP(C2892,'Luong VP'!$B$10:$AP$189,33,0)</f>
        <v>0</v>
      </c>
    </row>
    <row r="2905" spans="1:12" ht="9.1999999999999993" customHeight="1">
      <c r="A2905" s="712">
        <v>10</v>
      </c>
      <c r="B2905" s="713" t="s">
        <v>685</v>
      </c>
      <c r="C2905" s="714">
        <f>VLOOKUP(C2892,'Luong VP'!$B$10:$AP$189,16,0)</f>
        <v>0</v>
      </c>
      <c r="D2905" s="717"/>
      <c r="E2905" s="710" t="s">
        <v>686</v>
      </c>
      <c r="F2905" s="716" t="s">
        <v>687</v>
      </c>
      <c r="G2905" s="719"/>
      <c r="H2905" s="719"/>
      <c r="I2905" s="729"/>
      <c r="J2905" s="730"/>
    </row>
    <row r="2906" spans="1:12" ht="9.1999999999999993" customHeight="1">
      <c r="A2906" s="712">
        <v>11</v>
      </c>
      <c r="B2906" s="713" t="s">
        <v>688</v>
      </c>
      <c r="C2906" s="714">
        <f>VLOOKUP(C2892,'Luong VP'!$B$10:$AP$189,17,0)</f>
        <v>0</v>
      </c>
      <c r="D2906" s="717"/>
      <c r="E2906" s="710">
        <v>1</v>
      </c>
      <c r="F2906" s="716" t="s">
        <v>689</v>
      </c>
      <c r="G2906" s="719"/>
      <c r="H2906" s="719"/>
      <c r="I2906" s="714">
        <f>VLOOKUP(C2892,'Luong VP'!$B$10:$AP$189,30,0)</f>
        <v>0</v>
      </c>
      <c r="J2906" s="714">
        <f>VLOOKUP(C2892,'Luong VP'!$B$10:$AP$189,30,0)</f>
        <v>0</v>
      </c>
    </row>
    <row r="2907" spans="1:12" ht="9.1999999999999993" customHeight="1">
      <c r="A2907" s="712">
        <v>12</v>
      </c>
      <c r="B2907" s="713" t="s">
        <v>691</v>
      </c>
      <c r="C2907" s="714">
        <f>VLOOKUP(C2892,'Luong VP'!$B$10:$AP$189,18,0)</f>
        <v>0</v>
      </c>
      <c r="D2907" s="717"/>
      <c r="E2907" s="710">
        <v>2</v>
      </c>
      <c r="F2907" s="718" t="s">
        <v>239</v>
      </c>
      <c r="G2907" s="718"/>
      <c r="H2907" s="718"/>
      <c r="I2907" s="727"/>
      <c r="J2907" s="728">
        <f>VLOOKUP(C2892,'Luong VP'!$B$10:$AP$189,34,0)</f>
        <v>0</v>
      </c>
      <c r="K2907" s="731"/>
      <c r="L2907" s="715"/>
    </row>
    <row r="2908" spans="1:12" ht="9.1999999999999993" customHeight="1">
      <c r="A2908" s="712">
        <v>13</v>
      </c>
      <c r="B2908" s="713" t="s">
        <v>692</v>
      </c>
      <c r="C2908" s="714">
        <f>VLOOKUP(C2892,'Luong VP'!$B$10:$AP$189,19,0)</f>
        <v>0</v>
      </c>
      <c r="D2908" s="717"/>
      <c r="E2908" s="710">
        <v>3</v>
      </c>
      <c r="F2908" s="716" t="s">
        <v>693</v>
      </c>
      <c r="G2908" s="719"/>
      <c r="H2908" s="719"/>
      <c r="I2908" s="729"/>
      <c r="J2908" s="714">
        <f>VLOOKUP(C2892,'Luong VP'!$B$10:$AP$189,40,0)</f>
        <v>0</v>
      </c>
      <c r="K2908" s="731"/>
      <c r="L2908" s="715"/>
    </row>
    <row r="2909" spans="1:12" ht="9.1999999999999993" customHeight="1">
      <c r="A2909" s="712">
        <v>14</v>
      </c>
      <c r="B2909" s="713" t="s">
        <v>694</v>
      </c>
      <c r="C2909" s="714">
        <f>VLOOKUP(C2892,'Luong VP'!$B$10:$AP$189,20,0)</f>
        <v>0</v>
      </c>
      <c r="D2909" s="717"/>
      <c r="E2909" s="710">
        <v>4</v>
      </c>
      <c r="F2909" s="718" t="s">
        <v>695</v>
      </c>
      <c r="G2909" s="719"/>
      <c r="H2909" s="719"/>
      <c r="I2909" s="729"/>
      <c r="J2909" s="714">
        <f>VLOOKUP(C2892,'Luong VP'!$B$10:$AP$189,35,0)</f>
        <v>0</v>
      </c>
      <c r="K2909" s="732"/>
      <c r="L2909" s="715"/>
    </row>
    <row r="2910" spans="1:12" ht="9.1999999999999993" customHeight="1">
      <c r="A2910" s="712"/>
      <c r="B2910" s="707" t="s">
        <v>656</v>
      </c>
      <c r="C2910" s="714">
        <f>SUM(C2896:C2909)</f>
        <v>7150</v>
      </c>
      <c r="D2910" s="717"/>
      <c r="E2910" s="710"/>
      <c r="F2910" s="716" t="s">
        <v>241</v>
      </c>
      <c r="G2910" s="719"/>
      <c r="H2910" s="719"/>
      <c r="I2910" s="729"/>
      <c r="J2910" s="730">
        <f>SUM(J2897:J2909)+C2904</f>
        <v>7417.3076923076924</v>
      </c>
      <c r="K2910" s="731"/>
      <c r="L2910" s="715"/>
    </row>
    <row r="2911" spans="1:12" ht="9.1999999999999993" customHeight="1">
      <c r="B2911" s="720"/>
      <c r="C2911" s="717"/>
      <c r="D2911" s="717"/>
      <c r="E2911" s="710" t="s">
        <v>696</v>
      </c>
      <c r="F2911" s="711" t="s">
        <v>697</v>
      </c>
      <c r="G2911" s="710"/>
      <c r="H2911" s="710"/>
      <c r="I2911" s="729"/>
      <c r="J2911" s="730">
        <f>SUM(J2912:J2914)</f>
        <v>3480.585</v>
      </c>
      <c r="K2911" s="732"/>
      <c r="L2911" s="715"/>
    </row>
    <row r="2912" spans="1:12" ht="9.1999999999999993" customHeight="1">
      <c r="B2912" s="720"/>
      <c r="C2912" s="717"/>
      <c r="D2912" s="717"/>
      <c r="E2912" s="710">
        <v>1</v>
      </c>
      <c r="F2912" s="718" t="s">
        <v>698</v>
      </c>
      <c r="G2912" s="718"/>
      <c r="H2912" s="718"/>
      <c r="I2912" s="733"/>
      <c r="J2912" s="714">
        <f>VLOOKUP(C2892,'Luong VP'!$B$10:$AP$189,37,0)</f>
        <v>480.58499999999998</v>
      </c>
      <c r="K2912" s="732"/>
      <c r="L2912" s="715"/>
    </row>
    <row r="2913" spans="1:12" ht="9.1999999999999993" customHeight="1">
      <c r="B2913" s="720"/>
      <c r="C2913" s="717"/>
      <c r="D2913" s="717"/>
      <c r="E2913" s="710">
        <v>2</v>
      </c>
      <c r="F2913" s="718" t="s">
        <v>244</v>
      </c>
      <c r="G2913" s="718"/>
      <c r="H2913" s="718"/>
      <c r="I2913" s="729"/>
      <c r="J2913" s="714">
        <f>VLOOKUP(C2892,'Luong VP'!$B$10:$AP$189,39,0)</f>
        <v>3000</v>
      </c>
      <c r="K2913" s="734"/>
      <c r="L2913" s="735"/>
    </row>
    <row r="2914" spans="1:12" ht="9.1999999999999993" customHeight="1">
      <c r="B2914" s="720"/>
      <c r="C2914" s="717"/>
      <c r="D2914" s="717"/>
      <c r="E2914" s="710"/>
      <c r="F2914" s="718" t="s">
        <v>699</v>
      </c>
      <c r="G2914" s="718"/>
      <c r="H2914" s="718"/>
      <c r="I2914" s="729"/>
      <c r="J2914" s="714"/>
      <c r="K2914" s="714"/>
      <c r="L2914" s="736"/>
    </row>
    <row r="2915" spans="1:12" ht="9.1999999999999993" customHeight="1">
      <c r="B2915" s="720"/>
      <c r="C2915" s="717"/>
      <c r="D2915" s="717"/>
      <c r="E2915" s="710" t="s">
        <v>700</v>
      </c>
      <c r="F2915" s="710" t="s">
        <v>246</v>
      </c>
      <c r="G2915" s="710"/>
      <c r="H2915" s="710"/>
      <c r="I2915" s="729"/>
      <c r="J2915" s="728">
        <f>J2910-J2911</f>
        <v>3936.7226923076923</v>
      </c>
      <c r="K2915" s="728">
        <f>ROUND(J2915,-1)</f>
        <v>3940</v>
      </c>
      <c r="L2915" s="710"/>
    </row>
    <row r="2916" spans="1:12" ht="9.1999999999999993" customHeight="1">
      <c r="B2916" s="720"/>
      <c r="C2916" s="717"/>
      <c r="D2916" s="717"/>
      <c r="E2916" s="715"/>
      <c r="F2916" s="715"/>
      <c r="G2916" s="715"/>
      <c r="H2916" s="1596"/>
      <c r="I2916" s="1596"/>
      <c r="J2916" s="1596"/>
      <c r="K2916" s="737"/>
      <c r="L2916" s="715"/>
    </row>
    <row r="2917" spans="1:12" ht="9.1999999999999993" customHeight="1">
      <c r="B2917" s="720"/>
      <c r="C2917" s="717"/>
      <c r="D2917" s="717"/>
      <c r="E2917" s="715"/>
      <c r="F2917" s="715"/>
      <c r="G2917" s="715"/>
      <c r="H2917" s="702"/>
      <c r="I2917" s="702"/>
      <c r="J2917" s="702"/>
      <c r="K2917" s="723"/>
      <c r="L2917" s="715"/>
    </row>
    <row r="2918" spans="1:12" ht="9.1999999999999993" customHeight="1">
      <c r="B2918" s="720"/>
      <c r="C2918" s="717"/>
      <c r="D2918" s="717"/>
      <c r="E2918" s="715"/>
      <c r="F2918" s="715"/>
      <c r="G2918" s="715"/>
      <c r="I2918" s="715"/>
      <c r="J2918" s="737"/>
      <c r="K2918" s="737"/>
      <c r="L2918" s="715"/>
    </row>
    <row r="2921" spans="1:12" ht="9.1999999999999993" customHeight="1">
      <c r="B2921" s="720"/>
      <c r="C2921" s="717"/>
      <c r="D2921" s="717"/>
      <c r="E2921" s="715"/>
      <c r="F2921" s="715"/>
      <c r="G2921" s="715"/>
      <c r="I2921" s="715"/>
      <c r="J2921" s="737"/>
      <c r="K2921" s="737"/>
      <c r="L2921" s="715"/>
    </row>
    <row r="2922" spans="1:12" ht="9.1999999999999993" customHeight="1">
      <c r="B2922" s="720"/>
      <c r="C2922" s="717"/>
      <c r="D2922" s="717"/>
      <c r="E2922" s="715"/>
      <c r="F2922" s="715"/>
      <c r="G2922" s="715"/>
      <c r="I2922" s="715"/>
      <c r="J2922" s="737"/>
      <c r="K2922" s="737"/>
      <c r="L2922" s="715"/>
    </row>
    <row r="2923" spans="1:12" ht="9.1999999999999993" customHeight="1">
      <c r="C2923" s="696"/>
      <c r="D2923" s="696"/>
      <c r="E2923" s="697" t="str">
        <f>$E$2</f>
        <v>THẺ LƯƠNG THÁNG 08/2019</v>
      </c>
      <c r="F2923" s="698"/>
      <c r="G2923" s="698"/>
      <c r="H2923" s="698"/>
    </row>
    <row r="2924" spans="1:12" ht="9.1999999999999993" customHeight="1">
      <c r="B2924" s="699" t="s">
        <v>644</v>
      </c>
      <c r="C2924" s="700" t="s">
        <v>435</v>
      </c>
      <c r="D2924" s="701"/>
      <c r="F2924" s="702" t="s">
        <v>645</v>
      </c>
      <c r="G2924" s="689" t="str">
        <f>VLOOKUP(C2924,'Luong VP'!$B$10:$AP$189,2,0)</f>
        <v>Nguyễn Lê Tân</v>
      </c>
    </row>
    <row r="2925" spans="1:12" ht="9.1999999999999993" customHeight="1">
      <c r="B2925" s="699" t="s">
        <v>646</v>
      </c>
      <c r="C2925" s="689" t="str">
        <f>VLOOKUP(C2924,'Luong VP'!$B$10:$AP$189,3,0)</f>
        <v>Trưởng BP Vận hành máy</v>
      </c>
      <c r="F2925" s="702" t="s">
        <v>647</v>
      </c>
      <c r="G2925" s="689">
        <f>VLOOKUP(C2924,'Luong VP'!$B$10:$AP$189,5,0)</f>
        <v>1</v>
      </c>
    </row>
    <row r="2926" spans="1:12" ht="9.1999999999999993" customHeight="1">
      <c r="B2926" s="703"/>
      <c r="C2926" s="704"/>
      <c r="D2926" s="705"/>
      <c r="F2926" s="706" t="s">
        <v>648</v>
      </c>
      <c r="G2926" s="706"/>
      <c r="H2926" s="706"/>
      <c r="I2926" s="725"/>
      <c r="J2926" s="726"/>
    </row>
    <row r="2927" spans="1:12" ht="9.1999999999999993" customHeight="1">
      <c r="A2927" s="707" t="s">
        <v>216</v>
      </c>
      <c r="B2927" s="707" t="s">
        <v>649</v>
      </c>
      <c r="C2927" s="708" t="s">
        <v>650</v>
      </c>
      <c r="D2927" s="709"/>
      <c r="E2927" s="710" t="s">
        <v>216</v>
      </c>
      <c r="F2927" s="711" t="s">
        <v>649</v>
      </c>
      <c r="G2927" s="710"/>
      <c r="H2927" s="710" t="s">
        <v>651</v>
      </c>
      <c r="I2927" s="727" t="s">
        <v>652</v>
      </c>
      <c r="J2927" s="714"/>
      <c r="L2927" s="694" t="s">
        <v>653</v>
      </c>
    </row>
    <row r="2928" spans="1:12" ht="9.1999999999999993" customHeight="1">
      <c r="A2928" s="712">
        <v>1</v>
      </c>
      <c r="B2928" s="713" t="s">
        <v>654</v>
      </c>
      <c r="C2928" s="714">
        <f>VLOOKUP(C2924,'Luong VP'!$B$10:$AP$189,9,0)</f>
        <v>11370</v>
      </c>
      <c r="D2928" s="715"/>
      <c r="E2928" s="710" t="s">
        <v>655</v>
      </c>
      <c r="F2928" s="716" t="s">
        <v>656</v>
      </c>
      <c r="G2928" s="710"/>
      <c r="H2928" s="710"/>
      <c r="I2928" s="727"/>
      <c r="J2928" s="714">
        <f>VLOOKUP(C2924,'Luong VP'!$B$10:$AP$189,21,0)</f>
        <v>12070</v>
      </c>
    </row>
    <row r="2929" spans="1:12" ht="9.1999999999999993" customHeight="1">
      <c r="A2929" s="712">
        <v>2</v>
      </c>
      <c r="B2929" s="713" t="s">
        <v>658</v>
      </c>
      <c r="C2929" s="714"/>
      <c r="D2929" s="717"/>
      <c r="E2929" s="710">
        <v>1</v>
      </c>
      <c r="F2929" s="718" t="s">
        <v>659</v>
      </c>
      <c r="G2929" s="718"/>
      <c r="H2929" s="710" t="s">
        <v>660</v>
      </c>
      <c r="I2929" s="727">
        <f>VLOOKUP(C2924,'Luong VP'!$B$10:$AP$189,22,0)</f>
        <v>26</v>
      </c>
      <c r="J2929" s="728">
        <f>J2928/'Cham cong'!$AS$3*I2929</f>
        <v>12070</v>
      </c>
    </row>
    <row r="2930" spans="1:12" ht="9.1999999999999993" customHeight="1">
      <c r="A2930" s="712">
        <v>3</v>
      </c>
      <c r="B2930" s="713" t="s">
        <v>661</v>
      </c>
      <c r="C2930" s="714">
        <f>VLOOKUP(C2924,'Luong VP'!$B$10:$AP$189,10,0)</f>
        <v>0</v>
      </c>
      <c r="D2930" s="717"/>
      <c r="E2930" s="710">
        <v>2</v>
      </c>
      <c r="F2930" s="718" t="s">
        <v>662</v>
      </c>
      <c r="G2930" s="718"/>
      <c r="H2930" s="710" t="s">
        <v>660</v>
      </c>
      <c r="I2930" s="727">
        <f>VLOOKUP(C2924,'Luong VP'!$B$10:$AP$189,27,0)</f>
        <v>0</v>
      </c>
      <c r="J2930" s="728">
        <f>J2928/'Cham cong'!$AS$3*I2930*3</f>
        <v>0</v>
      </c>
    </row>
    <row r="2931" spans="1:12" ht="9.1999999999999993" customHeight="1">
      <c r="A2931" s="712">
        <v>4</v>
      </c>
      <c r="B2931" s="713" t="s">
        <v>666</v>
      </c>
      <c r="C2931" s="714">
        <f>VLOOKUP(C2924,'Luong VP'!$B$10:$AP$189,11,0)</f>
        <v>500</v>
      </c>
      <c r="D2931" s="717"/>
      <c r="E2931" s="710">
        <v>3</v>
      </c>
      <c r="F2931" s="718" t="s">
        <v>667</v>
      </c>
      <c r="G2931" s="718"/>
      <c r="H2931" s="710" t="s">
        <v>668</v>
      </c>
      <c r="I2931" s="727">
        <f>VLOOKUP(C2924,'Luong VP'!$B$10:$AP$189,26,0)</f>
        <v>0</v>
      </c>
      <c r="J2931" s="728">
        <f>J2928/'Cham cong'!$AS$3*I2931/8*1.5</f>
        <v>0</v>
      </c>
    </row>
    <row r="2932" spans="1:12" ht="9.1999999999999993" customHeight="1">
      <c r="A2932" s="712">
        <v>5</v>
      </c>
      <c r="B2932" s="713" t="s">
        <v>670</v>
      </c>
      <c r="C2932" s="714">
        <f>VLOOKUP(C2924,'Luong VP'!$B$10:$AP$189,12,0)</f>
        <v>0</v>
      </c>
      <c r="D2932" s="717"/>
      <c r="E2932" s="710">
        <v>4</v>
      </c>
      <c r="F2932" s="718" t="s">
        <v>671</v>
      </c>
      <c r="G2932" s="718"/>
      <c r="H2932" s="710" t="s">
        <v>668</v>
      </c>
      <c r="I2932" s="727">
        <f>VLOOKUP(C2924,'Luong VP'!$B$10:$AP$189,25,0)</f>
        <v>0</v>
      </c>
      <c r="J2932" s="728">
        <f>J2928/'Cham cong'!$AS$3*I2932/8*2</f>
        <v>0</v>
      </c>
    </row>
    <row r="2933" spans="1:12" ht="9.1999999999999993" customHeight="1">
      <c r="A2933" s="712">
        <v>6</v>
      </c>
      <c r="B2933" s="713" t="s">
        <v>673</v>
      </c>
      <c r="C2933" s="714">
        <f>VLOOKUP(C2924,'Luong VP'!$B$10:$AP$189,13,0)</f>
        <v>0</v>
      </c>
      <c r="D2933" s="717"/>
      <c r="E2933" s="710">
        <v>5</v>
      </c>
      <c r="F2933" s="718" t="s">
        <v>674</v>
      </c>
      <c r="G2933" s="718"/>
      <c r="H2933" s="710" t="s">
        <v>660</v>
      </c>
      <c r="I2933" s="727">
        <f>VLOOKUP(C2924,'Luong VP'!$B$10:$AP$189,23,0)</f>
        <v>0</v>
      </c>
      <c r="J2933" s="728">
        <f>C2928/'Cham cong'!$AS$3*I2933</f>
        <v>0</v>
      </c>
      <c r="L2933" s="694" t="str">
        <f>G2924</f>
        <v>Nguyễn Lê Tân</v>
      </c>
    </row>
    <row r="2934" spans="1:12" ht="9.1999999999999993" customHeight="1">
      <c r="A2934" s="712">
        <v>7</v>
      </c>
      <c r="B2934" s="713" t="s">
        <v>676</v>
      </c>
      <c r="C2934" s="714"/>
      <c r="D2934" s="717"/>
      <c r="E2934" s="710">
        <v>6</v>
      </c>
      <c r="F2934" s="718" t="s">
        <v>677</v>
      </c>
      <c r="G2934" s="718"/>
      <c r="H2934" s="710" t="s">
        <v>660</v>
      </c>
      <c r="I2934" s="727">
        <f>VLOOKUP(C2924,'Luong VP'!$B$10:$AP$189,24,0)</f>
        <v>1</v>
      </c>
      <c r="J2934" s="714">
        <f>C2928/'Cham cong'!$AS$3*I2934</f>
        <v>437.30769230769232</v>
      </c>
    </row>
    <row r="2935" spans="1:12" ht="9.1999999999999993" customHeight="1">
      <c r="A2935" s="712">
        <v>8</v>
      </c>
      <c r="B2935" s="713" t="s">
        <v>679</v>
      </c>
      <c r="C2935" s="714">
        <f>VLOOKUP(C2924,'Luong VP'!$B$10:$AP$189,14,0)</f>
        <v>200</v>
      </c>
      <c r="D2935" s="717"/>
      <c r="E2935" s="710">
        <v>7</v>
      </c>
      <c r="F2935" s="718" t="s">
        <v>680</v>
      </c>
      <c r="G2935" s="718"/>
      <c r="H2935" s="718"/>
      <c r="I2935" s="727"/>
      <c r="J2935" s="714">
        <f>VLOOKUP(C2924,'Luong VP'!$B$10:$AP$189,28,0)</f>
        <v>0</v>
      </c>
    </row>
    <row r="2936" spans="1:12" ht="9.1999999999999993" customHeight="1">
      <c r="A2936" s="712">
        <v>9</v>
      </c>
      <c r="B2936" s="713" t="s">
        <v>683</v>
      </c>
      <c r="C2936" s="714">
        <f>VLOOKUP(C2924,'Luong VP'!$B$10:$AP$189,15,0)</f>
        <v>300</v>
      </c>
      <c r="D2936" s="717"/>
      <c r="E2936" s="710">
        <v>8</v>
      </c>
      <c r="F2936" s="718" t="s">
        <v>238</v>
      </c>
      <c r="G2936" s="718"/>
      <c r="H2936" s="710"/>
      <c r="I2936" s="727"/>
      <c r="J2936" s="730"/>
    </row>
    <row r="2937" spans="1:12" ht="9.1999999999999993" customHeight="1">
      <c r="A2937" s="712">
        <v>10</v>
      </c>
      <c r="B2937" s="713" t="s">
        <v>685</v>
      </c>
      <c r="C2937" s="714">
        <f>VLOOKUP(C2924,'Luong VP'!$B$10:$AP$189,16,0)</f>
        <v>0</v>
      </c>
      <c r="D2937" s="717"/>
      <c r="E2937" s="710" t="s">
        <v>686</v>
      </c>
      <c r="F2937" s="716" t="s">
        <v>687</v>
      </c>
      <c r="G2937" s="719"/>
      <c r="H2937" s="710"/>
      <c r="I2937" s="727"/>
      <c r="J2937" s="730"/>
    </row>
    <row r="2938" spans="1:12" ht="9.1999999999999993" customHeight="1">
      <c r="A2938" s="712">
        <v>11</v>
      </c>
      <c r="B2938" s="713" t="s">
        <v>688</v>
      </c>
      <c r="C2938" s="714">
        <f>VLOOKUP(C2924,'Luong VP'!$B$10:$AP$189,17,0)</f>
        <v>0</v>
      </c>
      <c r="D2938" s="717"/>
      <c r="E2938" s="710">
        <v>1</v>
      </c>
      <c r="F2938" s="716" t="s">
        <v>689</v>
      </c>
      <c r="G2938" s="719"/>
      <c r="H2938" s="719"/>
      <c r="I2938" s="714">
        <f>VLOOKUP(C2924,'Luong VP'!$B$10:$AP$189,30,0)</f>
        <v>0</v>
      </c>
      <c r="J2938" s="714">
        <f>VLOOKUP(C2924,'Luong VP'!$B$10:$AP$189,30,0)</f>
        <v>0</v>
      </c>
    </row>
    <row r="2939" spans="1:12" ht="9.1999999999999993" customHeight="1">
      <c r="A2939" s="712">
        <v>12</v>
      </c>
      <c r="B2939" s="713" t="s">
        <v>691</v>
      </c>
      <c r="C2939" s="714">
        <f>VLOOKUP(C2924,'Luong VP'!$B$10:$AP$189,18,0)</f>
        <v>0</v>
      </c>
      <c r="D2939" s="717"/>
      <c r="E2939" s="710">
        <v>2</v>
      </c>
      <c r="F2939" s="718" t="s">
        <v>239</v>
      </c>
      <c r="G2939" s="718"/>
      <c r="H2939" s="718"/>
      <c r="I2939" s="727"/>
      <c r="J2939" s="728">
        <f>VLOOKUP(C2924,'Luong VP'!$B$10:$AP$189,34,0)</f>
        <v>0</v>
      </c>
      <c r="K2939" s="731"/>
      <c r="L2939" s="715"/>
    </row>
    <row r="2940" spans="1:12" ht="9.1999999999999993" customHeight="1">
      <c r="A2940" s="712">
        <v>13</v>
      </c>
      <c r="B2940" s="713" t="s">
        <v>692</v>
      </c>
      <c r="C2940" s="714">
        <f>VLOOKUP(C2924,'Luong VP'!$B$10:$AP$189,19,0)</f>
        <v>0</v>
      </c>
      <c r="D2940" s="717"/>
      <c r="E2940" s="710">
        <v>3</v>
      </c>
      <c r="F2940" s="716" t="s">
        <v>693</v>
      </c>
      <c r="G2940" s="719"/>
      <c r="H2940" s="719"/>
      <c r="I2940" s="729"/>
      <c r="J2940" s="714">
        <f>VLOOKUP(C2924,'Luong VP'!$B$10:$AP$189,40,0)</f>
        <v>0</v>
      </c>
      <c r="K2940" s="731"/>
      <c r="L2940" s="715"/>
    </row>
    <row r="2941" spans="1:12" ht="9.1999999999999993" customHeight="1">
      <c r="A2941" s="712">
        <v>14</v>
      </c>
      <c r="B2941" s="713" t="s">
        <v>694</v>
      </c>
      <c r="C2941" s="714">
        <f>VLOOKUP(C2924,'Luong VP'!$B$10:$AP$189,20,0)</f>
        <v>0</v>
      </c>
      <c r="D2941" s="717"/>
      <c r="E2941" s="710">
        <v>4</v>
      </c>
      <c r="F2941" s="718" t="s">
        <v>695</v>
      </c>
      <c r="G2941" s="719"/>
      <c r="H2941" s="719"/>
      <c r="I2941" s="729"/>
      <c r="J2941" s="714">
        <f>VLOOKUP(C2924,'Luong VP'!$B$10:$AP$189,35,0)</f>
        <v>0</v>
      </c>
      <c r="K2941" s="732"/>
      <c r="L2941" s="715"/>
    </row>
    <row r="2942" spans="1:12" ht="9.1999999999999993" customHeight="1">
      <c r="A2942" s="712"/>
      <c r="B2942" s="707" t="s">
        <v>656</v>
      </c>
      <c r="C2942" s="714">
        <f>SUM(C2928:C2941)</f>
        <v>12370</v>
      </c>
      <c r="D2942" s="717"/>
      <c r="E2942" s="710"/>
      <c r="F2942" s="716" t="s">
        <v>241</v>
      </c>
      <c r="G2942" s="719"/>
      <c r="H2942" s="719"/>
      <c r="I2942" s="729"/>
      <c r="J2942" s="730">
        <f>SUM(J2929:J2941)+C2936</f>
        <v>12807.307692307691</v>
      </c>
      <c r="K2942" s="731"/>
      <c r="L2942" s="715"/>
    </row>
    <row r="2943" spans="1:12" ht="9.1999999999999993" customHeight="1">
      <c r="B2943" s="720"/>
      <c r="C2943" s="717"/>
      <c r="D2943" s="717"/>
      <c r="E2943" s="710" t="s">
        <v>696</v>
      </c>
      <c r="F2943" s="711" t="s">
        <v>697</v>
      </c>
      <c r="G2943" s="710"/>
      <c r="H2943" s="710"/>
      <c r="I2943" s="729"/>
      <c r="J2943" s="730">
        <f>SUM(J2944:J2946)</f>
        <v>535.5</v>
      </c>
      <c r="K2943" s="732"/>
      <c r="L2943" s="715"/>
    </row>
    <row r="2944" spans="1:12" ht="9.1999999999999993" customHeight="1">
      <c r="B2944" s="720"/>
      <c r="C2944" s="717"/>
      <c r="D2944" s="717"/>
      <c r="E2944" s="710">
        <v>1</v>
      </c>
      <c r="F2944" s="718" t="s">
        <v>698</v>
      </c>
      <c r="G2944" s="718"/>
      <c r="H2944" s="718"/>
      <c r="I2944" s="733"/>
      <c r="J2944" s="714">
        <f>VLOOKUP(C2924,'Luong VP'!$B$10:$AP$189,37,0)</f>
        <v>535.5</v>
      </c>
      <c r="K2944" s="732"/>
      <c r="L2944" s="715"/>
    </row>
    <row r="2945" spans="1:12" ht="9.1999999999999993" customHeight="1">
      <c r="B2945" s="720"/>
      <c r="C2945" s="717"/>
      <c r="D2945" s="717"/>
      <c r="E2945" s="710">
        <v>2</v>
      </c>
      <c r="F2945" s="718" t="s">
        <v>244</v>
      </c>
      <c r="G2945" s="718"/>
      <c r="H2945" s="718"/>
      <c r="I2945" s="729"/>
      <c r="J2945" s="714">
        <f>VLOOKUP(C2924,'Luong VP'!$B$10:$AP$189,39,0)</f>
        <v>0</v>
      </c>
      <c r="K2945" s="734"/>
      <c r="L2945" s="735"/>
    </row>
    <row r="2946" spans="1:12" ht="9.1999999999999993" customHeight="1">
      <c r="B2946" s="720"/>
      <c r="C2946" s="717"/>
      <c r="D2946" s="717"/>
      <c r="E2946" s="710"/>
      <c r="F2946" s="718" t="s">
        <v>699</v>
      </c>
      <c r="G2946" s="718"/>
      <c r="H2946" s="718"/>
      <c r="I2946" s="729"/>
      <c r="J2946" s="714"/>
      <c r="K2946" s="714"/>
      <c r="L2946" s="736"/>
    </row>
    <row r="2947" spans="1:12" ht="9.1999999999999993" customHeight="1">
      <c r="B2947" s="720"/>
      <c r="C2947" s="717"/>
      <c r="D2947" s="717"/>
      <c r="E2947" s="710" t="s">
        <v>700</v>
      </c>
      <c r="F2947" s="710" t="s">
        <v>246</v>
      </c>
      <c r="G2947" s="710"/>
      <c r="H2947" s="710"/>
      <c r="I2947" s="729"/>
      <c r="J2947" s="728">
        <f>J2942-J2943</f>
        <v>12271.807692307691</v>
      </c>
      <c r="K2947" s="728">
        <f>ROUND(J2947,-1)</f>
        <v>12270</v>
      </c>
      <c r="L2947" s="710"/>
    </row>
    <row r="2948" spans="1:12" ht="9.1999999999999993" customHeight="1">
      <c r="B2948" s="720"/>
      <c r="C2948" s="717"/>
      <c r="D2948" s="717"/>
      <c r="E2948" s="715"/>
      <c r="F2948" s="715"/>
      <c r="G2948" s="715"/>
      <c r="I2948" s="715" t="s">
        <v>701</v>
      </c>
      <c r="J2948" s="737"/>
      <c r="K2948" s="737"/>
      <c r="L2948" s="715"/>
    </row>
    <row r="2949" spans="1:12" ht="9.1999999999999993" customHeight="1">
      <c r="B2949" s="720"/>
      <c r="C2949" s="717"/>
      <c r="D2949" s="717"/>
      <c r="E2949" s="715"/>
      <c r="F2949" s="715"/>
      <c r="G2949" s="715"/>
      <c r="I2949" s="715"/>
      <c r="J2949" s="737"/>
      <c r="K2949" s="737"/>
      <c r="L2949" s="715"/>
    </row>
    <row r="2950" spans="1:12" ht="9.1999999999999993" customHeight="1">
      <c r="B2950" s="720"/>
      <c r="C2950" s="717"/>
      <c r="D2950" s="717"/>
      <c r="E2950" s="715"/>
      <c r="F2950" s="715"/>
      <c r="G2950" s="715"/>
      <c r="I2950" s="715"/>
      <c r="J2950" s="737"/>
      <c r="K2950" s="737"/>
      <c r="L2950" s="715"/>
    </row>
    <row r="2951" spans="1:12" ht="9.1999999999999993" customHeight="1">
      <c r="B2951" s="720"/>
      <c r="C2951" s="717"/>
      <c r="D2951" s="717"/>
      <c r="E2951" s="715"/>
      <c r="F2951" s="715"/>
      <c r="G2951" s="715"/>
      <c r="I2951" s="715"/>
      <c r="J2951" s="737"/>
      <c r="K2951" s="737"/>
      <c r="L2951" s="715"/>
    </row>
    <row r="2953" spans="1:12" ht="9.1999999999999993" customHeight="1">
      <c r="C2953" s="696"/>
      <c r="D2953" s="696"/>
      <c r="E2953" s="697" t="str">
        <f>$E$2</f>
        <v>THẺ LƯƠNG THÁNG 08/2019</v>
      </c>
      <c r="F2953" s="698"/>
      <c r="G2953" s="698"/>
      <c r="H2953" s="698"/>
    </row>
    <row r="2954" spans="1:12" ht="9.1999999999999993" customHeight="1">
      <c r="B2954" s="699" t="s">
        <v>644</v>
      </c>
      <c r="C2954" s="700" t="s">
        <v>460</v>
      </c>
      <c r="D2954" s="701"/>
      <c r="F2954" s="702" t="s">
        <v>645</v>
      </c>
      <c r="G2954" s="689" t="str">
        <f>VLOOKUP(C2954,'Luong VP'!$B$10:$AP$189,2,0)</f>
        <v>Đặng Văn Thông</v>
      </c>
    </row>
    <row r="2955" spans="1:12" ht="9.1999999999999993" customHeight="1">
      <c r="B2955" s="699" t="s">
        <v>646</v>
      </c>
      <c r="C2955" s="689" t="str">
        <f>VLOOKUP(C2954,'Luong VP'!$B$10:$AP$189,3,0)</f>
        <v>Trưởng BP An ninh</v>
      </c>
      <c r="F2955" s="702" t="s">
        <v>647</v>
      </c>
      <c r="G2955" s="689">
        <f>VLOOKUP(C2954,'Luong VP'!$B$10:$AP$189,5,0)</f>
        <v>3</v>
      </c>
    </row>
    <row r="2956" spans="1:12" ht="9.1999999999999993" customHeight="1">
      <c r="B2956" s="703"/>
      <c r="C2956" s="704"/>
      <c r="D2956" s="705"/>
      <c r="F2956" s="706" t="s">
        <v>648</v>
      </c>
      <c r="G2956" s="706"/>
      <c r="H2956" s="706"/>
      <c r="I2956" s="725"/>
      <c r="J2956" s="726"/>
    </row>
    <row r="2957" spans="1:12" ht="9.1999999999999993" customHeight="1">
      <c r="A2957" s="707" t="s">
        <v>216</v>
      </c>
      <c r="B2957" s="707" t="s">
        <v>649</v>
      </c>
      <c r="C2957" s="708" t="s">
        <v>650</v>
      </c>
      <c r="D2957" s="709"/>
      <c r="E2957" s="710" t="s">
        <v>216</v>
      </c>
      <c r="F2957" s="711" t="s">
        <v>649</v>
      </c>
      <c r="G2957" s="710"/>
      <c r="H2957" s="710" t="s">
        <v>651</v>
      </c>
      <c r="I2957" s="727" t="s">
        <v>652</v>
      </c>
      <c r="J2957" s="714"/>
      <c r="L2957" s="694" t="s">
        <v>653</v>
      </c>
    </row>
    <row r="2958" spans="1:12" ht="9.1999999999999993" customHeight="1">
      <c r="A2958" s="712">
        <v>1</v>
      </c>
      <c r="B2958" s="713" t="s">
        <v>654</v>
      </c>
      <c r="C2958" s="714">
        <f>VLOOKUP(C2954,'Luong VP'!$B$10:$AP$189,9,0)</f>
        <v>11320</v>
      </c>
      <c r="D2958" s="715"/>
      <c r="E2958" s="710" t="s">
        <v>655</v>
      </c>
      <c r="F2958" s="716" t="s">
        <v>656</v>
      </c>
      <c r="G2958" s="710"/>
      <c r="H2958" s="710"/>
      <c r="I2958" s="727"/>
      <c r="J2958" s="714">
        <f>VLOOKUP(C2954,'Luong VP'!$B$10:$AP$189,21,0)</f>
        <v>12020</v>
      </c>
    </row>
    <row r="2959" spans="1:12" ht="9.1999999999999993" customHeight="1">
      <c r="A2959" s="712">
        <v>2</v>
      </c>
      <c r="B2959" s="713" t="s">
        <v>658</v>
      </c>
      <c r="C2959" s="714"/>
      <c r="D2959" s="717"/>
      <c r="E2959" s="710">
        <v>1</v>
      </c>
      <c r="F2959" s="718" t="s">
        <v>659</v>
      </c>
      <c r="G2959" s="718"/>
      <c r="H2959" s="710" t="s">
        <v>660</v>
      </c>
      <c r="I2959" s="727">
        <f>VLOOKUP(C2954,'Luong VP'!$B$10:$AP$189,22,0)</f>
        <v>26</v>
      </c>
      <c r="J2959" s="728">
        <f>J2958/'Cham cong'!$AS$3*I2959</f>
        <v>12020</v>
      </c>
    </row>
    <row r="2960" spans="1:12" ht="9.1999999999999993" customHeight="1">
      <c r="A2960" s="712">
        <v>3</v>
      </c>
      <c r="B2960" s="713" t="s">
        <v>661</v>
      </c>
      <c r="C2960" s="714">
        <f>VLOOKUP(C2954,'Luong VP'!$B$10:$AP$189,10,0)</f>
        <v>0</v>
      </c>
      <c r="D2960" s="717"/>
      <c r="E2960" s="710">
        <v>2</v>
      </c>
      <c r="F2960" s="718" t="s">
        <v>662</v>
      </c>
      <c r="G2960" s="718"/>
      <c r="H2960" s="710" t="s">
        <v>660</v>
      </c>
      <c r="I2960" s="727">
        <f>VLOOKUP(C2954,'Luong VP'!$B$10:$AP$189,27,0)</f>
        <v>0</v>
      </c>
      <c r="J2960" s="728">
        <f>J2958/'Cham cong'!$AS$3*I2960*3</f>
        <v>0</v>
      </c>
    </row>
    <row r="2961" spans="1:12" ht="9.1999999999999993" customHeight="1">
      <c r="A2961" s="712">
        <v>4</v>
      </c>
      <c r="B2961" s="713" t="s">
        <v>666</v>
      </c>
      <c r="C2961" s="714">
        <f>VLOOKUP(C2954,'Luong VP'!$B$10:$AP$189,11,0)</f>
        <v>500</v>
      </c>
      <c r="D2961" s="717"/>
      <c r="E2961" s="710">
        <v>3</v>
      </c>
      <c r="F2961" s="718" t="s">
        <v>667</v>
      </c>
      <c r="G2961" s="718"/>
      <c r="H2961" s="710" t="s">
        <v>668</v>
      </c>
      <c r="I2961" s="727">
        <f>VLOOKUP(C2954,'Luong VP'!$B$10:$AP$189,26,0)</f>
        <v>0</v>
      </c>
      <c r="J2961" s="728">
        <f>J2958/'Cham cong'!$AS$3*I2961/8*1.5</f>
        <v>0</v>
      </c>
    </row>
    <row r="2962" spans="1:12" ht="9.1999999999999993" customHeight="1">
      <c r="A2962" s="712">
        <v>5</v>
      </c>
      <c r="B2962" s="713" t="s">
        <v>670</v>
      </c>
      <c r="C2962" s="714">
        <f>VLOOKUP(C2954,'Luong VP'!$B$10:$AP$189,12,0)</f>
        <v>0</v>
      </c>
      <c r="D2962" s="717"/>
      <c r="E2962" s="710">
        <v>4</v>
      </c>
      <c r="F2962" s="718" t="s">
        <v>671</v>
      </c>
      <c r="G2962" s="718"/>
      <c r="H2962" s="710" t="s">
        <v>668</v>
      </c>
      <c r="I2962" s="727">
        <f>VLOOKUP(C2954,'Luong VP'!$B$10:$AP$189,25,0)</f>
        <v>0</v>
      </c>
      <c r="J2962" s="728">
        <f>J2958/'Cham cong'!$AS$3*I2962/8*2</f>
        <v>0</v>
      </c>
    </row>
    <row r="2963" spans="1:12" ht="9.1999999999999993" customHeight="1">
      <c r="A2963" s="712">
        <v>6</v>
      </c>
      <c r="B2963" s="713" t="s">
        <v>673</v>
      </c>
      <c r="C2963" s="714">
        <f>VLOOKUP(C2954,'Luong VP'!$B$10:$AP$189,13,0)</f>
        <v>0</v>
      </c>
      <c r="D2963" s="717"/>
      <c r="E2963" s="710">
        <v>5</v>
      </c>
      <c r="F2963" s="718" t="s">
        <v>674</v>
      </c>
      <c r="G2963" s="718"/>
      <c r="H2963" s="710" t="s">
        <v>660</v>
      </c>
      <c r="I2963" s="727">
        <f>VLOOKUP(C2954,'Luong VP'!$B$10:$AP$189,23,0)</f>
        <v>0</v>
      </c>
      <c r="J2963" s="728">
        <f>C2958/'Cham cong'!$AS$3*I2963</f>
        <v>0</v>
      </c>
      <c r="L2963" s="694" t="str">
        <f>G2954</f>
        <v>Đặng Văn Thông</v>
      </c>
    </row>
    <row r="2964" spans="1:12" ht="9.1999999999999993" customHeight="1">
      <c r="A2964" s="712">
        <v>7</v>
      </c>
      <c r="B2964" s="713" t="s">
        <v>676</v>
      </c>
      <c r="C2964" s="714"/>
      <c r="D2964" s="717"/>
      <c r="E2964" s="710">
        <v>6</v>
      </c>
      <c r="F2964" s="718" t="s">
        <v>677</v>
      </c>
      <c r="G2964" s="718"/>
      <c r="H2964" s="710" t="s">
        <v>660</v>
      </c>
      <c r="I2964" s="727">
        <f>VLOOKUP(C2954,'Luong VP'!$B$10:$AP$189,24,0)</f>
        <v>1</v>
      </c>
      <c r="J2964" s="714">
        <f>C2958/'Cham cong'!$AS$3*I2964</f>
        <v>435.38461538461536</v>
      </c>
    </row>
    <row r="2965" spans="1:12" ht="9.1999999999999993" customHeight="1">
      <c r="A2965" s="712">
        <v>8</v>
      </c>
      <c r="B2965" s="713" t="s">
        <v>679</v>
      </c>
      <c r="C2965" s="714">
        <f>VLOOKUP(C2954,'Luong VP'!$B$10:$AP$189,14,0)</f>
        <v>200</v>
      </c>
      <c r="D2965" s="717"/>
      <c r="E2965" s="710">
        <v>7</v>
      </c>
      <c r="F2965" s="718" t="s">
        <v>680</v>
      </c>
      <c r="G2965" s="718"/>
      <c r="H2965" s="718"/>
      <c r="I2965" s="729"/>
      <c r="J2965" s="714">
        <f>VLOOKUP(C2954,'Luong VP'!$B$10:$AP$189,28,0)</f>
        <v>0</v>
      </c>
    </row>
    <row r="2966" spans="1:12" ht="9.1999999999999993" customHeight="1">
      <c r="A2966" s="712">
        <v>9</v>
      </c>
      <c r="B2966" s="713" t="s">
        <v>683</v>
      </c>
      <c r="C2966" s="714">
        <f>VLOOKUP(C2954,'Luong VP'!$B$10:$AP$189,15,0)</f>
        <v>300</v>
      </c>
      <c r="D2966" s="717"/>
      <c r="E2966" s="710">
        <v>8</v>
      </c>
      <c r="F2966" s="718" t="s">
        <v>238</v>
      </c>
      <c r="G2966" s="718"/>
      <c r="H2966" s="780"/>
      <c r="I2966" s="803"/>
      <c r="J2966" s="804"/>
    </row>
    <row r="2967" spans="1:12" ht="9.1999999999999993" customHeight="1">
      <c r="A2967" s="712">
        <v>10</v>
      </c>
      <c r="B2967" s="713" t="s">
        <v>685</v>
      </c>
      <c r="C2967" s="714">
        <f>VLOOKUP(C2954,'Luong VP'!$B$10:$AP$189,16,0)</f>
        <v>0</v>
      </c>
      <c r="D2967" s="717"/>
      <c r="E2967" s="710" t="s">
        <v>686</v>
      </c>
      <c r="F2967" s="716" t="s">
        <v>687</v>
      </c>
      <c r="G2967" s="719"/>
      <c r="H2967" s="710"/>
      <c r="I2967" s="729"/>
      <c r="J2967" s="730"/>
    </row>
    <row r="2968" spans="1:12" ht="9.1999999999999993" customHeight="1">
      <c r="A2968" s="712">
        <v>11</v>
      </c>
      <c r="B2968" s="713" t="s">
        <v>688</v>
      </c>
      <c r="C2968" s="714">
        <f>VLOOKUP(C2954,'Luong VP'!$B$10:$AP$189,17,0)</f>
        <v>0</v>
      </c>
      <c r="D2968" s="717"/>
      <c r="E2968" s="710">
        <v>1</v>
      </c>
      <c r="F2968" s="716" t="s">
        <v>689</v>
      </c>
      <c r="G2968" s="719"/>
      <c r="H2968" s="719"/>
      <c r="I2968" s="714">
        <f>VLOOKUP(C2954,'Luong VP'!$B$10:$AP$189,30,0)</f>
        <v>0</v>
      </c>
      <c r="J2968" s="714">
        <f>VLOOKUP(C2954,'Luong VP'!$B$10:$AP$189,30,0)</f>
        <v>0</v>
      </c>
    </row>
    <row r="2969" spans="1:12" ht="9.1999999999999993" customHeight="1">
      <c r="A2969" s="712">
        <v>12</v>
      </c>
      <c r="B2969" s="713" t="s">
        <v>691</v>
      </c>
      <c r="C2969" s="714">
        <f>VLOOKUP(C2954,'Luong VP'!$B$10:$AP$189,18,0)</f>
        <v>0</v>
      </c>
      <c r="D2969" s="717"/>
      <c r="E2969" s="710">
        <v>2</v>
      </c>
      <c r="F2969" s="718" t="s">
        <v>239</v>
      </c>
      <c r="G2969" s="718"/>
      <c r="H2969" s="718"/>
      <c r="I2969" s="727"/>
      <c r="J2969" s="728">
        <f>VLOOKUP(C2954,'Luong VP'!$B$10:$AP$189,34,0)</f>
        <v>0</v>
      </c>
      <c r="K2969" s="731"/>
      <c r="L2969" s="715"/>
    </row>
    <row r="2970" spans="1:12" ht="9.1999999999999993" customHeight="1">
      <c r="A2970" s="712">
        <v>13</v>
      </c>
      <c r="B2970" s="713" t="s">
        <v>692</v>
      </c>
      <c r="C2970" s="714">
        <f>VLOOKUP(C2954,'Luong VP'!$B$10:$AP$189,19,0)</f>
        <v>0</v>
      </c>
      <c r="D2970" s="717"/>
      <c r="E2970" s="710">
        <v>3</v>
      </c>
      <c r="F2970" s="716" t="s">
        <v>693</v>
      </c>
      <c r="G2970" s="719"/>
      <c r="H2970" s="719"/>
      <c r="I2970" s="729"/>
      <c r="J2970" s="714">
        <f>VLOOKUP(C2954,'Luong VP'!$B$10:$AP$189,40,0)</f>
        <v>0</v>
      </c>
      <c r="K2970" s="731"/>
      <c r="L2970" s="715"/>
    </row>
    <row r="2971" spans="1:12" ht="9.1999999999999993" customHeight="1">
      <c r="A2971" s="712">
        <v>14</v>
      </c>
      <c r="B2971" s="713" t="s">
        <v>694</v>
      </c>
      <c r="C2971" s="714">
        <f>VLOOKUP(C2954,'Luong VP'!$B$10:$AP$189,20,0)</f>
        <v>0</v>
      </c>
      <c r="D2971" s="717"/>
      <c r="E2971" s="710">
        <v>4</v>
      </c>
      <c r="F2971" s="718" t="s">
        <v>695</v>
      </c>
      <c r="G2971" s="719"/>
      <c r="H2971" s="719"/>
      <c r="I2971" s="729"/>
      <c r="J2971" s="714">
        <f>VLOOKUP(C2954,'Luong VP'!$B$10:$AP$189,35,0)</f>
        <v>0</v>
      </c>
      <c r="K2971" s="732"/>
      <c r="L2971" s="715"/>
    </row>
    <row r="2972" spans="1:12" ht="9.1999999999999993" customHeight="1">
      <c r="A2972" s="712"/>
      <c r="B2972" s="707" t="s">
        <v>656</v>
      </c>
      <c r="C2972" s="714">
        <f>SUM(C2958:C2971)</f>
        <v>12320</v>
      </c>
      <c r="D2972" s="717"/>
      <c r="E2972" s="710"/>
      <c r="F2972" s="716" t="s">
        <v>241</v>
      </c>
      <c r="G2972" s="719"/>
      <c r="H2972" s="719"/>
      <c r="I2972" s="729"/>
      <c r="J2972" s="730">
        <f>SUM(J2959:J2971)+C2966</f>
        <v>12755.384615384615</v>
      </c>
      <c r="K2972" s="731"/>
      <c r="L2972" s="715"/>
    </row>
    <row r="2973" spans="1:12" ht="9.1999999999999993" customHeight="1">
      <c r="B2973" s="720"/>
      <c r="C2973" s="717"/>
      <c r="D2973" s="717"/>
      <c r="E2973" s="710" t="s">
        <v>696</v>
      </c>
      <c r="F2973" s="711" t="s">
        <v>697</v>
      </c>
      <c r="G2973" s="710"/>
      <c r="H2973" s="710"/>
      <c r="I2973" s="729"/>
      <c r="J2973" s="730">
        <f>SUM(J2974:J2976)</f>
        <v>535.5</v>
      </c>
      <c r="K2973" s="732"/>
      <c r="L2973" s="715"/>
    </row>
    <row r="2974" spans="1:12" ht="9.1999999999999993" customHeight="1">
      <c r="B2974" s="720"/>
      <c r="C2974" s="717"/>
      <c r="D2974" s="717"/>
      <c r="E2974" s="710">
        <v>1</v>
      </c>
      <c r="F2974" s="718" t="s">
        <v>698</v>
      </c>
      <c r="G2974" s="718"/>
      <c r="H2974" s="718"/>
      <c r="I2974" s="733"/>
      <c r="J2974" s="714">
        <f>VLOOKUP(C2954,'Luong VP'!$B$10:$AP$189,37,0)</f>
        <v>535.5</v>
      </c>
      <c r="K2974" s="732"/>
      <c r="L2974" s="715"/>
    </row>
    <row r="2975" spans="1:12" ht="9.1999999999999993" customHeight="1">
      <c r="B2975" s="720"/>
      <c r="C2975" s="717"/>
      <c r="D2975" s="717"/>
      <c r="E2975" s="710">
        <v>2</v>
      </c>
      <c r="F2975" s="718" t="s">
        <v>244</v>
      </c>
      <c r="G2975" s="718"/>
      <c r="H2975" s="718"/>
      <c r="I2975" s="729"/>
      <c r="J2975" s="714">
        <f>VLOOKUP(C2954,'Luong VP'!$B$10:$AP$189,39,0)</f>
        <v>0</v>
      </c>
      <c r="K2975" s="734"/>
      <c r="L2975" s="735"/>
    </row>
    <row r="2976" spans="1:12" ht="9.1999999999999993" customHeight="1">
      <c r="B2976" s="720"/>
      <c r="C2976" s="717"/>
      <c r="D2976" s="717"/>
      <c r="E2976" s="710"/>
      <c r="F2976" s="718" t="s">
        <v>699</v>
      </c>
      <c r="G2976" s="718"/>
      <c r="H2976" s="718"/>
      <c r="I2976" s="729"/>
      <c r="J2976" s="714"/>
      <c r="K2976" s="714"/>
      <c r="L2976" s="736"/>
    </row>
    <row r="2977" spans="1:12" ht="9.1999999999999993" customHeight="1">
      <c r="B2977" s="720"/>
      <c r="C2977" s="717"/>
      <c r="D2977" s="717"/>
      <c r="E2977" s="710" t="s">
        <v>700</v>
      </c>
      <c r="F2977" s="710" t="s">
        <v>246</v>
      </c>
      <c r="G2977" s="710"/>
      <c r="H2977" s="710"/>
      <c r="I2977" s="729"/>
      <c r="J2977" s="728">
        <f>J2972-J2973</f>
        <v>12219.884615384615</v>
      </c>
      <c r="K2977" s="728">
        <f>ROUND(J2977,-1)</f>
        <v>12220</v>
      </c>
      <c r="L2977" s="710"/>
    </row>
    <row r="2978" spans="1:12" ht="9.1999999999999993" customHeight="1">
      <c r="B2978" s="720"/>
      <c r="C2978" s="717"/>
      <c r="D2978" s="717"/>
      <c r="E2978" s="715"/>
      <c r="F2978" s="715"/>
      <c r="G2978" s="715"/>
      <c r="I2978" s="715" t="s">
        <v>701</v>
      </c>
      <c r="J2978" s="737"/>
      <c r="K2978" s="737"/>
      <c r="L2978" s="715"/>
    </row>
    <row r="2982" spans="1:12" ht="9.1999999999999993" customHeight="1">
      <c r="A2982" s="755"/>
      <c r="B2982" s="755"/>
      <c r="C2982" s="762"/>
      <c r="D2982" s="762"/>
      <c r="E2982" s="762"/>
      <c r="F2982" s="762"/>
      <c r="G2982" s="762"/>
      <c r="H2982" s="762"/>
      <c r="I2982" s="762"/>
      <c r="J2982" s="762"/>
      <c r="K2982" s="762"/>
      <c r="L2982" s="782"/>
    </row>
    <row r="2983" spans="1:12" ht="9.1999999999999993" customHeight="1">
      <c r="C2983" s="696"/>
      <c r="D2983" s="696"/>
      <c r="E2983" s="697" t="str">
        <f>$E$2</f>
        <v>THẺ LƯƠNG THÁNG 08/2019</v>
      </c>
      <c r="F2983" s="698"/>
      <c r="G2983" s="698"/>
      <c r="H2983" s="698"/>
    </row>
    <row r="2984" spans="1:12" ht="9.1999999999999993" customHeight="1">
      <c r="B2984" s="699" t="s">
        <v>644</v>
      </c>
      <c r="C2984" s="700" t="s">
        <v>470</v>
      </c>
      <c r="D2984" s="701"/>
      <c r="F2984" s="702" t="s">
        <v>645</v>
      </c>
      <c r="G2984" s="689" t="str">
        <f>VLOOKUP(C2984,'Luong VP'!$B$10:$AP$189,2,0)</f>
        <v>Nguyễn Tiến Khanh</v>
      </c>
    </row>
    <row r="2985" spans="1:12" ht="9.1999999999999993" customHeight="1">
      <c r="B2985" s="699" t="s">
        <v>646</v>
      </c>
      <c r="C2985" s="689" t="str">
        <f>VLOOKUP(C2984,'Luong VP'!$B$10:$AP$189,3,0)</f>
        <v>Trưởng BP Cây xanh - vệ sinh</v>
      </c>
      <c r="F2985" s="702" t="s">
        <v>647</v>
      </c>
      <c r="G2985" s="689">
        <f>VLOOKUP(C2984,'Luong VP'!$B$10:$AP$189,5,0)</f>
        <v>1</v>
      </c>
    </row>
    <row r="2986" spans="1:12" ht="9.1999999999999993" customHeight="1">
      <c r="B2986" s="703"/>
      <c r="C2986" s="704"/>
      <c r="D2986" s="705"/>
      <c r="F2986" s="706" t="s">
        <v>648</v>
      </c>
      <c r="G2986" s="706"/>
      <c r="H2986" s="706"/>
      <c r="I2986" s="725"/>
      <c r="J2986" s="726"/>
    </row>
    <row r="2987" spans="1:12" ht="9.1999999999999993" customHeight="1">
      <c r="A2987" s="707" t="s">
        <v>216</v>
      </c>
      <c r="B2987" s="707" t="s">
        <v>649</v>
      </c>
      <c r="C2987" s="708" t="s">
        <v>650</v>
      </c>
      <c r="D2987" s="709"/>
      <c r="E2987" s="710" t="s">
        <v>216</v>
      </c>
      <c r="F2987" s="711" t="s">
        <v>649</v>
      </c>
      <c r="G2987" s="710"/>
      <c r="H2987" s="710" t="s">
        <v>651</v>
      </c>
      <c r="I2987" s="727" t="s">
        <v>652</v>
      </c>
      <c r="J2987" s="714"/>
      <c r="L2987" s="694" t="s">
        <v>653</v>
      </c>
    </row>
    <row r="2988" spans="1:12" ht="9.1999999999999993" customHeight="1">
      <c r="A2988" s="712">
        <v>1</v>
      </c>
      <c r="B2988" s="713" t="s">
        <v>654</v>
      </c>
      <c r="C2988" s="714">
        <f>VLOOKUP(C2984,'Luong VP'!$B$10:$AP$189,9,0)</f>
        <v>11370</v>
      </c>
      <c r="D2988" s="715"/>
      <c r="E2988" s="710" t="s">
        <v>655</v>
      </c>
      <c r="F2988" s="716" t="s">
        <v>656</v>
      </c>
      <c r="G2988" s="710"/>
      <c r="H2988" s="710"/>
      <c r="I2988" s="727"/>
      <c r="J2988" s="714">
        <f>VLOOKUP(C2984,'Luong VP'!$B$10:$AP$189,21,0)</f>
        <v>12070</v>
      </c>
    </row>
    <row r="2989" spans="1:12" ht="9.1999999999999993" customHeight="1">
      <c r="A2989" s="712">
        <v>2</v>
      </c>
      <c r="B2989" s="713" t="s">
        <v>658</v>
      </c>
      <c r="C2989" s="714"/>
      <c r="D2989" s="717"/>
      <c r="E2989" s="710">
        <v>1</v>
      </c>
      <c r="F2989" s="718" t="s">
        <v>659</v>
      </c>
      <c r="G2989" s="718"/>
      <c r="H2989" s="710" t="s">
        <v>660</v>
      </c>
      <c r="I2989" s="727">
        <f>VLOOKUP(C2984,'Luong VP'!$B$10:$AP$189,22,0)</f>
        <v>26</v>
      </c>
      <c r="J2989" s="728">
        <f>J2988/'Cham cong'!$AS$3*I2989</f>
        <v>12070</v>
      </c>
    </row>
    <row r="2990" spans="1:12" ht="9.1999999999999993" customHeight="1">
      <c r="A2990" s="712">
        <v>3</v>
      </c>
      <c r="B2990" s="713" t="s">
        <v>661</v>
      </c>
      <c r="C2990" s="714">
        <f>VLOOKUP(C2984,'Luong VP'!$B$10:$AP$189,10,0)</f>
        <v>0</v>
      </c>
      <c r="D2990" s="717"/>
      <c r="E2990" s="710">
        <v>2</v>
      </c>
      <c r="F2990" s="718" t="s">
        <v>662</v>
      </c>
      <c r="G2990" s="718"/>
      <c r="H2990" s="710" t="s">
        <v>660</v>
      </c>
      <c r="I2990" s="727">
        <f>VLOOKUP(C2984,'Luong VP'!$B$10:$AP$189,27,0)</f>
        <v>0</v>
      </c>
      <c r="J2990" s="728">
        <f>J2988/'Cham cong'!$AS$3*I2990*3</f>
        <v>0</v>
      </c>
    </row>
    <row r="2991" spans="1:12" ht="9.1999999999999993" customHeight="1">
      <c r="A2991" s="712">
        <v>4</v>
      </c>
      <c r="B2991" s="713" t="s">
        <v>666</v>
      </c>
      <c r="C2991" s="714">
        <f>VLOOKUP(C2984,'Luong VP'!$B$10:$AP$189,11,0)</f>
        <v>500</v>
      </c>
      <c r="D2991" s="717"/>
      <c r="E2991" s="710">
        <v>3</v>
      </c>
      <c r="F2991" s="718" t="s">
        <v>667</v>
      </c>
      <c r="G2991" s="718"/>
      <c r="H2991" s="710" t="s">
        <v>668</v>
      </c>
      <c r="I2991" s="727">
        <f>VLOOKUP(C2984,'Luong VP'!$B$10:$AP$189,26,0)</f>
        <v>0</v>
      </c>
      <c r="J2991" s="728">
        <f>J2988/'Cham cong'!$AS$3*I2991/8*1.5</f>
        <v>0</v>
      </c>
    </row>
    <row r="2992" spans="1:12" ht="9.1999999999999993" customHeight="1">
      <c r="A2992" s="712">
        <v>5</v>
      </c>
      <c r="B2992" s="713" t="s">
        <v>670</v>
      </c>
      <c r="C2992" s="714">
        <f>VLOOKUP(C2984,'Luong VP'!$B$10:$AP$189,12,0)</f>
        <v>0</v>
      </c>
      <c r="D2992" s="717"/>
      <c r="E2992" s="710">
        <v>4</v>
      </c>
      <c r="F2992" s="718" t="s">
        <v>671</v>
      </c>
      <c r="G2992" s="718"/>
      <c r="H2992" s="710" t="s">
        <v>668</v>
      </c>
      <c r="I2992" s="727">
        <f>VLOOKUP(C2984,'Luong VP'!$B$10:$AP$189,25,0)</f>
        <v>33</v>
      </c>
      <c r="J2992" s="728">
        <f>J2988/'Cham cong'!$AS$3*I2992/8*2</f>
        <v>3829.9038461538462</v>
      </c>
    </row>
    <row r="2993" spans="1:12" ht="9.1999999999999993" customHeight="1">
      <c r="A2993" s="712">
        <v>6</v>
      </c>
      <c r="B2993" s="713" t="s">
        <v>673</v>
      </c>
      <c r="C2993" s="714">
        <f>VLOOKUP(C2984,'Luong VP'!$B$10:$AP$189,13,0)</f>
        <v>0</v>
      </c>
      <c r="D2993" s="717"/>
      <c r="E2993" s="710">
        <v>5</v>
      </c>
      <c r="F2993" s="718" t="s">
        <v>674</v>
      </c>
      <c r="G2993" s="718"/>
      <c r="H2993" s="710" t="s">
        <v>660</v>
      </c>
      <c r="I2993" s="727">
        <f>VLOOKUP(C2984,'Luong VP'!$B$10:$AP$189,23,0)</f>
        <v>0</v>
      </c>
      <c r="J2993" s="728">
        <f>C2988/'Cham cong'!$AS$3*I2993</f>
        <v>0</v>
      </c>
      <c r="L2993" s="694" t="str">
        <f>G2984</f>
        <v>Nguyễn Tiến Khanh</v>
      </c>
    </row>
    <row r="2994" spans="1:12" ht="9.1999999999999993" customHeight="1">
      <c r="A2994" s="712">
        <v>7</v>
      </c>
      <c r="B2994" s="713" t="s">
        <v>676</v>
      </c>
      <c r="C2994" s="714"/>
      <c r="D2994" s="717"/>
      <c r="E2994" s="710">
        <v>6</v>
      </c>
      <c r="F2994" s="718" t="s">
        <v>677</v>
      </c>
      <c r="G2994" s="718"/>
      <c r="H2994" s="710" t="s">
        <v>660</v>
      </c>
      <c r="I2994" s="727">
        <f>VLOOKUP(C2984,'Luong VP'!$B$10:$AP$189,24,0)</f>
        <v>1</v>
      </c>
      <c r="J2994" s="714">
        <f>C2988/'Cham cong'!$AS$3*I2994</f>
        <v>437.30769230769232</v>
      </c>
    </row>
    <row r="2995" spans="1:12" ht="9.1999999999999993" customHeight="1">
      <c r="A2995" s="712">
        <v>8</v>
      </c>
      <c r="B2995" s="713" t="s">
        <v>679</v>
      </c>
      <c r="C2995" s="714">
        <f>VLOOKUP(C2984,'Luong VP'!$B$10:$AP$189,14,0)</f>
        <v>200</v>
      </c>
      <c r="D2995" s="717"/>
      <c r="E2995" s="710">
        <v>7</v>
      </c>
      <c r="F2995" s="718" t="s">
        <v>680</v>
      </c>
      <c r="G2995" s="718"/>
      <c r="H2995" s="718"/>
      <c r="I2995" s="729"/>
      <c r="J2995" s="714">
        <f>VLOOKUP(C2984,'Luong VP'!$B$10:$AP$189,28,0)</f>
        <v>0</v>
      </c>
    </row>
    <row r="2996" spans="1:12" ht="9.1999999999999993" customHeight="1">
      <c r="A2996" s="712">
        <v>9</v>
      </c>
      <c r="B2996" s="713" t="s">
        <v>683</v>
      </c>
      <c r="C2996" s="714">
        <f>VLOOKUP(C2984,'Luong VP'!$B$10:$AP$189,15,0)</f>
        <v>300</v>
      </c>
      <c r="D2996" s="717"/>
      <c r="E2996" s="710">
        <v>8</v>
      </c>
      <c r="F2996" s="718" t="s">
        <v>238</v>
      </c>
      <c r="G2996" s="718"/>
      <c r="H2996" s="780"/>
      <c r="I2996" s="803"/>
      <c r="J2996" s="804"/>
    </row>
    <row r="2997" spans="1:12" ht="9.1999999999999993" customHeight="1">
      <c r="A2997" s="712">
        <v>10</v>
      </c>
      <c r="B2997" s="713" t="s">
        <v>685</v>
      </c>
      <c r="C2997" s="714">
        <f>VLOOKUP(C2984,'Luong VP'!$B$10:$AP$189,16,0)</f>
        <v>0</v>
      </c>
      <c r="D2997" s="717"/>
      <c r="E2997" s="710" t="s">
        <v>686</v>
      </c>
      <c r="F2997" s="716" t="s">
        <v>687</v>
      </c>
      <c r="G2997" s="719"/>
      <c r="H2997" s="719"/>
      <c r="I2997" s="729"/>
      <c r="J2997" s="730"/>
    </row>
    <row r="2998" spans="1:12" ht="9.1999999999999993" customHeight="1">
      <c r="A2998" s="712">
        <v>11</v>
      </c>
      <c r="B2998" s="713" t="s">
        <v>688</v>
      </c>
      <c r="C2998" s="714">
        <f>VLOOKUP(C2984,'Luong VP'!$B$10:$AP$189,17,0)</f>
        <v>0</v>
      </c>
      <c r="D2998" s="717"/>
      <c r="E2998" s="710">
        <v>1</v>
      </c>
      <c r="F2998" s="716" t="s">
        <v>689</v>
      </c>
      <c r="G2998" s="719"/>
      <c r="H2998" s="719"/>
      <c r="I2998" s="714">
        <f>VLOOKUP(C2984,'Luong VP'!$B$10:$AP$189,30,0)</f>
        <v>0</v>
      </c>
      <c r="J2998" s="714">
        <f>VLOOKUP(C2984,'Luong VP'!$B$10:$AP$189,30,0)</f>
        <v>0</v>
      </c>
    </row>
    <row r="2999" spans="1:12" ht="9.1999999999999993" customHeight="1">
      <c r="A2999" s="712">
        <v>12</v>
      </c>
      <c r="B2999" s="713" t="s">
        <v>691</v>
      </c>
      <c r="C2999" s="714">
        <f>VLOOKUP(C2984,'Luong VP'!$B$10:$AP$189,18,0)</f>
        <v>0</v>
      </c>
      <c r="D2999" s="717"/>
      <c r="E2999" s="710">
        <v>2</v>
      </c>
      <c r="F2999" s="718" t="s">
        <v>239</v>
      </c>
      <c r="G2999" s="718"/>
      <c r="H2999" s="718"/>
      <c r="I2999" s="727"/>
      <c r="J2999" s="728">
        <f>VLOOKUP(C2984,'Luong VP'!$B$10:$AP$189,34,0)</f>
        <v>0</v>
      </c>
      <c r="K2999" s="731"/>
      <c r="L2999" s="715"/>
    </row>
    <row r="3000" spans="1:12" ht="9.1999999999999993" customHeight="1">
      <c r="A3000" s="712">
        <v>13</v>
      </c>
      <c r="B3000" s="713" t="s">
        <v>692</v>
      </c>
      <c r="C3000" s="714">
        <f>VLOOKUP(C2984,'Luong VP'!$B$10:$AP$189,19,0)</f>
        <v>0</v>
      </c>
      <c r="D3000" s="717"/>
      <c r="E3000" s="710">
        <v>3</v>
      </c>
      <c r="F3000" s="716" t="s">
        <v>693</v>
      </c>
      <c r="G3000" s="719"/>
      <c r="H3000" s="719"/>
      <c r="I3000" s="729"/>
      <c r="J3000" s="714">
        <f>VLOOKUP(C2984,'Luong VP'!$B$10:$AP$189,40,0)</f>
        <v>0</v>
      </c>
      <c r="K3000" s="731"/>
      <c r="L3000" s="715"/>
    </row>
    <row r="3001" spans="1:12" ht="9.1999999999999993" customHeight="1">
      <c r="A3001" s="712">
        <v>14</v>
      </c>
      <c r="B3001" s="713" t="s">
        <v>694</v>
      </c>
      <c r="C3001" s="714">
        <f>VLOOKUP(C2984,'Luong VP'!$B$10:$AP$189,20,0)</f>
        <v>0</v>
      </c>
      <c r="D3001" s="717"/>
      <c r="E3001" s="710">
        <v>4</v>
      </c>
      <c r="F3001" s="718" t="s">
        <v>695</v>
      </c>
      <c r="G3001" s="719"/>
      <c r="H3001" s="719"/>
      <c r="I3001" s="729"/>
      <c r="J3001" s="714">
        <f>VLOOKUP(C2984,'Luong VP'!$B$10:$AP$189,35,0)</f>
        <v>0</v>
      </c>
      <c r="K3001" s="732"/>
      <c r="L3001" s="715"/>
    </row>
    <row r="3002" spans="1:12" ht="9.1999999999999993" customHeight="1">
      <c r="A3002" s="712"/>
      <c r="B3002" s="707" t="s">
        <v>656</v>
      </c>
      <c r="C3002" s="714">
        <f>SUM(C2988:C3001)-C2996</f>
        <v>12070</v>
      </c>
      <c r="D3002" s="717"/>
      <c r="E3002" s="710"/>
      <c r="F3002" s="716" t="s">
        <v>241</v>
      </c>
      <c r="G3002" s="719"/>
      <c r="H3002" s="719"/>
      <c r="I3002" s="729"/>
      <c r="J3002" s="730">
        <f>SUM(J2989:J3001)+C2996</f>
        <v>16637.211538461539</v>
      </c>
      <c r="K3002" s="731"/>
      <c r="L3002" s="715"/>
    </row>
    <row r="3003" spans="1:12" ht="9.1999999999999993" customHeight="1">
      <c r="B3003" s="720"/>
      <c r="C3003" s="717"/>
      <c r="D3003" s="717"/>
      <c r="E3003" s="710" t="s">
        <v>696</v>
      </c>
      <c r="F3003" s="711" t="s">
        <v>697</v>
      </c>
      <c r="G3003" s="710"/>
      <c r="H3003" s="710"/>
      <c r="I3003" s="729"/>
      <c r="J3003" s="730">
        <f>SUM(J3004:J3006)</f>
        <v>535.5</v>
      </c>
      <c r="K3003" s="732"/>
      <c r="L3003" s="715"/>
    </row>
    <row r="3004" spans="1:12" ht="9.1999999999999993" customHeight="1">
      <c r="B3004" s="720"/>
      <c r="C3004" s="717"/>
      <c r="D3004" s="717"/>
      <c r="E3004" s="710">
        <v>1</v>
      </c>
      <c r="F3004" s="718" t="s">
        <v>698</v>
      </c>
      <c r="G3004" s="718"/>
      <c r="H3004" s="718"/>
      <c r="I3004" s="733"/>
      <c r="J3004" s="714">
        <f>VLOOKUP(C2984,'Luong VP'!$B$10:$AP$189,37,0)</f>
        <v>535.5</v>
      </c>
      <c r="K3004" s="732"/>
      <c r="L3004" s="715"/>
    </row>
    <row r="3005" spans="1:12" ht="9.1999999999999993" customHeight="1">
      <c r="B3005" s="720"/>
      <c r="C3005" s="717"/>
      <c r="D3005" s="717"/>
      <c r="E3005" s="710">
        <v>2</v>
      </c>
      <c r="F3005" s="718" t="s">
        <v>244</v>
      </c>
      <c r="G3005" s="718"/>
      <c r="H3005" s="718"/>
      <c r="I3005" s="729"/>
      <c r="J3005" s="714">
        <f>VLOOKUP(C2984,'Luong VP'!$B$10:$AP$189,39,0)</f>
        <v>0</v>
      </c>
      <c r="K3005" s="734"/>
      <c r="L3005" s="735"/>
    </row>
    <row r="3006" spans="1:12" ht="9.1999999999999993" customHeight="1">
      <c r="B3006" s="720"/>
      <c r="C3006" s="717"/>
      <c r="D3006" s="717"/>
      <c r="E3006" s="710"/>
      <c r="F3006" s="718" t="s">
        <v>699</v>
      </c>
      <c r="G3006" s="718"/>
      <c r="H3006" s="718"/>
      <c r="I3006" s="729"/>
      <c r="J3006" s="714"/>
      <c r="K3006" s="714"/>
      <c r="L3006" s="736"/>
    </row>
    <row r="3007" spans="1:12" ht="9.1999999999999993" customHeight="1">
      <c r="B3007" s="720"/>
      <c r="C3007" s="717"/>
      <c r="D3007" s="717"/>
      <c r="E3007" s="710" t="s">
        <v>700</v>
      </c>
      <c r="F3007" s="710" t="s">
        <v>246</v>
      </c>
      <c r="G3007" s="710"/>
      <c r="H3007" s="710"/>
      <c r="I3007" s="729"/>
      <c r="J3007" s="728">
        <f>J3002-J3003</f>
        <v>16101.711538461539</v>
      </c>
      <c r="K3007" s="728">
        <f>ROUND(J3007,-1)</f>
        <v>16100</v>
      </c>
      <c r="L3007" s="710"/>
    </row>
    <row r="3008" spans="1:12" ht="9.1999999999999993" customHeight="1">
      <c r="B3008" s="720"/>
      <c r="C3008" s="717"/>
      <c r="D3008" s="717"/>
      <c r="E3008" s="715"/>
      <c r="F3008" s="715"/>
      <c r="G3008" s="715"/>
      <c r="I3008" s="715" t="s">
        <v>701</v>
      </c>
      <c r="J3008" s="737"/>
      <c r="K3008" s="737"/>
      <c r="L3008" s="715"/>
    </row>
    <row r="3009" spans="1:12" ht="9.1999999999999993" customHeight="1">
      <c r="B3009" s="720"/>
      <c r="C3009" s="717"/>
      <c r="D3009" s="717"/>
      <c r="E3009" s="715"/>
      <c r="F3009" s="715"/>
      <c r="G3009" s="715"/>
      <c r="I3009" s="715"/>
      <c r="J3009" s="737"/>
      <c r="K3009" s="737"/>
      <c r="L3009" s="715"/>
    </row>
    <row r="3010" spans="1:12" ht="9.1999999999999993" customHeight="1">
      <c r="B3010" s="720"/>
      <c r="C3010" s="717"/>
      <c r="D3010" s="717"/>
      <c r="E3010" s="715"/>
      <c r="F3010" s="715"/>
      <c r="G3010" s="715"/>
      <c r="I3010" s="715"/>
      <c r="J3010" s="737"/>
      <c r="K3010" s="737"/>
      <c r="L3010" s="715"/>
    </row>
    <row r="3011" spans="1:12" ht="9.1999999999999993" customHeight="1">
      <c r="B3011" s="720"/>
      <c r="C3011" s="717"/>
      <c r="D3011" s="717"/>
      <c r="E3011" s="715"/>
      <c r="F3011" s="715"/>
      <c r="G3011" s="715"/>
      <c r="I3011" s="715"/>
      <c r="J3011" s="737"/>
      <c r="K3011" s="737"/>
      <c r="L3011" s="715"/>
    </row>
    <row r="3012" spans="1:12" ht="9.1999999999999993" customHeight="1">
      <c r="B3012" s="720"/>
      <c r="C3012" s="717"/>
      <c r="D3012" s="717"/>
      <c r="E3012" s="715"/>
      <c r="F3012" s="715"/>
      <c r="G3012" s="715"/>
      <c r="I3012" s="715"/>
      <c r="J3012" s="737"/>
      <c r="K3012" s="737"/>
      <c r="L3012" s="715"/>
    </row>
    <row r="3013" spans="1:12" ht="9.1999999999999993" customHeight="1">
      <c r="C3013" s="696"/>
      <c r="D3013" s="696"/>
      <c r="E3013" s="697" t="str">
        <f>$E$2</f>
        <v>THẺ LƯƠNG THÁNG 08/2019</v>
      </c>
      <c r="F3013" s="698"/>
      <c r="G3013" s="698"/>
      <c r="H3013" s="698"/>
    </row>
    <row r="3014" spans="1:12" ht="9.1999999999999993" customHeight="1">
      <c r="B3014" s="699" t="s">
        <v>644</v>
      </c>
      <c r="C3014" s="700" t="s">
        <v>463</v>
      </c>
      <c r="D3014" s="701"/>
      <c r="F3014" s="702" t="s">
        <v>645</v>
      </c>
      <c r="G3014" s="689" t="str">
        <f>VLOOKUP(C3014,'Luong VP'!$B$10:$AP$189,2,0)</f>
        <v>Phan Hồng Chương</v>
      </c>
    </row>
    <row r="3015" spans="1:12" ht="9.1999999999999993" customHeight="1">
      <c r="B3015" s="699" t="s">
        <v>646</v>
      </c>
      <c r="C3015" s="689" t="str">
        <f>VLOOKUP(C3014,'Luong VP'!$B$10:$AP$189,3,0)</f>
        <v>Tổ trưởng CX - VSCN</v>
      </c>
      <c r="F3015" s="702" t="s">
        <v>647</v>
      </c>
      <c r="G3015" s="689">
        <f>VLOOKUP(C3014,'Luong VP'!$B$10:$AP$189,5,0)</f>
        <v>6</v>
      </c>
    </row>
    <row r="3016" spans="1:12" ht="9.1999999999999993" customHeight="1">
      <c r="B3016" s="703"/>
      <c r="C3016" s="704"/>
      <c r="D3016" s="705"/>
      <c r="F3016" s="706" t="s">
        <v>648</v>
      </c>
      <c r="G3016" s="706"/>
      <c r="H3016" s="706"/>
      <c r="I3016" s="725"/>
      <c r="J3016" s="726"/>
    </row>
    <row r="3017" spans="1:12" ht="9.1999999999999993" customHeight="1">
      <c r="A3017" s="707" t="s">
        <v>216</v>
      </c>
      <c r="B3017" s="707" t="s">
        <v>649</v>
      </c>
      <c r="C3017" s="708" t="s">
        <v>650</v>
      </c>
      <c r="D3017" s="709"/>
      <c r="E3017" s="710" t="s">
        <v>216</v>
      </c>
      <c r="F3017" s="711" t="s">
        <v>649</v>
      </c>
      <c r="G3017" s="710"/>
      <c r="H3017" s="710" t="s">
        <v>651</v>
      </c>
      <c r="I3017" s="727" t="s">
        <v>652</v>
      </c>
      <c r="J3017" s="714"/>
      <c r="L3017" s="694" t="s">
        <v>653</v>
      </c>
    </row>
    <row r="3018" spans="1:12" ht="9.1999999999999993" customHeight="1">
      <c r="A3018" s="712">
        <v>1</v>
      </c>
      <c r="B3018" s="713" t="s">
        <v>654</v>
      </c>
      <c r="C3018" s="714">
        <f>VLOOKUP(C3014,'Luong VP'!$B$10:$AP$189,9,0)</f>
        <v>6810</v>
      </c>
      <c r="D3018" s="715"/>
      <c r="E3018" s="710" t="s">
        <v>655</v>
      </c>
      <c r="F3018" s="716" t="s">
        <v>656</v>
      </c>
      <c r="G3018" s="710"/>
      <c r="H3018" s="710"/>
      <c r="I3018" s="727"/>
      <c r="J3018" s="714">
        <f>VLOOKUP(C3014,'Luong VP'!$B$10:$AP$189,21,0)</f>
        <v>7010</v>
      </c>
    </row>
    <row r="3019" spans="1:12" ht="9.1999999999999993" customHeight="1">
      <c r="A3019" s="712">
        <v>2</v>
      </c>
      <c r="B3019" s="713" t="s">
        <v>658</v>
      </c>
      <c r="C3019" s="714"/>
      <c r="D3019" s="717"/>
      <c r="E3019" s="710">
        <v>1</v>
      </c>
      <c r="F3019" s="718" t="s">
        <v>659</v>
      </c>
      <c r="G3019" s="718"/>
      <c r="H3019" s="710" t="s">
        <v>660</v>
      </c>
      <c r="I3019" s="727">
        <f>VLOOKUP(C3014,'Luong VP'!$B$10:$AP$189,22,0)</f>
        <v>26</v>
      </c>
      <c r="J3019" s="728">
        <f>J3018/'Cham cong'!$AS$3*I3019</f>
        <v>7010.0000000000009</v>
      </c>
    </row>
    <row r="3020" spans="1:12" ht="9.1999999999999993" customHeight="1">
      <c r="A3020" s="712">
        <v>3</v>
      </c>
      <c r="B3020" s="713" t="s">
        <v>661</v>
      </c>
      <c r="C3020" s="714">
        <f>VLOOKUP(C3014,'Luong VP'!$B$10:$AP$189,10,0)</f>
        <v>0</v>
      </c>
      <c r="D3020" s="717"/>
      <c r="E3020" s="710">
        <v>2</v>
      </c>
      <c r="F3020" s="718" t="s">
        <v>662</v>
      </c>
      <c r="G3020" s="718"/>
      <c r="H3020" s="710" t="s">
        <v>660</v>
      </c>
      <c r="I3020" s="727">
        <f>VLOOKUP(C3014,'Luong VP'!$B$10:$AP$189,27,0)</f>
        <v>0</v>
      </c>
      <c r="J3020" s="728">
        <f>J3018/'Cham cong'!$AS$3*I3020*3</f>
        <v>0</v>
      </c>
    </row>
    <row r="3021" spans="1:12" ht="9.1999999999999993" customHeight="1">
      <c r="A3021" s="712">
        <v>4</v>
      </c>
      <c r="B3021" s="713" t="s">
        <v>666</v>
      </c>
      <c r="C3021" s="714">
        <f>VLOOKUP(C3014,'Luong VP'!$B$10:$AP$189,11,0)</f>
        <v>0</v>
      </c>
      <c r="D3021" s="717"/>
      <c r="E3021" s="710">
        <v>3</v>
      </c>
      <c r="F3021" s="718" t="s">
        <v>667</v>
      </c>
      <c r="G3021" s="718"/>
      <c r="H3021" s="710" t="s">
        <v>668</v>
      </c>
      <c r="I3021" s="727">
        <f>VLOOKUP(C3014,'Luong VP'!$B$10:$AP$189,26,0)</f>
        <v>0</v>
      </c>
      <c r="J3021" s="728">
        <f>J3018/'Cham cong'!$AS$3*I3021/8*1.5</f>
        <v>0</v>
      </c>
    </row>
    <row r="3022" spans="1:12" ht="9.1999999999999993" customHeight="1">
      <c r="A3022" s="712">
        <v>5</v>
      </c>
      <c r="B3022" s="713" t="s">
        <v>670</v>
      </c>
      <c r="C3022" s="714">
        <f>VLOOKUP(C3014,'Luong VP'!$B$10:$AP$189,12,0)</f>
        <v>0</v>
      </c>
      <c r="D3022" s="717"/>
      <c r="E3022" s="710">
        <v>4</v>
      </c>
      <c r="F3022" s="718" t="s">
        <v>671</v>
      </c>
      <c r="G3022" s="718"/>
      <c r="H3022" s="710" t="s">
        <v>668</v>
      </c>
      <c r="I3022" s="727">
        <f>VLOOKUP(C3014,'Luong VP'!$B$10:$AP$189,25,0)</f>
        <v>0</v>
      </c>
      <c r="J3022" s="728">
        <f>J3018/'Cham cong'!$AS$3*I3022/8*2</f>
        <v>0</v>
      </c>
    </row>
    <row r="3023" spans="1:12" ht="9.1999999999999993" customHeight="1">
      <c r="A3023" s="712">
        <v>6</v>
      </c>
      <c r="B3023" s="713" t="s">
        <v>673</v>
      </c>
      <c r="C3023" s="714">
        <f>VLOOKUP(C3014,'Luong VP'!$B$10:$AP$189,13,0)</f>
        <v>0</v>
      </c>
      <c r="D3023" s="717"/>
      <c r="E3023" s="710">
        <v>5</v>
      </c>
      <c r="F3023" s="718" t="s">
        <v>674</v>
      </c>
      <c r="G3023" s="718"/>
      <c r="H3023" s="710" t="s">
        <v>660</v>
      </c>
      <c r="I3023" s="727">
        <f>VLOOKUP(C3014,'Luong VP'!$B$10:$AP$189,23,0)</f>
        <v>0</v>
      </c>
      <c r="J3023" s="728">
        <f>C3018/'Cham cong'!$AS$3*I3023</f>
        <v>0</v>
      </c>
      <c r="L3023" s="694" t="str">
        <f>G3014</f>
        <v>Phan Hồng Chương</v>
      </c>
    </row>
    <row r="3024" spans="1:12" ht="9.1999999999999993" customHeight="1">
      <c r="A3024" s="712">
        <v>7</v>
      </c>
      <c r="B3024" s="713" t="s">
        <v>676</v>
      </c>
      <c r="C3024" s="714"/>
      <c r="D3024" s="717"/>
      <c r="E3024" s="710">
        <v>6</v>
      </c>
      <c r="F3024" s="718" t="s">
        <v>677</v>
      </c>
      <c r="G3024" s="718"/>
      <c r="H3024" s="710" t="s">
        <v>660</v>
      </c>
      <c r="I3024" s="727">
        <f>VLOOKUP(C3014,'Luong VP'!$B$10:$AP$189,24,0)</f>
        <v>1</v>
      </c>
      <c r="J3024" s="714">
        <f>C3018/'Cham cong'!$AS$3*I3024</f>
        <v>261.92307692307691</v>
      </c>
    </row>
    <row r="3025" spans="1:12" ht="9.1999999999999993" customHeight="1">
      <c r="A3025" s="712">
        <v>8</v>
      </c>
      <c r="B3025" s="713" t="s">
        <v>679</v>
      </c>
      <c r="C3025" s="714">
        <f>VLOOKUP(C3014,'Luong VP'!$B$10:$AP$189,14,0)</f>
        <v>200</v>
      </c>
      <c r="D3025" s="717"/>
      <c r="E3025" s="710">
        <v>7</v>
      </c>
      <c r="F3025" s="718" t="s">
        <v>680</v>
      </c>
      <c r="G3025" s="718"/>
      <c r="H3025" s="718"/>
      <c r="I3025" s="729"/>
      <c r="J3025" s="714">
        <f>VLOOKUP(C3014,'Luong VP'!$B$10:$AP$189,28,0)</f>
        <v>0</v>
      </c>
    </row>
    <row r="3026" spans="1:12" ht="9.1999999999999993" customHeight="1">
      <c r="A3026" s="712">
        <v>9</v>
      </c>
      <c r="B3026" s="713" t="s">
        <v>683</v>
      </c>
      <c r="C3026" s="714">
        <f>VLOOKUP(C3014,'Luong VP'!$B$10:$AP$189,15,0)</f>
        <v>300</v>
      </c>
      <c r="D3026" s="717"/>
      <c r="E3026" s="710">
        <v>8</v>
      </c>
      <c r="F3026" s="718" t="s">
        <v>238</v>
      </c>
      <c r="G3026" s="718"/>
      <c r="H3026" s="780"/>
      <c r="I3026" s="803"/>
      <c r="J3026" s="804"/>
    </row>
    <row r="3027" spans="1:12" ht="9.1999999999999993" customHeight="1">
      <c r="A3027" s="712">
        <v>10</v>
      </c>
      <c r="B3027" s="713" t="s">
        <v>685</v>
      </c>
      <c r="C3027" s="714">
        <f>VLOOKUP(C3014,'Luong VP'!$B$10:$AP$189,16,0)</f>
        <v>0</v>
      </c>
      <c r="D3027" s="717"/>
      <c r="E3027" s="710" t="s">
        <v>686</v>
      </c>
      <c r="F3027" s="716" t="s">
        <v>687</v>
      </c>
      <c r="G3027" s="719"/>
      <c r="H3027" s="719"/>
      <c r="I3027" s="729"/>
      <c r="J3027" s="730"/>
    </row>
    <row r="3028" spans="1:12" ht="9.1999999999999993" customHeight="1">
      <c r="A3028" s="712">
        <v>11</v>
      </c>
      <c r="B3028" s="713" t="s">
        <v>688</v>
      </c>
      <c r="C3028" s="714">
        <f>VLOOKUP(C3014,'Luong VP'!$B$10:$AP$189,17,0)</f>
        <v>0</v>
      </c>
      <c r="D3028" s="717"/>
      <c r="E3028" s="710">
        <v>1</v>
      </c>
      <c r="F3028" s="716" t="s">
        <v>689</v>
      </c>
      <c r="G3028" s="719"/>
      <c r="H3028" s="719"/>
      <c r="I3028" s="714">
        <f>VLOOKUP(C3014,'Luong VP'!$B$10:$AP$189,30,0)</f>
        <v>0</v>
      </c>
      <c r="J3028" s="714">
        <f>VLOOKUP(C3014,'Luong VP'!$B$10:$AP$189,30,0)</f>
        <v>0</v>
      </c>
    </row>
    <row r="3029" spans="1:12" ht="9.1999999999999993" customHeight="1">
      <c r="A3029" s="712">
        <v>12</v>
      </c>
      <c r="B3029" s="713" t="s">
        <v>691</v>
      </c>
      <c r="C3029" s="714">
        <f>VLOOKUP(C3014,'Luong VP'!$B$10:$AP$189,18,0)</f>
        <v>0</v>
      </c>
      <c r="D3029" s="717"/>
      <c r="E3029" s="710">
        <v>2</v>
      </c>
      <c r="F3029" s="718" t="s">
        <v>239</v>
      </c>
      <c r="G3029" s="718"/>
      <c r="H3029" s="718"/>
      <c r="I3029" s="727"/>
      <c r="J3029" s="728">
        <f>VLOOKUP(C3014,'Luong VP'!$B$10:$AP$189,34,0)</f>
        <v>0</v>
      </c>
      <c r="K3029" s="731"/>
      <c r="L3029" s="715"/>
    </row>
    <row r="3030" spans="1:12" ht="9.1999999999999993" customHeight="1">
      <c r="A3030" s="712">
        <v>13</v>
      </c>
      <c r="B3030" s="713" t="s">
        <v>692</v>
      </c>
      <c r="C3030" s="714">
        <f>VLOOKUP(C3014,'Luong VP'!$B$10:$AP$189,19,0)</f>
        <v>0</v>
      </c>
      <c r="D3030" s="717"/>
      <c r="E3030" s="710">
        <v>3</v>
      </c>
      <c r="F3030" s="716" t="s">
        <v>693</v>
      </c>
      <c r="G3030" s="719"/>
      <c r="H3030" s="719"/>
      <c r="I3030" s="729"/>
      <c r="J3030" s="714">
        <f>VLOOKUP(C3014,'Luong VP'!$B$10:$AP$189,40,0)</f>
        <v>0</v>
      </c>
      <c r="K3030" s="731"/>
      <c r="L3030" s="715"/>
    </row>
    <row r="3031" spans="1:12" ht="9.1999999999999993" customHeight="1">
      <c r="A3031" s="712">
        <v>14</v>
      </c>
      <c r="B3031" s="713" t="s">
        <v>694</v>
      </c>
      <c r="C3031" s="714">
        <f>VLOOKUP(C3014,'Luong VP'!$B$10:$AP$189,20,0)</f>
        <v>0</v>
      </c>
      <c r="D3031" s="717"/>
      <c r="E3031" s="710">
        <v>4</v>
      </c>
      <c r="F3031" s="718" t="s">
        <v>695</v>
      </c>
      <c r="G3031" s="719"/>
      <c r="H3031" s="719"/>
      <c r="I3031" s="729"/>
      <c r="J3031" s="714">
        <f>VLOOKUP(C3014,'Luong VP'!$B$10:$AP$189,35,0)</f>
        <v>0</v>
      </c>
      <c r="K3031" s="732"/>
      <c r="L3031" s="715"/>
    </row>
    <row r="3032" spans="1:12" ht="9.1999999999999993" customHeight="1">
      <c r="A3032" s="712"/>
      <c r="B3032" s="707" t="s">
        <v>656</v>
      </c>
      <c r="C3032" s="714">
        <f>SUM(C3018:C3031)-C3026</f>
        <v>7010</v>
      </c>
      <c r="D3032" s="717"/>
      <c r="E3032" s="710"/>
      <c r="F3032" s="716" t="s">
        <v>241</v>
      </c>
      <c r="G3032" s="719"/>
      <c r="H3032" s="719"/>
      <c r="I3032" s="729"/>
      <c r="J3032" s="730">
        <f>SUM(J3019:J3031)+C3026</f>
        <v>7571.923076923078</v>
      </c>
      <c r="K3032" s="731"/>
      <c r="L3032" s="715"/>
    </row>
    <row r="3033" spans="1:12" ht="9.1999999999999993" customHeight="1">
      <c r="B3033" s="720"/>
      <c r="C3033" s="717"/>
      <c r="D3033" s="717"/>
      <c r="E3033" s="710" t="s">
        <v>696</v>
      </c>
      <c r="F3033" s="711" t="s">
        <v>697</v>
      </c>
      <c r="G3033" s="710"/>
      <c r="H3033" s="710"/>
      <c r="I3033" s="729"/>
      <c r="J3033" s="730">
        <f>SUM(J3034:J3036)</f>
        <v>4535.5</v>
      </c>
      <c r="K3033" s="732"/>
      <c r="L3033" s="715"/>
    </row>
    <row r="3034" spans="1:12" ht="9.1999999999999993" customHeight="1">
      <c r="B3034" s="720"/>
      <c r="C3034" s="717"/>
      <c r="D3034" s="717"/>
      <c r="E3034" s="710">
        <v>1</v>
      </c>
      <c r="F3034" s="718" t="s">
        <v>698</v>
      </c>
      <c r="G3034" s="718"/>
      <c r="H3034" s="718"/>
      <c r="I3034" s="733"/>
      <c r="J3034" s="714">
        <f>VLOOKUP(C3014,'Luong VP'!$B$10:$AP$189,37,0)</f>
        <v>535.5</v>
      </c>
      <c r="K3034" s="732"/>
      <c r="L3034" s="715"/>
    </row>
    <row r="3035" spans="1:12" ht="9.1999999999999993" customHeight="1">
      <c r="B3035" s="720"/>
      <c r="C3035" s="717"/>
      <c r="D3035" s="717"/>
      <c r="E3035" s="710">
        <v>2</v>
      </c>
      <c r="F3035" s="718" t="s">
        <v>244</v>
      </c>
      <c r="G3035" s="718"/>
      <c r="H3035" s="718"/>
      <c r="I3035" s="729"/>
      <c r="J3035" s="714">
        <f>VLOOKUP(C3014,'Luong VP'!$B$10:$AP$189,39,0)</f>
        <v>4000</v>
      </c>
      <c r="K3035" s="734"/>
      <c r="L3035" s="735"/>
    </row>
    <row r="3036" spans="1:12" ht="9.1999999999999993" customHeight="1">
      <c r="B3036" s="720"/>
      <c r="C3036" s="717"/>
      <c r="D3036" s="717"/>
      <c r="E3036" s="710"/>
      <c r="F3036" s="718" t="s">
        <v>699</v>
      </c>
      <c r="G3036" s="718"/>
      <c r="H3036" s="718"/>
      <c r="I3036" s="729"/>
      <c r="J3036" s="714"/>
      <c r="K3036" s="714"/>
      <c r="L3036" s="736"/>
    </row>
    <row r="3037" spans="1:12" ht="9.1999999999999993" customHeight="1">
      <c r="B3037" s="720"/>
      <c r="C3037" s="717"/>
      <c r="D3037" s="717"/>
      <c r="E3037" s="710" t="s">
        <v>700</v>
      </c>
      <c r="F3037" s="710" t="s">
        <v>246</v>
      </c>
      <c r="G3037" s="710"/>
      <c r="H3037" s="710"/>
      <c r="I3037" s="729"/>
      <c r="J3037" s="728">
        <f>J3032-J3033</f>
        <v>3036.423076923078</v>
      </c>
      <c r="K3037" s="728">
        <f>ROUND(J3037,-1)</f>
        <v>3040</v>
      </c>
      <c r="L3037" s="710"/>
    </row>
    <row r="3038" spans="1:12" ht="9.1999999999999993" customHeight="1">
      <c r="B3038" s="720"/>
      <c r="C3038" s="717"/>
      <c r="D3038" s="717"/>
      <c r="E3038" s="715"/>
      <c r="F3038" s="715"/>
      <c r="G3038" s="715"/>
      <c r="I3038" s="715" t="s">
        <v>701</v>
      </c>
      <c r="J3038" s="737"/>
      <c r="K3038" s="737"/>
      <c r="L3038" s="715"/>
    </row>
    <row r="3039" spans="1:12" ht="9.1999999999999993" customHeight="1">
      <c r="B3039" s="720"/>
      <c r="C3039" s="717"/>
      <c r="D3039" s="717"/>
      <c r="E3039" s="715"/>
      <c r="F3039" s="715"/>
      <c r="G3039" s="715"/>
      <c r="I3039" s="715"/>
      <c r="J3039" s="737"/>
      <c r="K3039" s="737"/>
      <c r="L3039" s="715"/>
    </row>
    <row r="3040" spans="1:12" ht="9.1999999999999993" customHeight="1">
      <c r="A3040" s="755"/>
      <c r="B3040" s="781"/>
      <c r="C3040" s="778"/>
      <c r="D3040" s="778"/>
      <c r="E3040" s="776"/>
      <c r="F3040" s="776"/>
      <c r="G3040" s="776"/>
      <c r="H3040" s="762"/>
      <c r="I3040" s="776"/>
      <c r="J3040" s="795"/>
      <c r="K3040" s="795"/>
      <c r="L3040" s="776"/>
    </row>
    <row r="3041" spans="1:12" ht="9.1999999999999993" customHeight="1">
      <c r="A3041" s="755"/>
      <c r="B3041" s="781"/>
      <c r="C3041" s="778"/>
      <c r="D3041" s="778"/>
      <c r="E3041" s="776"/>
      <c r="F3041" s="776"/>
      <c r="G3041" s="776"/>
      <c r="H3041" s="762"/>
      <c r="I3041" s="776"/>
      <c r="J3041" s="795"/>
      <c r="K3041" s="795"/>
      <c r="L3041" s="776"/>
    </row>
    <row r="3042" spans="1:12" ht="9.1999999999999993" customHeight="1">
      <c r="A3042" s="755"/>
      <c r="B3042" s="781"/>
      <c r="C3042" s="778"/>
      <c r="D3042" s="778"/>
      <c r="E3042" s="776"/>
      <c r="F3042" s="776"/>
      <c r="G3042" s="776"/>
      <c r="H3042" s="762"/>
      <c r="I3042" s="776"/>
      <c r="J3042" s="795"/>
      <c r="K3042" s="795"/>
      <c r="L3042" s="776"/>
    </row>
    <row r="3043" spans="1:12" ht="9.1999999999999993" customHeight="1">
      <c r="C3043" s="696"/>
      <c r="D3043" s="696"/>
      <c r="E3043" s="697" t="str">
        <f>$E$2</f>
        <v>THẺ LƯƠNG THÁNG 08/2019</v>
      </c>
      <c r="F3043" s="698"/>
      <c r="G3043" s="698"/>
      <c r="H3043" s="698"/>
    </row>
    <row r="3044" spans="1:12" ht="9.1999999999999993" customHeight="1">
      <c r="B3044" s="699" t="s">
        <v>644</v>
      </c>
      <c r="C3044" s="700" t="s">
        <v>473</v>
      </c>
      <c r="D3044" s="701"/>
      <c r="F3044" s="702" t="s">
        <v>645</v>
      </c>
      <c r="G3044" s="689" t="str">
        <f>VLOOKUP(C3044,'Luong VP'!$B$10:$AP$189,2,0)</f>
        <v>Nguyễn Hữu Thái</v>
      </c>
    </row>
    <row r="3045" spans="1:12" ht="9.1999999999999993" customHeight="1">
      <c r="B3045" s="699" t="s">
        <v>646</v>
      </c>
      <c r="C3045" s="689" t="str">
        <f>VLOOKUP(C3044,'Luong VP'!$B$10:$AP$189,3,0)</f>
        <v>Trưởng phòng Quản trị SX NM</v>
      </c>
      <c r="F3045" s="702" t="s">
        <v>647</v>
      </c>
      <c r="G3045" s="689">
        <f>VLOOKUP(C3044,'Luong VP'!$B$10:$AP$189,5,0)</f>
        <v>4</v>
      </c>
    </row>
    <row r="3046" spans="1:12" ht="9.1999999999999993" customHeight="1">
      <c r="B3046" s="703"/>
      <c r="C3046" s="704"/>
      <c r="D3046" s="705"/>
      <c r="F3046" s="706" t="s">
        <v>648</v>
      </c>
      <c r="G3046" s="706"/>
      <c r="H3046" s="706"/>
      <c r="I3046" s="725"/>
      <c r="J3046" s="726"/>
    </row>
    <row r="3047" spans="1:12" ht="9.1999999999999993" customHeight="1">
      <c r="A3047" s="707" t="s">
        <v>216</v>
      </c>
      <c r="B3047" s="707" t="s">
        <v>649</v>
      </c>
      <c r="C3047" s="708" t="s">
        <v>650</v>
      </c>
      <c r="D3047" s="709"/>
      <c r="E3047" s="710" t="s">
        <v>216</v>
      </c>
      <c r="F3047" s="711" t="s">
        <v>649</v>
      </c>
      <c r="G3047" s="710"/>
      <c r="H3047" s="710" t="s">
        <v>651</v>
      </c>
      <c r="I3047" s="727" t="s">
        <v>652</v>
      </c>
      <c r="J3047" s="714"/>
      <c r="L3047" s="694" t="s">
        <v>653</v>
      </c>
    </row>
    <row r="3048" spans="1:12" ht="9.1999999999999993" customHeight="1">
      <c r="A3048" s="712">
        <v>1</v>
      </c>
      <c r="B3048" s="713" t="s">
        <v>654</v>
      </c>
      <c r="C3048" s="714">
        <f>VLOOKUP(C3044,'Luong VP'!$B$10:$AP$189,9,0)</f>
        <v>24470</v>
      </c>
      <c r="D3048" s="715"/>
      <c r="E3048" s="710" t="s">
        <v>655</v>
      </c>
      <c r="F3048" s="716" t="s">
        <v>656</v>
      </c>
      <c r="G3048" s="710"/>
      <c r="H3048" s="710"/>
      <c r="I3048" s="727"/>
      <c r="J3048" s="714">
        <f>VLOOKUP(C3044,'Luong VP'!$B$10:$AP$189,21,0)</f>
        <v>25970</v>
      </c>
    </row>
    <row r="3049" spans="1:12" ht="9.1999999999999993" customHeight="1">
      <c r="A3049" s="712">
        <v>2</v>
      </c>
      <c r="B3049" s="713" t="s">
        <v>658</v>
      </c>
      <c r="C3049" s="714"/>
      <c r="D3049" s="717"/>
      <c r="E3049" s="710">
        <v>1</v>
      </c>
      <c r="F3049" s="718" t="s">
        <v>659</v>
      </c>
      <c r="G3049" s="718"/>
      <c r="H3049" s="710" t="s">
        <v>660</v>
      </c>
      <c r="I3049" s="727">
        <f>VLOOKUP(C3044,'Luong VP'!$B$10:$AP$189,22,0)</f>
        <v>26</v>
      </c>
      <c r="J3049" s="728">
        <f>J3048/'Cham cong'!$AS$3*I3049</f>
        <v>25970</v>
      </c>
    </row>
    <row r="3050" spans="1:12" ht="9.1999999999999993" customHeight="1">
      <c r="A3050" s="712">
        <v>3</v>
      </c>
      <c r="B3050" s="713" t="s">
        <v>661</v>
      </c>
      <c r="C3050" s="714">
        <f>VLOOKUP(C3044,'Luong VP'!$B$10:$AP$189,10,0)</f>
        <v>0</v>
      </c>
      <c r="D3050" s="717"/>
      <c r="E3050" s="710">
        <v>2</v>
      </c>
      <c r="F3050" s="718" t="s">
        <v>662</v>
      </c>
      <c r="G3050" s="718"/>
      <c r="H3050" s="710" t="s">
        <v>660</v>
      </c>
      <c r="I3050" s="727">
        <f>VLOOKUP(C3044,'Luong VP'!$B$10:$AP$189,27,0)</f>
        <v>0</v>
      </c>
      <c r="J3050" s="728">
        <f>J3048/'Cham cong'!$AS$3*I3050*3</f>
        <v>0</v>
      </c>
    </row>
    <row r="3051" spans="1:12" ht="9.1999999999999993" customHeight="1">
      <c r="A3051" s="712">
        <v>4</v>
      </c>
      <c r="B3051" s="713" t="s">
        <v>666</v>
      </c>
      <c r="C3051" s="714">
        <f>VLOOKUP(C3044,'Luong VP'!$B$10:$AP$189,11,0)</f>
        <v>1000</v>
      </c>
      <c r="D3051" s="717"/>
      <c r="E3051" s="710">
        <v>3</v>
      </c>
      <c r="F3051" s="718" t="s">
        <v>667</v>
      </c>
      <c r="G3051" s="718"/>
      <c r="H3051" s="710" t="s">
        <v>668</v>
      </c>
      <c r="I3051" s="727">
        <f>VLOOKUP(C3044,'Luong VP'!$B$10:$AP$189,26,0)</f>
        <v>0</v>
      </c>
      <c r="J3051" s="728">
        <f>J3048/'Cham cong'!$AS$3*I3051/8*1.5</f>
        <v>0</v>
      </c>
    </row>
    <row r="3052" spans="1:12" ht="9.1999999999999993" customHeight="1">
      <c r="A3052" s="712">
        <v>5</v>
      </c>
      <c r="B3052" s="713" t="s">
        <v>670</v>
      </c>
      <c r="C3052" s="714">
        <f>VLOOKUP(C3044,'Luong VP'!$B$10:$AP$189,12,0)</f>
        <v>0</v>
      </c>
      <c r="D3052" s="717"/>
      <c r="E3052" s="710">
        <v>4</v>
      </c>
      <c r="F3052" s="718" t="s">
        <v>671</v>
      </c>
      <c r="G3052" s="718"/>
      <c r="H3052" s="710" t="s">
        <v>668</v>
      </c>
      <c r="I3052" s="727">
        <f>VLOOKUP(C3044,'Luong VP'!$B$10:$AP$189,25,0)</f>
        <v>0</v>
      </c>
      <c r="J3052" s="728">
        <f>J3048/'Cham cong'!$AS$3*I3052/8*2</f>
        <v>0</v>
      </c>
    </row>
    <row r="3053" spans="1:12" ht="9.1999999999999993" customHeight="1">
      <c r="A3053" s="712">
        <v>6</v>
      </c>
      <c r="B3053" s="713" t="s">
        <v>673</v>
      </c>
      <c r="C3053" s="714">
        <f>VLOOKUP(C3044,'Luong VP'!$B$10:$AP$189,13,0)</f>
        <v>0</v>
      </c>
      <c r="D3053" s="717"/>
      <c r="E3053" s="710">
        <v>5</v>
      </c>
      <c r="F3053" s="718" t="s">
        <v>674</v>
      </c>
      <c r="G3053" s="718"/>
      <c r="H3053" s="710" t="s">
        <v>660</v>
      </c>
      <c r="I3053" s="727">
        <f>VLOOKUP(C3044,'Luong VP'!$B$10:$AP$189,23,0)</f>
        <v>0</v>
      </c>
      <c r="J3053" s="728">
        <f>C3048/'Cham cong'!$AS$3*I3053</f>
        <v>0</v>
      </c>
      <c r="L3053" s="694" t="str">
        <f>G3044</f>
        <v>Nguyễn Hữu Thái</v>
      </c>
    </row>
    <row r="3054" spans="1:12" ht="9.1999999999999993" customHeight="1">
      <c r="A3054" s="712">
        <v>7</v>
      </c>
      <c r="B3054" s="713" t="s">
        <v>676</v>
      </c>
      <c r="C3054" s="714"/>
      <c r="D3054" s="717"/>
      <c r="E3054" s="710">
        <v>6</v>
      </c>
      <c r="F3054" s="718" t="s">
        <v>677</v>
      </c>
      <c r="G3054" s="718"/>
      <c r="H3054" s="710" t="s">
        <v>660</v>
      </c>
      <c r="I3054" s="727">
        <f>VLOOKUP(C3044,'Luong VP'!$B$10:$AP$189,24,0)</f>
        <v>1</v>
      </c>
      <c r="J3054" s="714">
        <f>C3048/'Cham cong'!$AS$3*I3054</f>
        <v>941.15384615384619</v>
      </c>
    </row>
    <row r="3055" spans="1:12" ht="9.1999999999999993" customHeight="1">
      <c r="A3055" s="712">
        <v>8</v>
      </c>
      <c r="B3055" s="713" t="s">
        <v>679</v>
      </c>
      <c r="C3055" s="714">
        <f>VLOOKUP(C3044,'Luong VP'!$B$10:$AP$189,14,0)</f>
        <v>500</v>
      </c>
      <c r="D3055" s="717"/>
      <c r="E3055" s="710">
        <v>7</v>
      </c>
      <c r="F3055" s="718" t="s">
        <v>680</v>
      </c>
      <c r="G3055" s="718"/>
      <c r="H3055" s="718"/>
      <c r="I3055" s="729"/>
      <c r="J3055" s="714">
        <f>VLOOKUP(C3044,'Luong VP'!$B$10:$AP$189,28,0)</f>
        <v>0</v>
      </c>
    </row>
    <row r="3056" spans="1:12" ht="9.1999999999999993" customHeight="1">
      <c r="A3056" s="712">
        <v>9</v>
      </c>
      <c r="B3056" s="713" t="s">
        <v>683</v>
      </c>
      <c r="C3056" s="714">
        <f>VLOOKUP(C3044,'Luong VP'!$B$10:$AP$189,15,0)</f>
        <v>500</v>
      </c>
      <c r="D3056" s="717"/>
      <c r="E3056" s="710">
        <v>8</v>
      </c>
      <c r="F3056" s="718" t="s">
        <v>238</v>
      </c>
      <c r="G3056" s="718"/>
      <c r="H3056" s="780"/>
      <c r="I3056" s="803"/>
      <c r="J3056" s="804"/>
    </row>
    <row r="3057" spans="1:12" ht="9.1999999999999993" customHeight="1">
      <c r="A3057" s="712">
        <v>10</v>
      </c>
      <c r="B3057" s="713" t="s">
        <v>685</v>
      </c>
      <c r="C3057" s="714">
        <f>VLOOKUP(C3044,'Luong VP'!$B$10:$AP$189,16,0)</f>
        <v>0</v>
      </c>
      <c r="D3057" s="717"/>
      <c r="E3057" s="710" t="s">
        <v>686</v>
      </c>
      <c r="F3057" s="716" t="s">
        <v>687</v>
      </c>
      <c r="G3057" s="719"/>
      <c r="H3057" s="719"/>
      <c r="I3057" s="729"/>
      <c r="J3057" s="730"/>
    </row>
    <row r="3058" spans="1:12" ht="9.1999999999999993" customHeight="1">
      <c r="A3058" s="712">
        <v>11</v>
      </c>
      <c r="B3058" s="713" t="s">
        <v>688</v>
      </c>
      <c r="C3058" s="714">
        <f>VLOOKUP(C3044,'Luong VP'!$B$10:$AP$189,17,0)</f>
        <v>0</v>
      </c>
      <c r="D3058" s="717"/>
      <c r="E3058" s="710">
        <v>1</v>
      </c>
      <c r="F3058" s="716" t="s">
        <v>689</v>
      </c>
      <c r="G3058" s="719"/>
      <c r="H3058" s="719"/>
      <c r="I3058" s="714">
        <f>VLOOKUP(C3044,'Luong VP'!$B$10:$AP$189,30,0)</f>
        <v>0</v>
      </c>
      <c r="J3058" s="714">
        <f>VLOOKUP(C3044,'Luong VP'!$B$10:$AP$189,30,0)</f>
        <v>0</v>
      </c>
    </row>
    <row r="3059" spans="1:12" ht="9.1999999999999993" customHeight="1">
      <c r="A3059" s="712">
        <v>12</v>
      </c>
      <c r="B3059" s="713" t="s">
        <v>691</v>
      </c>
      <c r="C3059" s="714">
        <f>VLOOKUP(C3044,'Luong VP'!$B$10:$AP$189,18,0)</f>
        <v>0</v>
      </c>
      <c r="D3059" s="717"/>
      <c r="E3059" s="710">
        <v>2</v>
      </c>
      <c r="F3059" s="718" t="s">
        <v>239</v>
      </c>
      <c r="G3059" s="718"/>
      <c r="H3059" s="718"/>
      <c r="I3059" s="727"/>
      <c r="J3059" s="728">
        <f>VLOOKUP(C3044,'Luong VP'!$B$10:$AP$189,34,0)</f>
        <v>0</v>
      </c>
      <c r="K3059" s="731"/>
      <c r="L3059" s="715"/>
    </row>
    <row r="3060" spans="1:12" ht="9.1999999999999993" customHeight="1">
      <c r="A3060" s="712">
        <v>13</v>
      </c>
      <c r="B3060" s="713" t="s">
        <v>692</v>
      </c>
      <c r="C3060" s="714">
        <f>VLOOKUP(C3044,'Luong VP'!$B$10:$AP$189,19,0)</f>
        <v>0</v>
      </c>
      <c r="D3060" s="717"/>
      <c r="E3060" s="710">
        <v>3</v>
      </c>
      <c r="F3060" s="716" t="s">
        <v>693</v>
      </c>
      <c r="G3060" s="719"/>
      <c r="H3060" s="719"/>
      <c r="I3060" s="729"/>
      <c r="J3060" s="714">
        <f>VLOOKUP(C3044,'Luong VP'!$B$10:$AP$189,40,0)</f>
        <v>0</v>
      </c>
      <c r="K3060" s="731"/>
      <c r="L3060" s="715"/>
    </row>
    <row r="3061" spans="1:12" ht="9.1999999999999993" customHeight="1">
      <c r="A3061" s="712">
        <v>14</v>
      </c>
      <c r="B3061" s="713" t="s">
        <v>694</v>
      </c>
      <c r="C3061" s="714">
        <f>VLOOKUP(C3044,'Luong VP'!$B$10:$AP$189,20,0)</f>
        <v>0</v>
      </c>
      <c r="D3061" s="717"/>
      <c r="E3061" s="710">
        <v>4</v>
      </c>
      <c r="F3061" s="718" t="s">
        <v>695</v>
      </c>
      <c r="G3061" s="719"/>
      <c r="H3061" s="719"/>
      <c r="I3061" s="729"/>
      <c r="J3061" s="714">
        <f>VLOOKUP(C3044,'Luong VP'!$B$10:$AP$189,35,0)</f>
        <v>0</v>
      </c>
      <c r="K3061" s="732"/>
      <c r="L3061" s="715"/>
    </row>
    <row r="3062" spans="1:12" ht="9.1999999999999993" customHeight="1">
      <c r="A3062" s="712"/>
      <c r="B3062" s="707" t="s">
        <v>656</v>
      </c>
      <c r="C3062" s="714">
        <f>SUM(C3048:C3061)</f>
        <v>26470</v>
      </c>
      <c r="D3062" s="717"/>
      <c r="E3062" s="710"/>
      <c r="F3062" s="716" t="s">
        <v>241</v>
      </c>
      <c r="G3062" s="719"/>
      <c r="H3062" s="719"/>
      <c r="I3062" s="729"/>
      <c r="J3062" s="730">
        <f>SUM(J3049:J3061)+C3056</f>
        <v>27411.153846153848</v>
      </c>
      <c r="K3062" s="731"/>
      <c r="L3062" s="715"/>
    </row>
    <row r="3063" spans="1:12" ht="9.1999999999999993" customHeight="1">
      <c r="B3063" s="720"/>
      <c r="C3063" s="717"/>
      <c r="D3063" s="717"/>
      <c r="E3063" s="710" t="s">
        <v>696</v>
      </c>
      <c r="F3063" s="711" t="s">
        <v>697</v>
      </c>
      <c r="G3063" s="710"/>
      <c r="H3063" s="710"/>
      <c r="I3063" s="729"/>
      <c r="J3063" s="730">
        <f>SUM(J3064:J3066)</f>
        <v>15577.5</v>
      </c>
      <c r="K3063" s="732"/>
      <c r="L3063" s="715"/>
    </row>
    <row r="3064" spans="1:12" ht="9.1999999999999993" customHeight="1">
      <c r="B3064" s="720"/>
      <c r="C3064" s="717"/>
      <c r="D3064" s="717"/>
      <c r="E3064" s="710">
        <v>1</v>
      </c>
      <c r="F3064" s="718" t="s">
        <v>698</v>
      </c>
      <c r="G3064" s="718"/>
      <c r="H3064" s="718"/>
      <c r="I3064" s="733"/>
      <c r="J3064" s="714">
        <f>VLOOKUP(C3044,'Luong VP'!$B$10:$AP$189,37,0)</f>
        <v>577.5</v>
      </c>
      <c r="K3064" s="732"/>
      <c r="L3064" s="715"/>
    </row>
    <row r="3065" spans="1:12" ht="9.1999999999999993" customHeight="1">
      <c r="B3065" s="720"/>
      <c r="C3065" s="717"/>
      <c r="D3065" s="717"/>
      <c r="E3065" s="710">
        <v>2</v>
      </c>
      <c r="F3065" s="718" t="s">
        <v>244</v>
      </c>
      <c r="G3065" s="718"/>
      <c r="H3065" s="718"/>
      <c r="I3065" s="729"/>
      <c r="J3065" s="714">
        <f>VLOOKUP(C3044,'Luong VP'!$B$10:$AP$189,39,0)</f>
        <v>15000</v>
      </c>
      <c r="K3065" s="734"/>
      <c r="L3065" s="735"/>
    </row>
    <row r="3066" spans="1:12" ht="9.1999999999999993" customHeight="1">
      <c r="B3066" s="720"/>
      <c r="C3066" s="717"/>
      <c r="D3066" s="717"/>
      <c r="E3066" s="710"/>
      <c r="F3066" s="718" t="s">
        <v>699</v>
      </c>
      <c r="G3066" s="718"/>
      <c r="H3066" s="718"/>
      <c r="I3066" s="729"/>
      <c r="J3066" s="714"/>
      <c r="K3066" s="714"/>
      <c r="L3066" s="736"/>
    </row>
    <row r="3067" spans="1:12" ht="9.1999999999999993" customHeight="1">
      <c r="B3067" s="720"/>
      <c r="C3067" s="717"/>
      <c r="D3067" s="717"/>
      <c r="E3067" s="710" t="s">
        <v>700</v>
      </c>
      <c r="F3067" s="710" t="s">
        <v>246</v>
      </c>
      <c r="G3067" s="710"/>
      <c r="H3067" s="710"/>
      <c r="I3067" s="729"/>
      <c r="J3067" s="728">
        <f>J3062-J3063</f>
        <v>11833.653846153848</v>
      </c>
      <c r="K3067" s="728">
        <f>ROUND(J3067,-1)</f>
        <v>11830</v>
      </c>
      <c r="L3067" s="710"/>
    </row>
    <row r="3068" spans="1:12" ht="9.1999999999999993" customHeight="1">
      <c r="B3068" s="720"/>
      <c r="C3068" s="717"/>
      <c r="D3068" s="717"/>
      <c r="E3068" s="715"/>
      <c r="F3068" s="715"/>
      <c r="G3068" s="715"/>
      <c r="I3068" s="715" t="s">
        <v>701</v>
      </c>
      <c r="J3068" s="737"/>
      <c r="K3068" s="737"/>
      <c r="L3068" s="715"/>
    </row>
    <row r="3074" spans="1:12" ht="9.1999999999999993" customHeight="1">
      <c r="C3074" s="696"/>
      <c r="D3074" s="696"/>
      <c r="E3074" s="697" t="str">
        <f>$E$2</f>
        <v>THẺ LƯƠNG THÁNG 08/2019</v>
      </c>
      <c r="F3074" s="698"/>
      <c r="G3074" s="698"/>
      <c r="H3074" s="698"/>
    </row>
    <row r="3075" spans="1:12" ht="9.1999999999999993" customHeight="1">
      <c r="B3075" s="699" t="s">
        <v>644</v>
      </c>
      <c r="C3075" s="700" t="s">
        <v>428</v>
      </c>
      <c r="D3075" s="701"/>
      <c r="F3075" s="702" t="s">
        <v>645</v>
      </c>
      <c r="G3075" s="689" t="str">
        <f>VLOOKUP(C3075,'Luong VP'!$B$10:$AP$189,2,0)</f>
        <v xml:space="preserve"> Đào Ngọc Long </v>
      </c>
    </row>
    <row r="3076" spans="1:12" ht="9.1999999999999993" customHeight="1">
      <c r="B3076" s="699" t="s">
        <v>646</v>
      </c>
      <c r="C3076" s="689" t="str">
        <f>VLOOKUP(C3075,'Luong VP'!$B$10:$AP$189,3,0)</f>
        <v>Trưởng BP kế hoạch sản xuất</v>
      </c>
      <c r="F3076" s="702" t="s">
        <v>647</v>
      </c>
      <c r="G3076" s="689">
        <f>VLOOKUP(C3075,'Luong VP'!$B$10:$AP$189,5,0)</f>
        <v>1</v>
      </c>
    </row>
    <row r="3077" spans="1:12" ht="9.1999999999999993" customHeight="1">
      <c r="B3077" s="703"/>
      <c r="C3077" s="704"/>
      <c r="D3077" s="705"/>
      <c r="F3077" s="706" t="s">
        <v>648</v>
      </c>
      <c r="G3077" s="706"/>
      <c r="H3077" s="706"/>
      <c r="I3077" s="725"/>
      <c r="J3077" s="726"/>
    </row>
    <row r="3078" spans="1:12" ht="9.1999999999999993" customHeight="1">
      <c r="A3078" s="707" t="s">
        <v>216</v>
      </c>
      <c r="B3078" s="707" t="s">
        <v>649</v>
      </c>
      <c r="C3078" s="708" t="s">
        <v>650</v>
      </c>
      <c r="D3078" s="709"/>
      <c r="E3078" s="710" t="s">
        <v>216</v>
      </c>
      <c r="F3078" s="711" t="s">
        <v>649</v>
      </c>
      <c r="G3078" s="710"/>
      <c r="H3078" s="710" t="s">
        <v>651</v>
      </c>
      <c r="I3078" s="727" t="s">
        <v>652</v>
      </c>
      <c r="J3078" s="714"/>
      <c r="L3078" s="694" t="s">
        <v>653</v>
      </c>
    </row>
    <row r="3079" spans="1:12" ht="9.1999999999999993" customHeight="1">
      <c r="A3079" s="712">
        <v>1</v>
      </c>
      <c r="B3079" s="713" t="s">
        <v>654</v>
      </c>
      <c r="C3079" s="714">
        <f>VLOOKUP(C3075,'Luong VP'!$B$10:$AP$189,9,0)</f>
        <v>11370</v>
      </c>
      <c r="D3079" s="715"/>
      <c r="E3079" s="710" t="s">
        <v>655</v>
      </c>
      <c r="F3079" s="716" t="s">
        <v>656</v>
      </c>
      <c r="G3079" s="710"/>
      <c r="H3079" s="710"/>
      <c r="I3079" s="727"/>
      <c r="J3079" s="714">
        <f>VLOOKUP(C3075,'Luong VP'!$B$10:$AP$189,21,0)</f>
        <v>12411.1</v>
      </c>
    </row>
    <row r="3080" spans="1:12" ht="9.1999999999999993" customHeight="1">
      <c r="A3080" s="712">
        <v>2</v>
      </c>
      <c r="B3080" s="713" t="s">
        <v>658</v>
      </c>
      <c r="C3080" s="714"/>
      <c r="D3080" s="717"/>
      <c r="E3080" s="710">
        <v>1</v>
      </c>
      <c r="F3080" s="718" t="s">
        <v>659</v>
      </c>
      <c r="G3080" s="718"/>
      <c r="H3080" s="710" t="s">
        <v>660</v>
      </c>
      <c r="I3080" s="727">
        <f>VLOOKUP(C3075,'Luong VP'!$B$10:$AP$189,22,0)</f>
        <v>26</v>
      </c>
      <c r="J3080" s="728">
        <f>J3079/'Cham cong'!$AS$3*I3080</f>
        <v>12411.1</v>
      </c>
    </row>
    <row r="3081" spans="1:12" ht="9.1999999999999993" customHeight="1">
      <c r="A3081" s="712">
        <v>3</v>
      </c>
      <c r="B3081" s="713" t="s">
        <v>661</v>
      </c>
      <c r="C3081" s="714">
        <f>VLOOKUP(C3075,'Luong VP'!$B$10:$AP$189,10,0)</f>
        <v>0</v>
      </c>
      <c r="D3081" s="717"/>
      <c r="E3081" s="710">
        <v>2</v>
      </c>
      <c r="F3081" s="718" t="s">
        <v>662</v>
      </c>
      <c r="G3081" s="718"/>
      <c r="H3081" s="710" t="s">
        <v>660</v>
      </c>
      <c r="I3081" s="727">
        <f>VLOOKUP(C3075,'Luong VP'!$B$10:$AP$189,27,0)</f>
        <v>0</v>
      </c>
      <c r="J3081" s="728">
        <f>J3079/'Cham cong'!$AS$3*I3081*3</f>
        <v>0</v>
      </c>
    </row>
    <row r="3082" spans="1:12" ht="9.1999999999999993" customHeight="1">
      <c r="A3082" s="712">
        <v>4</v>
      </c>
      <c r="B3082" s="713" t="s">
        <v>666</v>
      </c>
      <c r="C3082" s="714">
        <f>VLOOKUP(C3075,'Luong VP'!$B$10:$AP$189,11,0)</f>
        <v>500</v>
      </c>
      <c r="D3082" s="717"/>
      <c r="E3082" s="710">
        <v>3</v>
      </c>
      <c r="F3082" s="718" t="s">
        <v>667</v>
      </c>
      <c r="G3082" s="718"/>
      <c r="H3082" s="710" t="s">
        <v>668</v>
      </c>
      <c r="I3082" s="727">
        <f>VLOOKUP(C3075,'Luong VP'!$B$10:$AP$189,26,0)</f>
        <v>0</v>
      </c>
      <c r="J3082" s="728">
        <f>J3079/'Cham cong'!$AS$3*I3082/8*1.5</f>
        <v>0</v>
      </c>
    </row>
    <row r="3083" spans="1:12" ht="9.1999999999999993" customHeight="1">
      <c r="A3083" s="712">
        <v>5</v>
      </c>
      <c r="B3083" s="713" t="s">
        <v>670</v>
      </c>
      <c r="C3083" s="714">
        <f>VLOOKUP(C3075,'Luong VP'!$B$10:$AP$189,12,0)</f>
        <v>341.09999999999997</v>
      </c>
      <c r="D3083" s="717"/>
      <c r="E3083" s="710">
        <v>4</v>
      </c>
      <c r="F3083" s="718" t="s">
        <v>671</v>
      </c>
      <c r="G3083" s="718"/>
      <c r="H3083" s="710" t="s">
        <v>668</v>
      </c>
      <c r="I3083" s="727">
        <f>VLOOKUP(C3075,'Luong VP'!$B$10:$AP$189,25,0)</f>
        <v>13.2</v>
      </c>
      <c r="J3083" s="728">
        <f>J3079/'Cham cong'!$AS$3*I3083/8*2</f>
        <v>1575.2549999999999</v>
      </c>
    </row>
    <row r="3084" spans="1:12" ht="9.1999999999999993" customHeight="1">
      <c r="A3084" s="712">
        <v>6</v>
      </c>
      <c r="B3084" s="713" t="s">
        <v>673</v>
      </c>
      <c r="C3084" s="714">
        <f>VLOOKUP(C3075,'Luong VP'!$B$10:$AP$189,13,0)</f>
        <v>0</v>
      </c>
      <c r="D3084" s="717"/>
      <c r="E3084" s="710">
        <v>5</v>
      </c>
      <c r="F3084" s="718" t="s">
        <v>674</v>
      </c>
      <c r="G3084" s="718"/>
      <c r="H3084" s="710" t="s">
        <v>660</v>
      </c>
      <c r="I3084" s="727">
        <f>VLOOKUP(C3075,'Luong VP'!$B$10:$AP$189,23,0)</f>
        <v>0</v>
      </c>
      <c r="J3084" s="728">
        <f>C3079/'Cham cong'!$AS$3*I3084</f>
        <v>0</v>
      </c>
      <c r="L3084" s="694" t="str">
        <f>G3075</f>
        <v xml:space="preserve"> Đào Ngọc Long </v>
      </c>
    </row>
    <row r="3085" spans="1:12" ht="9.1999999999999993" customHeight="1">
      <c r="A3085" s="712">
        <v>7</v>
      </c>
      <c r="B3085" s="713" t="s">
        <v>676</v>
      </c>
      <c r="C3085" s="714"/>
      <c r="D3085" s="717"/>
      <c r="E3085" s="710">
        <v>6</v>
      </c>
      <c r="F3085" s="718" t="s">
        <v>677</v>
      </c>
      <c r="G3085" s="718"/>
      <c r="H3085" s="710" t="s">
        <v>660</v>
      </c>
      <c r="I3085" s="727">
        <f>VLOOKUP(C3075,'Luong VP'!$B$10:$AP$189,24,0)</f>
        <v>1</v>
      </c>
      <c r="J3085" s="714">
        <f>C3079/'Cham cong'!$AS$3*I3085</f>
        <v>437.30769230769232</v>
      </c>
    </row>
    <row r="3086" spans="1:12" ht="9.1999999999999993" customHeight="1">
      <c r="A3086" s="712">
        <v>8</v>
      </c>
      <c r="B3086" s="713" t="s">
        <v>679</v>
      </c>
      <c r="C3086" s="714">
        <f>VLOOKUP(C3075,'Luong VP'!$B$10:$AP$189,14,0)</f>
        <v>200</v>
      </c>
      <c r="D3086" s="717"/>
      <c r="E3086" s="710">
        <v>7</v>
      </c>
      <c r="F3086" s="718" t="s">
        <v>680</v>
      </c>
      <c r="G3086" s="718"/>
      <c r="H3086" s="718"/>
      <c r="I3086" s="729"/>
      <c r="J3086" s="714">
        <f>VLOOKUP(C3075,'Luong VP'!$B$10:$AP$189,28,0)</f>
        <v>0</v>
      </c>
    </row>
    <row r="3087" spans="1:12" ht="9.1999999999999993" customHeight="1">
      <c r="A3087" s="712">
        <v>9</v>
      </c>
      <c r="B3087" s="713" t="s">
        <v>683</v>
      </c>
      <c r="C3087" s="714">
        <f>VLOOKUP(C3075,'Luong VP'!$B$10:$AP$189,15,0)</f>
        <v>300</v>
      </c>
      <c r="D3087" s="717"/>
      <c r="E3087" s="710">
        <v>8</v>
      </c>
      <c r="F3087" s="718" t="s">
        <v>238</v>
      </c>
      <c r="G3087" s="718"/>
      <c r="H3087" s="780"/>
      <c r="I3087" s="803"/>
      <c r="J3087" s="804"/>
    </row>
    <row r="3088" spans="1:12" ht="9.1999999999999993" customHeight="1">
      <c r="A3088" s="712">
        <v>10</v>
      </c>
      <c r="B3088" s="713" t="s">
        <v>685</v>
      </c>
      <c r="C3088" s="714">
        <f>VLOOKUP(C3075,'Luong VP'!$B$10:$AP$189,16,0)</f>
        <v>0</v>
      </c>
      <c r="D3088" s="717"/>
      <c r="E3088" s="710" t="s">
        <v>686</v>
      </c>
      <c r="F3088" s="716" t="s">
        <v>687</v>
      </c>
      <c r="G3088" s="719"/>
      <c r="H3088" s="719"/>
      <c r="I3088" s="729"/>
      <c r="J3088" s="730"/>
    </row>
    <row r="3089" spans="1:12" ht="9.1999999999999993" customHeight="1">
      <c r="A3089" s="712">
        <v>11</v>
      </c>
      <c r="B3089" s="713" t="s">
        <v>688</v>
      </c>
      <c r="C3089" s="714">
        <f>VLOOKUP(C3075,'Luong VP'!$B$10:$AP$189,17,0)</f>
        <v>0</v>
      </c>
      <c r="D3089" s="717"/>
      <c r="E3089" s="710">
        <v>1</v>
      </c>
      <c r="F3089" s="716" t="s">
        <v>689</v>
      </c>
      <c r="G3089" s="719"/>
      <c r="H3089" s="719"/>
      <c r="I3089" s="714">
        <f>VLOOKUP(C3075,'Luong VP'!$B$10:$AP$189,30,0)</f>
        <v>0</v>
      </c>
      <c r="J3089" s="714">
        <f>VLOOKUP(C3075,'Luong VP'!$B$10:$AP$189,30,0)</f>
        <v>0</v>
      </c>
    </row>
    <row r="3090" spans="1:12" ht="9.1999999999999993" customHeight="1">
      <c r="A3090" s="712">
        <v>12</v>
      </c>
      <c r="B3090" s="713" t="s">
        <v>691</v>
      </c>
      <c r="C3090" s="714">
        <f>VLOOKUP(C3075,'Luong VP'!$B$10:$AP$189,18,0)</f>
        <v>0</v>
      </c>
      <c r="D3090" s="717"/>
      <c r="E3090" s="710">
        <v>2</v>
      </c>
      <c r="F3090" s="718" t="s">
        <v>239</v>
      </c>
      <c r="G3090" s="718"/>
      <c r="H3090" s="718"/>
      <c r="I3090" s="727"/>
      <c r="J3090" s="728">
        <f>VLOOKUP(C3075,'Luong VP'!$B$10:$AP$189,34,0)</f>
        <v>0</v>
      </c>
      <c r="K3090" s="731"/>
      <c r="L3090" s="715"/>
    </row>
    <row r="3091" spans="1:12" ht="9.1999999999999993" customHeight="1">
      <c r="A3091" s="712">
        <v>13</v>
      </c>
      <c r="B3091" s="713" t="s">
        <v>692</v>
      </c>
      <c r="C3091" s="714">
        <f>VLOOKUP(C3075,'Luong VP'!$B$10:$AP$189,19,0)</f>
        <v>0</v>
      </c>
      <c r="D3091" s="717"/>
      <c r="E3091" s="710">
        <v>3</v>
      </c>
      <c r="F3091" s="716" t="s">
        <v>693</v>
      </c>
      <c r="G3091" s="719"/>
      <c r="H3091" s="719"/>
      <c r="I3091" s="729"/>
      <c r="J3091" s="714">
        <f>VLOOKUP(C3075,'Luong VP'!$B$10:$AP$189,40,0)</f>
        <v>0</v>
      </c>
      <c r="K3091" s="731"/>
      <c r="L3091" s="715"/>
    </row>
    <row r="3092" spans="1:12" ht="9.1999999999999993" customHeight="1">
      <c r="A3092" s="712">
        <v>14</v>
      </c>
      <c r="B3092" s="713" t="s">
        <v>694</v>
      </c>
      <c r="C3092" s="714">
        <f>VLOOKUP(C3075,'Luong VP'!$B$10:$AP$189,20,0)</f>
        <v>0</v>
      </c>
      <c r="D3092" s="717"/>
      <c r="E3092" s="710">
        <v>4</v>
      </c>
      <c r="F3092" s="718" t="s">
        <v>695</v>
      </c>
      <c r="G3092" s="719"/>
      <c r="H3092" s="719"/>
      <c r="I3092" s="729"/>
      <c r="J3092" s="714">
        <f>VLOOKUP(C3075,'Luong VP'!$B$10:$AP$189,35,0)</f>
        <v>0</v>
      </c>
      <c r="K3092" s="732"/>
      <c r="L3092" s="715"/>
    </row>
    <row r="3093" spans="1:12" ht="9.1999999999999993" customHeight="1">
      <c r="A3093" s="712"/>
      <c r="B3093" s="707" t="s">
        <v>656</v>
      </c>
      <c r="C3093" s="714">
        <f>SUM(C3079:C3092)</f>
        <v>12711.1</v>
      </c>
      <c r="D3093" s="717"/>
      <c r="E3093" s="710"/>
      <c r="F3093" s="716" t="s">
        <v>241</v>
      </c>
      <c r="G3093" s="719"/>
      <c r="H3093" s="719"/>
      <c r="I3093" s="729"/>
      <c r="J3093" s="730">
        <f>SUM(J3080:J3092)+C3087</f>
        <v>14723.662692307691</v>
      </c>
      <c r="K3093" s="731"/>
      <c r="L3093" s="715"/>
    </row>
    <row r="3094" spans="1:12" ht="9.1999999999999993" customHeight="1">
      <c r="B3094" s="720"/>
      <c r="C3094" s="717"/>
      <c r="D3094" s="717"/>
      <c r="E3094" s="710" t="s">
        <v>696</v>
      </c>
      <c r="F3094" s="711" t="s">
        <v>697</v>
      </c>
      <c r="G3094" s="710"/>
      <c r="H3094" s="710"/>
      <c r="I3094" s="729"/>
      <c r="J3094" s="730">
        <f>SUM(J3095:J3097)</f>
        <v>2535.5</v>
      </c>
      <c r="K3094" s="732"/>
      <c r="L3094" s="715"/>
    </row>
    <row r="3095" spans="1:12" ht="9.1999999999999993" customHeight="1">
      <c r="B3095" s="720"/>
      <c r="C3095" s="717"/>
      <c r="D3095" s="717"/>
      <c r="E3095" s="710">
        <v>1</v>
      </c>
      <c r="F3095" s="718" t="s">
        <v>698</v>
      </c>
      <c r="G3095" s="718"/>
      <c r="H3095" s="718"/>
      <c r="I3095" s="733"/>
      <c r="J3095" s="714">
        <f>VLOOKUP(C3075,'Luong VP'!$B$10:$AP$189,37,0)</f>
        <v>535.5</v>
      </c>
      <c r="K3095" s="732"/>
      <c r="L3095" s="715"/>
    </row>
    <row r="3096" spans="1:12" ht="9.1999999999999993" customHeight="1">
      <c r="B3096" s="720"/>
      <c r="C3096" s="717"/>
      <c r="D3096" s="717"/>
      <c r="E3096" s="710">
        <v>2</v>
      </c>
      <c r="F3096" s="718" t="s">
        <v>244</v>
      </c>
      <c r="G3096" s="718"/>
      <c r="H3096" s="718"/>
      <c r="I3096" s="729"/>
      <c r="J3096" s="714">
        <f>VLOOKUP(C3075,'Luong VP'!$B$10:$AP$189,39,0)</f>
        <v>2000</v>
      </c>
      <c r="K3096" s="734"/>
      <c r="L3096" s="735"/>
    </row>
    <row r="3097" spans="1:12" ht="9.1999999999999993" customHeight="1">
      <c r="B3097" s="720"/>
      <c r="C3097" s="717"/>
      <c r="D3097" s="717"/>
      <c r="E3097" s="710"/>
      <c r="F3097" s="718" t="s">
        <v>699</v>
      </c>
      <c r="G3097" s="718"/>
      <c r="H3097" s="718"/>
      <c r="I3097" s="729"/>
      <c r="J3097" s="714"/>
      <c r="K3097" s="714"/>
      <c r="L3097" s="736"/>
    </row>
    <row r="3098" spans="1:12" ht="9.1999999999999993" customHeight="1">
      <c r="B3098" s="720"/>
      <c r="C3098" s="717"/>
      <c r="D3098" s="717"/>
      <c r="E3098" s="710" t="s">
        <v>700</v>
      </c>
      <c r="F3098" s="710" t="s">
        <v>246</v>
      </c>
      <c r="G3098" s="710"/>
      <c r="H3098" s="710"/>
      <c r="I3098" s="729"/>
      <c r="J3098" s="728">
        <f>J3093-J3094</f>
        <v>12188.162692307691</v>
      </c>
      <c r="K3098" s="728">
        <f>ROUND(J3098,-1)</f>
        <v>12190</v>
      </c>
      <c r="L3098" s="710"/>
    </row>
    <row r="3099" spans="1:12" ht="9.1999999999999993" customHeight="1">
      <c r="B3099" s="720"/>
      <c r="C3099" s="717"/>
      <c r="D3099" s="717"/>
      <c r="E3099" s="715"/>
      <c r="F3099" s="715"/>
      <c r="G3099" s="715"/>
      <c r="I3099" s="715" t="s">
        <v>701</v>
      </c>
      <c r="J3099" s="737"/>
      <c r="K3099" s="737"/>
      <c r="L3099" s="715"/>
    </row>
    <row r="3104" spans="1:12" ht="9.1999999999999993" customHeight="1">
      <c r="C3104" s="696"/>
      <c r="D3104" s="696"/>
      <c r="E3104" s="697" t="str">
        <f>$E$2</f>
        <v>THẺ LƯƠNG THÁNG 08/2019</v>
      </c>
      <c r="F3104" s="698"/>
      <c r="G3104" s="698"/>
      <c r="H3104" s="698"/>
    </row>
    <row r="3105" spans="1:12" ht="9.1999999999999993" customHeight="1">
      <c r="B3105" s="699" t="s">
        <v>644</v>
      </c>
      <c r="C3105" s="700" t="s">
        <v>477</v>
      </c>
      <c r="D3105" s="701"/>
      <c r="F3105" s="702" t="s">
        <v>645</v>
      </c>
      <c r="G3105" s="689" t="str">
        <f>VLOOKUP(C3105,'Luong VP'!$B$10:$AP$189,2,0)</f>
        <v>Mai Thanh Điền</v>
      </c>
    </row>
    <row r="3106" spans="1:12" ht="9.1999999999999993" customHeight="1">
      <c r="B3106" s="699" t="s">
        <v>646</v>
      </c>
      <c r="C3106" s="689" t="str">
        <f>VLOOKUP(C3105,'Luong VP'!$B$10:$AP$189,3,0)</f>
        <v xml:space="preserve">NV thống kê ĐS - PB nguyên liệu </v>
      </c>
      <c r="F3106" s="702" t="s">
        <v>647</v>
      </c>
      <c r="G3106" s="689">
        <f>VLOOKUP(C3105,'Luong VP'!$B$10:$AP$189,5,0)</f>
        <v>1</v>
      </c>
    </row>
    <row r="3107" spans="1:12" ht="9.1999999999999993" customHeight="1">
      <c r="B3107" s="703"/>
      <c r="C3107" s="704"/>
      <c r="D3107" s="705"/>
      <c r="F3107" s="706" t="s">
        <v>648</v>
      </c>
      <c r="G3107" s="706"/>
      <c r="H3107" s="706"/>
      <c r="I3107" s="725"/>
      <c r="J3107" s="726"/>
    </row>
    <row r="3108" spans="1:12" ht="9.1999999999999993" customHeight="1">
      <c r="A3108" s="707" t="s">
        <v>216</v>
      </c>
      <c r="B3108" s="707" t="s">
        <v>649</v>
      </c>
      <c r="C3108" s="708" t="s">
        <v>650</v>
      </c>
      <c r="D3108" s="709"/>
      <c r="E3108" s="710" t="s">
        <v>216</v>
      </c>
      <c r="F3108" s="711" t="s">
        <v>649</v>
      </c>
      <c r="G3108" s="710"/>
      <c r="H3108" s="710" t="s">
        <v>651</v>
      </c>
      <c r="I3108" s="727" t="s">
        <v>652</v>
      </c>
      <c r="J3108" s="714"/>
      <c r="L3108" s="694" t="s">
        <v>653</v>
      </c>
    </row>
    <row r="3109" spans="1:12" ht="9.1999999999999993" customHeight="1">
      <c r="A3109" s="712">
        <v>1</v>
      </c>
      <c r="B3109" s="713" t="s">
        <v>654</v>
      </c>
      <c r="C3109" s="714">
        <f>VLOOKUP(C3105,'Luong VP'!$B$10:$AP$189,9,0)</f>
        <v>7840</v>
      </c>
      <c r="D3109" s="715"/>
      <c r="E3109" s="710" t="s">
        <v>655</v>
      </c>
      <c r="F3109" s="716" t="s">
        <v>656</v>
      </c>
      <c r="G3109" s="710"/>
      <c r="H3109" s="710"/>
      <c r="I3109" s="727"/>
      <c r="J3109" s="714">
        <f>VLOOKUP(C3105,'Luong VP'!$B$10:$AP$189,21,0)</f>
        <v>7840</v>
      </c>
    </row>
    <row r="3110" spans="1:12" ht="9.1999999999999993" customHeight="1">
      <c r="A3110" s="712">
        <v>2</v>
      </c>
      <c r="B3110" s="713" t="s">
        <v>658</v>
      </c>
      <c r="C3110" s="714"/>
      <c r="D3110" s="717"/>
      <c r="E3110" s="710">
        <v>1</v>
      </c>
      <c r="F3110" s="718" t="s">
        <v>659</v>
      </c>
      <c r="G3110" s="718"/>
      <c r="H3110" s="710" t="s">
        <v>660</v>
      </c>
      <c r="I3110" s="727">
        <f>VLOOKUP(C3105,'Luong VP'!$B$10:$AP$189,22,0)</f>
        <v>26</v>
      </c>
      <c r="J3110" s="728">
        <f>J3109/'Cham cong'!$AS$3*I3110</f>
        <v>7840</v>
      </c>
    </row>
    <row r="3111" spans="1:12" ht="9.1999999999999993" customHeight="1">
      <c r="A3111" s="712">
        <v>3</v>
      </c>
      <c r="B3111" s="713" t="s">
        <v>661</v>
      </c>
      <c r="C3111" s="714">
        <f>VLOOKUP(C3105,'Luong VP'!$B$10:$AP$189,10,0)</f>
        <v>0</v>
      </c>
      <c r="D3111" s="717"/>
      <c r="E3111" s="710">
        <v>2</v>
      </c>
      <c r="F3111" s="718" t="s">
        <v>662</v>
      </c>
      <c r="G3111" s="718"/>
      <c r="H3111" s="710" t="s">
        <v>660</v>
      </c>
      <c r="I3111" s="727">
        <f>VLOOKUP(C3105,'Luong VP'!$B$10:$AP$189,27,0)</f>
        <v>0</v>
      </c>
      <c r="J3111" s="728">
        <f>J3109/'Cham cong'!$AS$3*I3111*3</f>
        <v>0</v>
      </c>
    </row>
    <row r="3112" spans="1:12" ht="9.1999999999999993" customHeight="1">
      <c r="A3112" s="712">
        <v>4</v>
      </c>
      <c r="B3112" s="713" t="s">
        <v>666</v>
      </c>
      <c r="C3112" s="714">
        <f>VLOOKUP(C3105,'Luong VP'!$B$10:$AP$189,11,0)</f>
        <v>0</v>
      </c>
      <c r="D3112" s="717"/>
      <c r="E3112" s="710">
        <v>3</v>
      </c>
      <c r="F3112" s="718" t="s">
        <v>667</v>
      </c>
      <c r="G3112" s="718"/>
      <c r="H3112" s="710" t="s">
        <v>668</v>
      </c>
      <c r="I3112" s="727">
        <f>VLOOKUP(C3105,'Luong VP'!$B$10:$AP$189,26,0)</f>
        <v>55.5</v>
      </c>
      <c r="J3112" s="728">
        <f>J3109/'Cham cong'!$AS$3*I3112/8*1.5</f>
        <v>3137.8846153846157</v>
      </c>
    </row>
    <row r="3113" spans="1:12" ht="9.1999999999999993" customHeight="1">
      <c r="A3113" s="712">
        <v>5</v>
      </c>
      <c r="B3113" s="713" t="s">
        <v>670</v>
      </c>
      <c r="C3113" s="714">
        <f>VLOOKUP(C3105,'Luong VP'!$B$10:$AP$189,12,0)</f>
        <v>0</v>
      </c>
      <c r="D3113" s="717"/>
      <c r="E3113" s="710">
        <v>4</v>
      </c>
      <c r="F3113" s="718" t="s">
        <v>671</v>
      </c>
      <c r="G3113" s="718"/>
      <c r="H3113" s="710" t="s">
        <v>668</v>
      </c>
      <c r="I3113" s="727">
        <f>VLOOKUP(C3105,'Luong VP'!$B$10:$AP$189,25,0)</f>
        <v>25</v>
      </c>
      <c r="J3113" s="728">
        <f>J3109/'Cham cong'!$AS$3*I3113/8*2</f>
        <v>1884.6153846153848</v>
      </c>
    </row>
    <row r="3114" spans="1:12" ht="9.1999999999999993" customHeight="1">
      <c r="A3114" s="712">
        <v>6</v>
      </c>
      <c r="B3114" s="713" t="s">
        <v>673</v>
      </c>
      <c r="C3114" s="714">
        <f>VLOOKUP(C3105,'Luong VP'!$B$10:$AP$189,13,0)</f>
        <v>0</v>
      </c>
      <c r="D3114" s="717"/>
      <c r="E3114" s="710">
        <v>5</v>
      </c>
      <c r="F3114" s="718" t="s">
        <v>674</v>
      </c>
      <c r="G3114" s="718"/>
      <c r="H3114" s="710" t="s">
        <v>660</v>
      </c>
      <c r="I3114" s="727">
        <f>VLOOKUP(C3105,'Luong VP'!$B$10:$AP$189,23,0)</f>
        <v>0</v>
      </c>
      <c r="J3114" s="728">
        <f>C3109/'Cham cong'!$AS$3*I3114</f>
        <v>0</v>
      </c>
      <c r="L3114" s="694" t="str">
        <f>G3105</f>
        <v>Mai Thanh Điền</v>
      </c>
    </row>
    <row r="3115" spans="1:12" ht="9.1999999999999993" customHeight="1">
      <c r="A3115" s="712">
        <v>7</v>
      </c>
      <c r="B3115" s="713" t="s">
        <v>676</v>
      </c>
      <c r="C3115" s="714"/>
      <c r="D3115" s="717"/>
      <c r="E3115" s="710">
        <v>6</v>
      </c>
      <c r="F3115" s="718" t="s">
        <v>677</v>
      </c>
      <c r="G3115" s="718"/>
      <c r="H3115" s="710" t="s">
        <v>660</v>
      </c>
      <c r="I3115" s="727">
        <f>VLOOKUP(C3105,'Luong VP'!$B$10:$AP$189,24,0)</f>
        <v>1</v>
      </c>
      <c r="J3115" s="714">
        <f>C3109/'Cham cong'!$AS$3*I3115</f>
        <v>301.53846153846155</v>
      </c>
    </row>
    <row r="3116" spans="1:12" ht="9.1999999999999993" customHeight="1">
      <c r="A3116" s="712">
        <v>8</v>
      </c>
      <c r="B3116" s="713" t="s">
        <v>679</v>
      </c>
      <c r="C3116" s="714">
        <f>VLOOKUP(C3105,'Luong VP'!$B$10:$AP$189,14,0)</f>
        <v>0</v>
      </c>
      <c r="D3116" s="717"/>
      <c r="E3116" s="710">
        <v>7</v>
      </c>
      <c r="F3116" s="718" t="s">
        <v>680</v>
      </c>
      <c r="G3116" s="718"/>
      <c r="H3116" s="718"/>
      <c r="I3116" s="729"/>
      <c r="J3116" s="714">
        <f>VLOOKUP(C3105,'Luong VP'!$B$10:$AP$189,28,0)</f>
        <v>0</v>
      </c>
    </row>
    <row r="3117" spans="1:12" ht="9.1999999999999993" customHeight="1">
      <c r="A3117" s="712">
        <v>9</v>
      </c>
      <c r="B3117" s="713" t="s">
        <v>683</v>
      </c>
      <c r="C3117" s="714">
        <f>VLOOKUP(C3105,'Luong VP'!$B$10:$AP$189,15,0)</f>
        <v>0</v>
      </c>
      <c r="D3117" s="717"/>
      <c r="E3117" s="710">
        <v>8</v>
      </c>
      <c r="F3117" s="718" t="s">
        <v>238</v>
      </c>
      <c r="G3117" s="718"/>
      <c r="H3117" s="718"/>
      <c r="I3117" s="729"/>
      <c r="J3117" s="714">
        <f>VLOOKUP(C3105,'Luong VP'!$B$10:$AP$189,33,0)</f>
        <v>0</v>
      </c>
    </row>
    <row r="3118" spans="1:12" ht="9.1999999999999993" customHeight="1">
      <c r="A3118" s="712">
        <v>10</v>
      </c>
      <c r="B3118" s="713" t="s">
        <v>685</v>
      </c>
      <c r="C3118" s="714">
        <f>VLOOKUP(C3105,'Luong VP'!$B$10:$AP$189,16,0)</f>
        <v>0</v>
      </c>
      <c r="D3118" s="717"/>
      <c r="E3118" s="710" t="s">
        <v>686</v>
      </c>
      <c r="F3118" s="716" t="s">
        <v>687</v>
      </c>
      <c r="G3118" s="719"/>
      <c r="H3118" s="719"/>
      <c r="I3118" s="729"/>
      <c r="J3118" s="730"/>
    </row>
    <row r="3119" spans="1:12" ht="9.1999999999999993" customHeight="1">
      <c r="A3119" s="712">
        <v>11</v>
      </c>
      <c r="B3119" s="713" t="s">
        <v>688</v>
      </c>
      <c r="C3119" s="714">
        <f>VLOOKUP(C3105,'Luong VP'!$B$10:$AP$189,17,0)</f>
        <v>0</v>
      </c>
      <c r="D3119" s="717"/>
      <c r="E3119" s="710">
        <v>1</v>
      </c>
      <c r="F3119" s="716" t="s">
        <v>689</v>
      </c>
      <c r="G3119" s="719"/>
      <c r="H3119" s="719"/>
      <c r="I3119" s="714">
        <f>VLOOKUP(C3105,'Luong VP'!$B$10:$AP$189,30,0)</f>
        <v>0</v>
      </c>
      <c r="J3119" s="714">
        <f>VLOOKUP(C3105,'Luong VP'!$B$10:$AP$189,30,0)</f>
        <v>0</v>
      </c>
    </row>
    <row r="3120" spans="1:12" ht="9.1999999999999993" customHeight="1">
      <c r="A3120" s="712">
        <v>12</v>
      </c>
      <c r="B3120" s="713" t="s">
        <v>691</v>
      </c>
      <c r="C3120" s="714">
        <f>VLOOKUP(C3105,'Luong VP'!$B$10:$AP$189,18,0)</f>
        <v>0</v>
      </c>
      <c r="D3120" s="717"/>
      <c r="E3120" s="710">
        <v>2</v>
      </c>
      <c r="F3120" s="718" t="s">
        <v>239</v>
      </c>
      <c r="G3120" s="718"/>
      <c r="H3120" s="718"/>
      <c r="I3120" s="727"/>
      <c r="J3120" s="728">
        <f>VLOOKUP(C3105,'Luong VP'!$B$10:$AP$189,34,0)</f>
        <v>0</v>
      </c>
      <c r="K3120" s="731"/>
      <c r="L3120" s="715"/>
    </row>
    <row r="3121" spans="1:12" ht="9.1999999999999993" customHeight="1">
      <c r="A3121" s="712">
        <v>13</v>
      </c>
      <c r="B3121" s="713" t="s">
        <v>692</v>
      </c>
      <c r="C3121" s="714">
        <f>VLOOKUP(C3105,'Luong VP'!$B$10:$AP$189,19,0)</f>
        <v>0</v>
      </c>
      <c r="D3121" s="717"/>
      <c r="E3121" s="710">
        <v>3</v>
      </c>
      <c r="F3121" s="716" t="s">
        <v>693</v>
      </c>
      <c r="G3121" s="719"/>
      <c r="H3121" s="719"/>
      <c r="I3121" s="729"/>
      <c r="J3121" s="714">
        <f>VLOOKUP(C3105,'Luong VP'!$B$10:$AP$189,40,0)</f>
        <v>0</v>
      </c>
      <c r="K3121" s="731"/>
      <c r="L3121" s="715"/>
    </row>
    <row r="3122" spans="1:12" ht="9.1999999999999993" customHeight="1">
      <c r="A3122" s="712">
        <v>14</v>
      </c>
      <c r="B3122" s="713" t="s">
        <v>694</v>
      </c>
      <c r="C3122" s="714">
        <f>VLOOKUP(C3105,'Luong VP'!$B$10:$AP$189,20,0)</f>
        <v>0</v>
      </c>
      <c r="D3122" s="717"/>
      <c r="E3122" s="710">
        <v>4</v>
      </c>
      <c r="F3122" s="718" t="s">
        <v>695</v>
      </c>
      <c r="G3122" s="719"/>
      <c r="H3122" s="719"/>
      <c r="I3122" s="729"/>
      <c r="J3122" s="714">
        <f>VLOOKUP(C3105,'Luong VP'!$B$10:$AP$189,35,0)</f>
        <v>0</v>
      </c>
      <c r="K3122" s="732"/>
      <c r="L3122" s="715"/>
    </row>
    <row r="3123" spans="1:12" ht="9.1999999999999993" customHeight="1">
      <c r="A3123" s="712"/>
      <c r="B3123" s="707" t="s">
        <v>656</v>
      </c>
      <c r="C3123" s="714">
        <f>SUM(C3109:C3122)</f>
        <v>7840</v>
      </c>
      <c r="D3123" s="717"/>
      <c r="E3123" s="710"/>
      <c r="F3123" s="716" t="s">
        <v>241</v>
      </c>
      <c r="G3123" s="719"/>
      <c r="H3123" s="719"/>
      <c r="I3123" s="729"/>
      <c r="J3123" s="730">
        <f>SUM(J3110:J3122)+C3117</f>
        <v>13164.038461538461</v>
      </c>
      <c r="K3123" s="731"/>
      <c r="L3123" s="715"/>
    </row>
    <row r="3124" spans="1:12" ht="9.1999999999999993" customHeight="1">
      <c r="B3124" s="720"/>
      <c r="C3124" s="717"/>
      <c r="D3124" s="717"/>
      <c r="E3124" s="710" t="s">
        <v>696</v>
      </c>
      <c r="F3124" s="711" t="s">
        <v>697</v>
      </c>
      <c r="G3124" s="710"/>
      <c r="H3124" s="710"/>
      <c r="I3124" s="729"/>
      <c r="J3124" s="730">
        <f>SUM(J3125:J3127)</f>
        <v>4504</v>
      </c>
      <c r="K3124" s="732"/>
      <c r="L3124" s="715"/>
    </row>
    <row r="3125" spans="1:12" ht="9.1999999999999993" customHeight="1">
      <c r="B3125" s="720"/>
      <c r="C3125" s="717"/>
      <c r="D3125" s="717"/>
      <c r="E3125" s="710">
        <v>1</v>
      </c>
      <c r="F3125" s="718" t="s">
        <v>698</v>
      </c>
      <c r="G3125" s="718"/>
      <c r="H3125" s="718"/>
      <c r="I3125" s="733"/>
      <c r="J3125" s="714">
        <f>VLOOKUP(C3105,'Luong VP'!$B$10:$AP$189,37,0)</f>
        <v>504</v>
      </c>
      <c r="K3125" s="732"/>
      <c r="L3125" s="715"/>
    </row>
    <row r="3126" spans="1:12" ht="9.1999999999999993" customHeight="1">
      <c r="B3126" s="720"/>
      <c r="C3126" s="717"/>
      <c r="D3126" s="717"/>
      <c r="E3126" s="710">
        <v>2</v>
      </c>
      <c r="F3126" s="718" t="s">
        <v>244</v>
      </c>
      <c r="G3126" s="718"/>
      <c r="H3126" s="718"/>
      <c r="I3126" s="729"/>
      <c r="J3126" s="714">
        <f>VLOOKUP(C3105,'Luong VP'!$B$10:$AP$189,39,0)</f>
        <v>4000</v>
      </c>
      <c r="K3126" s="734"/>
      <c r="L3126" s="735"/>
    </row>
    <row r="3127" spans="1:12" ht="9.1999999999999993" customHeight="1">
      <c r="B3127" s="720"/>
      <c r="C3127" s="717"/>
      <c r="D3127" s="717"/>
      <c r="E3127" s="710"/>
      <c r="F3127" s="718" t="s">
        <v>699</v>
      </c>
      <c r="G3127" s="718"/>
      <c r="H3127" s="718"/>
      <c r="I3127" s="729"/>
      <c r="J3127" s="714"/>
      <c r="K3127" s="714"/>
      <c r="L3127" s="736"/>
    </row>
    <row r="3128" spans="1:12" ht="9.1999999999999993" customHeight="1">
      <c r="B3128" s="720"/>
      <c r="C3128" s="717"/>
      <c r="D3128" s="717"/>
      <c r="E3128" s="710" t="s">
        <v>700</v>
      </c>
      <c r="F3128" s="710" t="s">
        <v>246</v>
      </c>
      <c r="G3128" s="710"/>
      <c r="H3128" s="710"/>
      <c r="I3128" s="729"/>
      <c r="J3128" s="728">
        <f>J3123-J3124</f>
        <v>8660.038461538461</v>
      </c>
      <c r="K3128" s="728">
        <f>ROUND(J3128,-1)</f>
        <v>8660</v>
      </c>
      <c r="L3128" s="710"/>
    </row>
    <row r="3129" spans="1:12" ht="9.1999999999999993" customHeight="1">
      <c r="B3129" s="720"/>
      <c r="C3129" s="717"/>
      <c r="D3129" s="717"/>
      <c r="E3129" s="715"/>
      <c r="F3129" s="715"/>
      <c r="G3129" s="715"/>
      <c r="I3129" s="715" t="s">
        <v>701</v>
      </c>
      <c r="J3129" s="737"/>
      <c r="K3129" s="737"/>
      <c r="L3129" s="715"/>
    </row>
    <row r="3130" spans="1:12" ht="9.1999999999999993" customHeight="1">
      <c r="B3130" s="720"/>
      <c r="C3130" s="717"/>
      <c r="D3130" s="717"/>
      <c r="E3130" s="715"/>
      <c r="F3130" s="715"/>
      <c r="G3130" s="715"/>
      <c r="I3130" s="715"/>
      <c r="J3130" s="737"/>
      <c r="K3130" s="737"/>
      <c r="L3130" s="715"/>
    </row>
    <row r="3135" spans="1:12" ht="9.1999999999999993" customHeight="1">
      <c r="C3135" s="696"/>
      <c r="D3135" s="696"/>
      <c r="E3135" s="697" t="str">
        <f>$E$2</f>
        <v>THẺ LƯƠNG THÁNG 08/2019</v>
      </c>
      <c r="F3135" s="698"/>
      <c r="G3135" s="698"/>
      <c r="H3135" s="698"/>
    </row>
    <row r="3136" spans="1:12" ht="9.1999999999999993" customHeight="1">
      <c r="B3136" s="699" t="s">
        <v>644</v>
      </c>
      <c r="C3136" s="700" t="s">
        <v>475</v>
      </c>
      <c r="D3136" s="701"/>
      <c r="F3136" s="702" t="s">
        <v>645</v>
      </c>
      <c r="G3136" s="689" t="str">
        <f>VLOOKUP(C3136,'Luong VP'!$B$10:$AP$189,2,0)</f>
        <v>Phạm Thành Nhân</v>
      </c>
    </row>
    <row r="3137" spans="1:12" ht="9.1999999999999993" customHeight="1">
      <c r="B3137" s="699" t="s">
        <v>646</v>
      </c>
      <c r="C3137" s="689" t="str">
        <f>VLOOKUP(C3136,'Luong VP'!$B$10:$AP$189,3,0)</f>
        <v>Trưởng BP thống kê sản xuất</v>
      </c>
      <c r="F3137" s="702" t="s">
        <v>647</v>
      </c>
      <c r="G3137" s="689">
        <f>VLOOKUP(C3136,'Luong VP'!$B$10:$AP$189,5,0)</f>
        <v>1</v>
      </c>
    </row>
    <row r="3138" spans="1:12" ht="9.1999999999999993" customHeight="1">
      <c r="B3138" s="703"/>
      <c r="C3138" s="704"/>
      <c r="D3138" s="705"/>
      <c r="F3138" s="706" t="s">
        <v>648</v>
      </c>
      <c r="G3138" s="706"/>
      <c r="H3138" s="706"/>
      <c r="I3138" s="725"/>
      <c r="J3138" s="726"/>
    </row>
    <row r="3139" spans="1:12" ht="9.1999999999999993" customHeight="1">
      <c r="A3139" s="707" t="s">
        <v>216</v>
      </c>
      <c r="B3139" s="707" t="s">
        <v>649</v>
      </c>
      <c r="C3139" s="708" t="s">
        <v>650</v>
      </c>
      <c r="D3139" s="709"/>
      <c r="E3139" s="710" t="s">
        <v>216</v>
      </c>
      <c r="F3139" s="711" t="s">
        <v>649</v>
      </c>
      <c r="G3139" s="710"/>
      <c r="H3139" s="710" t="s">
        <v>651</v>
      </c>
      <c r="I3139" s="727" t="s">
        <v>652</v>
      </c>
      <c r="J3139" s="714"/>
      <c r="L3139" s="694" t="s">
        <v>653</v>
      </c>
    </row>
    <row r="3140" spans="1:12" ht="9.1999999999999993" customHeight="1">
      <c r="A3140" s="712">
        <v>1</v>
      </c>
      <c r="B3140" s="713" t="s">
        <v>654</v>
      </c>
      <c r="C3140" s="714">
        <f>VLOOKUP(C3136,'Luong VP'!$B$10:$AP$189,9,0)</f>
        <v>10380</v>
      </c>
      <c r="D3140" s="715"/>
      <c r="E3140" s="710" t="s">
        <v>655</v>
      </c>
      <c r="F3140" s="716" t="s">
        <v>656</v>
      </c>
      <c r="G3140" s="710"/>
      <c r="H3140" s="710"/>
      <c r="I3140" s="727"/>
      <c r="J3140" s="714">
        <f>VLOOKUP(C3136,'Luong VP'!$B$10:$AP$189,21,0)</f>
        <v>11080</v>
      </c>
    </row>
    <row r="3141" spans="1:12" ht="9.1999999999999993" customHeight="1">
      <c r="A3141" s="712">
        <v>2</v>
      </c>
      <c r="B3141" s="713" t="s">
        <v>658</v>
      </c>
      <c r="C3141" s="714"/>
      <c r="D3141" s="717"/>
      <c r="E3141" s="710">
        <v>1</v>
      </c>
      <c r="F3141" s="718" t="s">
        <v>659</v>
      </c>
      <c r="G3141" s="718"/>
      <c r="H3141" s="710" t="s">
        <v>660</v>
      </c>
      <c r="I3141" s="727">
        <f>VLOOKUP(C3136,'Luong VP'!$B$10:$AP$189,22,0)</f>
        <v>26</v>
      </c>
      <c r="J3141" s="728">
        <f>J3140/'Cham cong'!$AS$3*I3141</f>
        <v>11080</v>
      </c>
    </row>
    <row r="3142" spans="1:12" ht="9.1999999999999993" customHeight="1">
      <c r="A3142" s="712">
        <v>3</v>
      </c>
      <c r="B3142" s="713" t="s">
        <v>661</v>
      </c>
      <c r="C3142" s="714">
        <f>VLOOKUP(C3136,'Luong VP'!$B$10:$AP$189,10,0)</f>
        <v>0</v>
      </c>
      <c r="D3142" s="717"/>
      <c r="E3142" s="710">
        <v>2</v>
      </c>
      <c r="F3142" s="718" t="s">
        <v>662</v>
      </c>
      <c r="G3142" s="718"/>
      <c r="H3142" s="710" t="s">
        <v>660</v>
      </c>
      <c r="I3142" s="727">
        <f>VLOOKUP(C3136,'Luong VP'!$B$10:$AP$189,27,0)</f>
        <v>0</v>
      </c>
      <c r="J3142" s="728">
        <f>J3140/'Cham cong'!$AS$3*I3142*3</f>
        <v>0</v>
      </c>
    </row>
    <row r="3143" spans="1:12" ht="9.1999999999999993" customHeight="1">
      <c r="A3143" s="712">
        <v>4</v>
      </c>
      <c r="B3143" s="713" t="s">
        <v>666</v>
      </c>
      <c r="C3143" s="714">
        <f>VLOOKUP(C3136,'Luong VP'!$B$10:$AP$189,11,0)</f>
        <v>500</v>
      </c>
      <c r="D3143" s="717"/>
      <c r="E3143" s="710">
        <v>3</v>
      </c>
      <c r="F3143" s="718" t="s">
        <v>667</v>
      </c>
      <c r="G3143" s="718"/>
      <c r="H3143" s="710" t="s">
        <v>668</v>
      </c>
      <c r="I3143" s="727">
        <f>VLOOKUP(C3136,'Luong VP'!$B$10:$AP$189,26,0)</f>
        <v>0</v>
      </c>
      <c r="J3143" s="728">
        <f>J3140/'Cham cong'!$AS$3*I3143/8*1.5</f>
        <v>0</v>
      </c>
    </row>
    <row r="3144" spans="1:12" ht="9.1999999999999993" customHeight="1">
      <c r="A3144" s="712">
        <v>5</v>
      </c>
      <c r="B3144" s="713" t="s">
        <v>670</v>
      </c>
      <c r="C3144" s="714">
        <f>VLOOKUP(C3136,'Luong VP'!$B$10:$AP$189,12,0)</f>
        <v>0</v>
      </c>
      <c r="D3144" s="717"/>
      <c r="E3144" s="710">
        <v>4</v>
      </c>
      <c r="F3144" s="718" t="s">
        <v>671</v>
      </c>
      <c r="G3144" s="718"/>
      <c r="H3144" s="710" t="s">
        <v>668</v>
      </c>
      <c r="I3144" s="727">
        <f>VLOOKUP(C3136,'Luong VP'!$B$10:$AP$189,25,0)</f>
        <v>0</v>
      </c>
      <c r="J3144" s="728">
        <f>J3140/'Cham cong'!$AS$3*I3144/8*2</f>
        <v>0</v>
      </c>
    </row>
    <row r="3145" spans="1:12" ht="9.1999999999999993" customHeight="1">
      <c r="A3145" s="712">
        <v>6</v>
      </c>
      <c r="B3145" s="713" t="s">
        <v>673</v>
      </c>
      <c r="C3145" s="714">
        <f>VLOOKUP(C3136,'Luong VP'!$B$10:$AP$189,13,0)</f>
        <v>0</v>
      </c>
      <c r="D3145" s="717"/>
      <c r="E3145" s="710">
        <v>5</v>
      </c>
      <c r="F3145" s="718" t="s">
        <v>674</v>
      </c>
      <c r="G3145" s="718"/>
      <c r="H3145" s="710" t="s">
        <v>660</v>
      </c>
      <c r="I3145" s="727">
        <f>VLOOKUP(C3136,'Luong VP'!$B$10:$AP$189,23,0)</f>
        <v>0</v>
      </c>
      <c r="J3145" s="728">
        <f>C3140/'Cham cong'!$AS$3*I3145</f>
        <v>0</v>
      </c>
      <c r="L3145" s="694" t="str">
        <f>G3136</f>
        <v>Phạm Thành Nhân</v>
      </c>
    </row>
    <row r="3146" spans="1:12" ht="9.1999999999999993" customHeight="1">
      <c r="A3146" s="712">
        <v>7</v>
      </c>
      <c r="B3146" s="713" t="s">
        <v>676</v>
      </c>
      <c r="C3146" s="714"/>
      <c r="D3146" s="717"/>
      <c r="E3146" s="710">
        <v>6</v>
      </c>
      <c r="F3146" s="718" t="s">
        <v>677</v>
      </c>
      <c r="G3146" s="718"/>
      <c r="H3146" s="710" t="s">
        <v>660</v>
      </c>
      <c r="I3146" s="727">
        <f>VLOOKUP(C3136,'Luong VP'!$B$10:$AP$189,24,0)</f>
        <v>1</v>
      </c>
      <c r="J3146" s="714">
        <f>C3140/'Cham cong'!$AS$3*I3146</f>
        <v>399.23076923076923</v>
      </c>
    </row>
    <row r="3147" spans="1:12" ht="9.1999999999999993" customHeight="1">
      <c r="A3147" s="712">
        <v>8</v>
      </c>
      <c r="B3147" s="713" t="s">
        <v>679</v>
      </c>
      <c r="C3147" s="714">
        <f>VLOOKUP(C3136,'Luong VP'!$B$10:$AP$189,14,0)</f>
        <v>200</v>
      </c>
      <c r="D3147" s="717"/>
      <c r="E3147" s="710">
        <v>7</v>
      </c>
      <c r="F3147" s="718" t="s">
        <v>680</v>
      </c>
      <c r="G3147" s="718"/>
      <c r="H3147" s="718"/>
      <c r="I3147" s="729"/>
      <c r="J3147" s="714">
        <f>VLOOKUP(C3136,'Luong VP'!$B$10:$AP$189,28,0)</f>
        <v>0</v>
      </c>
    </row>
    <row r="3148" spans="1:12" ht="9.1999999999999993" customHeight="1">
      <c r="A3148" s="712">
        <v>9</v>
      </c>
      <c r="B3148" s="713" t="s">
        <v>683</v>
      </c>
      <c r="C3148" s="714">
        <f>VLOOKUP(C3136,'Luong VP'!$B$10:$AP$189,15,0)</f>
        <v>300</v>
      </c>
      <c r="D3148" s="717"/>
      <c r="E3148" s="710">
        <v>8</v>
      </c>
      <c r="F3148" s="718" t="s">
        <v>238</v>
      </c>
      <c r="G3148" s="718"/>
      <c r="H3148" s="780"/>
      <c r="I3148" s="803"/>
      <c r="J3148" s="804"/>
    </row>
    <row r="3149" spans="1:12" ht="9.1999999999999993" customHeight="1">
      <c r="A3149" s="712">
        <v>10</v>
      </c>
      <c r="B3149" s="713" t="s">
        <v>685</v>
      </c>
      <c r="C3149" s="714">
        <f>VLOOKUP(C3136,'Luong VP'!$B$10:$AP$189,16,0)</f>
        <v>0</v>
      </c>
      <c r="D3149" s="717"/>
      <c r="E3149" s="710" t="s">
        <v>686</v>
      </c>
      <c r="F3149" s="716" t="s">
        <v>687</v>
      </c>
      <c r="G3149" s="719"/>
      <c r="H3149" s="719"/>
      <c r="I3149" s="729"/>
      <c r="J3149" s="730"/>
    </row>
    <row r="3150" spans="1:12" ht="9.1999999999999993" customHeight="1">
      <c r="A3150" s="712">
        <v>11</v>
      </c>
      <c r="B3150" s="713" t="s">
        <v>688</v>
      </c>
      <c r="C3150" s="714">
        <f>VLOOKUP(C3136,'Luong VP'!$B$10:$AP$189,17,0)</f>
        <v>0</v>
      </c>
      <c r="D3150" s="717"/>
      <c r="E3150" s="710">
        <v>1</v>
      </c>
      <c r="F3150" s="716" t="s">
        <v>689</v>
      </c>
      <c r="G3150" s="719"/>
      <c r="H3150" s="719"/>
      <c r="I3150" s="714">
        <f>VLOOKUP(C3136,'Luong VP'!$B$10:$AP$189,30,0)</f>
        <v>0</v>
      </c>
      <c r="J3150" s="714">
        <f>VLOOKUP(C3136,'Luong VP'!$B$10:$AP$189,30,0)</f>
        <v>0</v>
      </c>
    </row>
    <row r="3151" spans="1:12" ht="9.1999999999999993" customHeight="1">
      <c r="A3151" s="712">
        <v>12</v>
      </c>
      <c r="B3151" s="713" t="s">
        <v>691</v>
      </c>
      <c r="C3151" s="714">
        <f>VLOOKUP(C3136,'Luong VP'!$B$10:$AP$189,18,0)</f>
        <v>0</v>
      </c>
      <c r="D3151" s="717"/>
      <c r="E3151" s="710">
        <v>2</v>
      </c>
      <c r="F3151" s="718" t="s">
        <v>239</v>
      </c>
      <c r="G3151" s="718"/>
      <c r="H3151" s="718"/>
      <c r="I3151" s="727"/>
      <c r="J3151" s="728">
        <f>VLOOKUP(C3136,'Luong VP'!$B$10:$AP$189,34,0)</f>
        <v>0</v>
      </c>
      <c r="K3151" s="731"/>
      <c r="L3151" s="715"/>
    </row>
    <row r="3152" spans="1:12" ht="9.1999999999999993" customHeight="1">
      <c r="A3152" s="712">
        <v>13</v>
      </c>
      <c r="B3152" s="713" t="s">
        <v>692</v>
      </c>
      <c r="C3152" s="714">
        <f>VLOOKUP(C3136,'Luong VP'!$B$10:$AP$189,19,0)</f>
        <v>0</v>
      </c>
      <c r="D3152" s="717"/>
      <c r="E3152" s="710">
        <v>3</v>
      </c>
      <c r="F3152" s="716" t="s">
        <v>693</v>
      </c>
      <c r="G3152" s="719"/>
      <c r="H3152" s="719"/>
      <c r="I3152" s="729"/>
      <c r="J3152" s="714">
        <f>VLOOKUP(C3136,'Luong VP'!$B$10:$AP$189,40,0)</f>
        <v>0</v>
      </c>
      <c r="K3152" s="731"/>
      <c r="L3152" s="715"/>
    </row>
    <row r="3153" spans="1:12" ht="9.1999999999999993" customHeight="1">
      <c r="A3153" s="712">
        <v>14</v>
      </c>
      <c r="B3153" s="713" t="s">
        <v>694</v>
      </c>
      <c r="C3153" s="714">
        <f>VLOOKUP(C3136,'Luong VP'!$B$10:$AP$189,20,0)</f>
        <v>0</v>
      </c>
      <c r="D3153" s="717"/>
      <c r="E3153" s="710">
        <v>4</v>
      </c>
      <c r="F3153" s="718" t="s">
        <v>695</v>
      </c>
      <c r="G3153" s="719"/>
      <c r="H3153" s="719"/>
      <c r="I3153" s="729"/>
      <c r="J3153" s="714">
        <f>VLOOKUP(C3136,'Luong VP'!$B$10:$AP$189,35,0)</f>
        <v>0</v>
      </c>
      <c r="K3153" s="732"/>
      <c r="L3153" s="715"/>
    </row>
    <row r="3154" spans="1:12" ht="9.1999999999999993" customHeight="1">
      <c r="A3154" s="712"/>
      <c r="B3154" s="707" t="s">
        <v>656</v>
      </c>
      <c r="C3154" s="714">
        <f>SUM(C3140:C3153)</f>
        <v>11380</v>
      </c>
      <c r="D3154" s="717"/>
      <c r="E3154" s="710"/>
      <c r="F3154" s="716" t="s">
        <v>241</v>
      </c>
      <c r="G3154" s="719"/>
      <c r="H3154" s="719"/>
      <c r="I3154" s="729"/>
      <c r="J3154" s="730">
        <f>SUM(J3141:J3153)+C3148</f>
        <v>11779.23076923077</v>
      </c>
      <c r="K3154" s="731"/>
      <c r="L3154" s="715"/>
    </row>
    <row r="3155" spans="1:12" ht="9.1999999999999993" customHeight="1">
      <c r="B3155" s="720"/>
      <c r="C3155" s="717"/>
      <c r="D3155" s="717"/>
      <c r="E3155" s="710" t="s">
        <v>696</v>
      </c>
      <c r="F3155" s="711" t="s">
        <v>697</v>
      </c>
      <c r="G3155" s="710"/>
      <c r="H3155" s="710"/>
      <c r="I3155" s="729"/>
      <c r="J3155" s="730">
        <f>SUM(J3156:J3158)</f>
        <v>535.5</v>
      </c>
      <c r="K3155" s="732"/>
      <c r="L3155" s="715"/>
    </row>
    <row r="3156" spans="1:12" ht="9.1999999999999993" customHeight="1">
      <c r="B3156" s="720"/>
      <c r="C3156" s="717"/>
      <c r="D3156" s="717"/>
      <c r="E3156" s="710">
        <v>1</v>
      </c>
      <c r="F3156" s="718" t="s">
        <v>698</v>
      </c>
      <c r="G3156" s="718"/>
      <c r="H3156" s="718"/>
      <c r="I3156" s="733"/>
      <c r="J3156" s="714">
        <f>VLOOKUP(C3136,'Luong VP'!$B$10:$AP$189,37,0)</f>
        <v>535.5</v>
      </c>
      <c r="K3156" s="732"/>
      <c r="L3156" s="715"/>
    </row>
    <row r="3157" spans="1:12" ht="9.1999999999999993" customHeight="1">
      <c r="B3157" s="720"/>
      <c r="C3157" s="717"/>
      <c r="D3157" s="717"/>
      <c r="E3157" s="710">
        <v>2</v>
      </c>
      <c r="F3157" s="718" t="s">
        <v>244</v>
      </c>
      <c r="G3157" s="718"/>
      <c r="H3157" s="718"/>
      <c r="I3157" s="729"/>
      <c r="J3157" s="714">
        <f>VLOOKUP(C3136,'Luong VP'!$B$10:$AP$189,39,0)</f>
        <v>0</v>
      </c>
      <c r="K3157" s="734"/>
      <c r="L3157" s="735"/>
    </row>
    <row r="3158" spans="1:12" ht="9.1999999999999993" customHeight="1">
      <c r="B3158" s="720"/>
      <c r="C3158" s="717"/>
      <c r="D3158" s="717"/>
      <c r="E3158" s="710"/>
      <c r="F3158" s="718" t="s">
        <v>699</v>
      </c>
      <c r="G3158" s="718"/>
      <c r="H3158" s="718"/>
      <c r="I3158" s="729"/>
      <c r="J3158" s="714"/>
      <c r="K3158" s="714"/>
      <c r="L3158" s="736"/>
    </row>
    <row r="3159" spans="1:12" ht="9.1999999999999993" customHeight="1">
      <c r="B3159" s="720"/>
      <c r="C3159" s="717"/>
      <c r="D3159" s="717"/>
      <c r="E3159" s="710" t="s">
        <v>700</v>
      </c>
      <c r="F3159" s="710" t="s">
        <v>246</v>
      </c>
      <c r="G3159" s="710"/>
      <c r="H3159" s="710"/>
      <c r="I3159" s="729"/>
      <c r="J3159" s="728">
        <f>J3154-J3155</f>
        <v>11243.73076923077</v>
      </c>
      <c r="K3159" s="728">
        <f>ROUND(J3159,-1)</f>
        <v>11240</v>
      </c>
      <c r="L3159" s="710"/>
    </row>
    <row r="3160" spans="1:12" ht="9.1999999999999993" customHeight="1">
      <c r="B3160" s="720"/>
      <c r="C3160" s="717"/>
      <c r="D3160" s="717"/>
      <c r="E3160" s="715"/>
      <c r="F3160" s="715"/>
      <c r="G3160" s="715"/>
      <c r="I3160" s="715" t="s">
        <v>701</v>
      </c>
      <c r="J3160" s="737"/>
      <c r="K3160" s="737"/>
      <c r="L3160" s="715"/>
    </row>
    <row r="3165" spans="1:12" ht="9.1999999999999993" customHeight="1">
      <c r="C3165" s="696"/>
      <c r="D3165" s="696"/>
      <c r="E3165" s="697" t="str">
        <f>$E$2</f>
        <v>THẺ LƯƠNG THÁNG 08/2019</v>
      </c>
      <c r="F3165" s="698"/>
      <c r="G3165" s="698"/>
      <c r="H3165" s="698"/>
    </row>
    <row r="3166" spans="1:12" ht="9.1999999999999993" customHeight="1">
      <c r="B3166" s="699" t="s">
        <v>644</v>
      </c>
      <c r="C3166" s="700" t="s">
        <v>481</v>
      </c>
      <c r="D3166" s="701"/>
      <c r="F3166" s="702" t="s">
        <v>645</v>
      </c>
      <c r="G3166" s="689" t="str">
        <f>VLOOKUP(C3166,'Luong VP'!$B$10:$AP$189,2,0)</f>
        <v>Lê Thị Duyên</v>
      </c>
    </row>
    <row r="3167" spans="1:12" ht="9.1999999999999993" customHeight="1">
      <c r="B3167" s="699" t="s">
        <v>646</v>
      </c>
      <c r="C3167" s="689" t="str">
        <f>VLOOKUP(C3166,'Luong VP'!$B$10:$AP$189,3,0)</f>
        <v xml:space="preserve">NV thống kê ĐS - PB nguyên liệu </v>
      </c>
      <c r="F3167" s="702" t="s">
        <v>647</v>
      </c>
      <c r="G3167" s="689">
        <f>VLOOKUP(C3166,'Luong VP'!$B$10:$AP$189,5,0)</f>
        <v>1</v>
      </c>
    </row>
    <row r="3168" spans="1:12" ht="9.1999999999999993" customHeight="1">
      <c r="B3168" s="703"/>
      <c r="C3168" s="704"/>
      <c r="D3168" s="705"/>
      <c r="F3168" s="706" t="s">
        <v>648</v>
      </c>
      <c r="G3168" s="706"/>
      <c r="H3168" s="706"/>
      <c r="I3168" s="725"/>
      <c r="J3168" s="726"/>
    </row>
    <row r="3169" spans="1:12" ht="9.1999999999999993" customHeight="1">
      <c r="A3169" s="707" t="s">
        <v>216</v>
      </c>
      <c r="B3169" s="707" t="s">
        <v>649</v>
      </c>
      <c r="C3169" s="708" t="s">
        <v>650</v>
      </c>
      <c r="D3169" s="709"/>
      <c r="E3169" s="710" t="s">
        <v>216</v>
      </c>
      <c r="F3169" s="711" t="s">
        <v>649</v>
      </c>
      <c r="G3169" s="710"/>
      <c r="H3169" s="710" t="s">
        <v>651</v>
      </c>
      <c r="I3169" s="727" t="s">
        <v>652</v>
      </c>
      <c r="J3169" s="714"/>
      <c r="L3169" s="694" t="s">
        <v>653</v>
      </c>
    </row>
    <row r="3170" spans="1:12" ht="9.1999999999999993" customHeight="1">
      <c r="A3170" s="712">
        <v>1</v>
      </c>
      <c r="B3170" s="713" t="s">
        <v>654</v>
      </c>
      <c r="C3170" s="714">
        <f>VLOOKUP(C3166,'Luong VP'!$B$10:$AP$189,9,0)</f>
        <v>7840</v>
      </c>
      <c r="D3170" s="715"/>
      <c r="E3170" s="710" t="s">
        <v>655</v>
      </c>
      <c r="F3170" s="716" t="s">
        <v>656</v>
      </c>
      <c r="G3170" s="710"/>
      <c r="H3170" s="710"/>
      <c r="I3170" s="727"/>
      <c r="J3170" s="714">
        <f>VLOOKUP(C3166,'Luong VP'!$B$10:$AP$189,21,0)</f>
        <v>7840</v>
      </c>
    </row>
    <row r="3171" spans="1:12" ht="9.1999999999999993" customHeight="1">
      <c r="A3171" s="712">
        <v>2</v>
      </c>
      <c r="B3171" s="713" t="s">
        <v>658</v>
      </c>
      <c r="C3171" s="714"/>
      <c r="D3171" s="717"/>
      <c r="E3171" s="710">
        <v>1</v>
      </c>
      <c r="F3171" s="718" t="s">
        <v>659</v>
      </c>
      <c r="G3171" s="718"/>
      <c r="H3171" s="710" t="s">
        <v>660</v>
      </c>
      <c r="I3171" s="727">
        <f>VLOOKUP(C3166,'Luong VP'!$B$10:$AP$189,22,0)</f>
        <v>26</v>
      </c>
      <c r="J3171" s="728">
        <f>J3170/'Cham cong'!$AS$3*I3171</f>
        <v>7840</v>
      </c>
    </row>
    <row r="3172" spans="1:12" ht="9.1999999999999993" customHeight="1">
      <c r="A3172" s="712">
        <v>3</v>
      </c>
      <c r="B3172" s="713" t="s">
        <v>661</v>
      </c>
      <c r="C3172" s="714">
        <f>VLOOKUP(C3166,'Luong VP'!$B$10:$AP$189,10,0)</f>
        <v>0</v>
      </c>
      <c r="D3172" s="717"/>
      <c r="E3172" s="710">
        <v>2</v>
      </c>
      <c r="F3172" s="718" t="s">
        <v>662</v>
      </c>
      <c r="G3172" s="718"/>
      <c r="H3172" s="710" t="s">
        <v>660</v>
      </c>
      <c r="I3172" s="727">
        <f>VLOOKUP(C3166,'Luong VP'!$B$10:$AP$189,27,0)</f>
        <v>0</v>
      </c>
      <c r="J3172" s="728">
        <f>J3170/'Cham cong'!$AS$3*I3172*3</f>
        <v>0</v>
      </c>
    </row>
    <row r="3173" spans="1:12" ht="9.1999999999999993" customHeight="1">
      <c r="A3173" s="712">
        <v>4</v>
      </c>
      <c r="B3173" s="713" t="s">
        <v>666</v>
      </c>
      <c r="C3173" s="714">
        <f>VLOOKUP(C3166,'Luong VP'!$B$10:$AP$189,11,0)</f>
        <v>0</v>
      </c>
      <c r="D3173" s="717"/>
      <c r="E3173" s="710">
        <v>3</v>
      </c>
      <c r="F3173" s="718" t="s">
        <v>667</v>
      </c>
      <c r="G3173" s="718"/>
      <c r="H3173" s="710" t="s">
        <v>668</v>
      </c>
      <c r="I3173" s="727">
        <f>VLOOKUP(C3166,'Luong VP'!$B$10:$AP$189,26,0)</f>
        <v>0</v>
      </c>
      <c r="J3173" s="728">
        <f>J3170/'Cham cong'!$AS$3*I3173/8*1.5</f>
        <v>0</v>
      </c>
    </row>
    <row r="3174" spans="1:12" ht="9.1999999999999993" customHeight="1">
      <c r="A3174" s="712">
        <v>5</v>
      </c>
      <c r="B3174" s="713" t="s">
        <v>670</v>
      </c>
      <c r="C3174" s="714">
        <f>VLOOKUP(C3166,'Luong VP'!$B$10:$AP$189,12,0)</f>
        <v>0</v>
      </c>
      <c r="D3174" s="717"/>
      <c r="E3174" s="710">
        <v>4</v>
      </c>
      <c r="F3174" s="718" t="s">
        <v>671</v>
      </c>
      <c r="G3174" s="718"/>
      <c r="H3174" s="710" t="s">
        <v>668</v>
      </c>
      <c r="I3174" s="727">
        <f>VLOOKUP(C3166,'Luong VP'!$B$10:$AP$189,25,0)</f>
        <v>0</v>
      </c>
      <c r="J3174" s="728">
        <f>J3170/'Cham cong'!$AS$3*I3174/8*2</f>
        <v>0</v>
      </c>
    </row>
    <row r="3175" spans="1:12" ht="9.1999999999999993" customHeight="1">
      <c r="A3175" s="712">
        <v>6</v>
      </c>
      <c r="B3175" s="713" t="s">
        <v>673</v>
      </c>
      <c r="C3175" s="714">
        <f>VLOOKUP(C3166,'Luong VP'!$B$10:$AP$189,13,0)</f>
        <v>0</v>
      </c>
      <c r="D3175" s="717"/>
      <c r="E3175" s="710">
        <v>5</v>
      </c>
      <c r="F3175" s="718" t="s">
        <v>674</v>
      </c>
      <c r="G3175" s="718"/>
      <c r="H3175" s="710" t="s">
        <v>660</v>
      </c>
      <c r="I3175" s="727">
        <f>VLOOKUP(C3166,'Luong VP'!$B$10:$AP$189,23,0)</f>
        <v>0</v>
      </c>
      <c r="J3175" s="728">
        <f>C3170/'Cham cong'!$AS$3*I3175</f>
        <v>0</v>
      </c>
      <c r="L3175" s="694" t="str">
        <f>G3166</f>
        <v>Lê Thị Duyên</v>
      </c>
    </row>
    <row r="3176" spans="1:12" ht="9.1999999999999993" customHeight="1">
      <c r="A3176" s="712">
        <v>7</v>
      </c>
      <c r="B3176" s="713" t="s">
        <v>676</v>
      </c>
      <c r="C3176" s="714"/>
      <c r="D3176" s="717"/>
      <c r="E3176" s="710">
        <v>6</v>
      </c>
      <c r="F3176" s="718" t="s">
        <v>677</v>
      </c>
      <c r="G3176" s="718"/>
      <c r="H3176" s="710" t="s">
        <v>660</v>
      </c>
      <c r="I3176" s="727">
        <f>VLOOKUP(C3166,'Luong VP'!$B$10:$AP$189,24,0)</f>
        <v>1</v>
      </c>
      <c r="J3176" s="714">
        <f>C3170/'Cham cong'!$AS$3*I3176</f>
        <v>301.53846153846155</v>
      </c>
    </row>
    <row r="3177" spans="1:12" ht="9.1999999999999993" customHeight="1">
      <c r="A3177" s="712">
        <v>8</v>
      </c>
      <c r="B3177" s="713" t="s">
        <v>679</v>
      </c>
      <c r="C3177" s="714">
        <f>VLOOKUP(C3166,'Luong VP'!$B$10:$AP$189,14,0)</f>
        <v>0</v>
      </c>
      <c r="D3177" s="717"/>
      <c r="E3177" s="710">
        <v>7</v>
      </c>
      <c r="F3177" s="718" t="s">
        <v>680</v>
      </c>
      <c r="G3177" s="718"/>
      <c r="H3177" s="718"/>
      <c r="I3177" s="729"/>
      <c r="J3177" s="714">
        <f>VLOOKUP(C3166,'Luong VP'!$B$10:$AP$189,28,0)</f>
        <v>0</v>
      </c>
    </row>
    <row r="3178" spans="1:12" ht="9.1999999999999993" customHeight="1">
      <c r="A3178" s="712">
        <v>9</v>
      </c>
      <c r="B3178" s="713" t="s">
        <v>683</v>
      </c>
      <c r="C3178" s="714">
        <f>VLOOKUP(C3166,'Luong VP'!$B$10:$AP$189,15,0)</f>
        <v>0</v>
      </c>
      <c r="D3178" s="717"/>
      <c r="E3178" s="710">
        <v>8</v>
      </c>
      <c r="F3178" s="718" t="s">
        <v>238</v>
      </c>
      <c r="G3178" s="718"/>
      <c r="H3178" s="718"/>
      <c r="I3178" s="729"/>
      <c r="J3178" s="714">
        <f>VLOOKUP(C3166,'Luong VP'!$B$10:$AP$189,33,0)</f>
        <v>0</v>
      </c>
    </row>
    <row r="3179" spans="1:12" ht="9.1999999999999993" customHeight="1">
      <c r="A3179" s="712">
        <v>10</v>
      </c>
      <c r="B3179" s="713" t="s">
        <v>685</v>
      </c>
      <c r="C3179" s="714">
        <f>VLOOKUP(C3166,'Luong VP'!$B$10:$AP$189,16,0)</f>
        <v>0</v>
      </c>
      <c r="D3179" s="717"/>
      <c r="E3179" s="710" t="s">
        <v>686</v>
      </c>
      <c r="F3179" s="716" t="s">
        <v>687</v>
      </c>
      <c r="G3179" s="719"/>
      <c r="H3179" s="719"/>
      <c r="I3179" s="729"/>
      <c r="J3179" s="730"/>
    </row>
    <row r="3180" spans="1:12" ht="9.1999999999999993" customHeight="1">
      <c r="A3180" s="712">
        <v>11</v>
      </c>
      <c r="B3180" s="713" t="s">
        <v>688</v>
      </c>
      <c r="C3180" s="714">
        <f>VLOOKUP(C3166,'Luong VP'!$B$10:$AP$189,17,0)</f>
        <v>0</v>
      </c>
      <c r="D3180" s="717"/>
      <c r="E3180" s="710">
        <v>1</v>
      </c>
      <c r="F3180" s="716" t="s">
        <v>689</v>
      </c>
      <c r="G3180" s="719"/>
      <c r="H3180" s="719"/>
      <c r="I3180" s="714">
        <f>VLOOKUP(C3166,'Luong VP'!$B$10:$AP$189,30,0)</f>
        <v>0</v>
      </c>
      <c r="J3180" s="714">
        <f>VLOOKUP(C3166,'Luong VP'!$B$10:$AP$189,30,0)</f>
        <v>0</v>
      </c>
    </row>
    <row r="3181" spans="1:12" ht="9.1999999999999993" customHeight="1">
      <c r="A3181" s="712">
        <v>12</v>
      </c>
      <c r="B3181" s="713" t="s">
        <v>691</v>
      </c>
      <c r="C3181" s="714">
        <f>VLOOKUP(C3166,'Luong VP'!$B$10:$AP$189,18,0)</f>
        <v>0</v>
      </c>
      <c r="D3181" s="717"/>
      <c r="E3181" s="710">
        <v>2</v>
      </c>
      <c r="F3181" s="718" t="s">
        <v>239</v>
      </c>
      <c r="G3181" s="718"/>
      <c r="H3181" s="718"/>
      <c r="I3181" s="727"/>
      <c r="J3181" s="728">
        <f>VLOOKUP(C3166,'Luong VP'!$B$10:$AP$189,34,0)</f>
        <v>0</v>
      </c>
      <c r="K3181" s="731"/>
      <c r="L3181" s="715"/>
    </row>
    <row r="3182" spans="1:12" ht="9.1999999999999993" customHeight="1">
      <c r="A3182" s="712">
        <v>13</v>
      </c>
      <c r="B3182" s="713" t="s">
        <v>692</v>
      </c>
      <c r="C3182" s="714">
        <f>VLOOKUP(C3166,'Luong VP'!$B$10:$AP$189,19,0)</f>
        <v>0</v>
      </c>
      <c r="D3182" s="717"/>
      <c r="E3182" s="710">
        <v>3</v>
      </c>
      <c r="F3182" s="716" t="s">
        <v>693</v>
      </c>
      <c r="G3182" s="719"/>
      <c r="H3182" s="719"/>
      <c r="I3182" s="729"/>
      <c r="J3182" s="714">
        <f>VLOOKUP(C3166,'Luong VP'!$B$10:$AP$189,40,0)</f>
        <v>0</v>
      </c>
      <c r="K3182" s="731"/>
      <c r="L3182" s="715"/>
    </row>
    <row r="3183" spans="1:12" ht="9.1999999999999993" customHeight="1">
      <c r="A3183" s="712">
        <v>14</v>
      </c>
      <c r="B3183" s="713" t="s">
        <v>694</v>
      </c>
      <c r="C3183" s="714">
        <f>VLOOKUP(C3166,'Luong VP'!$B$10:$AP$189,20,0)</f>
        <v>0</v>
      </c>
      <c r="D3183" s="717"/>
      <c r="E3183" s="710">
        <v>4</v>
      </c>
      <c r="F3183" s="718" t="s">
        <v>695</v>
      </c>
      <c r="G3183" s="719"/>
      <c r="H3183" s="719"/>
      <c r="I3183" s="729"/>
      <c r="J3183" s="714">
        <f>VLOOKUP(C3166,'Luong VP'!$B$10:$AP$189,35,0)</f>
        <v>0</v>
      </c>
      <c r="K3183" s="732"/>
      <c r="L3183" s="715"/>
    </row>
    <row r="3184" spans="1:12" ht="9.1999999999999993" customHeight="1">
      <c r="A3184" s="712"/>
      <c r="B3184" s="707" t="s">
        <v>656</v>
      </c>
      <c r="C3184" s="714">
        <f>SUM(C3170:C3183)</f>
        <v>7840</v>
      </c>
      <c r="D3184" s="717"/>
      <c r="E3184" s="710"/>
      <c r="F3184" s="716" t="s">
        <v>241</v>
      </c>
      <c r="G3184" s="719"/>
      <c r="H3184" s="719"/>
      <c r="I3184" s="729"/>
      <c r="J3184" s="730">
        <f>SUM(J3171:J3183)+C3178</f>
        <v>8141.5384615384619</v>
      </c>
      <c r="K3184" s="731"/>
      <c r="L3184" s="715"/>
    </row>
    <row r="3185" spans="1:12" ht="9.1999999999999993" customHeight="1">
      <c r="B3185" s="720"/>
      <c r="C3185" s="717"/>
      <c r="D3185" s="717"/>
      <c r="E3185" s="710" t="s">
        <v>696</v>
      </c>
      <c r="F3185" s="711" t="s">
        <v>697</v>
      </c>
      <c r="G3185" s="710"/>
      <c r="H3185" s="710"/>
      <c r="I3185" s="729"/>
      <c r="J3185" s="730">
        <f>SUM(J3186:J3188)</f>
        <v>3504</v>
      </c>
      <c r="K3185" s="732"/>
      <c r="L3185" s="715"/>
    </row>
    <row r="3186" spans="1:12" ht="9.1999999999999993" customHeight="1">
      <c r="B3186" s="720"/>
      <c r="C3186" s="717"/>
      <c r="D3186" s="717"/>
      <c r="E3186" s="710">
        <v>1</v>
      </c>
      <c r="F3186" s="718" t="s">
        <v>698</v>
      </c>
      <c r="G3186" s="718"/>
      <c r="H3186" s="718"/>
      <c r="I3186" s="733"/>
      <c r="J3186" s="714">
        <f>VLOOKUP(C3166,'Luong VP'!$B$10:$AP$189,37,0)</f>
        <v>504</v>
      </c>
      <c r="K3186" s="732"/>
      <c r="L3186" s="715"/>
    </row>
    <row r="3187" spans="1:12" ht="9.1999999999999993" customHeight="1">
      <c r="B3187" s="720"/>
      <c r="C3187" s="717"/>
      <c r="D3187" s="717"/>
      <c r="E3187" s="710">
        <v>2</v>
      </c>
      <c r="F3187" s="718" t="s">
        <v>244</v>
      </c>
      <c r="G3187" s="718"/>
      <c r="H3187" s="718"/>
      <c r="I3187" s="729"/>
      <c r="J3187" s="714">
        <f>VLOOKUP(C3166,'Luong VP'!$B$10:$AP$189,39,0)</f>
        <v>3000</v>
      </c>
      <c r="K3187" s="734"/>
      <c r="L3187" s="735"/>
    </row>
    <row r="3188" spans="1:12" ht="9.1999999999999993" customHeight="1">
      <c r="B3188" s="720"/>
      <c r="C3188" s="717"/>
      <c r="D3188" s="717"/>
      <c r="E3188" s="710"/>
      <c r="F3188" s="718" t="s">
        <v>699</v>
      </c>
      <c r="G3188" s="718"/>
      <c r="H3188" s="718"/>
      <c r="I3188" s="729"/>
      <c r="J3188" s="714"/>
      <c r="K3188" s="714"/>
      <c r="L3188" s="736"/>
    </row>
    <row r="3189" spans="1:12" ht="9.1999999999999993" customHeight="1">
      <c r="B3189" s="720"/>
      <c r="C3189" s="717"/>
      <c r="D3189" s="717"/>
      <c r="E3189" s="710" t="s">
        <v>700</v>
      </c>
      <c r="F3189" s="710" t="s">
        <v>246</v>
      </c>
      <c r="G3189" s="710"/>
      <c r="H3189" s="710"/>
      <c r="I3189" s="729"/>
      <c r="J3189" s="728">
        <f>J3184-J3185</f>
        <v>4637.5384615384619</v>
      </c>
      <c r="K3189" s="728">
        <f>ROUND(J3189,-1)</f>
        <v>4640</v>
      </c>
      <c r="L3189" s="710"/>
    </row>
    <row r="3190" spans="1:12" ht="9.1999999999999993" customHeight="1">
      <c r="B3190" s="720"/>
      <c r="C3190" s="717"/>
      <c r="D3190" s="717"/>
      <c r="E3190" s="715"/>
      <c r="F3190" s="715"/>
      <c r="G3190" s="715"/>
      <c r="I3190" s="715" t="s">
        <v>701</v>
      </c>
      <c r="J3190" s="737"/>
      <c r="K3190" s="737"/>
      <c r="L3190" s="715"/>
    </row>
    <row r="3191" spans="1:12" ht="9.1999999999999993" customHeight="1">
      <c r="B3191" s="720"/>
      <c r="C3191" s="717"/>
      <c r="D3191" s="717"/>
      <c r="E3191" s="715"/>
      <c r="F3191" s="715"/>
      <c r="G3191" s="715"/>
      <c r="I3191" s="715"/>
      <c r="J3191" s="737"/>
      <c r="K3191" s="737"/>
      <c r="L3191" s="715"/>
    </row>
    <row r="3192" spans="1:12" ht="9.1999999999999993" customHeight="1">
      <c r="B3192" s="720"/>
      <c r="C3192" s="717"/>
      <c r="D3192" s="717"/>
      <c r="E3192" s="715"/>
      <c r="F3192" s="715"/>
      <c r="G3192" s="715"/>
      <c r="I3192" s="715"/>
      <c r="J3192" s="737"/>
      <c r="K3192" s="737"/>
      <c r="L3192" s="715"/>
    </row>
    <row r="3193" spans="1:12" ht="9.1999999999999993" customHeight="1">
      <c r="B3193" s="720"/>
      <c r="C3193" s="717"/>
      <c r="D3193" s="717"/>
      <c r="E3193" s="715"/>
      <c r="F3193" s="715"/>
      <c r="G3193" s="715"/>
      <c r="I3193" s="715"/>
      <c r="J3193" s="737"/>
      <c r="K3193" s="737"/>
      <c r="L3193" s="715"/>
    </row>
    <row r="3194" spans="1:12" ht="9.1999999999999993" customHeight="1">
      <c r="B3194" s="720"/>
      <c r="C3194" s="717"/>
      <c r="D3194" s="717"/>
      <c r="E3194" s="715"/>
      <c r="F3194" s="715"/>
      <c r="G3194" s="715"/>
      <c r="I3194" s="715"/>
      <c r="J3194" s="737"/>
      <c r="K3194" s="737"/>
      <c r="L3194" s="715"/>
    </row>
    <row r="3195" spans="1:12" ht="9.1999999999999993" customHeight="1">
      <c r="C3195" s="696"/>
      <c r="D3195" s="696"/>
      <c r="E3195" s="697" t="str">
        <f>$E$2</f>
        <v>THẺ LƯƠNG THÁNG 08/2019</v>
      </c>
      <c r="F3195" s="698"/>
      <c r="G3195" s="698"/>
      <c r="H3195" s="698"/>
    </row>
    <row r="3196" spans="1:12" ht="9.1999999999999993" customHeight="1">
      <c r="B3196" s="699" t="s">
        <v>644</v>
      </c>
      <c r="C3196" s="700" t="s">
        <v>479</v>
      </c>
      <c r="D3196" s="701"/>
      <c r="F3196" s="702" t="s">
        <v>645</v>
      </c>
      <c r="G3196" s="689" t="str">
        <f>VLOOKUP(C3196,'Luong VP'!$B$10:$AP$189,2,0)</f>
        <v>Trần Minh Tâm</v>
      </c>
    </row>
    <row r="3197" spans="1:12" ht="9.1999999999999993" customHeight="1">
      <c r="B3197" s="699" t="s">
        <v>646</v>
      </c>
      <c r="C3197" s="689" t="str">
        <f>VLOOKUP(C3196,'Luong VP'!$B$10:$AP$189,3,0)</f>
        <v>NV thống kê ĐS - PB thành phẩm</v>
      </c>
      <c r="F3197" s="702" t="s">
        <v>647</v>
      </c>
      <c r="G3197" s="689">
        <f>VLOOKUP(C3196,'Luong VP'!$B$10:$AP$189,5,0)</f>
        <v>2</v>
      </c>
    </row>
    <row r="3198" spans="1:12" ht="9.1999999999999993" customHeight="1">
      <c r="B3198" s="703"/>
      <c r="C3198" s="704"/>
      <c r="D3198" s="705"/>
      <c r="F3198" s="706" t="s">
        <v>648</v>
      </c>
      <c r="G3198" s="706"/>
      <c r="H3198" s="706"/>
      <c r="I3198" s="725"/>
      <c r="J3198" s="726"/>
    </row>
    <row r="3199" spans="1:12" ht="9.1999999999999993" customHeight="1">
      <c r="A3199" s="707" t="s">
        <v>216</v>
      </c>
      <c r="B3199" s="707" t="s">
        <v>649</v>
      </c>
      <c r="C3199" s="708" t="s">
        <v>650</v>
      </c>
      <c r="D3199" s="709"/>
      <c r="E3199" s="710" t="s">
        <v>216</v>
      </c>
      <c r="F3199" s="711" t="s">
        <v>649</v>
      </c>
      <c r="G3199" s="710"/>
      <c r="H3199" s="710" t="s">
        <v>651</v>
      </c>
      <c r="I3199" s="727" t="s">
        <v>652</v>
      </c>
      <c r="J3199" s="714"/>
      <c r="L3199" s="694" t="s">
        <v>653</v>
      </c>
    </row>
    <row r="3200" spans="1:12" ht="9.1999999999999993" customHeight="1">
      <c r="A3200" s="712">
        <v>1</v>
      </c>
      <c r="B3200" s="713" t="s">
        <v>654</v>
      </c>
      <c r="C3200" s="714">
        <f>VLOOKUP(C3196,'Luong VP'!$B$10:$AP$189,9,0)</f>
        <v>8620</v>
      </c>
      <c r="D3200" s="715"/>
      <c r="E3200" s="710" t="s">
        <v>655</v>
      </c>
      <c r="F3200" s="716" t="s">
        <v>656</v>
      </c>
      <c r="G3200" s="710"/>
      <c r="H3200" s="710"/>
      <c r="I3200" s="727"/>
      <c r="J3200" s="714">
        <f>VLOOKUP(C3196,'Luong VP'!$B$10:$AP$189,21,0)</f>
        <v>8620</v>
      </c>
    </row>
    <row r="3201" spans="1:12" ht="9.1999999999999993" customHeight="1">
      <c r="A3201" s="712">
        <v>2</v>
      </c>
      <c r="B3201" s="713" t="s">
        <v>658</v>
      </c>
      <c r="C3201" s="714"/>
      <c r="D3201" s="717"/>
      <c r="E3201" s="710">
        <v>1</v>
      </c>
      <c r="F3201" s="718" t="s">
        <v>659</v>
      </c>
      <c r="G3201" s="718"/>
      <c r="H3201" s="710" t="s">
        <v>660</v>
      </c>
      <c r="I3201" s="727">
        <f>VLOOKUP(C3196,'Luong VP'!$B$10:$AP$189,22,0)</f>
        <v>26</v>
      </c>
      <c r="J3201" s="728">
        <f>J3200/'Cham cong'!$AS$3*I3201</f>
        <v>8620</v>
      </c>
    </row>
    <row r="3202" spans="1:12" ht="9.1999999999999993" customHeight="1">
      <c r="A3202" s="712">
        <v>3</v>
      </c>
      <c r="B3202" s="713" t="s">
        <v>661</v>
      </c>
      <c r="C3202" s="714">
        <f>VLOOKUP(C3196,'Luong VP'!$B$10:$AP$189,10,0)</f>
        <v>0</v>
      </c>
      <c r="D3202" s="717"/>
      <c r="E3202" s="710">
        <v>2</v>
      </c>
      <c r="F3202" s="718" t="s">
        <v>662</v>
      </c>
      <c r="G3202" s="718"/>
      <c r="H3202" s="710" t="s">
        <v>660</v>
      </c>
      <c r="I3202" s="727">
        <f>VLOOKUP(C3196,'Luong VP'!$B$10:$AP$189,27,0)</f>
        <v>0</v>
      </c>
      <c r="J3202" s="728">
        <f>J3200/'Cham cong'!$AS$3*I3202*3</f>
        <v>0</v>
      </c>
    </row>
    <row r="3203" spans="1:12" ht="9.1999999999999993" customHeight="1">
      <c r="A3203" s="712">
        <v>4</v>
      </c>
      <c r="B3203" s="713" t="s">
        <v>666</v>
      </c>
      <c r="C3203" s="714">
        <f>VLOOKUP(C3196,'Luong VP'!$B$10:$AP$189,11,0)</f>
        <v>0</v>
      </c>
      <c r="D3203" s="717"/>
      <c r="E3203" s="710">
        <v>3</v>
      </c>
      <c r="F3203" s="718" t="s">
        <v>667</v>
      </c>
      <c r="G3203" s="718"/>
      <c r="H3203" s="710" t="s">
        <v>668</v>
      </c>
      <c r="I3203" s="727">
        <f>VLOOKUP(C3196,'Luong VP'!$B$10:$AP$189,26,0)</f>
        <v>56.5</v>
      </c>
      <c r="J3203" s="728">
        <f>J3200/'Cham cong'!$AS$3*I3203/8*1.5</f>
        <v>3512.2355769230771</v>
      </c>
    </row>
    <row r="3204" spans="1:12" ht="9.1999999999999993" customHeight="1">
      <c r="A3204" s="712">
        <v>5</v>
      </c>
      <c r="B3204" s="713" t="s">
        <v>670</v>
      </c>
      <c r="C3204" s="714">
        <f>VLOOKUP(C3196,'Luong VP'!$B$10:$AP$189,12,0)</f>
        <v>0</v>
      </c>
      <c r="D3204" s="717"/>
      <c r="E3204" s="710">
        <v>4</v>
      </c>
      <c r="F3204" s="718" t="s">
        <v>671</v>
      </c>
      <c r="G3204" s="718"/>
      <c r="H3204" s="710" t="s">
        <v>668</v>
      </c>
      <c r="I3204" s="727">
        <f>VLOOKUP(C3196,'Luong VP'!$B$10:$AP$189,25,0)</f>
        <v>8.5</v>
      </c>
      <c r="J3204" s="728">
        <f>J3200/'Cham cong'!$AS$3*I3204/8*2</f>
        <v>704.51923076923083</v>
      </c>
    </row>
    <row r="3205" spans="1:12" ht="9.1999999999999993" customHeight="1">
      <c r="A3205" s="712">
        <v>6</v>
      </c>
      <c r="B3205" s="713" t="s">
        <v>673</v>
      </c>
      <c r="C3205" s="714">
        <f>VLOOKUP(C3196,'Luong VP'!$B$10:$AP$189,13,0)</f>
        <v>0</v>
      </c>
      <c r="D3205" s="717"/>
      <c r="E3205" s="710">
        <v>5</v>
      </c>
      <c r="F3205" s="718" t="s">
        <v>674</v>
      </c>
      <c r="G3205" s="718"/>
      <c r="H3205" s="710" t="s">
        <v>660</v>
      </c>
      <c r="I3205" s="727">
        <f>VLOOKUP(C3196,'Luong VP'!$B$10:$AP$189,23,0)</f>
        <v>0</v>
      </c>
      <c r="J3205" s="728">
        <f>C3200/'Cham cong'!$AS$3*I3205</f>
        <v>0</v>
      </c>
      <c r="L3205" s="694" t="str">
        <f>G3196</f>
        <v>Trần Minh Tâm</v>
      </c>
    </row>
    <row r="3206" spans="1:12" ht="9.1999999999999993" customHeight="1">
      <c r="A3206" s="712">
        <v>7</v>
      </c>
      <c r="B3206" s="713" t="s">
        <v>676</v>
      </c>
      <c r="C3206" s="714"/>
      <c r="D3206" s="717"/>
      <c r="E3206" s="710">
        <v>6</v>
      </c>
      <c r="F3206" s="718" t="s">
        <v>677</v>
      </c>
      <c r="G3206" s="718"/>
      <c r="H3206" s="710" t="s">
        <v>660</v>
      </c>
      <c r="I3206" s="727">
        <f>VLOOKUP(C3196,'Luong VP'!$B$10:$AP$189,24,0)</f>
        <v>1</v>
      </c>
      <c r="J3206" s="714">
        <f>C3200/'Cham cong'!$AS$3*I3206</f>
        <v>331.53846153846155</v>
      </c>
    </row>
    <row r="3207" spans="1:12" ht="9.1999999999999993" customHeight="1">
      <c r="A3207" s="712">
        <v>8</v>
      </c>
      <c r="B3207" s="713" t="s">
        <v>679</v>
      </c>
      <c r="C3207" s="714">
        <f>VLOOKUP(C3196,'Luong VP'!$B$10:$AP$189,14,0)</f>
        <v>0</v>
      </c>
      <c r="D3207" s="717"/>
      <c r="E3207" s="710">
        <v>7</v>
      </c>
      <c r="F3207" s="718" t="s">
        <v>680</v>
      </c>
      <c r="G3207" s="718"/>
      <c r="H3207" s="718"/>
      <c r="I3207" s="729"/>
      <c r="J3207" s="714">
        <f>VLOOKUP(C3196,'Luong VP'!$B$10:$AP$189,28,0)</f>
        <v>0</v>
      </c>
    </row>
    <row r="3208" spans="1:12" ht="9.1999999999999993" customHeight="1">
      <c r="A3208" s="712">
        <v>9</v>
      </c>
      <c r="B3208" s="713" t="s">
        <v>683</v>
      </c>
      <c r="C3208" s="714">
        <f>VLOOKUP(C3196,'Luong VP'!$B$10:$AP$189,15,0)</f>
        <v>0</v>
      </c>
      <c r="D3208" s="717"/>
      <c r="E3208" s="710">
        <v>8</v>
      </c>
      <c r="F3208" s="718" t="s">
        <v>238</v>
      </c>
      <c r="G3208" s="718"/>
      <c r="H3208" s="771" t="s">
        <v>660</v>
      </c>
      <c r="I3208" s="787"/>
      <c r="J3208" s="775"/>
    </row>
    <row r="3209" spans="1:12" ht="9.1999999999999993" customHeight="1">
      <c r="A3209" s="712">
        <v>10</v>
      </c>
      <c r="B3209" s="713" t="s">
        <v>685</v>
      </c>
      <c r="C3209" s="714">
        <f>VLOOKUP(C3196,'Luong VP'!$B$10:$AP$189,16,0)</f>
        <v>0</v>
      </c>
      <c r="D3209" s="717"/>
      <c r="E3209" s="710" t="s">
        <v>686</v>
      </c>
      <c r="F3209" s="716" t="s">
        <v>687</v>
      </c>
      <c r="G3209" s="719"/>
      <c r="H3209" s="719"/>
      <c r="I3209" s="729"/>
      <c r="J3209" s="730"/>
    </row>
    <row r="3210" spans="1:12" ht="9.1999999999999993" customHeight="1">
      <c r="A3210" s="712">
        <v>11</v>
      </c>
      <c r="B3210" s="713" t="s">
        <v>688</v>
      </c>
      <c r="C3210" s="714">
        <f>VLOOKUP(C3196,'Luong VP'!$B$10:$AP$189,17,0)</f>
        <v>0</v>
      </c>
      <c r="D3210" s="717"/>
      <c r="E3210" s="710">
        <v>1</v>
      </c>
      <c r="F3210" s="716" t="s">
        <v>689</v>
      </c>
      <c r="G3210" s="719"/>
      <c r="H3210" s="719"/>
      <c r="I3210" s="714">
        <f>VLOOKUP(C3196,'Luong VP'!$B$10:$AP$189,30,0)</f>
        <v>0</v>
      </c>
      <c r="J3210" s="714">
        <f>VLOOKUP(C3196,'Luong VP'!$B$10:$AP$189,30,0)</f>
        <v>0</v>
      </c>
    </row>
    <row r="3211" spans="1:12" ht="9.1999999999999993" customHeight="1">
      <c r="A3211" s="712">
        <v>12</v>
      </c>
      <c r="B3211" s="713" t="s">
        <v>691</v>
      </c>
      <c r="C3211" s="714">
        <f>VLOOKUP(C3196,'Luong VP'!$B$10:$AP$189,18,0)</f>
        <v>0</v>
      </c>
      <c r="D3211" s="717"/>
      <c r="E3211" s="710">
        <v>2</v>
      </c>
      <c r="F3211" s="718" t="s">
        <v>239</v>
      </c>
      <c r="G3211" s="718"/>
      <c r="H3211" s="718"/>
      <c r="I3211" s="727"/>
      <c r="J3211" s="728">
        <f>VLOOKUP(C3196,'Luong VP'!$B$10:$AP$189,34,0)</f>
        <v>0</v>
      </c>
      <c r="K3211" s="731"/>
      <c r="L3211" s="715"/>
    </row>
    <row r="3212" spans="1:12" ht="9.1999999999999993" customHeight="1">
      <c r="A3212" s="712">
        <v>13</v>
      </c>
      <c r="B3212" s="713" t="s">
        <v>692</v>
      </c>
      <c r="C3212" s="714">
        <f>VLOOKUP(C3196,'Luong VP'!$B$10:$AP$189,19,0)</f>
        <v>0</v>
      </c>
      <c r="D3212" s="717"/>
      <c r="E3212" s="710">
        <v>3</v>
      </c>
      <c r="F3212" s="716" t="s">
        <v>693</v>
      </c>
      <c r="G3212" s="719"/>
      <c r="H3212" s="719"/>
      <c r="I3212" s="729"/>
      <c r="J3212" s="714">
        <f>VLOOKUP(C3196,'Luong VP'!$B$10:$AP$189,40,0)</f>
        <v>0</v>
      </c>
      <c r="K3212" s="731"/>
      <c r="L3212" s="715"/>
    </row>
    <row r="3213" spans="1:12" ht="9.1999999999999993" customHeight="1">
      <c r="A3213" s="712">
        <v>14</v>
      </c>
      <c r="B3213" s="713" t="s">
        <v>694</v>
      </c>
      <c r="C3213" s="714">
        <f>VLOOKUP(C3196,'Luong VP'!$B$10:$AP$189,20,0)</f>
        <v>0</v>
      </c>
      <c r="D3213" s="717"/>
      <c r="E3213" s="710">
        <v>4</v>
      </c>
      <c r="F3213" s="718" t="s">
        <v>695</v>
      </c>
      <c r="G3213" s="719"/>
      <c r="H3213" s="719"/>
      <c r="I3213" s="729"/>
      <c r="J3213" s="714">
        <f>VLOOKUP(C3196,'Luong VP'!$B$10:$AP$189,35,0)</f>
        <v>0</v>
      </c>
      <c r="K3213" s="732"/>
      <c r="L3213" s="715"/>
    </row>
    <row r="3214" spans="1:12" ht="9.1999999999999993" customHeight="1">
      <c r="A3214" s="712"/>
      <c r="B3214" s="707" t="s">
        <v>656</v>
      </c>
      <c r="C3214" s="714">
        <f>SUM(C3200:C3213)</f>
        <v>8620</v>
      </c>
      <c r="D3214" s="717"/>
      <c r="E3214" s="710"/>
      <c r="F3214" s="716" t="s">
        <v>241</v>
      </c>
      <c r="G3214" s="719"/>
      <c r="H3214" s="719"/>
      <c r="I3214" s="729"/>
      <c r="J3214" s="730">
        <f>SUM(J3201:J3213)+C3208</f>
        <v>13168.29326923077</v>
      </c>
      <c r="K3214" s="731"/>
      <c r="L3214" s="715"/>
    </row>
    <row r="3215" spans="1:12" ht="9.1999999999999993" customHeight="1">
      <c r="B3215" s="720"/>
      <c r="C3215" s="717"/>
      <c r="D3215" s="717"/>
      <c r="E3215" s="710" t="s">
        <v>696</v>
      </c>
      <c r="F3215" s="711" t="s">
        <v>697</v>
      </c>
      <c r="G3215" s="710"/>
      <c r="H3215" s="710"/>
      <c r="I3215" s="729"/>
      <c r="J3215" s="730">
        <f>SUM(J3216:J3218)</f>
        <v>0</v>
      </c>
      <c r="K3215" s="732"/>
      <c r="L3215" s="715"/>
    </row>
    <row r="3216" spans="1:12" ht="9.1999999999999993" customHeight="1">
      <c r="B3216" s="720"/>
      <c r="C3216" s="717"/>
      <c r="D3216" s="717"/>
      <c r="E3216" s="710">
        <v>1</v>
      </c>
      <c r="F3216" s="718" t="s">
        <v>698</v>
      </c>
      <c r="G3216" s="718"/>
      <c r="H3216" s="718"/>
      <c r="I3216" s="733"/>
      <c r="J3216" s="714">
        <f>VLOOKUP(C3196,'Luong VP'!$B$10:$AP$189,37,0)</f>
        <v>0</v>
      </c>
      <c r="K3216" s="732"/>
      <c r="L3216" s="715"/>
    </row>
    <row r="3217" spans="1:12" ht="9.1999999999999993" customHeight="1">
      <c r="B3217" s="720"/>
      <c r="C3217" s="717"/>
      <c r="D3217" s="717"/>
      <c r="E3217" s="710">
        <v>2</v>
      </c>
      <c r="F3217" s="718" t="s">
        <v>244</v>
      </c>
      <c r="G3217" s="718"/>
      <c r="H3217" s="718"/>
      <c r="I3217" s="729"/>
      <c r="J3217" s="714">
        <f>VLOOKUP(C3196,'Luong VP'!$B$10:$AP$189,39,0)</f>
        <v>0</v>
      </c>
      <c r="K3217" s="734"/>
      <c r="L3217" s="735"/>
    </row>
    <row r="3218" spans="1:12" ht="9.1999999999999993" customHeight="1">
      <c r="B3218" s="720"/>
      <c r="C3218" s="717"/>
      <c r="D3218" s="717"/>
      <c r="E3218" s="710"/>
      <c r="F3218" s="718" t="s">
        <v>699</v>
      </c>
      <c r="G3218" s="718"/>
      <c r="H3218" s="718"/>
      <c r="I3218" s="729"/>
      <c r="J3218" s="714"/>
      <c r="K3218" s="714"/>
      <c r="L3218" s="736"/>
    </row>
    <row r="3219" spans="1:12" ht="9.1999999999999993" customHeight="1">
      <c r="B3219" s="720"/>
      <c r="C3219" s="717"/>
      <c r="D3219" s="717"/>
      <c r="E3219" s="710" t="s">
        <v>700</v>
      </c>
      <c r="F3219" s="710" t="s">
        <v>246</v>
      </c>
      <c r="G3219" s="710"/>
      <c r="H3219" s="710"/>
      <c r="I3219" s="729"/>
      <c r="J3219" s="728">
        <f>J3214-J3215</f>
        <v>13168.29326923077</v>
      </c>
      <c r="K3219" s="728">
        <f>ROUND(J3219,-1)</f>
        <v>13170</v>
      </c>
      <c r="L3219" s="710"/>
    </row>
    <row r="3220" spans="1:12" ht="9.1999999999999993" customHeight="1">
      <c r="B3220" s="720"/>
      <c r="C3220" s="717"/>
      <c r="D3220" s="717"/>
      <c r="E3220" s="715"/>
      <c r="F3220" s="715"/>
      <c r="G3220" s="715"/>
      <c r="I3220" s="715" t="s">
        <v>701</v>
      </c>
      <c r="J3220" s="737"/>
      <c r="K3220" s="737"/>
      <c r="L3220" s="715"/>
    </row>
    <row r="3221" spans="1:12" ht="9.1999999999999993" customHeight="1">
      <c r="B3221" s="720"/>
      <c r="C3221" s="717"/>
      <c r="D3221" s="717"/>
      <c r="E3221" s="715"/>
      <c r="F3221" s="715"/>
      <c r="G3221" s="715"/>
      <c r="I3221" s="715"/>
      <c r="J3221" s="737"/>
      <c r="K3221" s="737"/>
      <c r="L3221" s="715"/>
    </row>
    <row r="3222" spans="1:12" ht="9.1999999999999993" customHeight="1">
      <c r="B3222" s="720"/>
      <c r="C3222" s="717"/>
      <c r="D3222" s="717"/>
      <c r="E3222" s="715"/>
      <c r="F3222" s="715"/>
      <c r="G3222" s="715"/>
      <c r="I3222" s="715"/>
      <c r="J3222" s="737"/>
      <c r="K3222" s="737"/>
      <c r="L3222" s="715"/>
    </row>
    <row r="3223" spans="1:12" ht="9.1999999999999993" customHeight="1">
      <c r="B3223" s="720"/>
      <c r="C3223" s="717"/>
      <c r="D3223" s="717"/>
      <c r="E3223" s="715"/>
      <c r="F3223" s="715"/>
      <c r="G3223" s="715"/>
      <c r="I3223" s="715"/>
      <c r="J3223" s="737"/>
      <c r="K3223" s="737"/>
      <c r="L3223" s="715"/>
    </row>
    <row r="3224" spans="1:12" ht="9.1999999999999993" customHeight="1">
      <c r="B3224" s="720"/>
      <c r="C3224" s="717"/>
      <c r="D3224" s="717"/>
      <c r="E3224" s="715"/>
      <c r="F3224" s="715"/>
      <c r="G3224" s="715"/>
      <c r="I3224" s="715"/>
      <c r="J3224" s="737"/>
      <c r="K3224" s="737"/>
      <c r="L3224" s="715"/>
    </row>
    <row r="3225" spans="1:12" ht="9.1999999999999993" customHeight="1">
      <c r="C3225" s="696"/>
      <c r="D3225" s="696"/>
      <c r="E3225" s="697" t="str">
        <f>$E$2</f>
        <v>THẺ LƯƠNG THÁNG 08/2019</v>
      </c>
      <c r="F3225" s="698"/>
      <c r="G3225" s="698"/>
      <c r="H3225" s="698"/>
    </row>
    <row r="3226" spans="1:12" ht="9.1999999999999993" customHeight="1">
      <c r="B3226" s="699" t="s">
        <v>644</v>
      </c>
      <c r="C3226" s="700" t="s">
        <v>483</v>
      </c>
      <c r="D3226" s="701"/>
      <c r="F3226" s="702" t="s">
        <v>645</v>
      </c>
      <c r="G3226" s="689" t="str">
        <f>VLOOKUP(C3226,'Luong VP'!$B$10:$AP$189,2,0)</f>
        <v>Đoàn Tấn Tài</v>
      </c>
    </row>
    <row r="3227" spans="1:12" ht="9.1999999999999993" customHeight="1">
      <c r="B3227" s="699" t="s">
        <v>646</v>
      </c>
      <c r="C3227" s="689" t="str">
        <f>VLOOKUP(C3226,'Luong VP'!$B$10:$AP$189,3,0)</f>
        <v>NV thống kê xử lý bùn</v>
      </c>
      <c r="F3227" s="702" t="s">
        <v>647</v>
      </c>
      <c r="G3227" s="689">
        <f>VLOOKUP(C3226,'Luong VP'!$B$10:$AP$189,5,0)</f>
        <v>1</v>
      </c>
    </row>
    <row r="3228" spans="1:12" ht="9.1999999999999993" customHeight="1">
      <c r="B3228" s="703"/>
      <c r="C3228" s="704"/>
      <c r="D3228" s="705"/>
      <c r="F3228" s="706" t="s">
        <v>648</v>
      </c>
      <c r="G3228" s="706"/>
      <c r="H3228" s="706"/>
      <c r="I3228" s="725"/>
      <c r="J3228" s="726"/>
    </row>
    <row r="3229" spans="1:12" ht="9.1999999999999993" customHeight="1">
      <c r="A3229" s="707" t="s">
        <v>216</v>
      </c>
      <c r="B3229" s="707" t="s">
        <v>649</v>
      </c>
      <c r="C3229" s="708" t="s">
        <v>650</v>
      </c>
      <c r="D3229" s="709"/>
      <c r="E3229" s="710" t="s">
        <v>216</v>
      </c>
      <c r="F3229" s="711" t="s">
        <v>649</v>
      </c>
      <c r="G3229" s="710"/>
      <c r="H3229" s="710" t="s">
        <v>651</v>
      </c>
      <c r="I3229" s="727" t="s">
        <v>652</v>
      </c>
      <c r="J3229" s="714"/>
      <c r="L3229" s="694" t="s">
        <v>653</v>
      </c>
    </row>
    <row r="3230" spans="1:12" ht="9.1999999999999993" customHeight="1">
      <c r="A3230" s="712">
        <v>1</v>
      </c>
      <c r="B3230" s="713" t="s">
        <v>654</v>
      </c>
      <c r="C3230" s="714">
        <f>VLOOKUP(C3226,'Luong VP'!$B$10:$AP$189,9,0)</f>
        <v>7840</v>
      </c>
      <c r="D3230" s="715"/>
      <c r="E3230" s="710" t="s">
        <v>655</v>
      </c>
      <c r="F3230" s="716" t="s">
        <v>656</v>
      </c>
      <c r="G3230" s="710"/>
      <c r="H3230" s="710"/>
      <c r="I3230" s="727"/>
      <c r="J3230" s="714">
        <f>VLOOKUP(C3226,'Luong VP'!$B$10:$AP$189,21,0)</f>
        <v>7840</v>
      </c>
    </row>
    <row r="3231" spans="1:12" ht="9.1999999999999993" customHeight="1">
      <c r="A3231" s="712">
        <v>2</v>
      </c>
      <c r="B3231" s="713" t="s">
        <v>658</v>
      </c>
      <c r="C3231" s="714"/>
      <c r="D3231" s="717"/>
      <c r="E3231" s="710">
        <v>1</v>
      </c>
      <c r="F3231" s="718" t="s">
        <v>659</v>
      </c>
      <c r="G3231" s="718"/>
      <c r="H3231" s="710" t="s">
        <v>660</v>
      </c>
      <c r="I3231" s="727">
        <f>VLOOKUP(C3226,'Luong VP'!$B$10:$AP$189,22,0)</f>
        <v>26</v>
      </c>
      <c r="J3231" s="728">
        <f>J3230/'Cham cong'!$AS$3*I3231</f>
        <v>7840</v>
      </c>
    </row>
    <row r="3232" spans="1:12" ht="9.1999999999999993" customHeight="1">
      <c r="A3232" s="712">
        <v>3</v>
      </c>
      <c r="B3232" s="713" t="s">
        <v>661</v>
      </c>
      <c r="C3232" s="714">
        <f>VLOOKUP(C3226,'Luong VP'!$B$10:$AP$189,10,0)</f>
        <v>0</v>
      </c>
      <c r="D3232" s="717"/>
      <c r="E3232" s="710">
        <v>2</v>
      </c>
      <c r="F3232" s="718" t="s">
        <v>662</v>
      </c>
      <c r="G3232" s="718"/>
      <c r="H3232" s="710" t="s">
        <v>660</v>
      </c>
      <c r="I3232" s="727">
        <f>VLOOKUP(C3226,'Luong VP'!$B$10:$AP$189,27,0)</f>
        <v>0</v>
      </c>
      <c r="J3232" s="728">
        <f>J3230/'Cham cong'!$AS$3*I3232*3</f>
        <v>0</v>
      </c>
    </row>
    <row r="3233" spans="1:12" ht="9.1999999999999993" customHeight="1">
      <c r="A3233" s="712">
        <v>4</v>
      </c>
      <c r="B3233" s="713" t="s">
        <v>666</v>
      </c>
      <c r="C3233" s="714">
        <f>VLOOKUP(C3226,'Luong VP'!$B$10:$AP$189,11,0)</f>
        <v>0</v>
      </c>
      <c r="D3233" s="717"/>
      <c r="E3233" s="710">
        <v>3</v>
      </c>
      <c r="F3233" s="718" t="s">
        <v>667</v>
      </c>
      <c r="G3233" s="718"/>
      <c r="H3233" s="710" t="s">
        <v>668</v>
      </c>
      <c r="I3233" s="727">
        <f>VLOOKUP(C3226,'Luong VP'!$B$10:$AP$189,26,0)</f>
        <v>39.5</v>
      </c>
      <c r="J3233" s="728">
        <f>J3230/'Cham cong'!$AS$3*I3233/8*1.5</f>
        <v>2233.2692307692305</v>
      </c>
    </row>
    <row r="3234" spans="1:12" ht="9.1999999999999993" customHeight="1">
      <c r="A3234" s="712">
        <v>5</v>
      </c>
      <c r="B3234" s="713" t="s">
        <v>670</v>
      </c>
      <c r="C3234" s="714">
        <f>VLOOKUP(C3226,'Luong VP'!$B$10:$AP$189,12,0)</f>
        <v>0</v>
      </c>
      <c r="D3234" s="717"/>
      <c r="E3234" s="710">
        <v>4</v>
      </c>
      <c r="F3234" s="718" t="s">
        <v>671</v>
      </c>
      <c r="G3234" s="718"/>
      <c r="H3234" s="710" t="s">
        <v>668</v>
      </c>
      <c r="I3234" s="727">
        <f>VLOOKUP(C3226,'Luong VP'!$B$10:$AP$189,25,0)</f>
        <v>8</v>
      </c>
      <c r="J3234" s="728">
        <f>J3230/'Cham cong'!$AS$3*I3234/8*2</f>
        <v>603.07692307692309</v>
      </c>
    </row>
    <row r="3235" spans="1:12" ht="9.1999999999999993" customHeight="1">
      <c r="A3235" s="712">
        <v>6</v>
      </c>
      <c r="B3235" s="713" t="s">
        <v>673</v>
      </c>
      <c r="C3235" s="714">
        <f>VLOOKUP(C3226,'Luong VP'!$B$10:$AP$189,13,0)</f>
        <v>0</v>
      </c>
      <c r="D3235" s="717"/>
      <c r="E3235" s="710">
        <v>5</v>
      </c>
      <c r="F3235" s="718" t="s">
        <v>674</v>
      </c>
      <c r="G3235" s="718"/>
      <c r="H3235" s="710" t="s">
        <v>660</v>
      </c>
      <c r="I3235" s="727">
        <f>VLOOKUP(C3226,'Luong VP'!$B$10:$AP$189,23,0)</f>
        <v>0</v>
      </c>
      <c r="J3235" s="728">
        <f>C3230/'Cham cong'!$AS$3*I3235</f>
        <v>0</v>
      </c>
      <c r="L3235" s="694" t="str">
        <f>G3226</f>
        <v>Đoàn Tấn Tài</v>
      </c>
    </row>
    <row r="3236" spans="1:12" ht="9.1999999999999993" customHeight="1">
      <c r="A3236" s="712">
        <v>7</v>
      </c>
      <c r="B3236" s="713" t="s">
        <v>676</v>
      </c>
      <c r="C3236" s="714"/>
      <c r="D3236" s="717"/>
      <c r="E3236" s="710">
        <v>6</v>
      </c>
      <c r="F3236" s="718" t="s">
        <v>677</v>
      </c>
      <c r="G3236" s="718"/>
      <c r="H3236" s="710" t="s">
        <v>660</v>
      </c>
      <c r="I3236" s="727">
        <f>VLOOKUP(C3226,'Luong VP'!$B$10:$AP$189,24,0)</f>
        <v>1</v>
      </c>
      <c r="J3236" s="714">
        <f>C3230/'Cham cong'!$AS$3*I3236</f>
        <v>301.53846153846155</v>
      </c>
    </row>
    <row r="3237" spans="1:12" ht="9.1999999999999993" customHeight="1">
      <c r="A3237" s="712">
        <v>8</v>
      </c>
      <c r="B3237" s="713" t="s">
        <v>679</v>
      </c>
      <c r="C3237" s="714">
        <f>VLOOKUP(C3226,'Luong VP'!$B$10:$AP$189,14,0)</f>
        <v>0</v>
      </c>
      <c r="D3237" s="717"/>
      <c r="E3237" s="710">
        <v>7</v>
      </c>
      <c r="F3237" s="718" t="s">
        <v>680</v>
      </c>
      <c r="G3237" s="718"/>
      <c r="H3237" s="718"/>
      <c r="I3237" s="729"/>
      <c r="J3237" s="714">
        <f>VLOOKUP(C3226,'Luong VP'!$B$10:$AP$189,28,0)</f>
        <v>0</v>
      </c>
    </row>
    <row r="3238" spans="1:12" ht="9.1999999999999993" customHeight="1">
      <c r="A3238" s="712">
        <v>9</v>
      </c>
      <c r="B3238" s="713" t="s">
        <v>683</v>
      </c>
      <c r="C3238" s="714">
        <f>VLOOKUP(C3226,'Luong VP'!$B$10:$AP$189,15,0)</f>
        <v>0</v>
      </c>
      <c r="D3238" s="717"/>
      <c r="E3238" s="710">
        <v>8</v>
      </c>
      <c r="F3238" s="718" t="s">
        <v>238</v>
      </c>
      <c r="G3238" s="718"/>
      <c r="H3238" s="780" t="s">
        <v>660</v>
      </c>
      <c r="I3238" s="803"/>
      <c r="J3238" s="804"/>
    </row>
    <row r="3239" spans="1:12" ht="9.1999999999999993" customHeight="1">
      <c r="A3239" s="712">
        <v>10</v>
      </c>
      <c r="B3239" s="713" t="s">
        <v>685</v>
      </c>
      <c r="C3239" s="714">
        <f>VLOOKUP(C3226,'Luong VP'!$B$10:$AP$189,16,0)</f>
        <v>0</v>
      </c>
      <c r="D3239" s="717"/>
      <c r="E3239" s="710" t="s">
        <v>686</v>
      </c>
      <c r="F3239" s="716" t="s">
        <v>687</v>
      </c>
      <c r="G3239" s="719"/>
      <c r="H3239" s="719"/>
      <c r="I3239" s="729"/>
      <c r="J3239" s="730"/>
    </row>
    <row r="3240" spans="1:12" ht="9.1999999999999993" customHeight="1">
      <c r="A3240" s="712">
        <v>11</v>
      </c>
      <c r="B3240" s="713" t="s">
        <v>688</v>
      </c>
      <c r="C3240" s="714">
        <f>VLOOKUP(C3226,'Luong VP'!$B$10:$AP$189,17,0)</f>
        <v>0</v>
      </c>
      <c r="D3240" s="717"/>
      <c r="E3240" s="710">
        <v>1</v>
      </c>
      <c r="F3240" s="716" t="s">
        <v>689</v>
      </c>
      <c r="G3240" s="719"/>
      <c r="H3240" s="719"/>
      <c r="I3240" s="714">
        <f>VLOOKUP(C3226,'Luong VP'!$B$10:$AP$189,30,0)</f>
        <v>0</v>
      </c>
      <c r="J3240" s="714">
        <f>VLOOKUP(C3226,'Luong VP'!$B$10:$AP$189,30,0)</f>
        <v>0</v>
      </c>
    </row>
    <row r="3241" spans="1:12" ht="9.1999999999999993" customHeight="1">
      <c r="A3241" s="712">
        <v>12</v>
      </c>
      <c r="B3241" s="713" t="s">
        <v>691</v>
      </c>
      <c r="C3241" s="714">
        <f>VLOOKUP(C3226,'Luong VP'!$B$10:$AP$189,18,0)</f>
        <v>0</v>
      </c>
      <c r="D3241" s="717"/>
      <c r="E3241" s="710">
        <v>2</v>
      </c>
      <c r="F3241" s="718" t="s">
        <v>239</v>
      </c>
      <c r="G3241" s="718"/>
      <c r="H3241" s="718"/>
      <c r="I3241" s="727"/>
      <c r="J3241" s="728">
        <f>VLOOKUP(C3226,'Luong VP'!$B$10:$AP$189,34,0)</f>
        <v>0</v>
      </c>
      <c r="K3241" s="731"/>
      <c r="L3241" s="715"/>
    </row>
    <row r="3242" spans="1:12" ht="9.1999999999999993" customHeight="1">
      <c r="A3242" s="712">
        <v>13</v>
      </c>
      <c r="B3242" s="713" t="s">
        <v>692</v>
      </c>
      <c r="C3242" s="714">
        <f>VLOOKUP(C3226,'Luong VP'!$B$10:$AP$189,19,0)</f>
        <v>0</v>
      </c>
      <c r="D3242" s="717"/>
      <c r="E3242" s="710">
        <v>3</v>
      </c>
      <c r="F3242" s="716" t="s">
        <v>693</v>
      </c>
      <c r="G3242" s="719"/>
      <c r="H3242" s="719"/>
      <c r="I3242" s="729"/>
      <c r="J3242" s="714">
        <f>VLOOKUP(C3226,'Luong VP'!$B$10:$AP$189,40,0)</f>
        <v>0</v>
      </c>
      <c r="K3242" s="731"/>
      <c r="L3242" s="715"/>
    </row>
    <row r="3243" spans="1:12" ht="9.1999999999999993" customHeight="1">
      <c r="A3243" s="712">
        <v>14</v>
      </c>
      <c r="B3243" s="713" t="s">
        <v>694</v>
      </c>
      <c r="C3243" s="714">
        <f>VLOOKUP(C3226,'Luong VP'!$B$10:$AP$189,20,0)</f>
        <v>0</v>
      </c>
      <c r="D3243" s="717"/>
      <c r="E3243" s="710">
        <v>4</v>
      </c>
      <c r="F3243" s="718" t="s">
        <v>695</v>
      </c>
      <c r="G3243" s="719"/>
      <c r="H3243" s="719"/>
      <c r="I3243" s="729"/>
      <c r="J3243" s="714">
        <f>VLOOKUP(C3226,'Luong VP'!$B$10:$AP$189,35,0)</f>
        <v>0</v>
      </c>
      <c r="K3243" s="732"/>
      <c r="L3243" s="715"/>
    </row>
    <row r="3244" spans="1:12" ht="9.1999999999999993" customHeight="1">
      <c r="A3244" s="712"/>
      <c r="B3244" s="707" t="s">
        <v>656</v>
      </c>
      <c r="C3244" s="714">
        <f>SUM(C3230:C3243)</f>
        <v>7840</v>
      </c>
      <c r="D3244" s="717"/>
      <c r="E3244" s="710"/>
      <c r="F3244" s="716" t="s">
        <v>241</v>
      </c>
      <c r="G3244" s="719"/>
      <c r="H3244" s="719"/>
      <c r="I3244" s="729"/>
      <c r="J3244" s="730">
        <f>SUM(J3231:J3243)+C3238</f>
        <v>10977.884615384615</v>
      </c>
      <c r="K3244" s="731"/>
      <c r="L3244" s="715"/>
    </row>
    <row r="3245" spans="1:12" ht="9.1999999999999993" customHeight="1">
      <c r="B3245" s="720"/>
      <c r="C3245" s="717"/>
      <c r="D3245" s="717"/>
      <c r="E3245" s="710" t="s">
        <v>696</v>
      </c>
      <c r="F3245" s="711" t="s">
        <v>697</v>
      </c>
      <c r="G3245" s="710"/>
      <c r="H3245" s="710"/>
      <c r="I3245" s="729"/>
      <c r="J3245" s="730">
        <f>SUM(J3246:J3248)</f>
        <v>0</v>
      </c>
      <c r="K3245" s="732"/>
      <c r="L3245" s="715"/>
    </row>
    <row r="3246" spans="1:12" ht="9.1999999999999993" customHeight="1">
      <c r="B3246" s="720"/>
      <c r="C3246" s="717"/>
      <c r="D3246" s="717"/>
      <c r="E3246" s="710">
        <v>1</v>
      </c>
      <c r="F3246" s="718" t="s">
        <v>698</v>
      </c>
      <c r="G3246" s="718"/>
      <c r="H3246" s="718"/>
      <c r="I3246" s="733"/>
      <c r="J3246" s="714">
        <f>VLOOKUP(C3226,'Luong VP'!$B$10:$AP$189,37,0)</f>
        <v>0</v>
      </c>
      <c r="K3246" s="732"/>
      <c r="L3246" s="715"/>
    </row>
    <row r="3247" spans="1:12" ht="9.1999999999999993" customHeight="1">
      <c r="B3247" s="720"/>
      <c r="C3247" s="717"/>
      <c r="D3247" s="717"/>
      <c r="E3247" s="710">
        <v>2</v>
      </c>
      <c r="F3247" s="718" t="s">
        <v>244</v>
      </c>
      <c r="G3247" s="718"/>
      <c r="H3247" s="718"/>
      <c r="I3247" s="729"/>
      <c r="J3247" s="714">
        <f>VLOOKUP(C3226,'Luong VP'!$B$10:$AP$189,39,0)</f>
        <v>0</v>
      </c>
      <c r="K3247" s="734"/>
      <c r="L3247" s="735"/>
    </row>
    <row r="3248" spans="1:12" ht="9.1999999999999993" customHeight="1">
      <c r="B3248" s="720"/>
      <c r="C3248" s="717"/>
      <c r="D3248" s="717"/>
      <c r="E3248" s="710"/>
      <c r="F3248" s="718" t="s">
        <v>699</v>
      </c>
      <c r="G3248" s="718"/>
      <c r="H3248" s="718"/>
      <c r="I3248" s="729"/>
      <c r="J3248" s="714"/>
      <c r="K3248" s="714"/>
      <c r="L3248" s="736"/>
    </row>
    <row r="3249" spans="1:12" ht="9.1999999999999993" customHeight="1">
      <c r="B3249" s="720"/>
      <c r="C3249" s="717"/>
      <c r="D3249" s="717"/>
      <c r="E3249" s="710" t="s">
        <v>700</v>
      </c>
      <c r="F3249" s="710" t="s">
        <v>246</v>
      </c>
      <c r="G3249" s="710"/>
      <c r="H3249" s="710"/>
      <c r="I3249" s="729"/>
      <c r="J3249" s="728">
        <f>J3244-J3245</f>
        <v>10977.884615384615</v>
      </c>
      <c r="K3249" s="728">
        <f>ROUND(J3249,-1)</f>
        <v>10980</v>
      </c>
      <c r="L3249" s="710"/>
    </row>
    <row r="3250" spans="1:12" ht="9.1999999999999993" customHeight="1">
      <c r="B3250" s="720"/>
      <c r="C3250" s="717"/>
      <c r="D3250" s="717"/>
      <c r="E3250" s="715"/>
      <c r="F3250" s="715"/>
      <c r="G3250" s="715"/>
      <c r="I3250" s="715" t="s">
        <v>701</v>
      </c>
      <c r="J3250" s="737"/>
      <c r="K3250" s="737"/>
      <c r="L3250" s="715"/>
    </row>
    <row r="3251" spans="1:12" ht="9.1999999999999993" customHeight="1">
      <c r="B3251" s="720"/>
      <c r="C3251" s="717"/>
      <c r="D3251" s="717"/>
      <c r="E3251" s="715"/>
      <c r="F3251" s="715"/>
      <c r="G3251" s="715"/>
      <c r="I3251" s="715"/>
      <c r="J3251" s="737"/>
      <c r="K3251" s="737"/>
      <c r="L3251" s="715"/>
    </row>
    <row r="3252" spans="1:12" ht="9.1999999999999993" customHeight="1">
      <c r="B3252" s="720"/>
      <c r="C3252" s="717"/>
      <c r="D3252" s="717"/>
      <c r="E3252" s="715"/>
      <c r="F3252" s="715"/>
      <c r="G3252" s="715"/>
      <c r="I3252" s="715"/>
      <c r="J3252" s="737"/>
      <c r="K3252" s="737"/>
      <c r="L3252" s="715"/>
    </row>
    <row r="3253" spans="1:12" ht="9.1999999999999993" customHeight="1">
      <c r="B3253" s="720"/>
      <c r="C3253" s="717"/>
      <c r="D3253" s="717"/>
      <c r="E3253" s="715"/>
      <c r="F3253" s="715"/>
      <c r="G3253" s="715"/>
      <c r="I3253" s="715"/>
      <c r="J3253" s="737"/>
      <c r="K3253" s="737"/>
      <c r="L3253" s="715"/>
    </row>
    <row r="3254" spans="1:12" ht="9.1999999999999993" customHeight="1">
      <c r="B3254" s="720"/>
      <c r="C3254" s="717"/>
      <c r="D3254" s="717"/>
      <c r="E3254" s="715"/>
      <c r="F3254" s="715"/>
      <c r="G3254" s="715"/>
      <c r="I3254" s="715"/>
      <c r="J3254" s="737"/>
      <c r="K3254" s="737"/>
      <c r="L3254" s="715"/>
    </row>
    <row r="3255" spans="1:12" ht="9.1999999999999993" customHeight="1">
      <c r="C3255" s="696"/>
      <c r="D3255" s="696"/>
      <c r="E3255" s="697" t="str">
        <f>$E$2</f>
        <v>THẺ LƯƠNG THÁNG 08/2019</v>
      </c>
      <c r="F3255" s="698"/>
      <c r="G3255" s="698"/>
      <c r="H3255" s="698"/>
    </row>
    <row r="3256" spans="1:12" ht="9.1999999999999993" customHeight="1">
      <c r="B3256" s="699" t="s">
        <v>644</v>
      </c>
      <c r="C3256" s="700" t="s">
        <v>486</v>
      </c>
      <c r="D3256" s="701"/>
      <c r="F3256" s="702" t="s">
        <v>645</v>
      </c>
      <c r="G3256" s="689" t="str">
        <f>VLOOKUP(C3256,'Luong VP'!$B$10:$AP$189,2,0)</f>
        <v xml:space="preserve"> Nguyễn Ngọc Đông </v>
      </c>
    </row>
    <row r="3257" spans="1:12" ht="9.1999999999999993" customHeight="1">
      <c r="B3257" s="699" t="s">
        <v>646</v>
      </c>
      <c r="C3257" s="689" t="str">
        <f>VLOOKUP(C3256,'Luong VP'!$B$10:$AP$189,3,0)</f>
        <v>Trưởng BP xe cơ giới</v>
      </c>
      <c r="F3257" s="702" t="s">
        <v>647</v>
      </c>
      <c r="G3257" s="689">
        <f>VLOOKUP(C3256,'Luong VP'!$B$10:$AP$189,5,0)</f>
        <v>3</v>
      </c>
    </row>
    <row r="3258" spans="1:12" ht="9.1999999999999993" customHeight="1">
      <c r="B3258" s="703"/>
      <c r="C3258" s="704"/>
      <c r="D3258" s="705"/>
      <c r="F3258" s="706" t="s">
        <v>648</v>
      </c>
      <c r="G3258" s="706"/>
      <c r="H3258" s="706"/>
      <c r="I3258" s="725"/>
      <c r="J3258" s="726"/>
    </row>
    <row r="3259" spans="1:12" ht="9.1999999999999993" customHeight="1">
      <c r="A3259" s="707" t="s">
        <v>216</v>
      </c>
      <c r="B3259" s="707" t="s">
        <v>649</v>
      </c>
      <c r="C3259" s="708" t="s">
        <v>650</v>
      </c>
      <c r="D3259" s="709"/>
      <c r="E3259" s="710" t="s">
        <v>216</v>
      </c>
      <c r="F3259" s="711" t="s">
        <v>649</v>
      </c>
      <c r="G3259" s="710"/>
      <c r="H3259" s="710" t="s">
        <v>651</v>
      </c>
      <c r="I3259" s="727" t="s">
        <v>652</v>
      </c>
      <c r="J3259" s="714"/>
      <c r="L3259" s="694" t="s">
        <v>653</v>
      </c>
    </row>
    <row r="3260" spans="1:12" ht="9.1999999999999993" customHeight="1">
      <c r="A3260" s="712">
        <v>1</v>
      </c>
      <c r="B3260" s="713" t="s">
        <v>654</v>
      </c>
      <c r="C3260" s="714">
        <f>VLOOKUP(C3256,'Luong VP'!$B$10:$AP$189,9,0)</f>
        <v>14720</v>
      </c>
      <c r="D3260" s="715"/>
      <c r="E3260" s="710" t="s">
        <v>655</v>
      </c>
      <c r="F3260" s="716" t="s">
        <v>656</v>
      </c>
      <c r="G3260" s="710"/>
      <c r="H3260" s="710"/>
      <c r="I3260" s="727"/>
      <c r="J3260" s="714">
        <f>VLOOKUP(C3256,'Luong VP'!$B$10:$AP$189,21,0)</f>
        <v>15861.6</v>
      </c>
    </row>
    <row r="3261" spans="1:12" ht="9.1999999999999993" customHeight="1">
      <c r="A3261" s="712">
        <v>2</v>
      </c>
      <c r="B3261" s="713" t="s">
        <v>658</v>
      </c>
      <c r="C3261" s="714"/>
      <c r="D3261" s="717"/>
      <c r="E3261" s="710">
        <v>1</v>
      </c>
      <c r="F3261" s="718" t="s">
        <v>659</v>
      </c>
      <c r="G3261" s="718"/>
      <c r="H3261" s="710" t="s">
        <v>660</v>
      </c>
      <c r="I3261" s="727">
        <f>VLOOKUP(C3256,'Luong VP'!$B$10:$AP$189,22,0)</f>
        <v>26</v>
      </c>
      <c r="J3261" s="728">
        <f>J3260/'Cham cong'!$AS$3*I3261</f>
        <v>15861.6</v>
      </c>
    </row>
    <row r="3262" spans="1:12" ht="9.1999999999999993" customHeight="1">
      <c r="A3262" s="712">
        <v>3</v>
      </c>
      <c r="B3262" s="713" t="s">
        <v>661</v>
      </c>
      <c r="C3262" s="714">
        <f>VLOOKUP(C3256,'Luong VP'!$B$10:$AP$189,10,0)</f>
        <v>0</v>
      </c>
      <c r="D3262" s="717"/>
      <c r="E3262" s="710">
        <v>2</v>
      </c>
      <c r="F3262" s="718" t="s">
        <v>662</v>
      </c>
      <c r="G3262" s="718"/>
      <c r="H3262" s="710" t="s">
        <v>660</v>
      </c>
      <c r="I3262" s="727">
        <f>VLOOKUP(C3256,'Luong VP'!$B$10:$AP$189,27,0)</f>
        <v>0</v>
      </c>
      <c r="J3262" s="728">
        <f>J3260/'Cham cong'!$AS$3*I3262*3</f>
        <v>0</v>
      </c>
    </row>
    <row r="3263" spans="1:12" ht="9.1999999999999993" customHeight="1">
      <c r="A3263" s="712">
        <v>4</v>
      </c>
      <c r="B3263" s="713" t="s">
        <v>666</v>
      </c>
      <c r="C3263" s="714">
        <f>VLOOKUP(C3256,'Luong VP'!$B$10:$AP$189,11,0)</f>
        <v>500</v>
      </c>
      <c r="D3263" s="717"/>
      <c r="E3263" s="710">
        <v>3</v>
      </c>
      <c r="F3263" s="718" t="s">
        <v>667</v>
      </c>
      <c r="G3263" s="718"/>
      <c r="H3263" s="710" t="s">
        <v>668</v>
      </c>
      <c r="I3263" s="727">
        <f>VLOOKUP(C3256,'Luong VP'!$B$10:$AP$189,26,0)</f>
        <v>0</v>
      </c>
      <c r="J3263" s="728">
        <f>J3260/'Cham cong'!$AS$3*I3263/8*1.5</f>
        <v>0</v>
      </c>
    </row>
    <row r="3264" spans="1:12" ht="9.1999999999999993" customHeight="1">
      <c r="A3264" s="712">
        <v>5</v>
      </c>
      <c r="B3264" s="713" t="s">
        <v>670</v>
      </c>
      <c r="C3264" s="714">
        <f>VLOOKUP(C3256,'Luong VP'!$B$10:$AP$189,12,0)</f>
        <v>441.59999999999997</v>
      </c>
      <c r="D3264" s="717"/>
      <c r="E3264" s="710">
        <v>4</v>
      </c>
      <c r="F3264" s="718" t="s">
        <v>671</v>
      </c>
      <c r="G3264" s="718"/>
      <c r="H3264" s="710" t="s">
        <v>668</v>
      </c>
      <c r="I3264" s="727">
        <f>VLOOKUP(C3256,'Luong VP'!$B$10:$AP$189,25,0)</f>
        <v>0</v>
      </c>
      <c r="J3264" s="728">
        <f>J3260/'Cham cong'!$AS$3*I3264/8*2</f>
        <v>0</v>
      </c>
    </row>
    <row r="3265" spans="1:12" ht="9.1999999999999993" customHeight="1">
      <c r="A3265" s="712">
        <v>6</v>
      </c>
      <c r="B3265" s="713" t="s">
        <v>673</v>
      </c>
      <c r="C3265" s="714">
        <f>VLOOKUP(C3256,'Luong VP'!$B$10:$AP$189,13,0)</f>
        <v>0</v>
      </c>
      <c r="D3265" s="717"/>
      <c r="E3265" s="710">
        <v>5</v>
      </c>
      <c r="F3265" s="718" t="s">
        <v>674</v>
      </c>
      <c r="G3265" s="718"/>
      <c r="H3265" s="710" t="s">
        <v>660</v>
      </c>
      <c r="I3265" s="727">
        <f>VLOOKUP(C3256,'Luong VP'!$B$10:$AP$189,23,0)</f>
        <v>0</v>
      </c>
      <c r="J3265" s="728">
        <f>C3260/'Cham cong'!$AS$3*I3265</f>
        <v>0</v>
      </c>
      <c r="L3265" s="694" t="str">
        <f>G3256</f>
        <v xml:space="preserve"> Nguyễn Ngọc Đông </v>
      </c>
    </row>
    <row r="3266" spans="1:12" ht="9.1999999999999993" customHeight="1">
      <c r="A3266" s="712">
        <v>7</v>
      </c>
      <c r="B3266" s="713" t="s">
        <v>676</v>
      </c>
      <c r="C3266" s="714"/>
      <c r="D3266" s="717"/>
      <c r="E3266" s="710">
        <v>6</v>
      </c>
      <c r="F3266" s="718" t="s">
        <v>677</v>
      </c>
      <c r="G3266" s="718"/>
      <c r="H3266" s="710" t="s">
        <v>660</v>
      </c>
      <c r="I3266" s="727">
        <f>VLOOKUP(C3256,'Luong VP'!$B$10:$AP$189,24,0)</f>
        <v>1</v>
      </c>
      <c r="J3266" s="714">
        <f>C3260/'Cham cong'!$AS$3*I3266</f>
        <v>566.15384615384619</v>
      </c>
    </row>
    <row r="3267" spans="1:12" ht="9.1999999999999993" customHeight="1">
      <c r="A3267" s="712">
        <v>8</v>
      </c>
      <c r="B3267" s="713" t="s">
        <v>679</v>
      </c>
      <c r="C3267" s="714">
        <f>VLOOKUP(C3256,'Luong VP'!$B$10:$AP$189,14,0)</f>
        <v>200</v>
      </c>
      <c r="D3267" s="717"/>
      <c r="E3267" s="710">
        <v>7</v>
      </c>
      <c r="F3267" s="718" t="s">
        <v>680</v>
      </c>
      <c r="G3267" s="718"/>
      <c r="H3267" s="718"/>
      <c r="I3267" s="729"/>
      <c r="J3267" s="714">
        <f>VLOOKUP(C3256,'Luong VP'!$B$10:$AP$189,28,0)</f>
        <v>0</v>
      </c>
    </row>
    <row r="3268" spans="1:12" ht="9.1999999999999993" customHeight="1">
      <c r="A3268" s="712">
        <v>9</v>
      </c>
      <c r="B3268" s="713" t="s">
        <v>683</v>
      </c>
      <c r="C3268" s="714">
        <f>VLOOKUP(C3256,'Luong VP'!$B$10:$AP$189,15,0)</f>
        <v>300</v>
      </c>
      <c r="D3268" s="717"/>
      <c r="E3268" s="710">
        <v>8</v>
      </c>
      <c r="F3268" s="718" t="s">
        <v>238</v>
      </c>
      <c r="G3268" s="718"/>
      <c r="H3268" s="780"/>
      <c r="I3268" s="803"/>
      <c r="J3268" s="804"/>
    </row>
    <row r="3269" spans="1:12" ht="9.1999999999999993" customHeight="1">
      <c r="A3269" s="712">
        <v>10</v>
      </c>
      <c r="B3269" s="713" t="s">
        <v>685</v>
      </c>
      <c r="C3269" s="714">
        <f>VLOOKUP(C3256,'Luong VP'!$B$10:$AP$189,16,0)</f>
        <v>0</v>
      </c>
      <c r="D3269" s="717"/>
      <c r="E3269" s="710" t="s">
        <v>686</v>
      </c>
      <c r="F3269" s="716" t="s">
        <v>687</v>
      </c>
      <c r="G3269" s="719"/>
      <c r="H3269" s="719"/>
      <c r="I3269" s="729"/>
      <c r="J3269" s="730"/>
    </row>
    <row r="3270" spans="1:12" ht="9.1999999999999993" customHeight="1">
      <c r="A3270" s="712">
        <v>11</v>
      </c>
      <c r="B3270" s="713" t="s">
        <v>688</v>
      </c>
      <c r="C3270" s="714">
        <f>VLOOKUP(C3256,'Luong VP'!$B$10:$AP$189,17,0)</f>
        <v>0</v>
      </c>
      <c r="D3270" s="717"/>
      <c r="E3270" s="710">
        <v>1</v>
      </c>
      <c r="F3270" s="716" t="s">
        <v>689</v>
      </c>
      <c r="G3270" s="719"/>
      <c r="H3270" s="719"/>
      <c r="I3270" s="714">
        <f>VLOOKUP(C3256,'Luong VP'!$B$10:$AP$189,30,0)</f>
        <v>0</v>
      </c>
      <c r="J3270" s="714">
        <f>VLOOKUP(C3256,'Luong VP'!$B$10:$AP$189,30,0)</f>
        <v>0</v>
      </c>
    </row>
    <row r="3271" spans="1:12" ht="9.1999999999999993" customHeight="1">
      <c r="A3271" s="712">
        <v>12</v>
      </c>
      <c r="B3271" s="713" t="s">
        <v>691</v>
      </c>
      <c r="C3271" s="714">
        <f>VLOOKUP(C3256,'Luong VP'!$B$10:$AP$189,18,0)</f>
        <v>0</v>
      </c>
      <c r="D3271" s="717"/>
      <c r="E3271" s="710">
        <v>2</v>
      </c>
      <c r="F3271" s="718" t="s">
        <v>239</v>
      </c>
      <c r="G3271" s="718"/>
      <c r="H3271" s="718"/>
      <c r="I3271" s="727"/>
      <c r="J3271" s="728">
        <f>VLOOKUP(C3256,'Luong VP'!$B$10:$AP$189,34,0)</f>
        <v>0</v>
      </c>
      <c r="K3271" s="731"/>
      <c r="L3271" s="715"/>
    </row>
    <row r="3272" spans="1:12" ht="9.1999999999999993" customHeight="1">
      <c r="A3272" s="712">
        <v>13</v>
      </c>
      <c r="B3272" s="713" t="s">
        <v>692</v>
      </c>
      <c r="C3272" s="714">
        <f>VLOOKUP(C3256,'Luong VP'!$B$10:$AP$189,19,0)</f>
        <v>0</v>
      </c>
      <c r="D3272" s="717"/>
      <c r="E3272" s="710">
        <v>3</v>
      </c>
      <c r="F3272" s="716" t="s">
        <v>693</v>
      </c>
      <c r="G3272" s="719"/>
      <c r="H3272" s="719"/>
      <c r="I3272" s="729"/>
      <c r="J3272" s="714">
        <f>VLOOKUP(C3256,'Luong VP'!$B$10:$AP$189,40,0)</f>
        <v>0</v>
      </c>
      <c r="K3272" s="731"/>
      <c r="L3272" s="715"/>
    </row>
    <row r="3273" spans="1:12" ht="9.1999999999999993" customHeight="1">
      <c r="A3273" s="712">
        <v>14</v>
      </c>
      <c r="B3273" s="713" t="s">
        <v>694</v>
      </c>
      <c r="C3273" s="714">
        <f>VLOOKUP(C3256,'Luong VP'!$B$10:$AP$189,20,0)</f>
        <v>0</v>
      </c>
      <c r="D3273" s="717"/>
      <c r="E3273" s="710">
        <v>4</v>
      </c>
      <c r="F3273" s="718" t="s">
        <v>695</v>
      </c>
      <c r="G3273" s="719"/>
      <c r="H3273" s="719"/>
      <c r="I3273" s="729"/>
      <c r="J3273" s="714">
        <f>VLOOKUP(C3256,'Luong VP'!$B$10:$AP$189,35,0)</f>
        <v>0</v>
      </c>
      <c r="K3273" s="732"/>
      <c r="L3273" s="715"/>
    </row>
    <row r="3274" spans="1:12" ht="9.1999999999999993" customHeight="1">
      <c r="A3274" s="712"/>
      <c r="B3274" s="707" t="s">
        <v>656</v>
      </c>
      <c r="C3274" s="714">
        <f>SUM(C3260:C3273)</f>
        <v>16161.6</v>
      </c>
      <c r="D3274" s="717"/>
      <c r="E3274" s="710"/>
      <c r="F3274" s="716" t="s">
        <v>241</v>
      </c>
      <c r="G3274" s="719"/>
      <c r="H3274" s="719"/>
      <c r="I3274" s="729"/>
      <c r="J3274" s="730">
        <f>SUM(J3261:J3273)+C3268</f>
        <v>16727.753846153846</v>
      </c>
      <c r="K3274" s="731"/>
      <c r="L3274" s="715"/>
    </row>
    <row r="3275" spans="1:12" ht="9.1999999999999993" customHeight="1">
      <c r="B3275" s="720"/>
      <c r="C3275" s="717"/>
      <c r="D3275" s="717"/>
      <c r="E3275" s="710" t="s">
        <v>696</v>
      </c>
      <c r="F3275" s="711" t="s">
        <v>697</v>
      </c>
      <c r="G3275" s="710"/>
      <c r="H3275" s="710"/>
      <c r="I3275" s="729"/>
      <c r="J3275" s="730">
        <f>SUM(J3276:J3278)</f>
        <v>5577.5</v>
      </c>
      <c r="K3275" s="732"/>
      <c r="L3275" s="715"/>
    </row>
    <row r="3276" spans="1:12" ht="9.1999999999999993" customHeight="1">
      <c r="B3276" s="720"/>
      <c r="C3276" s="717"/>
      <c r="D3276" s="717"/>
      <c r="E3276" s="710">
        <v>1</v>
      </c>
      <c r="F3276" s="718" t="s">
        <v>698</v>
      </c>
      <c r="G3276" s="718"/>
      <c r="H3276" s="718"/>
      <c r="I3276" s="733"/>
      <c r="J3276" s="714">
        <f>VLOOKUP(C3256,'Luong VP'!$B$10:$AP$189,37,0)</f>
        <v>577.5</v>
      </c>
      <c r="K3276" s="732"/>
      <c r="L3276" s="715"/>
    </row>
    <row r="3277" spans="1:12" ht="9.1999999999999993" customHeight="1">
      <c r="B3277" s="720"/>
      <c r="C3277" s="717"/>
      <c r="D3277" s="717"/>
      <c r="E3277" s="710">
        <v>2</v>
      </c>
      <c r="F3277" s="718" t="s">
        <v>244</v>
      </c>
      <c r="G3277" s="718"/>
      <c r="H3277" s="718"/>
      <c r="I3277" s="729"/>
      <c r="J3277" s="714">
        <f>VLOOKUP(C3256,'Luong VP'!$B$10:$AP$189,39,0)</f>
        <v>5000</v>
      </c>
      <c r="K3277" s="734"/>
      <c r="L3277" s="735"/>
    </row>
    <row r="3278" spans="1:12" ht="9.1999999999999993" customHeight="1">
      <c r="B3278" s="720"/>
      <c r="C3278" s="717"/>
      <c r="D3278" s="717"/>
      <c r="E3278" s="710"/>
      <c r="F3278" s="718" t="s">
        <v>699</v>
      </c>
      <c r="G3278" s="718"/>
      <c r="H3278" s="718"/>
      <c r="I3278" s="729"/>
      <c r="J3278" s="714"/>
      <c r="K3278" s="714"/>
      <c r="L3278" s="736"/>
    </row>
    <row r="3279" spans="1:12" ht="9.1999999999999993" customHeight="1">
      <c r="B3279" s="720"/>
      <c r="C3279" s="717"/>
      <c r="D3279" s="717"/>
      <c r="E3279" s="710" t="s">
        <v>700</v>
      </c>
      <c r="F3279" s="710" t="s">
        <v>246</v>
      </c>
      <c r="G3279" s="710"/>
      <c r="H3279" s="710"/>
      <c r="I3279" s="729"/>
      <c r="J3279" s="728">
        <f>J3274-J3275</f>
        <v>11150.253846153846</v>
      </c>
      <c r="K3279" s="728">
        <f>ROUND(J3279,-1)</f>
        <v>11150</v>
      </c>
      <c r="L3279" s="710"/>
    </row>
    <row r="3280" spans="1:12" ht="9.1999999999999993" customHeight="1">
      <c r="B3280" s="720"/>
      <c r="C3280" s="717"/>
      <c r="D3280" s="717"/>
      <c r="E3280" s="715"/>
      <c r="F3280" s="715"/>
      <c r="G3280" s="715"/>
      <c r="I3280" s="715" t="s">
        <v>701</v>
      </c>
      <c r="J3280" s="737"/>
      <c r="K3280" s="737"/>
      <c r="L3280" s="715"/>
    </row>
    <row r="3285" spans="1:12" ht="9.1999999999999993" customHeight="1">
      <c r="C3285" s="696"/>
      <c r="D3285" s="696"/>
      <c r="E3285" s="697" t="str">
        <f>$E$2</f>
        <v>THẺ LƯƠNG THÁNG 08/2019</v>
      </c>
      <c r="F3285" s="698"/>
      <c r="G3285" s="698"/>
      <c r="H3285" s="698"/>
    </row>
    <row r="3286" spans="1:12" ht="9.1999999999999993" customHeight="1">
      <c r="B3286" s="699" t="s">
        <v>644</v>
      </c>
      <c r="C3286" s="700" t="s">
        <v>488</v>
      </c>
      <c r="D3286" s="701"/>
      <c r="F3286" s="702" t="s">
        <v>645</v>
      </c>
      <c r="G3286" s="689" t="str">
        <f>VLOOKUP(C3286,'Luong VP'!$B$10:$AP$189,2,0)</f>
        <v>Đồng Tấn Tài</v>
      </c>
    </row>
    <row r="3287" spans="1:12" ht="9.1999999999999993" customHeight="1">
      <c r="B3287" s="699" t="s">
        <v>646</v>
      </c>
      <c r="C3287" s="689" t="str">
        <f>VLOOKUP(C3286,'Luong VP'!$B$10:$AP$189,3,0)</f>
        <v>Tổ trưởng XCG xử lý bùn</v>
      </c>
      <c r="F3287" s="702" t="s">
        <v>647</v>
      </c>
      <c r="G3287" s="689">
        <f>VLOOKUP(C3286,'Luong VP'!$B$10:$AP$189,5,0)</f>
        <v>1</v>
      </c>
    </row>
    <row r="3288" spans="1:12" ht="9.1999999999999993" customHeight="1">
      <c r="B3288" s="703"/>
      <c r="C3288" s="704"/>
      <c r="D3288" s="705"/>
      <c r="F3288" s="706" t="s">
        <v>648</v>
      </c>
      <c r="G3288" s="706"/>
      <c r="H3288" s="706"/>
      <c r="I3288" s="725"/>
      <c r="J3288" s="726"/>
    </row>
    <row r="3289" spans="1:12" ht="9.1999999999999993" customHeight="1">
      <c r="A3289" s="707" t="s">
        <v>216</v>
      </c>
      <c r="B3289" s="707" t="s">
        <v>649</v>
      </c>
      <c r="C3289" s="708" t="s">
        <v>650</v>
      </c>
      <c r="D3289" s="709"/>
      <c r="E3289" s="710" t="s">
        <v>216</v>
      </c>
      <c r="F3289" s="711" t="s">
        <v>649</v>
      </c>
      <c r="G3289" s="710"/>
      <c r="H3289" s="710" t="s">
        <v>651</v>
      </c>
      <c r="I3289" s="727" t="s">
        <v>652</v>
      </c>
      <c r="J3289" s="714"/>
      <c r="L3289" s="694" t="s">
        <v>653</v>
      </c>
    </row>
    <row r="3290" spans="1:12" ht="9.1999999999999993" customHeight="1">
      <c r="A3290" s="712">
        <v>1</v>
      </c>
      <c r="B3290" s="713" t="s">
        <v>654</v>
      </c>
      <c r="C3290" s="714">
        <f>VLOOKUP(C3286,'Luong VP'!$B$10:$AP$189,9,0)</f>
        <v>8040</v>
      </c>
      <c r="D3290" s="715"/>
      <c r="E3290" s="710" t="s">
        <v>655</v>
      </c>
      <c r="F3290" s="716" t="s">
        <v>656</v>
      </c>
      <c r="G3290" s="710"/>
      <c r="H3290" s="710"/>
      <c r="I3290" s="727"/>
      <c r="J3290" s="714">
        <f>VLOOKUP(C3286,'Luong VP'!$B$10:$AP$189,21,0)</f>
        <v>8581.2000000000007</v>
      </c>
    </row>
    <row r="3291" spans="1:12" ht="9.1999999999999993" customHeight="1">
      <c r="A3291" s="712">
        <v>2</v>
      </c>
      <c r="B3291" s="713" t="s">
        <v>658</v>
      </c>
      <c r="C3291" s="714"/>
      <c r="D3291" s="717"/>
      <c r="E3291" s="710">
        <v>1</v>
      </c>
      <c r="F3291" s="718" t="s">
        <v>659</v>
      </c>
      <c r="G3291" s="718"/>
      <c r="H3291" s="710" t="s">
        <v>660</v>
      </c>
      <c r="I3291" s="727">
        <f>VLOOKUP(C3286,'Luong VP'!$B$10:$AP$189,22,0)</f>
        <v>28</v>
      </c>
      <c r="J3291" s="728">
        <f>J3290/'Cham cong'!$AS$3*I3291</f>
        <v>9241.2923076923071</v>
      </c>
    </row>
    <row r="3292" spans="1:12" ht="9.1999999999999993" customHeight="1">
      <c r="A3292" s="712">
        <v>3</v>
      </c>
      <c r="B3292" s="713" t="s">
        <v>661</v>
      </c>
      <c r="C3292" s="714">
        <f>VLOOKUP(C3286,'Luong VP'!$B$10:$AP$189,10,0)</f>
        <v>0</v>
      </c>
      <c r="D3292" s="717"/>
      <c r="E3292" s="710">
        <v>2</v>
      </c>
      <c r="F3292" s="718" t="s">
        <v>662</v>
      </c>
      <c r="G3292" s="718"/>
      <c r="H3292" s="710" t="s">
        <v>660</v>
      </c>
      <c r="I3292" s="727">
        <f>VLOOKUP(C3286,'Luong VP'!$B$10:$AP$189,27,0)</f>
        <v>0</v>
      </c>
      <c r="J3292" s="728">
        <f>J3290/'Cham cong'!$AS$3*I3292*3</f>
        <v>0</v>
      </c>
    </row>
    <row r="3293" spans="1:12" ht="9.1999999999999993" customHeight="1">
      <c r="A3293" s="712">
        <v>4</v>
      </c>
      <c r="B3293" s="713" t="s">
        <v>666</v>
      </c>
      <c r="C3293" s="714">
        <f>VLOOKUP(C3286,'Luong VP'!$B$10:$AP$189,11,0)</f>
        <v>200</v>
      </c>
      <c r="D3293" s="717"/>
      <c r="E3293" s="710">
        <v>3</v>
      </c>
      <c r="F3293" s="718" t="s">
        <v>667</v>
      </c>
      <c r="G3293" s="718"/>
      <c r="H3293" s="710" t="s">
        <v>668</v>
      </c>
      <c r="I3293" s="727">
        <f>VLOOKUP(C3286,'Luong VP'!$B$10:$AP$189,26,0)</f>
        <v>0</v>
      </c>
      <c r="J3293" s="728">
        <f>J3290/'Cham cong'!$AS$3*I3293/8*1.5</f>
        <v>0</v>
      </c>
    </row>
    <row r="3294" spans="1:12" ht="9.1999999999999993" customHeight="1">
      <c r="A3294" s="712">
        <v>5</v>
      </c>
      <c r="B3294" s="713" t="s">
        <v>670</v>
      </c>
      <c r="C3294" s="714">
        <f>VLOOKUP(C3286,'Luong VP'!$B$10:$AP$189,12,0)</f>
        <v>241.2</v>
      </c>
      <c r="D3294" s="717"/>
      <c r="E3294" s="710">
        <v>4</v>
      </c>
      <c r="F3294" s="718" t="s">
        <v>671</v>
      </c>
      <c r="G3294" s="718"/>
      <c r="H3294" s="710" t="s">
        <v>668</v>
      </c>
      <c r="I3294" s="727">
        <f>VLOOKUP(C3286,'Luong VP'!$B$10:$AP$189,25,0)</f>
        <v>0</v>
      </c>
      <c r="J3294" s="728">
        <f>J3290/'Cham cong'!$AS$3*I3294/8*2</f>
        <v>0</v>
      </c>
    </row>
    <row r="3295" spans="1:12" ht="9.1999999999999993" customHeight="1">
      <c r="A3295" s="712">
        <v>6</v>
      </c>
      <c r="B3295" s="713" t="s">
        <v>673</v>
      </c>
      <c r="C3295" s="714">
        <f>VLOOKUP(C3286,'Luong VP'!$B$10:$AP$189,13,0)</f>
        <v>0</v>
      </c>
      <c r="D3295" s="717"/>
      <c r="E3295" s="710">
        <v>5</v>
      </c>
      <c r="F3295" s="718" t="s">
        <v>674</v>
      </c>
      <c r="G3295" s="718"/>
      <c r="H3295" s="710" t="s">
        <v>660</v>
      </c>
      <c r="I3295" s="727">
        <f>VLOOKUP(C3286,'Luong VP'!$B$10:$AP$189,23,0)</f>
        <v>0</v>
      </c>
      <c r="J3295" s="728">
        <f>C3290/'Cham cong'!$AS$3*I3295</f>
        <v>0</v>
      </c>
      <c r="L3295" s="694" t="str">
        <f>G3286</f>
        <v>Đồng Tấn Tài</v>
      </c>
    </row>
    <row r="3296" spans="1:12" ht="9.1999999999999993" customHeight="1">
      <c r="A3296" s="712">
        <v>7</v>
      </c>
      <c r="B3296" s="713" t="s">
        <v>676</v>
      </c>
      <c r="C3296" s="714"/>
      <c r="D3296" s="717"/>
      <c r="E3296" s="710">
        <v>6</v>
      </c>
      <c r="F3296" s="718" t="s">
        <v>677</v>
      </c>
      <c r="G3296" s="718"/>
      <c r="H3296" s="710" t="s">
        <v>660</v>
      </c>
      <c r="I3296" s="727">
        <f>VLOOKUP(C3286,'Luong VP'!$B$10:$AP$189,24,0)</f>
        <v>1</v>
      </c>
      <c r="J3296" s="714">
        <f>C3290/'Cham cong'!$AS$3*I3296</f>
        <v>309.23076923076923</v>
      </c>
    </row>
    <row r="3297" spans="1:12" ht="9.1999999999999993" customHeight="1">
      <c r="A3297" s="712">
        <v>8</v>
      </c>
      <c r="B3297" s="713" t="s">
        <v>679</v>
      </c>
      <c r="C3297" s="714">
        <f>VLOOKUP(C3286,'Luong VP'!$B$10:$AP$189,14,0)</f>
        <v>100</v>
      </c>
      <c r="D3297" s="717"/>
      <c r="E3297" s="710">
        <v>7</v>
      </c>
      <c r="F3297" s="718" t="s">
        <v>680</v>
      </c>
      <c r="G3297" s="718"/>
      <c r="H3297" s="718"/>
      <c r="I3297" s="729"/>
      <c r="J3297" s="714">
        <f>VLOOKUP(C3286,'Luong VP'!$B$10:$AP$189,28,0)</f>
        <v>0</v>
      </c>
    </row>
    <row r="3298" spans="1:12" ht="9.1999999999999993" customHeight="1">
      <c r="A3298" s="712">
        <v>9</v>
      </c>
      <c r="B3298" s="713" t="s">
        <v>683</v>
      </c>
      <c r="C3298" s="714">
        <f>VLOOKUP(C3286,'Luong VP'!$B$10:$AP$189,15,0)</f>
        <v>200</v>
      </c>
      <c r="D3298" s="717"/>
      <c r="E3298" s="710">
        <v>8</v>
      </c>
      <c r="F3298" s="718" t="s">
        <v>238</v>
      </c>
      <c r="G3298" s="718"/>
      <c r="H3298" s="780"/>
      <c r="I3298" s="803"/>
      <c r="J3298" s="804"/>
    </row>
    <row r="3299" spans="1:12" ht="9.1999999999999993" customHeight="1">
      <c r="A3299" s="712">
        <v>10</v>
      </c>
      <c r="B3299" s="713" t="s">
        <v>685</v>
      </c>
      <c r="C3299" s="714">
        <f>VLOOKUP(C3286,'Luong VP'!$B$10:$AP$189,16,0)</f>
        <v>0</v>
      </c>
      <c r="D3299" s="717"/>
      <c r="E3299" s="710" t="s">
        <v>686</v>
      </c>
      <c r="F3299" s="716" t="s">
        <v>687</v>
      </c>
      <c r="G3299" s="719"/>
      <c r="H3299" s="719"/>
      <c r="I3299" s="729"/>
      <c r="J3299" s="730"/>
    </row>
    <row r="3300" spans="1:12" ht="9.1999999999999993" customHeight="1">
      <c r="A3300" s="712">
        <v>11</v>
      </c>
      <c r="B3300" s="713" t="s">
        <v>688</v>
      </c>
      <c r="C3300" s="714">
        <f>VLOOKUP(C3286,'Luong VP'!$B$10:$AP$189,17,0)</f>
        <v>0</v>
      </c>
      <c r="D3300" s="717"/>
      <c r="E3300" s="710">
        <v>1</v>
      </c>
      <c r="F3300" s="716" t="s">
        <v>689</v>
      </c>
      <c r="G3300" s="719"/>
      <c r="H3300" s="719"/>
      <c r="I3300" s="714">
        <f>VLOOKUP(C3286,'Luong VP'!$B$10:$AP$189,30,0)</f>
        <v>0</v>
      </c>
      <c r="J3300" s="714">
        <f>VLOOKUP(C3286,'Luong VP'!$B$10:$AP$189,30,0)</f>
        <v>0</v>
      </c>
    </row>
    <row r="3301" spans="1:12" ht="9.1999999999999993" customHeight="1">
      <c r="A3301" s="712">
        <v>12</v>
      </c>
      <c r="B3301" s="713" t="s">
        <v>691</v>
      </c>
      <c r="C3301" s="714">
        <f>VLOOKUP(C3286,'Luong VP'!$B$10:$AP$189,18,0)</f>
        <v>0</v>
      </c>
      <c r="D3301" s="717"/>
      <c r="E3301" s="710">
        <v>2</v>
      </c>
      <c r="F3301" s="718" t="s">
        <v>239</v>
      </c>
      <c r="G3301" s="718"/>
      <c r="H3301" s="718"/>
      <c r="I3301" s="727"/>
      <c r="J3301" s="728">
        <f>VLOOKUP(C3286,'Luong VP'!$B$10:$AP$189,34,0)</f>
        <v>0</v>
      </c>
      <c r="K3301" s="731"/>
      <c r="L3301" s="715"/>
    </row>
    <row r="3302" spans="1:12" ht="9.1999999999999993" customHeight="1">
      <c r="A3302" s="712">
        <v>13</v>
      </c>
      <c r="B3302" s="713" t="s">
        <v>692</v>
      </c>
      <c r="C3302" s="714">
        <f>VLOOKUP(C3286,'Luong VP'!$B$10:$AP$189,19,0)</f>
        <v>0</v>
      </c>
      <c r="D3302" s="717"/>
      <c r="E3302" s="710">
        <v>3</v>
      </c>
      <c r="F3302" s="716" t="s">
        <v>693</v>
      </c>
      <c r="G3302" s="719"/>
      <c r="H3302" s="719"/>
      <c r="I3302" s="729"/>
      <c r="J3302" s="714">
        <f>VLOOKUP(C3286,'Luong VP'!$B$10:$AP$189,40,0)</f>
        <v>0</v>
      </c>
      <c r="K3302" s="731"/>
      <c r="L3302" s="715"/>
    </row>
    <row r="3303" spans="1:12" ht="9.1999999999999993" customHeight="1">
      <c r="A3303" s="712">
        <v>14</v>
      </c>
      <c r="B3303" s="713" t="s">
        <v>694</v>
      </c>
      <c r="C3303" s="714">
        <f>VLOOKUP(C3286,'Luong VP'!$B$10:$AP$189,20,0)</f>
        <v>0</v>
      </c>
      <c r="D3303" s="717"/>
      <c r="E3303" s="710">
        <v>4</v>
      </c>
      <c r="F3303" s="718" t="s">
        <v>695</v>
      </c>
      <c r="G3303" s="719"/>
      <c r="H3303" s="719"/>
      <c r="I3303" s="729"/>
      <c r="J3303" s="714">
        <f>VLOOKUP(C3286,'Luong VP'!$B$10:$AP$189,35,0)</f>
        <v>0</v>
      </c>
      <c r="K3303" s="732"/>
      <c r="L3303" s="715"/>
    </row>
    <row r="3304" spans="1:12" ht="9.1999999999999993" customHeight="1">
      <c r="A3304" s="712"/>
      <c r="B3304" s="707" t="s">
        <v>656</v>
      </c>
      <c r="C3304" s="714">
        <f>SUM(C3290:C3303)</f>
        <v>8781.2000000000007</v>
      </c>
      <c r="D3304" s="717"/>
      <c r="E3304" s="710"/>
      <c r="F3304" s="716" t="s">
        <v>241</v>
      </c>
      <c r="G3304" s="719"/>
      <c r="H3304" s="719"/>
      <c r="I3304" s="729"/>
      <c r="J3304" s="730">
        <f>SUM(J3291:J3303)+C3298</f>
        <v>9750.5230769230766</v>
      </c>
      <c r="K3304" s="731"/>
      <c r="L3304" s="715"/>
    </row>
    <row r="3305" spans="1:12" ht="9.1999999999999993" customHeight="1">
      <c r="B3305" s="720"/>
      <c r="C3305" s="717"/>
      <c r="D3305" s="717"/>
      <c r="E3305" s="710" t="s">
        <v>696</v>
      </c>
      <c r="F3305" s="711" t="s">
        <v>697</v>
      </c>
      <c r="G3305" s="710"/>
      <c r="H3305" s="710"/>
      <c r="I3305" s="729"/>
      <c r="J3305" s="730">
        <f>SUM(J3306:J3308)</f>
        <v>6504</v>
      </c>
      <c r="K3305" s="732"/>
      <c r="L3305" s="715"/>
    </row>
    <row r="3306" spans="1:12" ht="9.1999999999999993" customHeight="1">
      <c r="B3306" s="720"/>
      <c r="C3306" s="717"/>
      <c r="D3306" s="717"/>
      <c r="E3306" s="710">
        <v>1</v>
      </c>
      <c r="F3306" s="718" t="s">
        <v>698</v>
      </c>
      <c r="G3306" s="718"/>
      <c r="H3306" s="718"/>
      <c r="I3306" s="733"/>
      <c r="J3306" s="714">
        <f>VLOOKUP(C3286,'Luong VP'!$B$10:$AP$189,37,0)</f>
        <v>504</v>
      </c>
      <c r="K3306" s="732"/>
      <c r="L3306" s="715"/>
    </row>
    <row r="3307" spans="1:12" ht="9.1999999999999993" customHeight="1">
      <c r="B3307" s="720"/>
      <c r="C3307" s="717"/>
      <c r="D3307" s="717"/>
      <c r="E3307" s="710">
        <v>2</v>
      </c>
      <c r="F3307" s="718" t="s">
        <v>244</v>
      </c>
      <c r="G3307" s="718"/>
      <c r="H3307" s="718"/>
      <c r="I3307" s="729"/>
      <c r="J3307" s="714">
        <f>VLOOKUP(C3286,'Luong VP'!$B$10:$AP$189,39,0)</f>
        <v>6000</v>
      </c>
      <c r="K3307" s="734"/>
      <c r="L3307" s="735"/>
    </row>
    <row r="3308" spans="1:12" ht="9.1999999999999993" customHeight="1">
      <c r="B3308" s="720"/>
      <c r="C3308" s="717"/>
      <c r="D3308" s="717"/>
      <c r="E3308" s="710"/>
      <c r="F3308" s="718" t="s">
        <v>699</v>
      </c>
      <c r="G3308" s="718"/>
      <c r="H3308" s="718"/>
      <c r="I3308" s="729"/>
      <c r="J3308" s="714"/>
      <c r="K3308" s="714"/>
      <c r="L3308" s="736"/>
    </row>
    <row r="3309" spans="1:12" ht="9.1999999999999993" customHeight="1">
      <c r="B3309" s="720"/>
      <c r="C3309" s="717"/>
      <c r="D3309" s="717"/>
      <c r="E3309" s="710" t="s">
        <v>700</v>
      </c>
      <c r="F3309" s="710" t="s">
        <v>246</v>
      </c>
      <c r="G3309" s="710"/>
      <c r="H3309" s="710"/>
      <c r="I3309" s="729"/>
      <c r="J3309" s="728">
        <f>J3304-J3305</f>
        <v>3246.5230769230766</v>
      </c>
      <c r="K3309" s="728">
        <f>ROUND(J3309,-1)</f>
        <v>3250</v>
      </c>
      <c r="L3309" s="710"/>
    </row>
    <row r="3310" spans="1:12" ht="9.1999999999999993" customHeight="1">
      <c r="B3310" s="720"/>
      <c r="C3310" s="717"/>
      <c r="D3310" s="717"/>
      <c r="E3310" s="715"/>
      <c r="F3310" s="715"/>
      <c r="G3310" s="715"/>
      <c r="I3310" s="715" t="s">
        <v>701</v>
      </c>
      <c r="J3310" s="737"/>
      <c r="K3310" s="737"/>
      <c r="L3310" s="715"/>
    </row>
    <row r="3311" spans="1:12" ht="9.1999999999999993" customHeight="1">
      <c r="B3311" s="720"/>
      <c r="C3311" s="717"/>
      <c r="D3311" s="717"/>
      <c r="E3311" s="715"/>
      <c r="F3311" s="715"/>
      <c r="G3311" s="715"/>
      <c r="I3311" s="715"/>
      <c r="J3311" s="737"/>
      <c r="K3311" s="737"/>
      <c r="L3311" s="715"/>
    </row>
    <row r="3312" spans="1:12" ht="9.1999999999999993" customHeight="1">
      <c r="B3312" s="720"/>
      <c r="C3312" s="717"/>
      <c r="D3312" s="717"/>
      <c r="E3312" s="715"/>
      <c r="F3312" s="715"/>
      <c r="G3312" s="715"/>
      <c r="I3312" s="715"/>
      <c r="J3312" s="737"/>
      <c r="K3312" s="737"/>
      <c r="L3312" s="715"/>
    </row>
    <row r="3316" spans="1:12" ht="9.1999999999999993" customHeight="1">
      <c r="C3316" s="696"/>
      <c r="D3316" s="696"/>
      <c r="E3316" s="697" t="str">
        <f>$E$2</f>
        <v>THẺ LƯƠNG THÁNG 08/2019</v>
      </c>
      <c r="F3316" s="698"/>
      <c r="G3316" s="698"/>
      <c r="H3316" s="698"/>
    </row>
    <row r="3317" spans="1:12" ht="9.1999999999999993" customHeight="1">
      <c r="B3317" s="699" t="s">
        <v>644</v>
      </c>
      <c r="C3317" s="700" t="s">
        <v>491</v>
      </c>
      <c r="D3317" s="701"/>
      <c r="F3317" s="702" t="s">
        <v>645</v>
      </c>
      <c r="G3317" s="689" t="str">
        <f>VLOOKUP(C3317,'Luong VP'!$B$10:$AP$189,2,0)</f>
        <v xml:space="preserve"> Nguyễn Thọ Ngọc </v>
      </c>
    </row>
    <row r="3318" spans="1:12" ht="9.1999999999999993" customHeight="1">
      <c r="B3318" s="699" t="s">
        <v>646</v>
      </c>
      <c r="C3318" s="689" t="str">
        <f>VLOOKUP(C3317,'Luong VP'!$B$10:$AP$189,3,0)</f>
        <v>Trưởng BP QC Inline</v>
      </c>
      <c r="F3318" s="702" t="s">
        <v>647</v>
      </c>
      <c r="G3318" s="689">
        <f>VLOOKUP(C3317,'Luong VP'!$B$10:$AP$189,5,0)</f>
        <v>2</v>
      </c>
    </row>
    <row r="3319" spans="1:12" ht="9.1999999999999993" customHeight="1">
      <c r="B3319" s="703"/>
      <c r="C3319" s="704"/>
      <c r="D3319" s="705"/>
      <c r="F3319" s="706" t="s">
        <v>648</v>
      </c>
      <c r="G3319" s="706"/>
      <c r="H3319" s="706"/>
      <c r="I3319" s="725"/>
      <c r="J3319" s="726"/>
    </row>
    <row r="3320" spans="1:12" ht="9.1999999999999993" customHeight="1">
      <c r="A3320" s="707" t="s">
        <v>216</v>
      </c>
      <c r="B3320" s="707" t="s">
        <v>649</v>
      </c>
      <c r="C3320" s="708" t="s">
        <v>650</v>
      </c>
      <c r="D3320" s="709"/>
      <c r="E3320" s="710" t="s">
        <v>216</v>
      </c>
      <c r="F3320" s="711" t="s">
        <v>649</v>
      </c>
      <c r="G3320" s="710"/>
      <c r="H3320" s="710" t="s">
        <v>651</v>
      </c>
      <c r="I3320" s="727" t="s">
        <v>652</v>
      </c>
      <c r="J3320" s="714"/>
      <c r="L3320" s="694" t="s">
        <v>653</v>
      </c>
    </row>
    <row r="3321" spans="1:12" ht="9.1999999999999993" customHeight="1">
      <c r="A3321" s="712">
        <v>1</v>
      </c>
      <c r="B3321" s="713" t="s">
        <v>654</v>
      </c>
      <c r="C3321" s="714">
        <f>VLOOKUP(C3317,'Luong VP'!$B$10:$AP$189,9,0)</f>
        <v>12800</v>
      </c>
      <c r="D3321" s="715"/>
      <c r="E3321" s="710" t="s">
        <v>655</v>
      </c>
      <c r="F3321" s="716" t="s">
        <v>656</v>
      </c>
      <c r="G3321" s="710"/>
      <c r="H3321" s="710"/>
      <c r="I3321" s="727"/>
      <c r="J3321" s="714">
        <f>VLOOKUP(C3317,'Luong VP'!$B$10:$AP$189,21,0)</f>
        <v>15292</v>
      </c>
    </row>
    <row r="3322" spans="1:12" ht="9.1999999999999993" customHeight="1">
      <c r="A3322" s="712">
        <v>2</v>
      </c>
      <c r="B3322" s="713" t="s">
        <v>658</v>
      </c>
      <c r="C3322" s="714"/>
      <c r="D3322" s="717"/>
      <c r="E3322" s="710">
        <v>1</v>
      </c>
      <c r="F3322" s="718" t="s">
        <v>659</v>
      </c>
      <c r="G3322" s="718"/>
      <c r="H3322" s="710" t="s">
        <v>660</v>
      </c>
      <c r="I3322" s="727">
        <f>VLOOKUP(C3317,'Luong VP'!$B$10:$AP$189,22,0)</f>
        <v>26</v>
      </c>
      <c r="J3322" s="728">
        <f>J3321/'Cham cong'!$AS$3*I3322</f>
        <v>15292</v>
      </c>
    </row>
    <row r="3323" spans="1:12" ht="9.1999999999999993" customHeight="1">
      <c r="A3323" s="712">
        <v>3</v>
      </c>
      <c r="B3323" s="713" t="s">
        <v>661</v>
      </c>
      <c r="C3323" s="714">
        <f>VLOOKUP(C3317,'Luong VP'!$B$10:$AP$189,10,0)</f>
        <v>0</v>
      </c>
      <c r="D3323" s="717"/>
      <c r="E3323" s="710">
        <v>2</v>
      </c>
      <c r="F3323" s="718" t="s">
        <v>662</v>
      </c>
      <c r="G3323" s="718"/>
      <c r="H3323" s="710" t="s">
        <v>660</v>
      </c>
      <c r="I3323" s="727">
        <f>VLOOKUP(C3317,'Luong VP'!$B$10:$AP$189,27,0)</f>
        <v>0</v>
      </c>
      <c r="J3323" s="728">
        <f>J3321/'Cham cong'!$AS$3*I3323*3</f>
        <v>0</v>
      </c>
    </row>
    <row r="3324" spans="1:12" ht="9.1999999999999993" customHeight="1">
      <c r="A3324" s="712">
        <v>4</v>
      </c>
      <c r="B3324" s="713" t="s">
        <v>666</v>
      </c>
      <c r="C3324" s="714">
        <f>VLOOKUP(C3317,'Luong VP'!$B$10:$AP$189,11,0)</f>
        <v>500</v>
      </c>
      <c r="D3324" s="717"/>
      <c r="E3324" s="710">
        <v>3</v>
      </c>
      <c r="F3324" s="718" t="s">
        <v>667</v>
      </c>
      <c r="G3324" s="718"/>
      <c r="H3324" s="710" t="s">
        <v>668</v>
      </c>
      <c r="I3324" s="727">
        <f>VLOOKUP(C3317,'Luong VP'!$B$10:$AP$189,26,0)</f>
        <v>0</v>
      </c>
      <c r="J3324" s="728">
        <f>J3321/'Cham cong'!$AS$3*I3324/8*1.5</f>
        <v>0</v>
      </c>
    </row>
    <row r="3325" spans="1:12" ht="9.1999999999999993" customHeight="1">
      <c r="A3325" s="712">
        <v>5</v>
      </c>
      <c r="B3325" s="713" t="s">
        <v>670</v>
      </c>
      <c r="C3325" s="714">
        <f>VLOOKUP(C3317,'Luong VP'!$B$10:$AP$189,12,0)</f>
        <v>1792.0000000000002</v>
      </c>
      <c r="D3325" s="717"/>
      <c r="E3325" s="710">
        <v>4</v>
      </c>
      <c r="F3325" s="718" t="s">
        <v>671</v>
      </c>
      <c r="G3325" s="718"/>
      <c r="H3325" s="710" t="s">
        <v>668</v>
      </c>
      <c r="I3325" s="727">
        <f>VLOOKUP(C3317,'Luong VP'!$B$10:$AP$189,25,0)</f>
        <v>0</v>
      </c>
      <c r="J3325" s="728">
        <f>J3321/'Cham cong'!$AS$3*I3325/8*2</f>
        <v>0</v>
      </c>
    </row>
    <row r="3326" spans="1:12" ht="9.1999999999999993" customHeight="1">
      <c r="A3326" s="712">
        <v>6</v>
      </c>
      <c r="B3326" s="713" t="s">
        <v>673</v>
      </c>
      <c r="C3326" s="714">
        <f>VLOOKUP(C3317,'Luong VP'!$B$10:$AP$189,13,0)</f>
        <v>0</v>
      </c>
      <c r="D3326" s="717"/>
      <c r="E3326" s="710">
        <v>5</v>
      </c>
      <c r="F3326" s="718" t="s">
        <v>674</v>
      </c>
      <c r="G3326" s="718"/>
      <c r="H3326" s="710" t="s">
        <v>660</v>
      </c>
      <c r="I3326" s="727">
        <f>VLOOKUP(C3317,'Luong VP'!$B$10:$AP$189,23,0)</f>
        <v>0</v>
      </c>
      <c r="J3326" s="728">
        <f>C3321/'Cham cong'!$AS$3*I3326</f>
        <v>0</v>
      </c>
      <c r="L3326" s="694" t="str">
        <f>G3317</f>
        <v xml:space="preserve"> Nguyễn Thọ Ngọc </v>
      </c>
    </row>
    <row r="3327" spans="1:12" ht="9.1999999999999993" customHeight="1">
      <c r="A3327" s="712">
        <v>7</v>
      </c>
      <c r="B3327" s="713" t="s">
        <v>676</v>
      </c>
      <c r="C3327" s="714"/>
      <c r="D3327" s="717"/>
      <c r="E3327" s="710">
        <v>6</v>
      </c>
      <c r="F3327" s="718" t="s">
        <v>677</v>
      </c>
      <c r="G3327" s="718"/>
      <c r="H3327" s="710" t="s">
        <v>660</v>
      </c>
      <c r="I3327" s="727">
        <f>VLOOKUP(C3317,'Luong VP'!$B$10:$AP$189,24,0)</f>
        <v>1</v>
      </c>
      <c r="J3327" s="714">
        <f>C3321/'Cham cong'!$AS$3*I3327</f>
        <v>492.30769230769232</v>
      </c>
    </row>
    <row r="3328" spans="1:12" ht="9.1999999999999993" customHeight="1">
      <c r="A3328" s="712">
        <v>8</v>
      </c>
      <c r="B3328" s="713" t="s">
        <v>679</v>
      </c>
      <c r="C3328" s="714">
        <f>VLOOKUP(C3317,'Luong VP'!$B$10:$AP$189,14,0)</f>
        <v>200</v>
      </c>
      <c r="D3328" s="717"/>
      <c r="E3328" s="710">
        <v>7</v>
      </c>
      <c r="F3328" s="718" t="s">
        <v>680</v>
      </c>
      <c r="G3328" s="718"/>
      <c r="H3328" s="718"/>
      <c r="I3328" s="729"/>
      <c r="J3328" s="714">
        <f>VLOOKUP(C3317,'Luong VP'!$B$10:$AP$189,28,0)</f>
        <v>0</v>
      </c>
    </row>
    <row r="3329" spans="1:12" ht="9.1999999999999993" customHeight="1">
      <c r="A3329" s="712">
        <v>9</v>
      </c>
      <c r="B3329" s="713" t="s">
        <v>683</v>
      </c>
      <c r="C3329" s="714">
        <f>VLOOKUP(C3317,'Luong VP'!$B$10:$AP$189,15,0)</f>
        <v>300</v>
      </c>
      <c r="D3329" s="717"/>
      <c r="E3329" s="710">
        <v>8</v>
      </c>
      <c r="F3329" s="718" t="s">
        <v>238</v>
      </c>
      <c r="G3329" s="718"/>
      <c r="H3329" s="780"/>
      <c r="I3329" s="803"/>
      <c r="J3329" s="804"/>
    </row>
    <row r="3330" spans="1:12" ht="9.1999999999999993" customHeight="1">
      <c r="A3330" s="712">
        <v>10</v>
      </c>
      <c r="B3330" s="713" t="s">
        <v>685</v>
      </c>
      <c r="C3330" s="714">
        <f>VLOOKUP(C3317,'Luong VP'!$B$10:$AP$189,16,0)</f>
        <v>0</v>
      </c>
      <c r="D3330" s="717"/>
      <c r="E3330" s="710" t="s">
        <v>686</v>
      </c>
      <c r="F3330" s="716" t="s">
        <v>687</v>
      </c>
      <c r="G3330" s="719"/>
      <c r="H3330" s="719"/>
      <c r="I3330" s="729"/>
      <c r="J3330" s="730"/>
    </row>
    <row r="3331" spans="1:12" ht="9.1999999999999993" customHeight="1">
      <c r="A3331" s="712">
        <v>11</v>
      </c>
      <c r="B3331" s="713" t="s">
        <v>688</v>
      </c>
      <c r="C3331" s="714">
        <f>VLOOKUP(C3317,'Luong VP'!$B$10:$AP$189,17,0)</f>
        <v>0</v>
      </c>
      <c r="D3331" s="717"/>
      <c r="E3331" s="710">
        <v>1</v>
      </c>
      <c r="F3331" s="716" t="s">
        <v>689</v>
      </c>
      <c r="G3331" s="719"/>
      <c r="H3331" s="719"/>
      <c r="I3331" s="714">
        <f>VLOOKUP(C3317,'Luong VP'!$B$10:$AP$189,30,0)</f>
        <v>0</v>
      </c>
      <c r="J3331" s="714">
        <f>VLOOKUP(C3317,'Luong VP'!$B$10:$AP$189,30,0)</f>
        <v>0</v>
      </c>
    </row>
    <row r="3332" spans="1:12" ht="9.1999999999999993" customHeight="1">
      <c r="A3332" s="712">
        <v>12</v>
      </c>
      <c r="B3332" s="713" t="s">
        <v>691</v>
      </c>
      <c r="C3332" s="714">
        <f>VLOOKUP(C3317,'Luong VP'!$B$10:$AP$189,18,0)</f>
        <v>0</v>
      </c>
      <c r="D3332" s="717"/>
      <c r="E3332" s="710">
        <v>2</v>
      </c>
      <c r="F3332" s="718" t="s">
        <v>239</v>
      </c>
      <c r="G3332" s="718"/>
      <c r="H3332" s="718"/>
      <c r="I3332" s="727"/>
      <c r="J3332" s="728">
        <f>VLOOKUP(C3317,'Luong VP'!$B$10:$AP$189,34,0)</f>
        <v>0</v>
      </c>
      <c r="K3332" s="731"/>
      <c r="L3332" s="715"/>
    </row>
    <row r="3333" spans="1:12" ht="9.1999999999999993" customHeight="1">
      <c r="A3333" s="712">
        <v>13</v>
      </c>
      <c r="B3333" s="713" t="s">
        <v>692</v>
      </c>
      <c r="C3333" s="714">
        <f>VLOOKUP(C3317,'Luong VP'!$B$10:$AP$189,19,0)</f>
        <v>0</v>
      </c>
      <c r="D3333" s="717"/>
      <c r="E3333" s="710">
        <v>3</v>
      </c>
      <c r="F3333" s="716" t="s">
        <v>693</v>
      </c>
      <c r="G3333" s="719"/>
      <c r="H3333" s="719"/>
      <c r="I3333" s="729"/>
      <c r="J3333" s="714">
        <f>VLOOKUP(C3317,'Luong VP'!$B$10:$AP$189,40,0)</f>
        <v>0</v>
      </c>
      <c r="K3333" s="731"/>
      <c r="L3333" s="715"/>
    </row>
    <row r="3334" spans="1:12" ht="9.1999999999999993" customHeight="1">
      <c r="A3334" s="712">
        <v>14</v>
      </c>
      <c r="B3334" s="713" t="s">
        <v>694</v>
      </c>
      <c r="C3334" s="714">
        <f>VLOOKUP(C3317,'Luong VP'!$B$10:$AP$189,20,0)</f>
        <v>0</v>
      </c>
      <c r="D3334" s="717"/>
      <c r="E3334" s="710">
        <v>4</v>
      </c>
      <c r="F3334" s="718" t="s">
        <v>695</v>
      </c>
      <c r="G3334" s="719"/>
      <c r="H3334" s="719"/>
      <c r="I3334" s="729"/>
      <c r="J3334" s="714">
        <f>VLOOKUP(C3317,'Luong VP'!$B$10:$AP$189,35,0)</f>
        <v>0</v>
      </c>
      <c r="K3334" s="732"/>
      <c r="L3334" s="715"/>
    </row>
    <row r="3335" spans="1:12" ht="9.1999999999999993" customHeight="1">
      <c r="A3335" s="712"/>
      <c r="B3335" s="707" t="s">
        <v>656</v>
      </c>
      <c r="C3335" s="714">
        <f>SUM(C3321:C3334)</f>
        <v>15592</v>
      </c>
      <c r="D3335" s="717"/>
      <c r="E3335" s="710"/>
      <c r="F3335" s="716" t="s">
        <v>241</v>
      </c>
      <c r="G3335" s="719"/>
      <c r="H3335" s="719"/>
      <c r="I3335" s="729"/>
      <c r="J3335" s="730">
        <f>SUM(J3322:J3334)+C3329</f>
        <v>16084.307692307691</v>
      </c>
      <c r="K3335" s="731"/>
      <c r="L3335" s="715"/>
    </row>
    <row r="3336" spans="1:12" ht="9.1999999999999993" customHeight="1">
      <c r="B3336" s="720"/>
      <c r="C3336" s="717"/>
      <c r="D3336" s="717"/>
      <c r="E3336" s="710" t="s">
        <v>696</v>
      </c>
      <c r="F3336" s="711" t="s">
        <v>697</v>
      </c>
      <c r="G3336" s="710"/>
      <c r="H3336" s="710"/>
      <c r="I3336" s="729"/>
      <c r="J3336" s="730">
        <f>SUM(J3337:J3339)</f>
        <v>10577.5</v>
      </c>
      <c r="K3336" s="732"/>
      <c r="L3336" s="715"/>
    </row>
    <row r="3337" spans="1:12" ht="9.1999999999999993" customHeight="1">
      <c r="B3337" s="720"/>
      <c r="C3337" s="717"/>
      <c r="D3337" s="717"/>
      <c r="E3337" s="710">
        <v>1</v>
      </c>
      <c r="F3337" s="718" t="s">
        <v>698</v>
      </c>
      <c r="G3337" s="718"/>
      <c r="H3337" s="718"/>
      <c r="I3337" s="733"/>
      <c r="J3337" s="714">
        <f>VLOOKUP(C3317,'Luong VP'!$B$10:$AP$189,37,0)</f>
        <v>577.5</v>
      </c>
      <c r="K3337" s="732"/>
      <c r="L3337" s="715"/>
    </row>
    <row r="3338" spans="1:12" ht="9.1999999999999993" customHeight="1">
      <c r="B3338" s="720"/>
      <c r="C3338" s="717"/>
      <c r="D3338" s="717"/>
      <c r="E3338" s="710">
        <v>2</v>
      </c>
      <c r="F3338" s="718" t="s">
        <v>244</v>
      </c>
      <c r="G3338" s="718"/>
      <c r="H3338" s="718"/>
      <c r="I3338" s="729"/>
      <c r="J3338" s="714">
        <f>VLOOKUP(C3317,'Luong VP'!$B$10:$AP$189,39,0)</f>
        <v>10000</v>
      </c>
      <c r="K3338" s="734"/>
      <c r="L3338" s="735"/>
    </row>
    <row r="3339" spans="1:12" ht="9.1999999999999993" customHeight="1">
      <c r="B3339" s="720"/>
      <c r="C3339" s="717"/>
      <c r="D3339" s="717"/>
      <c r="E3339" s="710"/>
      <c r="F3339" s="718" t="s">
        <v>699</v>
      </c>
      <c r="G3339" s="718"/>
      <c r="H3339" s="718"/>
      <c r="I3339" s="729"/>
      <c r="J3339" s="714"/>
      <c r="K3339" s="714"/>
      <c r="L3339" s="736"/>
    </row>
    <row r="3340" spans="1:12" ht="9.1999999999999993" customHeight="1">
      <c r="B3340" s="720"/>
      <c r="C3340" s="717"/>
      <c r="D3340" s="717"/>
      <c r="E3340" s="710" t="s">
        <v>700</v>
      </c>
      <c r="F3340" s="710" t="s">
        <v>246</v>
      </c>
      <c r="G3340" s="710"/>
      <c r="H3340" s="710"/>
      <c r="I3340" s="729"/>
      <c r="J3340" s="728">
        <f>J3335-J3336</f>
        <v>5506.8076923076915</v>
      </c>
      <c r="K3340" s="728">
        <f>ROUND(J3340,-1)</f>
        <v>5510</v>
      </c>
      <c r="L3340" s="710"/>
    </row>
    <row r="3341" spans="1:12" ht="9.1999999999999993" customHeight="1">
      <c r="B3341" s="720"/>
      <c r="C3341" s="717"/>
      <c r="D3341" s="717"/>
      <c r="E3341" s="715"/>
      <c r="F3341" s="715"/>
      <c r="G3341" s="715"/>
      <c r="I3341" s="715" t="s">
        <v>701</v>
      </c>
      <c r="J3341" s="737"/>
      <c r="K3341" s="737"/>
      <c r="L3341" s="715"/>
    </row>
    <row r="3347" spans="1:12" ht="9.1999999999999993" customHeight="1">
      <c r="C3347" s="696"/>
      <c r="D3347" s="696"/>
      <c r="E3347" s="697" t="str">
        <f>$E$2</f>
        <v>THẺ LƯƠNG THÁNG 08/2019</v>
      </c>
      <c r="F3347" s="698"/>
      <c r="G3347" s="698"/>
      <c r="H3347" s="698"/>
    </row>
    <row r="3348" spans="1:12" ht="9.1999999999999993" customHeight="1">
      <c r="B3348" s="699" t="s">
        <v>644</v>
      </c>
      <c r="C3348" s="700" t="s">
        <v>493</v>
      </c>
      <c r="D3348" s="701"/>
      <c r="F3348" s="702" t="s">
        <v>645</v>
      </c>
      <c r="G3348" s="689" t="str">
        <f>VLOOKUP(C3348,'Luong VP'!$B$10:$AP$189,2,0)</f>
        <v>Nguyễn Thành Long</v>
      </c>
    </row>
    <row r="3349" spans="1:12" ht="9.1999999999999993" customHeight="1">
      <c r="B3349" s="699" t="s">
        <v>646</v>
      </c>
      <c r="C3349" s="689" t="str">
        <f>VLOOKUP(C3348,'Luong VP'!$B$10:$AP$189,3,0)</f>
        <v>NV QC inline ĐS - PB</v>
      </c>
      <c r="F3349" s="702" t="s">
        <v>647</v>
      </c>
      <c r="G3349" s="689">
        <f>VLOOKUP(C3348,'Luong VP'!$B$10:$AP$189,5,0)</f>
        <v>1</v>
      </c>
    </row>
    <row r="3350" spans="1:12" ht="9.1999999999999993" customHeight="1">
      <c r="B3350" s="703"/>
      <c r="C3350" s="704"/>
      <c r="D3350" s="705"/>
      <c r="F3350" s="706" t="s">
        <v>648</v>
      </c>
      <c r="G3350" s="706"/>
      <c r="H3350" s="706"/>
      <c r="I3350" s="725"/>
      <c r="J3350" s="726"/>
    </row>
    <row r="3351" spans="1:12" ht="9.1999999999999993" customHeight="1">
      <c r="A3351" s="707" t="s">
        <v>216</v>
      </c>
      <c r="B3351" s="707" t="s">
        <v>649</v>
      </c>
      <c r="C3351" s="708" t="s">
        <v>650</v>
      </c>
      <c r="D3351" s="709"/>
      <c r="E3351" s="710" t="s">
        <v>216</v>
      </c>
      <c r="F3351" s="711" t="s">
        <v>649</v>
      </c>
      <c r="G3351" s="710"/>
      <c r="H3351" s="710" t="s">
        <v>651</v>
      </c>
      <c r="I3351" s="727" t="s">
        <v>652</v>
      </c>
      <c r="J3351" s="714"/>
      <c r="L3351" s="694" t="s">
        <v>653</v>
      </c>
    </row>
    <row r="3352" spans="1:12" ht="9.1999999999999993" customHeight="1">
      <c r="A3352" s="712">
        <v>1</v>
      </c>
      <c r="B3352" s="713" t="s">
        <v>654</v>
      </c>
      <c r="C3352" s="714">
        <f>VLOOKUP(C3348,'Luong VP'!$B$10:$AP$189,9,0)</f>
        <v>7820</v>
      </c>
      <c r="D3352" s="715"/>
      <c r="E3352" s="710" t="s">
        <v>655</v>
      </c>
      <c r="F3352" s="716" t="s">
        <v>656</v>
      </c>
      <c r="G3352" s="710"/>
      <c r="H3352" s="710"/>
      <c r="I3352" s="727"/>
      <c r="J3352" s="714">
        <f>VLOOKUP(C3348,'Luong VP'!$B$10:$AP$189,21,0)</f>
        <v>8054.6</v>
      </c>
    </row>
    <row r="3353" spans="1:12" ht="9.1999999999999993" customHeight="1">
      <c r="A3353" s="712">
        <v>2</v>
      </c>
      <c r="B3353" s="713" t="s">
        <v>658</v>
      </c>
      <c r="C3353" s="714"/>
      <c r="D3353" s="717"/>
      <c r="E3353" s="710">
        <v>1</v>
      </c>
      <c r="F3353" s="718" t="s">
        <v>659</v>
      </c>
      <c r="G3353" s="718"/>
      <c r="H3353" s="710" t="s">
        <v>660</v>
      </c>
      <c r="I3353" s="727">
        <f>VLOOKUP(C3348,'Luong VP'!$B$10:$AP$189,22,0)</f>
        <v>26</v>
      </c>
      <c r="J3353" s="728">
        <f>J3352/'Cham cong'!$AS$3*I3353</f>
        <v>8054.6</v>
      </c>
    </row>
    <row r="3354" spans="1:12" ht="9.1999999999999993" customHeight="1">
      <c r="A3354" s="712">
        <v>3</v>
      </c>
      <c r="B3354" s="713" t="s">
        <v>661</v>
      </c>
      <c r="C3354" s="714">
        <f>VLOOKUP(C3348,'Luong VP'!$B$10:$AP$189,10,0)</f>
        <v>0</v>
      </c>
      <c r="D3354" s="717"/>
      <c r="E3354" s="710">
        <v>2</v>
      </c>
      <c r="F3354" s="718" t="s">
        <v>662</v>
      </c>
      <c r="G3354" s="718"/>
      <c r="H3354" s="710" t="s">
        <v>660</v>
      </c>
      <c r="I3354" s="727">
        <f>VLOOKUP(C3348,'Luong VP'!$B$10:$AP$189,27,0)</f>
        <v>0</v>
      </c>
      <c r="J3354" s="728">
        <f>J3352/'Cham cong'!$AS$3*I3354*3</f>
        <v>0</v>
      </c>
    </row>
    <row r="3355" spans="1:12" ht="9.1999999999999993" customHeight="1">
      <c r="A3355" s="712">
        <v>4</v>
      </c>
      <c r="B3355" s="713" t="s">
        <v>666</v>
      </c>
      <c r="C3355" s="714">
        <f>VLOOKUP(C3348,'Luong VP'!$B$10:$AP$189,11,0)</f>
        <v>0</v>
      </c>
      <c r="D3355" s="717"/>
      <c r="E3355" s="710">
        <v>3</v>
      </c>
      <c r="F3355" s="718" t="s">
        <v>667</v>
      </c>
      <c r="G3355" s="718"/>
      <c r="H3355" s="710" t="s">
        <v>668</v>
      </c>
      <c r="I3355" s="727">
        <f>VLOOKUP(C3348,'Luong VP'!$B$10:$AP$189,26,0)</f>
        <v>49.5</v>
      </c>
      <c r="J3355" s="728">
        <f>J3352/'Cham cong'!$AS$3*I3355/8*1.5</f>
        <v>2875.2598557692309</v>
      </c>
    </row>
    <row r="3356" spans="1:12" ht="9.1999999999999993" customHeight="1">
      <c r="A3356" s="712">
        <v>5</v>
      </c>
      <c r="B3356" s="713" t="s">
        <v>670</v>
      </c>
      <c r="C3356" s="714">
        <f>VLOOKUP(C3348,'Luong VP'!$B$10:$AP$189,12,0)</f>
        <v>234.6</v>
      </c>
      <c r="D3356" s="717"/>
      <c r="E3356" s="710">
        <v>4</v>
      </c>
      <c r="F3356" s="718" t="s">
        <v>671</v>
      </c>
      <c r="G3356" s="718"/>
      <c r="H3356" s="710" t="s">
        <v>668</v>
      </c>
      <c r="I3356" s="727">
        <f>VLOOKUP(C3348,'Luong VP'!$B$10:$AP$189,25,0)</f>
        <v>8</v>
      </c>
      <c r="J3356" s="728">
        <f>J3352/'Cham cong'!$AS$3*I3356/8*2</f>
        <v>619.5846153846154</v>
      </c>
    </row>
    <row r="3357" spans="1:12" ht="9.1999999999999993" customHeight="1">
      <c r="A3357" s="712">
        <v>6</v>
      </c>
      <c r="B3357" s="713" t="s">
        <v>673</v>
      </c>
      <c r="C3357" s="714">
        <f>VLOOKUP(C3348,'Luong VP'!$B$10:$AP$189,13,0)</f>
        <v>0</v>
      </c>
      <c r="D3357" s="717"/>
      <c r="E3357" s="710">
        <v>5</v>
      </c>
      <c r="F3357" s="718" t="s">
        <v>674</v>
      </c>
      <c r="G3357" s="718"/>
      <c r="H3357" s="710" t="s">
        <v>660</v>
      </c>
      <c r="I3357" s="727">
        <f>VLOOKUP(C3348,'Luong VP'!$B$10:$AP$189,23,0)</f>
        <v>0</v>
      </c>
      <c r="J3357" s="728">
        <f>C3352/'Cham cong'!$AS$3*I3357</f>
        <v>0</v>
      </c>
      <c r="L3357" s="694" t="str">
        <f>G3348</f>
        <v>Nguyễn Thành Long</v>
      </c>
    </row>
    <row r="3358" spans="1:12" ht="9.1999999999999993" customHeight="1">
      <c r="A3358" s="712">
        <v>7</v>
      </c>
      <c r="B3358" s="713" t="s">
        <v>676</v>
      </c>
      <c r="C3358" s="714"/>
      <c r="D3358" s="717"/>
      <c r="E3358" s="710">
        <v>6</v>
      </c>
      <c r="F3358" s="718" t="s">
        <v>677</v>
      </c>
      <c r="G3358" s="718"/>
      <c r="H3358" s="710" t="s">
        <v>660</v>
      </c>
      <c r="I3358" s="727">
        <f>VLOOKUP(C3348,'Luong VP'!$B$10:$AP$189,24,0)</f>
        <v>1</v>
      </c>
      <c r="J3358" s="714">
        <f>C3352/'Cham cong'!$AS$3*I3358</f>
        <v>300.76923076923077</v>
      </c>
    </row>
    <row r="3359" spans="1:12" ht="9.1999999999999993" customHeight="1">
      <c r="A3359" s="712">
        <v>8</v>
      </c>
      <c r="B3359" s="713" t="s">
        <v>679</v>
      </c>
      <c r="C3359" s="714">
        <f>VLOOKUP(C3348,'Luong VP'!$B$10:$AP$189,14,0)</f>
        <v>0</v>
      </c>
      <c r="D3359" s="717"/>
      <c r="E3359" s="710">
        <v>7</v>
      </c>
      <c r="F3359" s="718" t="s">
        <v>680</v>
      </c>
      <c r="G3359" s="718"/>
      <c r="H3359" s="718"/>
      <c r="I3359" s="729"/>
      <c r="J3359" s="714">
        <f>VLOOKUP(C3348,'Luong VP'!$B$10:$AP$189,28,0)</f>
        <v>0</v>
      </c>
    </row>
    <row r="3360" spans="1:12" ht="9.1999999999999993" customHeight="1">
      <c r="A3360" s="712">
        <v>9</v>
      </c>
      <c r="B3360" s="713" t="s">
        <v>683</v>
      </c>
      <c r="C3360" s="714">
        <f>VLOOKUP(C3348,'Luong VP'!$B$10:$AP$189,15,0)</f>
        <v>0</v>
      </c>
      <c r="D3360" s="717"/>
      <c r="E3360" s="710">
        <v>8</v>
      </c>
      <c r="F3360" s="718" t="s">
        <v>238</v>
      </c>
      <c r="G3360" s="718"/>
      <c r="H3360" s="718"/>
      <c r="I3360" s="729"/>
      <c r="J3360" s="714">
        <f>VLOOKUP(C3348,'Luong VP'!$B$10:$AP$189,33,0)</f>
        <v>0</v>
      </c>
    </row>
    <row r="3361" spans="1:12" ht="9.1999999999999993" customHeight="1">
      <c r="A3361" s="712">
        <v>10</v>
      </c>
      <c r="B3361" s="713" t="s">
        <v>685</v>
      </c>
      <c r="C3361" s="714">
        <f>VLOOKUP(C3348,'Luong VP'!$B$10:$AP$189,16,0)</f>
        <v>0</v>
      </c>
      <c r="D3361" s="717"/>
      <c r="E3361" s="710" t="s">
        <v>686</v>
      </c>
      <c r="F3361" s="716" t="s">
        <v>687</v>
      </c>
      <c r="G3361" s="719"/>
      <c r="H3361" s="719"/>
      <c r="I3361" s="729"/>
      <c r="J3361" s="730"/>
    </row>
    <row r="3362" spans="1:12" ht="9.1999999999999993" customHeight="1">
      <c r="A3362" s="712">
        <v>11</v>
      </c>
      <c r="B3362" s="713" t="s">
        <v>688</v>
      </c>
      <c r="C3362" s="714">
        <f>VLOOKUP(C3348,'Luong VP'!$B$10:$AP$189,17,0)</f>
        <v>0</v>
      </c>
      <c r="D3362" s="717"/>
      <c r="E3362" s="710">
        <v>1</v>
      </c>
      <c r="F3362" s="716" t="s">
        <v>689</v>
      </c>
      <c r="G3362" s="719"/>
      <c r="H3362" s="719"/>
      <c r="I3362" s="714">
        <f>VLOOKUP(C3348,'Luong VP'!$B$10:$AP$189,30,0)</f>
        <v>0</v>
      </c>
      <c r="J3362" s="714">
        <f>VLOOKUP(C3348,'Luong VP'!$B$10:$AP$189,30,0)</f>
        <v>0</v>
      </c>
    </row>
    <row r="3363" spans="1:12" ht="9.1999999999999993" customHeight="1">
      <c r="A3363" s="712">
        <v>12</v>
      </c>
      <c r="B3363" s="713" t="s">
        <v>691</v>
      </c>
      <c r="C3363" s="714">
        <f>VLOOKUP(C3348,'Luong VP'!$B$10:$AP$189,18,0)</f>
        <v>0</v>
      </c>
      <c r="D3363" s="717"/>
      <c r="E3363" s="710">
        <v>2</v>
      </c>
      <c r="F3363" s="718" t="s">
        <v>239</v>
      </c>
      <c r="G3363" s="718"/>
      <c r="H3363" s="718"/>
      <c r="I3363" s="727"/>
      <c r="J3363" s="728">
        <f>VLOOKUP(C3348,'Luong VP'!$B$10:$AP$189,34,0)</f>
        <v>0</v>
      </c>
      <c r="K3363" s="731"/>
      <c r="L3363" s="715"/>
    </row>
    <row r="3364" spans="1:12" ht="9.1999999999999993" customHeight="1">
      <c r="A3364" s="712">
        <v>13</v>
      </c>
      <c r="B3364" s="713" t="s">
        <v>692</v>
      </c>
      <c r="C3364" s="714">
        <f>VLOOKUP(C3348,'Luong VP'!$B$10:$AP$189,19,0)</f>
        <v>0</v>
      </c>
      <c r="D3364" s="717"/>
      <c r="E3364" s="710">
        <v>3</v>
      </c>
      <c r="F3364" s="716" t="s">
        <v>693</v>
      </c>
      <c r="G3364" s="719"/>
      <c r="H3364" s="719"/>
      <c r="I3364" s="729"/>
      <c r="J3364" s="714">
        <f>VLOOKUP(C3348,'Luong VP'!$B$10:$AP$189,40,0)</f>
        <v>0</v>
      </c>
      <c r="K3364" s="731"/>
      <c r="L3364" s="715"/>
    </row>
    <row r="3365" spans="1:12" ht="9.1999999999999993" customHeight="1">
      <c r="A3365" s="712">
        <v>14</v>
      </c>
      <c r="B3365" s="713" t="s">
        <v>694</v>
      </c>
      <c r="C3365" s="714">
        <f>VLOOKUP(C3348,'Luong VP'!$B$10:$AP$189,20,0)</f>
        <v>0</v>
      </c>
      <c r="D3365" s="717"/>
      <c r="E3365" s="710">
        <v>4</v>
      </c>
      <c r="F3365" s="718" t="s">
        <v>695</v>
      </c>
      <c r="G3365" s="719"/>
      <c r="H3365" s="719"/>
      <c r="I3365" s="729"/>
      <c r="J3365" s="714">
        <f>VLOOKUP(C3348,'Luong VP'!$B$10:$AP$189,35,0)</f>
        <v>0</v>
      </c>
      <c r="K3365" s="732"/>
      <c r="L3365" s="715"/>
    </row>
    <row r="3366" spans="1:12" ht="9.1999999999999993" customHeight="1">
      <c r="A3366" s="712"/>
      <c r="B3366" s="707" t="s">
        <v>656</v>
      </c>
      <c r="C3366" s="714">
        <f>SUM(C3352:C3365)</f>
        <v>8054.6</v>
      </c>
      <c r="D3366" s="717"/>
      <c r="E3366" s="710"/>
      <c r="F3366" s="716" t="s">
        <v>241</v>
      </c>
      <c r="G3366" s="719"/>
      <c r="H3366" s="719"/>
      <c r="I3366" s="729"/>
      <c r="J3366" s="730">
        <f>SUM(J3353:J3365)+C3360</f>
        <v>11850.213701923078</v>
      </c>
      <c r="K3366" s="731"/>
      <c r="L3366" s="715"/>
    </row>
    <row r="3367" spans="1:12" ht="9.1999999999999993" customHeight="1">
      <c r="B3367" s="720"/>
      <c r="C3367" s="717"/>
      <c r="D3367" s="717"/>
      <c r="E3367" s="710" t="s">
        <v>696</v>
      </c>
      <c r="F3367" s="711" t="s">
        <v>697</v>
      </c>
      <c r="G3367" s="710"/>
      <c r="H3367" s="710"/>
      <c r="I3367" s="729"/>
      <c r="J3367" s="730">
        <f>SUM(J3368:J3370)</f>
        <v>535.5</v>
      </c>
      <c r="K3367" s="732"/>
      <c r="L3367" s="715"/>
    </row>
    <row r="3368" spans="1:12" ht="9.1999999999999993" customHeight="1">
      <c r="B3368" s="720"/>
      <c r="C3368" s="717"/>
      <c r="D3368" s="717"/>
      <c r="E3368" s="710">
        <v>1</v>
      </c>
      <c r="F3368" s="718" t="s">
        <v>698</v>
      </c>
      <c r="G3368" s="718"/>
      <c r="H3368" s="718"/>
      <c r="I3368" s="733"/>
      <c r="J3368" s="714">
        <f>VLOOKUP(C3348,'Luong VP'!$B$10:$AP$189,37,0)</f>
        <v>535.5</v>
      </c>
      <c r="K3368" s="732"/>
      <c r="L3368" s="715"/>
    </row>
    <row r="3369" spans="1:12" ht="9.1999999999999993" customHeight="1">
      <c r="B3369" s="720"/>
      <c r="C3369" s="717"/>
      <c r="D3369" s="717"/>
      <c r="E3369" s="710">
        <v>2</v>
      </c>
      <c r="F3369" s="718" t="s">
        <v>244</v>
      </c>
      <c r="G3369" s="718"/>
      <c r="H3369" s="718"/>
      <c r="I3369" s="729"/>
      <c r="J3369" s="714">
        <f>VLOOKUP(C3348,'Luong VP'!$B$10:$AP$189,39,0)</f>
        <v>0</v>
      </c>
      <c r="K3369" s="734"/>
      <c r="L3369" s="735"/>
    </row>
    <row r="3370" spans="1:12" ht="9.1999999999999993" customHeight="1">
      <c r="B3370" s="720"/>
      <c r="C3370" s="717"/>
      <c r="D3370" s="717"/>
      <c r="E3370" s="710"/>
      <c r="F3370" s="718" t="s">
        <v>699</v>
      </c>
      <c r="G3370" s="718"/>
      <c r="H3370" s="718"/>
      <c r="I3370" s="729"/>
      <c r="J3370" s="714"/>
      <c r="K3370" s="714"/>
      <c r="L3370" s="736"/>
    </row>
    <row r="3371" spans="1:12" ht="9.1999999999999993" customHeight="1">
      <c r="B3371" s="720"/>
      <c r="C3371" s="717"/>
      <c r="D3371" s="717"/>
      <c r="E3371" s="710" t="s">
        <v>700</v>
      </c>
      <c r="F3371" s="710" t="s">
        <v>246</v>
      </c>
      <c r="G3371" s="710"/>
      <c r="H3371" s="710"/>
      <c r="I3371" s="729"/>
      <c r="J3371" s="728">
        <f>J3366-J3367</f>
        <v>11314.713701923078</v>
      </c>
      <c r="K3371" s="728">
        <f>ROUND(J3371,-1)</f>
        <v>11310</v>
      </c>
      <c r="L3371" s="710"/>
    </row>
    <row r="3372" spans="1:12" ht="9.1999999999999993" customHeight="1">
      <c r="B3372" s="720"/>
      <c r="C3372" s="717"/>
      <c r="D3372" s="717"/>
      <c r="E3372" s="715"/>
      <c r="F3372" s="715"/>
      <c r="G3372" s="715"/>
      <c r="I3372" s="715" t="s">
        <v>701</v>
      </c>
      <c r="J3372" s="737"/>
      <c r="K3372" s="737"/>
      <c r="L3372" s="715"/>
    </row>
    <row r="3373" spans="1:12" ht="9.1999999999999993" customHeight="1">
      <c r="B3373" s="720"/>
      <c r="C3373" s="717"/>
      <c r="D3373" s="717"/>
      <c r="E3373" s="715"/>
      <c r="F3373" s="715"/>
      <c r="G3373" s="715"/>
      <c r="I3373" s="715"/>
      <c r="J3373" s="737"/>
      <c r="K3373" s="737"/>
      <c r="L3373" s="715"/>
    </row>
    <row r="3374" spans="1:12" ht="9.1999999999999993" customHeight="1">
      <c r="B3374" s="720"/>
      <c r="C3374" s="717"/>
      <c r="D3374" s="717"/>
      <c r="E3374" s="715"/>
      <c r="F3374" s="715"/>
      <c r="G3374" s="715"/>
      <c r="I3374" s="715"/>
      <c r="J3374" s="737"/>
      <c r="K3374" s="737"/>
      <c r="L3374" s="715"/>
    </row>
    <row r="3375" spans="1:12" ht="9.1999999999999993" customHeight="1">
      <c r="B3375" s="720"/>
      <c r="C3375" s="717"/>
      <c r="D3375" s="717"/>
      <c r="E3375" s="715"/>
      <c r="F3375" s="715"/>
      <c r="G3375" s="715"/>
      <c r="I3375" s="715"/>
      <c r="J3375" s="737"/>
      <c r="K3375" s="737"/>
      <c r="L3375" s="715"/>
    </row>
    <row r="3376" spans="1:12" ht="9.1999999999999993" customHeight="1">
      <c r="B3376" s="720"/>
      <c r="C3376" s="717"/>
      <c r="D3376" s="717"/>
      <c r="E3376" s="715"/>
      <c r="F3376" s="715"/>
      <c r="G3376" s="715"/>
      <c r="I3376" s="715"/>
      <c r="J3376" s="737"/>
      <c r="K3376" s="737"/>
      <c r="L3376" s="715"/>
    </row>
    <row r="3378" spans="1:12" ht="9.1999999999999993" customHeight="1">
      <c r="C3378" s="696"/>
      <c r="D3378" s="696"/>
      <c r="E3378" s="697" t="str">
        <f>$E$2</f>
        <v>THẺ LƯƠNG THÁNG 08/2019</v>
      </c>
      <c r="F3378" s="698"/>
      <c r="G3378" s="698"/>
      <c r="H3378" s="698"/>
    </row>
    <row r="3379" spans="1:12" ht="9.1999999999999993" customHeight="1">
      <c r="B3379" s="699" t="s">
        <v>644</v>
      </c>
      <c r="C3379" s="700" t="s">
        <v>495</v>
      </c>
      <c r="D3379" s="701"/>
      <c r="F3379" s="702" t="s">
        <v>645</v>
      </c>
      <c r="G3379" s="689" t="str">
        <f>VLOOKUP(C3379,'Luong VP'!$B$10:$AP$189,2,0)</f>
        <v>Nguyễn Trung Hậu</v>
      </c>
    </row>
    <row r="3380" spans="1:12" ht="9.1999999999999993" customHeight="1">
      <c r="B3380" s="699" t="s">
        <v>646</v>
      </c>
      <c r="C3380" s="689" t="str">
        <f>VLOOKUP(C3379,'Luong VP'!$B$10:$AP$189,3,0)</f>
        <v>NV QC inline ĐS - PB</v>
      </c>
      <c r="F3380" s="702" t="s">
        <v>647</v>
      </c>
      <c r="G3380" s="689">
        <f>VLOOKUP(C3379,'Luong VP'!$B$10:$AP$189,5,0)</f>
        <v>1</v>
      </c>
    </row>
    <row r="3381" spans="1:12" ht="9.1999999999999993" customHeight="1">
      <c r="B3381" s="703"/>
      <c r="C3381" s="704"/>
      <c r="D3381" s="705"/>
      <c r="F3381" s="706" t="s">
        <v>648</v>
      </c>
      <c r="G3381" s="706"/>
      <c r="H3381" s="706"/>
      <c r="I3381" s="725"/>
      <c r="J3381" s="726"/>
    </row>
    <row r="3382" spans="1:12" ht="9.1999999999999993" customHeight="1">
      <c r="A3382" s="707" t="s">
        <v>216</v>
      </c>
      <c r="B3382" s="707" t="s">
        <v>649</v>
      </c>
      <c r="C3382" s="708" t="s">
        <v>650</v>
      </c>
      <c r="D3382" s="709"/>
      <c r="E3382" s="710" t="s">
        <v>216</v>
      </c>
      <c r="F3382" s="711" t="s">
        <v>649</v>
      </c>
      <c r="G3382" s="710"/>
      <c r="H3382" s="710" t="s">
        <v>651</v>
      </c>
      <c r="I3382" s="727" t="s">
        <v>652</v>
      </c>
      <c r="J3382" s="714"/>
      <c r="L3382" s="694" t="s">
        <v>653</v>
      </c>
    </row>
    <row r="3383" spans="1:12" ht="9.1999999999999993" customHeight="1">
      <c r="A3383" s="712">
        <v>1</v>
      </c>
      <c r="B3383" s="713" t="s">
        <v>654</v>
      </c>
      <c r="C3383" s="714">
        <f>VLOOKUP(C3379,'Luong VP'!$B$10:$AP$189,9,0)</f>
        <v>8000</v>
      </c>
      <c r="D3383" s="715"/>
      <c r="E3383" s="710" t="s">
        <v>655</v>
      </c>
      <c r="F3383" s="716" t="s">
        <v>656</v>
      </c>
      <c r="G3383" s="710"/>
      <c r="H3383" s="710"/>
      <c r="I3383" s="727"/>
      <c r="J3383" s="714">
        <f>VLOOKUP(C3379,'Luong VP'!$B$10:$AP$189,21,0)</f>
        <v>8100</v>
      </c>
    </row>
    <row r="3384" spans="1:12" ht="9.1999999999999993" customHeight="1">
      <c r="A3384" s="712">
        <v>2</v>
      </c>
      <c r="B3384" s="713" t="s">
        <v>658</v>
      </c>
      <c r="C3384" s="714"/>
      <c r="D3384" s="717"/>
      <c r="E3384" s="710">
        <v>1</v>
      </c>
      <c r="F3384" s="718" t="s">
        <v>659</v>
      </c>
      <c r="G3384" s="718"/>
      <c r="H3384" s="710" t="s">
        <v>660</v>
      </c>
      <c r="I3384" s="727">
        <f>VLOOKUP(C3379,'Luong VP'!$B$10:$AP$189,22,0)</f>
        <v>26</v>
      </c>
      <c r="J3384" s="728">
        <f>J3383/'Cham cong'!$AS$3*I3384</f>
        <v>8100</v>
      </c>
    </row>
    <row r="3385" spans="1:12" ht="9.1999999999999993" customHeight="1">
      <c r="A3385" s="712">
        <v>3</v>
      </c>
      <c r="B3385" s="713" t="s">
        <v>661</v>
      </c>
      <c r="C3385" s="714">
        <f>VLOOKUP(C3379,'Luong VP'!$B$10:$AP$189,10,0)</f>
        <v>0</v>
      </c>
      <c r="D3385" s="717"/>
      <c r="E3385" s="710">
        <v>2</v>
      </c>
      <c r="F3385" s="718" t="s">
        <v>662</v>
      </c>
      <c r="G3385" s="718"/>
      <c r="H3385" s="710" t="s">
        <v>660</v>
      </c>
      <c r="I3385" s="727">
        <f>VLOOKUP(C3379,'Luong VP'!$B$10:$AP$189,27,0)</f>
        <v>0</v>
      </c>
      <c r="J3385" s="728">
        <f>J3383/'Cham cong'!$AS$3*I3385*3</f>
        <v>0</v>
      </c>
    </row>
    <row r="3386" spans="1:12" ht="9.1999999999999993" customHeight="1">
      <c r="A3386" s="712">
        <v>4</v>
      </c>
      <c r="B3386" s="713" t="s">
        <v>666</v>
      </c>
      <c r="C3386" s="714">
        <f>VLOOKUP(C3379,'Luong VP'!$B$10:$AP$189,11,0)</f>
        <v>0</v>
      </c>
      <c r="D3386" s="717"/>
      <c r="E3386" s="710">
        <v>3</v>
      </c>
      <c r="F3386" s="718" t="s">
        <v>667</v>
      </c>
      <c r="G3386" s="718"/>
      <c r="H3386" s="710" t="s">
        <v>668</v>
      </c>
      <c r="I3386" s="727">
        <f>VLOOKUP(C3379,'Luong VP'!$B$10:$AP$189,26,0)</f>
        <v>12.5</v>
      </c>
      <c r="J3386" s="728">
        <f>J3383/'Cham cong'!$AS$3*I3386/8*1.5</f>
        <v>730.16826923076928</v>
      </c>
    </row>
    <row r="3387" spans="1:12" ht="9.1999999999999993" customHeight="1">
      <c r="A3387" s="712">
        <v>5</v>
      </c>
      <c r="B3387" s="713" t="s">
        <v>670</v>
      </c>
      <c r="C3387" s="714">
        <f>VLOOKUP(C3379,'Luong VP'!$B$10:$AP$189,12,0)</f>
        <v>0</v>
      </c>
      <c r="D3387" s="717"/>
      <c r="E3387" s="710">
        <v>4</v>
      </c>
      <c r="F3387" s="718" t="s">
        <v>671</v>
      </c>
      <c r="G3387" s="718"/>
      <c r="H3387" s="710" t="s">
        <v>668</v>
      </c>
      <c r="I3387" s="727">
        <f>VLOOKUP(C3379,'Luong VP'!$B$10:$AP$189,25,0)</f>
        <v>16</v>
      </c>
      <c r="J3387" s="728">
        <f>J3383/'Cham cong'!$AS$3*I3387/8*2</f>
        <v>1246.1538461538462</v>
      </c>
    </row>
    <row r="3388" spans="1:12" ht="9.1999999999999993" customHeight="1">
      <c r="A3388" s="712">
        <v>6</v>
      </c>
      <c r="B3388" s="713" t="s">
        <v>673</v>
      </c>
      <c r="C3388" s="714">
        <f>VLOOKUP(C3379,'Luong VP'!$B$10:$AP$189,13,0)</f>
        <v>0</v>
      </c>
      <c r="D3388" s="717"/>
      <c r="E3388" s="710">
        <v>5</v>
      </c>
      <c r="F3388" s="718" t="s">
        <v>674</v>
      </c>
      <c r="G3388" s="718"/>
      <c r="H3388" s="710" t="s">
        <v>660</v>
      </c>
      <c r="I3388" s="727">
        <f>VLOOKUP(C3379,'Luong VP'!$B$10:$AP$189,23,0)</f>
        <v>0</v>
      </c>
      <c r="J3388" s="728">
        <f>C3383/'Cham cong'!$AS$3*I3388</f>
        <v>0</v>
      </c>
      <c r="L3388" s="694" t="str">
        <f>G3379</f>
        <v>Nguyễn Trung Hậu</v>
      </c>
    </row>
    <row r="3389" spans="1:12" ht="9.1999999999999993" customHeight="1">
      <c r="A3389" s="712">
        <v>7</v>
      </c>
      <c r="B3389" s="713" t="s">
        <v>676</v>
      </c>
      <c r="C3389" s="714"/>
      <c r="D3389" s="717"/>
      <c r="E3389" s="710">
        <v>6</v>
      </c>
      <c r="F3389" s="718" t="s">
        <v>677</v>
      </c>
      <c r="G3389" s="718"/>
      <c r="H3389" s="710" t="s">
        <v>660</v>
      </c>
      <c r="I3389" s="727">
        <f>VLOOKUP(C3379,'Luong VP'!$B$10:$AP$189,24,0)</f>
        <v>1</v>
      </c>
      <c r="J3389" s="714">
        <f>C3383/'Cham cong'!$AS$3*I3389</f>
        <v>307.69230769230768</v>
      </c>
    </row>
    <row r="3390" spans="1:12" ht="9.1999999999999993" customHeight="1">
      <c r="A3390" s="712">
        <v>8</v>
      </c>
      <c r="B3390" s="713" t="s">
        <v>679</v>
      </c>
      <c r="C3390" s="714">
        <f>VLOOKUP(C3379,'Luong VP'!$B$10:$AP$189,14,0)</f>
        <v>100</v>
      </c>
      <c r="D3390" s="717"/>
      <c r="E3390" s="710">
        <v>7</v>
      </c>
      <c r="F3390" s="718" t="s">
        <v>680</v>
      </c>
      <c r="G3390" s="718"/>
      <c r="H3390" s="718"/>
      <c r="I3390" s="729"/>
      <c r="J3390" s="714">
        <f>VLOOKUP(C3379,'Luong VP'!$B$10:$AP$189,28,0)</f>
        <v>0</v>
      </c>
    </row>
    <row r="3391" spans="1:12" ht="9.1999999999999993" customHeight="1">
      <c r="A3391" s="712">
        <v>9</v>
      </c>
      <c r="B3391" s="713" t="s">
        <v>683</v>
      </c>
      <c r="C3391" s="714">
        <f>VLOOKUP(C3379,'Luong VP'!$B$10:$AP$189,15,0)</f>
        <v>200</v>
      </c>
      <c r="D3391" s="717"/>
      <c r="E3391" s="710">
        <v>8</v>
      </c>
      <c r="F3391" s="718" t="s">
        <v>238</v>
      </c>
      <c r="G3391" s="718"/>
      <c r="H3391" s="718"/>
      <c r="I3391" s="729"/>
      <c r="J3391" s="714">
        <f>VLOOKUP(C3379,'Luong VP'!$B$10:$AP$189,33,0)</f>
        <v>0</v>
      </c>
    </row>
    <row r="3392" spans="1:12" ht="9.1999999999999993" customHeight="1">
      <c r="A3392" s="712">
        <v>10</v>
      </c>
      <c r="B3392" s="713" t="s">
        <v>685</v>
      </c>
      <c r="C3392" s="714">
        <f>VLOOKUP(C3379,'Luong VP'!$B$10:$AP$189,16,0)</f>
        <v>0</v>
      </c>
      <c r="D3392" s="717"/>
      <c r="E3392" s="710" t="s">
        <v>686</v>
      </c>
      <c r="F3392" s="716" t="s">
        <v>687</v>
      </c>
      <c r="G3392" s="719"/>
      <c r="H3392" s="719"/>
      <c r="I3392" s="729"/>
      <c r="J3392" s="730"/>
    </row>
    <row r="3393" spans="1:12" ht="9.1999999999999993" customHeight="1">
      <c r="A3393" s="712">
        <v>11</v>
      </c>
      <c r="B3393" s="713" t="s">
        <v>688</v>
      </c>
      <c r="C3393" s="714">
        <f>VLOOKUP(C3379,'Luong VP'!$B$10:$AP$189,17,0)</f>
        <v>0</v>
      </c>
      <c r="D3393" s="717"/>
      <c r="E3393" s="710">
        <v>1</v>
      </c>
      <c r="F3393" s="716" t="s">
        <v>689</v>
      </c>
      <c r="G3393" s="719"/>
      <c r="H3393" s="719"/>
      <c r="I3393" s="714">
        <f>VLOOKUP(C3379,'Luong VP'!$B$10:$AP$189,30,0)</f>
        <v>0</v>
      </c>
      <c r="J3393" s="714">
        <f>VLOOKUP(C3379,'Luong VP'!$B$10:$AP$189,30,0)</f>
        <v>0</v>
      </c>
    </row>
    <row r="3394" spans="1:12" ht="9.1999999999999993" customHeight="1">
      <c r="A3394" s="712">
        <v>12</v>
      </c>
      <c r="B3394" s="713" t="s">
        <v>691</v>
      </c>
      <c r="C3394" s="714">
        <f>VLOOKUP(C3379,'Luong VP'!$B$10:$AP$189,18,0)</f>
        <v>0</v>
      </c>
      <c r="D3394" s="717"/>
      <c r="E3394" s="710">
        <v>2</v>
      </c>
      <c r="F3394" s="718" t="s">
        <v>239</v>
      </c>
      <c r="G3394" s="718"/>
      <c r="H3394" s="718"/>
      <c r="I3394" s="727"/>
      <c r="J3394" s="728">
        <f>VLOOKUP(C3379,'Luong VP'!$B$10:$AP$189,34,0)</f>
        <v>0</v>
      </c>
      <c r="K3394" s="731"/>
      <c r="L3394" s="715"/>
    </row>
    <row r="3395" spans="1:12" ht="9.1999999999999993" customHeight="1">
      <c r="A3395" s="712">
        <v>13</v>
      </c>
      <c r="B3395" s="713" t="s">
        <v>692</v>
      </c>
      <c r="C3395" s="714">
        <f>VLOOKUP(C3379,'Luong VP'!$B$10:$AP$189,19,0)</f>
        <v>0</v>
      </c>
      <c r="D3395" s="717"/>
      <c r="E3395" s="710">
        <v>3</v>
      </c>
      <c r="F3395" s="716" t="s">
        <v>693</v>
      </c>
      <c r="G3395" s="719"/>
      <c r="H3395" s="719"/>
      <c r="I3395" s="729"/>
      <c r="J3395" s="714">
        <f>VLOOKUP(C3379,'Luong VP'!$B$10:$AP$189,40,0)</f>
        <v>0</v>
      </c>
      <c r="K3395" s="731"/>
      <c r="L3395" s="715"/>
    </row>
    <row r="3396" spans="1:12" ht="9.1999999999999993" customHeight="1">
      <c r="A3396" s="712">
        <v>14</v>
      </c>
      <c r="B3396" s="713" t="s">
        <v>694</v>
      </c>
      <c r="C3396" s="714">
        <f>VLOOKUP(C3379,'Luong VP'!$B$10:$AP$189,20,0)</f>
        <v>0</v>
      </c>
      <c r="D3396" s="717"/>
      <c r="E3396" s="710">
        <v>4</v>
      </c>
      <c r="F3396" s="718" t="s">
        <v>695</v>
      </c>
      <c r="G3396" s="719"/>
      <c r="H3396" s="719"/>
      <c r="I3396" s="729"/>
      <c r="J3396" s="714">
        <f>VLOOKUP(C3379,'Luong VP'!$B$10:$AP$189,35,0)</f>
        <v>0</v>
      </c>
      <c r="K3396" s="732"/>
      <c r="L3396" s="715"/>
    </row>
    <row r="3397" spans="1:12" ht="9.1999999999999993" customHeight="1">
      <c r="A3397" s="712"/>
      <c r="B3397" s="707" t="s">
        <v>656</v>
      </c>
      <c r="C3397" s="714">
        <f>SUM(C3383:C3396)</f>
        <v>8300</v>
      </c>
      <c r="D3397" s="717"/>
      <c r="E3397" s="710"/>
      <c r="F3397" s="716" t="s">
        <v>241</v>
      </c>
      <c r="G3397" s="719"/>
      <c r="H3397" s="719"/>
      <c r="I3397" s="729"/>
      <c r="J3397" s="730">
        <f>SUM(J3384:J3396)+C3391</f>
        <v>10584.014423076924</v>
      </c>
      <c r="K3397" s="731"/>
      <c r="L3397" s="715"/>
    </row>
    <row r="3398" spans="1:12" ht="9.1999999999999993" customHeight="1">
      <c r="B3398" s="720"/>
      <c r="C3398" s="717"/>
      <c r="D3398" s="717"/>
      <c r="E3398" s="710" t="s">
        <v>696</v>
      </c>
      <c r="F3398" s="711" t="s">
        <v>697</v>
      </c>
      <c r="G3398" s="710"/>
      <c r="H3398" s="710"/>
      <c r="I3398" s="729"/>
      <c r="J3398" s="730">
        <f>SUM(J3399:J3401)</f>
        <v>3504</v>
      </c>
      <c r="K3398" s="732"/>
      <c r="L3398" s="715"/>
    </row>
    <row r="3399" spans="1:12" ht="9.1999999999999993" customHeight="1">
      <c r="B3399" s="720"/>
      <c r="C3399" s="717"/>
      <c r="D3399" s="717"/>
      <c r="E3399" s="710">
        <v>1</v>
      </c>
      <c r="F3399" s="718" t="s">
        <v>698</v>
      </c>
      <c r="G3399" s="718"/>
      <c r="H3399" s="718"/>
      <c r="I3399" s="733"/>
      <c r="J3399" s="714">
        <f>VLOOKUP(C3379,'Luong VP'!$B$10:$AP$189,37,0)</f>
        <v>504</v>
      </c>
      <c r="K3399" s="732"/>
      <c r="L3399" s="715"/>
    </row>
    <row r="3400" spans="1:12" ht="9.1999999999999993" customHeight="1">
      <c r="B3400" s="720"/>
      <c r="C3400" s="717"/>
      <c r="D3400" s="717"/>
      <c r="E3400" s="710">
        <v>2</v>
      </c>
      <c r="F3400" s="718" t="s">
        <v>244</v>
      </c>
      <c r="G3400" s="718"/>
      <c r="H3400" s="718"/>
      <c r="I3400" s="729"/>
      <c r="J3400" s="714">
        <f>VLOOKUP(C3379,'Luong VP'!$B$10:$AP$189,39,0)</f>
        <v>3000</v>
      </c>
      <c r="K3400" s="734"/>
      <c r="L3400" s="735"/>
    </row>
    <row r="3401" spans="1:12" ht="9.1999999999999993" customHeight="1">
      <c r="B3401" s="720"/>
      <c r="C3401" s="717"/>
      <c r="D3401" s="717"/>
      <c r="E3401" s="710"/>
      <c r="F3401" s="718" t="s">
        <v>699</v>
      </c>
      <c r="G3401" s="718"/>
      <c r="H3401" s="718"/>
      <c r="I3401" s="729"/>
      <c r="J3401" s="714"/>
      <c r="K3401" s="714"/>
      <c r="L3401" s="736"/>
    </row>
    <row r="3402" spans="1:12" ht="9.1999999999999993" customHeight="1">
      <c r="B3402" s="720"/>
      <c r="C3402" s="717"/>
      <c r="D3402" s="717"/>
      <c r="E3402" s="710" t="s">
        <v>700</v>
      </c>
      <c r="F3402" s="710" t="s">
        <v>246</v>
      </c>
      <c r="G3402" s="710"/>
      <c r="H3402" s="710"/>
      <c r="I3402" s="729"/>
      <c r="J3402" s="728">
        <f>J3397-J3398</f>
        <v>7080.0144230769238</v>
      </c>
      <c r="K3402" s="728">
        <f>ROUND(J3402,-1)</f>
        <v>7080</v>
      </c>
      <c r="L3402" s="710"/>
    </row>
    <row r="3403" spans="1:12" ht="9.1999999999999993" customHeight="1">
      <c r="B3403" s="720"/>
      <c r="C3403" s="717"/>
      <c r="D3403" s="717"/>
      <c r="E3403" s="715"/>
      <c r="F3403" s="715"/>
      <c r="G3403" s="715"/>
      <c r="I3403" s="715" t="s">
        <v>701</v>
      </c>
      <c r="J3403" s="737"/>
      <c r="K3403" s="737"/>
      <c r="L3403" s="715"/>
    </row>
    <row r="3404" spans="1:12" ht="9.1999999999999993" customHeight="1">
      <c r="B3404" s="720"/>
      <c r="C3404" s="717"/>
      <c r="D3404" s="717"/>
      <c r="E3404" s="715"/>
      <c r="F3404" s="715"/>
      <c r="G3404" s="715"/>
      <c r="I3404" s="715"/>
      <c r="J3404" s="737"/>
      <c r="K3404" s="737"/>
      <c r="L3404" s="715"/>
    </row>
    <row r="3405" spans="1:12" ht="9.1999999999999993" customHeight="1">
      <c r="B3405" s="720"/>
      <c r="C3405" s="717"/>
      <c r="D3405" s="717"/>
      <c r="E3405" s="715"/>
      <c r="F3405" s="715"/>
      <c r="G3405" s="715"/>
      <c r="I3405" s="715"/>
      <c r="J3405" s="737"/>
      <c r="K3405" s="737"/>
      <c r="L3405" s="715"/>
    </row>
    <row r="3406" spans="1:12" ht="9.1999999999999993" customHeight="1">
      <c r="B3406" s="720"/>
      <c r="C3406" s="717"/>
      <c r="D3406" s="717"/>
      <c r="E3406" s="715"/>
      <c r="F3406" s="715"/>
      <c r="G3406" s="715"/>
      <c r="I3406" s="715"/>
      <c r="J3406" s="737"/>
      <c r="K3406" s="737"/>
      <c r="L3406" s="715"/>
    </row>
    <row r="3407" spans="1:12" ht="9.1999999999999993" customHeight="1">
      <c r="B3407" s="720"/>
      <c r="C3407" s="717"/>
      <c r="D3407" s="717"/>
      <c r="E3407" s="715"/>
      <c r="F3407" s="715"/>
      <c r="G3407" s="715"/>
      <c r="I3407" s="715"/>
      <c r="J3407" s="737"/>
      <c r="K3407" s="737"/>
      <c r="L3407" s="715"/>
    </row>
    <row r="3408" spans="1:12" ht="9.1999999999999993" customHeight="1">
      <c r="C3408" s="696"/>
      <c r="D3408" s="696"/>
      <c r="E3408" s="697" t="str">
        <f>$E$2</f>
        <v>THẺ LƯƠNG THÁNG 08/2019</v>
      </c>
      <c r="F3408" s="698"/>
      <c r="G3408" s="698"/>
      <c r="H3408" s="698"/>
    </row>
    <row r="3409" spans="1:12" ht="9.1999999999999993" customHeight="1">
      <c r="B3409" s="699" t="s">
        <v>644</v>
      </c>
      <c r="C3409" s="700" t="s">
        <v>1310</v>
      </c>
      <c r="D3409" s="701"/>
      <c r="F3409" s="1523" t="s">
        <v>645</v>
      </c>
      <c r="G3409" s="689" t="str">
        <f>VLOOKUP(C3409,'Luong VP'!$B$10:$AP$189,2,0)</f>
        <v>Phan Văn Ninh</v>
      </c>
    </row>
    <row r="3410" spans="1:12" ht="9.1999999999999993" customHeight="1">
      <c r="B3410" s="699" t="s">
        <v>646</v>
      </c>
      <c r="C3410" s="689" t="str">
        <f>VLOOKUP(C3409,'Luong VP'!$B$10:$AP$189,3,0)</f>
        <v>NV QC inline xử lý bùn</v>
      </c>
      <c r="F3410" s="1523" t="s">
        <v>647</v>
      </c>
      <c r="G3410" s="689">
        <f>VLOOKUP(C3409,'Luong VP'!$B$10:$AP$189,5,0)</f>
        <v>1</v>
      </c>
    </row>
    <row r="3411" spans="1:12" ht="9.1999999999999993" customHeight="1">
      <c r="B3411" s="703"/>
      <c r="C3411" s="704"/>
      <c r="D3411" s="705"/>
      <c r="F3411" s="706" t="s">
        <v>648</v>
      </c>
      <c r="G3411" s="706"/>
      <c r="H3411" s="706"/>
      <c r="I3411" s="725"/>
      <c r="J3411" s="726"/>
    </row>
    <row r="3412" spans="1:12" ht="9.1999999999999993" customHeight="1">
      <c r="A3412" s="707" t="s">
        <v>216</v>
      </c>
      <c r="B3412" s="707" t="s">
        <v>649</v>
      </c>
      <c r="C3412" s="708" t="s">
        <v>650</v>
      </c>
      <c r="D3412" s="709"/>
      <c r="E3412" s="710" t="s">
        <v>216</v>
      </c>
      <c r="F3412" s="711" t="s">
        <v>649</v>
      </c>
      <c r="G3412" s="710"/>
      <c r="H3412" s="710" t="s">
        <v>651</v>
      </c>
      <c r="I3412" s="727" t="s">
        <v>652</v>
      </c>
      <c r="J3412" s="714"/>
      <c r="L3412" s="694" t="s">
        <v>653</v>
      </c>
    </row>
    <row r="3413" spans="1:12" ht="9.1999999999999993" customHeight="1">
      <c r="A3413" s="712">
        <v>1</v>
      </c>
      <c r="B3413" s="713" t="s">
        <v>654</v>
      </c>
      <c r="C3413" s="714">
        <f>VLOOKUP(C3409,'Luong VP'!$B$10:$AP$189,9,0)</f>
        <v>7820</v>
      </c>
      <c r="D3413" s="715"/>
      <c r="E3413" s="710" t="s">
        <v>655</v>
      </c>
      <c r="F3413" s="716" t="s">
        <v>656</v>
      </c>
      <c r="G3413" s="710"/>
      <c r="H3413" s="710"/>
      <c r="I3413" s="727"/>
      <c r="J3413" s="714">
        <f>VLOOKUP(C3409,'Luong VP'!$B$10:$AP$189,21,0)</f>
        <v>6647</v>
      </c>
    </row>
    <row r="3414" spans="1:12" ht="9.1999999999999993" customHeight="1">
      <c r="A3414" s="712">
        <v>2</v>
      </c>
      <c r="B3414" s="713" t="s">
        <v>658</v>
      </c>
      <c r="C3414" s="714"/>
      <c r="D3414" s="717"/>
      <c r="E3414" s="710">
        <v>1</v>
      </c>
      <c r="F3414" s="718" t="s">
        <v>659</v>
      </c>
      <c r="G3414" s="718"/>
      <c r="H3414" s="710" t="s">
        <v>660</v>
      </c>
      <c r="I3414" s="727">
        <f>VLOOKUP(C3409,'Luong VP'!$B$10:$AP$189,22,0)</f>
        <v>26</v>
      </c>
      <c r="J3414" s="728">
        <f>J3413/'Cham cong'!$AS$3*I3414</f>
        <v>6647</v>
      </c>
    </row>
    <row r="3415" spans="1:12" ht="9.1999999999999993" customHeight="1">
      <c r="A3415" s="712">
        <v>3</v>
      </c>
      <c r="B3415" s="713" t="s">
        <v>661</v>
      </c>
      <c r="C3415" s="714">
        <f>VLOOKUP(C3409,'Luong VP'!$B$10:$AP$189,10,0)</f>
        <v>0</v>
      </c>
      <c r="D3415" s="717"/>
      <c r="E3415" s="710">
        <v>2</v>
      </c>
      <c r="F3415" s="718" t="s">
        <v>662</v>
      </c>
      <c r="G3415" s="718"/>
      <c r="H3415" s="710" t="s">
        <v>660</v>
      </c>
      <c r="I3415" s="727">
        <f>VLOOKUP(C3409,'Luong VP'!$B$10:$AP$189,27,0)</f>
        <v>0</v>
      </c>
      <c r="J3415" s="728">
        <f>J3413/'Cham cong'!$AS$3*I3415*3</f>
        <v>0</v>
      </c>
    </row>
    <row r="3416" spans="1:12" ht="9.1999999999999993" customHeight="1">
      <c r="A3416" s="712">
        <v>4</v>
      </c>
      <c r="B3416" s="713" t="s">
        <v>666</v>
      </c>
      <c r="C3416" s="714">
        <f>VLOOKUP(C3409,'Luong VP'!$B$10:$AP$189,11,0)</f>
        <v>0</v>
      </c>
      <c r="D3416" s="717"/>
      <c r="E3416" s="710">
        <v>3</v>
      </c>
      <c r="F3416" s="718" t="s">
        <v>667</v>
      </c>
      <c r="G3416" s="718"/>
      <c r="H3416" s="710" t="s">
        <v>668</v>
      </c>
      <c r="I3416" s="727">
        <f>VLOOKUP(C3409,'Luong VP'!$B$10:$AP$189,26,0)</f>
        <v>31.5</v>
      </c>
      <c r="J3416" s="728">
        <f>J3413/'Cham cong'!$AS$3*I3416/8*1.5</f>
        <v>1509.9555288461538</v>
      </c>
    </row>
    <row r="3417" spans="1:12" ht="9.1999999999999993" customHeight="1">
      <c r="A3417" s="712">
        <v>5</v>
      </c>
      <c r="B3417" s="713" t="s">
        <v>670</v>
      </c>
      <c r="C3417" s="714">
        <f>VLOOKUP(C3409,'Luong VP'!$B$10:$AP$189,12,0)</f>
        <v>0</v>
      </c>
      <c r="D3417" s="717"/>
      <c r="E3417" s="710">
        <v>4</v>
      </c>
      <c r="F3417" s="718" t="s">
        <v>671</v>
      </c>
      <c r="G3417" s="718"/>
      <c r="H3417" s="710" t="s">
        <v>668</v>
      </c>
      <c r="I3417" s="727">
        <f>VLOOKUP(C3409,'Luong VP'!$B$10:$AP$189,25,0)</f>
        <v>16</v>
      </c>
      <c r="J3417" s="728">
        <f>J3413/'Cham cong'!$AS$3*I3417/8*2</f>
        <v>1022.6153846153846</v>
      </c>
    </row>
    <row r="3418" spans="1:12" ht="9.1999999999999993" customHeight="1">
      <c r="A3418" s="712">
        <v>6</v>
      </c>
      <c r="B3418" s="713" t="s">
        <v>673</v>
      </c>
      <c r="C3418" s="714">
        <f>VLOOKUP(C3409,'Luong VP'!$B$10:$AP$189,13,0)</f>
        <v>0</v>
      </c>
      <c r="D3418" s="717"/>
      <c r="E3418" s="710">
        <v>5</v>
      </c>
      <c r="F3418" s="718" t="s">
        <v>674</v>
      </c>
      <c r="G3418" s="718"/>
      <c r="H3418" s="710" t="s">
        <v>660</v>
      </c>
      <c r="I3418" s="727">
        <f>VLOOKUP(C3409,'Luong VP'!$B$10:$AP$189,23,0)</f>
        <v>0</v>
      </c>
      <c r="J3418" s="728">
        <f>C3413/'Cham cong'!$AS$3*I3418</f>
        <v>0</v>
      </c>
      <c r="L3418" s="694" t="str">
        <f>G3409</f>
        <v>Phan Văn Ninh</v>
      </c>
    </row>
    <row r="3419" spans="1:12" ht="9.1999999999999993" customHeight="1">
      <c r="A3419" s="712">
        <v>7</v>
      </c>
      <c r="B3419" s="713" t="s">
        <v>676</v>
      </c>
      <c r="C3419" s="714"/>
      <c r="D3419" s="717"/>
      <c r="E3419" s="710">
        <v>6</v>
      </c>
      <c r="F3419" s="718" t="s">
        <v>677</v>
      </c>
      <c r="G3419" s="718"/>
      <c r="H3419" s="710" t="s">
        <v>660</v>
      </c>
      <c r="I3419" s="727">
        <f>VLOOKUP(C3409,'Luong VP'!$B$10:$AP$189,24,0)</f>
        <v>1</v>
      </c>
      <c r="J3419" s="714">
        <f>C3413/'Cham cong'!$AS$3*I3419</f>
        <v>300.76923076923077</v>
      </c>
    </row>
    <row r="3420" spans="1:12" ht="9.1999999999999993" customHeight="1">
      <c r="A3420" s="712">
        <v>8</v>
      </c>
      <c r="B3420" s="713" t="s">
        <v>679</v>
      </c>
      <c r="C3420" s="714">
        <f>VLOOKUP(C3409,'Luong VP'!$B$10:$AP$189,14,0)</f>
        <v>0</v>
      </c>
      <c r="D3420" s="717"/>
      <c r="E3420" s="710">
        <v>7</v>
      </c>
      <c r="F3420" s="718" t="s">
        <v>680</v>
      </c>
      <c r="G3420" s="718"/>
      <c r="H3420" s="718"/>
      <c r="I3420" s="729"/>
      <c r="J3420" s="714">
        <f>VLOOKUP(C3409,'Luong VP'!$B$10:$AP$189,28,0)</f>
        <v>0</v>
      </c>
    </row>
    <row r="3421" spans="1:12" ht="9.1999999999999993" customHeight="1">
      <c r="A3421" s="712">
        <v>9</v>
      </c>
      <c r="B3421" s="713" t="s">
        <v>683</v>
      </c>
      <c r="C3421" s="714">
        <f>VLOOKUP(C3409,'Luong VP'!$B$10:$AP$189,15,0)</f>
        <v>0</v>
      </c>
      <c r="D3421" s="717"/>
      <c r="E3421" s="710">
        <v>8</v>
      </c>
      <c r="F3421" s="718" t="s">
        <v>238</v>
      </c>
      <c r="G3421" s="718"/>
      <c r="H3421" s="718"/>
      <c r="I3421" s="729"/>
      <c r="J3421" s="714">
        <f>VLOOKUP(C3409,'Luong VP'!$B$10:$AP$189,33,0)</f>
        <v>0</v>
      </c>
    </row>
    <row r="3422" spans="1:12" ht="9.1999999999999993" customHeight="1">
      <c r="A3422" s="712">
        <v>10</v>
      </c>
      <c r="B3422" s="713" t="s">
        <v>685</v>
      </c>
      <c r="C3422" s="714">
        <f>VLOOKUP(C3409,'Luong VP'!$B$10:$AP$189,16,0)</f>
        <v>0</v>
      </c>
      <c r="D3422" s="717"/>
      <c r="E3422" s="710" t="s">
        <v>686</v>
      </c>
      <c r="F3422" s="716" t="s">
        <v>687</v>
      </c>
      <c r="G3422" s="719"/>
      <c r="H3422" s="719"/>
      <c r="I3422" s="729"/>
      <c r="J3422" s="730"/>
    </row>
    <row r="3423" spans="1:12" ht="9.1999999999999993" customHeight="1">
      <c r="A3423" s="712">
        <v>11</v>
      </c>
      <c r="B3423" s="713" t="s">
        <v>688</v>
      </c>
      <c r="C3423" s="714">
        <f>VLOOKUP(C3409,'Luong VP'!$B$10:$AP$189,17,0)</f>
        <v>0</v>
      </c>
      <c r="D3423" s="717"/>
      <c r="E3423" s="710">
        <v>1</v>
      </c>
      <c r="F3423" s="716" t="s">
        <v>689</v>
      </c>
      <c r="G3423" s="719"/>
      <c r="H3423" s="719"/>
      <c r="I3423" s="714">
        <f>VLOOKUP(C3409,'Luong VP'!$B$10:$AP$189,30,0)</f>
        <v>0</v>
      </c>
      <c r="J3423" s="714">
        <f>VLOOKUP(C3409,'Luong VP'!$B$10:$AP$189,30,0)</f>
        <v>0</v>
      </c>
    </row>
    <row r="3424" spans="1:12" ht="9.1999999999999993" customHeight="1">
      <c r="A3424" s="712">
        <v>12</v>
      </c>
      <c r="B3424" s="713" t="s">
        <v>691</v>
      </c>
      <c r="C3424" s="714">
        <f>VLOOKUP(C3409,'Luong VP'!$B$10:$AP$189,18,0)</f>
        <v>0</v>
      </c>
      <c r="D3424" s="717"/>
      <c r="E3424" s="710">
        <v>2</v>
      </c>
      <c r="F3424" s="718" t="s">
        <v>239</v>
      </c>
      <c r="G3424" s="718"/>
      <c r="H3424" s="718"/>
      <c r="I3424" s="727"/>
      <c r="J3424" s="728">
        <f>VLOOKUP(C3409,'Luong VP'!$B$10:$AP$189,34,0)</f>
        <v>0</v>
      </c>
      <c r="K3424" s="731"/>
      <c r="L3424" s="715"/>
    </row>
    <row r="3425" spans="1:12" ht="9.1999999999999993" customHeight="1">
      <c r="A3425" s="712">
        <v>13</v>
      </c>
      <c r="B3425" s="713" t="s">
        <v>692</v>
      </c>
      <c r="C3425" s="714">
        <f>VLOOKUP(C3409,'Luong VP'!$B$10:$AP$189,19,0)</f>
        <v>0</v>
      </c>
      <c r="D3425" s="717"/>
      <c r="E3425" s="710">
        <v>3</v>
      </c>
      <c r="F3425" s="716" t="s">
        <v>693</v>
      </c>
      <c r="G3425" s="719"/>
      <c r="H3425" s="719"/>
      <c r="I3425" s="729"/>
      <c r="J3425" s="714">
        <f>VLOOKUP(C3409,'Luong VP'!$B$10:$AP$189,40,0)</f>
        <v>0</v>
      </c>
      <c r="K3425" s="731"/>
      <c r="L3425" s="715"/>
    </row>
    <row r="3426" spans="1:12" ht="9.1999999999999993" customHeight="1">
      <c r="A3426" s="712">
        <v>14</v>
      </c>
      <c r="B3426" s="713" t="s">
        <v>694</v>
      </c>
      <c r="C3426" s="714">
        <f>VLOOKUP(C3409,'Luong VP'!$B$10:$AP$189,20,0)</f>
        <v>0</v>
      </c>
      <c r="D3426" s="717"/>
      <c r="E3426" s="710">
        <v>4</v>
      </c>
      <c r="F3426" s="718" t="s">
        <v>695</v>
      </c>
      <c r="G3426" s="719"/>
      <c r="H3426" s="719"/>
      <c r="I3426" s="729"/>
      <c r="J3426" s="714">
        <f>VLOOKUP(C3409,'Luong VP'!$B$10:$AP$189,35,0)</f>
        <v>0</v>
      </c>
      <c r="K3426" s="732"/>
      <c r="L3426" s="715"/>
    </row>
    <row r="3427" spans="1:12" ht="9.1999999999999993" customHeight="1">
      <c r="A3427" s="712"/>
      <c r="B3427" s="707" t="s">
        <v>656</v>
      </c>
      <c r="C3427" s="714">
        <f>SUM(C3413:C3426)</f>
        <v>7820</v>
      </c>
      <c r="D3427" s="717"/>
      <c r="E3427" s="710"/>
      <c r="F3427" s="716" t="s">
        <v>241</v>
      </c>
      <c r="G3427" s="719"/>
      <c r="H3427" s="719"/>
      <c r="I3427" s="729"/>
      <c r="J3427" s="730">
        <f>SUM(J3414:J3426)+C3421</f>
        <v>9480.3401442307695</v>
      </c>
      <c r="K3427" s="731"/>
      <c r="L3427" s="715"/>
    </row>
    <row r="3428" spans="1:12" ht="9.1999999999999993" customHeight="1">
      <c r="B3428" s="720"/>
      <c r="C3428" s="717"/>
      <c r="D3428" s="717"/>
      <c r="E3428" s="710" t="s">
        <v>696</v>
      </c>
      <c r="F3428" s="711" t="s">
        <v>697</v>
      </c>
      <c r="G3428" s="710"/>
      <c r="H3428" s="710"/>
      <c r="I3428" s="729"/>
      <c r="J3428" s="730">
        <f>SUM(J3429:J3431)</f>
        <v>0</v>
      </c>
      <c r="K3428" s="732"/>
      <c r="L3428" s="715"/>
    </row>
    <row r="3429" spans="1:12" ht="9.1999999999999993" customHeight="1">
      <c r="B3429" s="720"/>
      <c r="C3429" s="717"/>
      <c r="D3429" s="717"/>
      <c r="E3429" s="710">
        <v>1</v>
      </c>
      <c r="F3429" s="718" t="s">
        <v>698</v>
      </c>
      <c r="G3429" s="718"/>
      <c r="H3429" s="718"/>
      <c r="I3429" s="733"/>
      <c r="J3429" s="714">
        <f>VLOOKUP(C3409,'Luong VP'!$B$10:$AP$189,37,0)</f>
        <v>0</v>
      </c>
      <c r="K3429" s="732"/>
      <c r="L3429" s="715"/>
    </row>
    <row r="3430" spans="1:12" ht="9.1999999999999993" customHeight="1">
      <c r="B3430" s="720"/>
      <c r="C3430" s="717"/>
      <c r="D3430" s="717"/>
      <c r="E3430" s="710">
        <v>2</v>
      </c>
      <c r="F3430" s="718" t="s">
        <v>244</v>
      </c>
      <c r="G3430" s="718"/>
      <c r="H3430" s="718"/>
      <c r="I3430" s="729"/>
      <c r="J3430" s="714">
        <f>VLOOKUP(C3409,'Luong VP'!$B$10:$AP$189,39,0)</f>
        <v>0</v>
      </c>
      <c r="K3430" s="734"/>
      <c r="L3430" s="735"/>
    </row>
    <row r="3431" spans="1:12" ht="9.1999999999999993" customHeight="1">
      <c r="B3431" s="720"/>
      <c r="C3431" s="717"/>
      <c r="D3431" s="717"/>
      <c r="E3431" s="710"/>
      <c r="F3431" s="718" t="s">
        <v>699</v>
      </c>
      <c r="G3431" s="718"/>
      <c r="H3431" s="718"/>
      <c r="I3431" s="729"/>
      <c r="J3431" s="714"/>
      <c r="K3431" s="714"/>
      <c r="L3431" s="736"/>
    </row>
    <row r="3432" spans="1:12" ht="9.1999999999999993" customHeight="1">
      <c r="B3432" s="720"/>
      <c r="C3432" s="717"/>
      <c r="D3432" s="717"/>
      <c r="E3432" s="710" t="s">
        <v>700</v>
      </c>
      <c r="F3432" s="710" t="s">
        <v>246</v>
      </c>
      <c r="G3432" s="710"/>
      <c r="H3432" s="710"/>
      <c r="I3432" s="729"/>
      <c r="J3432" s="728">
        <f>J3427-J3428</f>
        <v>9480.3401442307695</v>
      </c>
      <c r="K3432" s="728">
        <f>ROUND(J3432,-1)</f>
        <v>9480</v>
      </c>
      <c r="L3432" s="710"/>
    </row>
    <row r="3433" spans="1:12" ht="9.1999999999999993" customHeight="1">
      <c r="B3433" s="720"/>
      <c r="C3433" s="717"/>
      <c r="D3433" s="717"/>
      <c r="E3433" s="715"/>
      <c r="F3433" s="715"/>
      <c r="G3433" s="715"/>
      <c r="I3433" s="715" t="s">
        <v>701</v>
      </c>
      <c r="J3433" s="737"/>
      <c r="K3433" s="737"/>
      <c r="L3433" s="715"/>
    </row>
    <row r="3434" spans="1:12" ht="9.1999999999999993" customHeight="1">
      <c r="B3434" s="720"/>
      <c r="C3434" s="717"/>
      <c r="D3434" s="717"/>
      <c r="E3434" s="715"/>
      <c r="F3434" s="715"/>
      <c r="G3434" s="715"/>
      <c r="I3434" s="715"/>
      <c r="J3434" s="737"/>
      <c r="K3434" s="737"/>
      <c r="L3434" s="715"/>
    </row>
    <row r="3435" spans="1:12" ht="9.1999999999999993" customHeight="1">
      <c r="B3435" s="720"/>
      <c r="C3435" s="717"/>
      <c r="D3435" s="717"/>
      <c r="E3435" s="715"/>
      <c r="F3435" s="715"/>
      <c r="G3435" s="715"/>
      <c r="I3435" s="715"/>
      <c r="J3435" s="737"/>
      <c r="K3435" s="737"/>
      <c r="L3435" s="715"/>
    </row>
    <row r="3436" spans="1:12" ht="9.1999999999999993" customHeight="1">
      <c r="B3436" s="720"/>
      <c r="C3436" s="717"/>
      <c r="D3436" s="717"/>
      <c r="E3436" s="715"/>
      <c r="F3436" s="715"/>
      <c r="G3436" s="715"/>
      <c r="I3436" s="715"/>
      <c r="J3436" s="737"/>
      <c r="K3436" s="737"/>
      <c r="L3436" s="715"/>
    </row>
    <row r="3437" spans="1:12" ht="9.1999999999999993" customHeight="1">
      <c r="B3437" s="720"/>
      <c r="C3437" s="717"/>
      <c r="D3437" s="717"/>
      <c r="E3437" s="715"/>
      <c r="F3437" s="715"/>
      <c r="G3437" s="715"/>
      <c r="I3437" s="715"/>
      <c r="J3437" s="737"/>
      <c r="K3437" s="737"/>
      <c r="L3437" s="715"/>
    </row>
    <row r="3438" spans="1:12" ht="9.1999999999999993" customHeight="1">
      <c r="C3438" s="696"/>
      <c r="D3438" s="696"/>
      <c r="E3438" s="697" t="str">
        <f>$E$2</f>
        <v>THẺ LƯƠNG THÁNG 08/2019</v>
      </c>
      <c r="F3438" s="698"/>
      <c r="G3438" s="698"/>
      <c r="H3438" s="698"/>
    </row>
    <row r="3439" spans="1:12" ht="9.1999999999999993" customHeight="1">
      <c r="B3439" s="699" t="s">
        <v>644</v>
      </c>
      <c r="C3439" s="700" t="s">
        <v>499</v>
      </c>
      <c r="D3439" s="701"/>
      <c r="F3439" s="702" t="s">
        <v>645</v>
      </c>
      <c r="G3439" s="689" t="str">
        <f>VLOOKUP(C3439,'Luong VP'!$B$10:$AP$189,2,0)</f>
        <v>Huỳnh Kim Hải</v>
      </c>
    </row>
    <row r="3440" spans="1:12" ht="9.1999999999999993" customHeight="1">
      <c r="B3440" s="699" t="s">
        <v>646</v>
      </c>
      <c r="C3440" s="689" t="str">
        <f>VLOOKUP(C3439,'Luong VP'!$B$10:$AP$189,3,0)</f>
        <v>GIÁM ĐỐC KINH DOANH</v>
      </c>
      <c r="F3440" s="702" t="s">
        <v>647</v>
      </c>
      <c r="G3440" s="689">
        <f>VLOOKUP(C3439,'Luong VP'!$B$10:$AP$189,5,0)</f>
        <v>5</v>
      </c>
    </row>
    <row r="3441" spans="1:12" ht="9.1999999999999993" customHeight="1">
      <c r="B3441" s="703"/>
      <c r="C3441" s="704"/>
      <c r="D3441" s="705"/>
      <c r="F3441" s="706" t="s">
        <v>648</v>
      </c>
      <c r="G3441" s="706"/>
      <c r="H3441" s="706"/>
      <c r="I3441" s="725"/>
      <c r="J3441" s="726"/>
    </row>
    <row r="3442" spans="1:12" ht="9.1999999999999993" customHeight="1">
      <c r="A3442" s="707" t="s">
        <v>216</v>
      </c>
      <c r="B3442" s="707" t="s">
        <v>649</v>
      </c>
      <c r="C3442" s="708" t="s">
        <v>650</v>
      </c>
      <c r="D3442" s="709"/>
      <c r="E3442" s="710" t="s">
        <v>216</v>
      </c>
      <c r="F3442" s="711" t="s">
        <v>649</v>
      </c>
      <c r="G3442" s="710"/>
      <c r="H3442" s="710" t="s">
        <v>651</v>
      </c>
      <c r="I3442" s="727" t="s">
        <v>652</v>
      </c>
      <c r="J3442" s="714"/>
      <c r="L3442" s="694" t="s">
        <v>653</v>
      </c>
    </row>
    <row r="3443" spans="1:12" ht="9.1999999999999993" customHeight="1">
      <c r="A3443" s="712">
        <v>1</v>
      </c>
      <c r="B3443" s="713" t="s">
        <v>654</v>
      </c>
      <c r="C3443" s="714">
        <f>VLOOKUP(C3439,'Luong VP'!$B$10:$AP$189,9,0)</f>
        <v>48190</v>
      </c>
      <c r="D3443" s="715"/>
      <c r="E3443" s="710" t="s">
        <v>655</v>
      </c>
      <c r="F3443" s="716" t="s">
        <v>656</v>
      </c>
      <c r="G3443" s="710"/>
      <c r="H3443" s="710"/>
      <c r="I3443" s="727"/>
      <c r="J3443" s="714">
        <f>VLOOKUP(C3439,'Luong VP'!$B$10:$AP$189,21,0)</f>
        <v>52190</v>
      </c>
    </row>
    <row r="3444" spans="1:12" ht="9.1999999999999993" customHeight="1">
      <c r="A3444" s="712">
        <v>2</v>
      </c>
      <c r="B3444" s="713" t="s">
        <v>658</v>
      </c>
      <c r="C3444" s="714"/>
      <c r="D3444" s="717"/>
      <c r="E3444" s="710">
        <v>1</v>
      </c>
      <c r="F3444" s="718" t="s">
        <v>659</v>
      </c>
      <c r="G3444" s="718"/>
      <c r="H3444" s="710" t="s">
        <v>660</v>
      </c>
      <c r="I3444" s="727">
        <f>VLOOKUP(C3439,'Luong VP'!$B$10:$AP$189,22,0)</f>
        <v>26</v>
      </c>
      <c r="J3444" s="728">
        <f>J3443/'Cham cong'!$AS$3*I3444</f>
        <v>52190</v>
      </c>
    </row>
    <row r="3445" spans="1:12" ht="9.1999999999999993" customHeight="1">
      <c r="A3445" s="712">
        <v>3</v>
      </c>
      <c r="B3445" s="713" t="s">
        <v>661</v>
      </c>
      <c r="C3445" s="714">
        <f>VLOOKUP(C3439,'Luong VP'!$B$10:$AP$189,10,0)</f>
        <v>0</v>
      </c>
      <c r="D3445" s="717"/>
      <c r="E3445" s="710">
        <v>2</v>
      </c>
      <c r="F3445" s="718" t="s">
        <v>662</v>
      </c>
      <c r="G3445" s="718"/>
      <c r="H3445" s="710" t="s">
        <v>660</v>
      </c>
      <c r="I3445" s="727">
        <f>VLOOKUP(C3439,'Luong VP'!$B$10:$AP$189,27,0)</f>
        <v>0</v>
      </c>
      <c r="J3445" s="728">
        <f>J3443/'Cham cong'!$AS$3*I3445*3</f>
        <v>0</v>
      </c>
    </row>
    <row r="3446" spans="1:12" ht="9.1999999999999993" customHeight="1">
      <c r="A3446" s="712">
        <v>4</v>
      </c>
      <c r="B3446" s="713" t="s">
        <v>666</v>
      </c>
      <c r="C3446" s="714">
        <f>VLOOKUP(C3439,'Luong VP'!$B$10:$AP$189,11,0)</f>
        <v>3000</v>
      </c>
      <c r="D3446" s="717"/>
      <c r="E3446" s="710">
        <v>3</v>
      </c>
      <c r="F3446" s="718" t="s">
        <v>667</v>
      </c>
      <c r="G3446" s="718"/>
      <c r="H3446" s="710" t="s">
        <v>668</v>
      </c>
      <c r="I3446" s="727">
        <f>VLOOKUP(C3439,'Luong VP'!$B$10:$AP$189,26,0)</f>
        <v>0</v>
      </c>
      <c r="J3446" s="728">
        <f>J3443/'Cham cong'!$AS$3*I3446/8*1.5</f>
        <v>0</v>
      </c>
    </row>
    <row r="3447" spans="1:12" ht="9.1999999999999993" customHeight="1">
      <c r="A3447" s="712">
        <v>5</v>
      </c>
      <c r="B3447" s="713" t="s">
        <v>670</v>
      </c>
      <c r="C3447" s="714">
        <f>VLOOKUP(C3439,'Luong VP'!$B$10:$AP$189,12,0)</f>
        <v>0</v>
      </c>
      <c r="D3447" s="717"/>
      <c r="E3447" s="710">
        <v>4</v>
      </c>
      <c r="F3447" s="718" t="s">
        <v>671</v>
      </c>
      <c r="G3447" s="718"/>
      <c r="H3447" s="710" t="s">
        <v>668</v>
      </c>
      <c r="I3447" s="727">
        <f>VLOOKUP(C3439,'Luong VP'!$B$10:$AP$189,25,0)</f>
        <v>0</v>
      </c>
      <c r="J3447" s="728">
        <f>J3443/'Cham cong'!$AS$3*I3447/8*2</f>
        <v>0</v>
      </c>
    </row>
    <row r="3448" spans="1:12" ht="9.1999999999999993" customHeight="1">
      <c r="A3448" s="712">
        <v>6</v>
      </c>
      <c r="B3448" s="713" t="s">
        <v>673</v>
      </c>
      <c r="C3448" s="714">
        <f>VLOOKUP(C3439,'Luong VP'!$B$10:$AP$189,13,0)</f>
        <v>0</v>
      </c>
      <c r="D3448" s="717"/>
      <c r="E3448" s="710">
        <v>5</v>
      </c>
      <c r="F3448" s="718" t="s">
        <v>674</v>
      </c>
      <c r="G3448" s="718"/>
      <c r="H3448" s="710" t="s">
        <v>660</v>
      </c>
      <c r="I3448" s="727">
        <f>VLOOKUP(C3439,'Luong VP'!$B$10:$AP$189,23,0)</f>
        <v>0</v>
      </c>
      <c r="J3448" s="728">
        <f>C3443/'Cham cong'!$AS$3*I3448</f>
        <v>0</v>
      </c>
      <c r="L3448" s="694" t="str">
        <f>G3439</f>
        <v>Huỳnh Kim Hải</v>
      </c>
    </row>
    <row r="3449" spans="1:12" ht="9.1999999999999993" customHeight="1">
      <c r="A3449" s="712">
        <v>7</v>
      </c>
      <c r="B3449" s="713" t="s">
        <v>676</v>
      </c>
      <c r="C3449" s="714"/>
      <c r="D3449" s="717"/>
      <c r="E3449" s="710">
        <v>6</v>
      </c>
      <c r="F3449" s="718" t="s">
        <v>677</v>
      </c>
      <c r="G3449" s="718"/>
      <c r="H3449" s="710" t="s">
        <v>660</v>
      </c>
      <c r="I3449" s="727">
        <f>VLOOKUP(C3439,'Luong VP'!$B$10:$AP$189,24,0)</f>
        <v>1</v>
      </c>
      <c r="J3449" s="714">
        <f>C3443/'Cham cong'!$AS$3*I3449</f>
        <v>1853.4615384615386</v>
      </c>
    </row>
    <row r="3450" spans="1:12" ht="9.1999999999999993" customHeight="1">
      <c r="A3450" s="712">
        <v>8</v>
      </c>
      <c r="B3450" s="713" t="s">
        <v>679</v>
      </c>
      <c r="C3450" s="714">
        <f>VLOOKUP(C3439,'Luong VP'!$B$10:$AP$189,14,0)</f>
        <v>1000</v>
      </c>
      <c r="D3450" s="717"/>
      <c r="E3450" s="710">
        <v>7</v>
      </c>
      <c r="F3450" s="718" t="s">
        <v>680</v>
      </c>
      <c r="G3450" s="718"/>
      <c r="H3450" s="718"/>
      <c r="I3450" s="729"/>
      <c r="J3450" s="714">
        <f>VLOOKUP(C3439,'Luong VP'!$B$10:$AP$189,28,0)</f>
        <v>0</v>
      </c>
    </row>
    <row r="3451" spans="1:12" ht="9.1999999999999993" customHeight="1">
      <c r="A3451" s="712">
        <v>9</v>
      </c>
      <c r="B3451" s="713" t="s">
        <v>683</v>
      </c>
      <c r="C3451" s="714">
        <f>VLOOKUP(C3439,'Luong VP'!$B$10:$AP$189,15,0)</f>
        <v>1000</v>
      </c>
      <c r="D3451" s="717"/>
      <c r="E3451" s="710">
        <v>8</v>
      </c>
      <c r="F3451" s="718" t="s">
        <v>238</v>
      </c>
      <c r="G3451" s="718"/>
      <c r="H3451" s="718"/>
      <c r="I3451" s="729"/>
      <c r="J3451" s="714">
        <f>VLOOKUP(C3439,'Luong VP'!$B$10:$AP$189,33,0)</f>
        <v>0</v>
      </c>
    </row>
    <row r="3452" spans="1:12" ht="9.1999999999999993" customHeight="1">
      <c r="A3452" s="712">
        <v>10</v>
      </c>
      <c r="B3452" s="713" t="s">
        <v>685</v>
      </c>
      <c r="C3452" s="714">
        <f>VLOOKUP(C3439,'Luong VP'!$B$10:$AP$189,16,0)</f>
        <v>0</v>
      </c>
      <c r="D3452" s="717"/>
      <c r="E3452" s="710" t="s">
        <v>686</v>
      </c>
      <c r="F3452" s="716" t="s">
        <v>687</v>
      </c>
      <c r="G3452" s="719"/>
      <c r="H3452" s="719"/>
      <c r="I3452" s="729"/>
      <c r="J3452" s="730"/>
    </row>
    <row r="3453" spans="1:12" ht="9.1999999999999993" customHeight="1">
      <c r="A3453" s="712">
        <v>11</v>
      </c>
      <c r="B3453" s="713" t="s">
        <v>688</v>
      </c>
      <c r="C3453" s="714">
        <f>VLOOKUP(C3439,'Luong VP'!$B$10:$AP$189,17,0)</f>
        <v>0</v>
      </c>
      <c r="D3453" s="717"/>
      <c r="E3453" s="710">
        <v>1</v>
      </c>
      <c r="F3453" s="716" t="s">
        <v>689</v>
      </c>
      <c r="G3453" s="719"/>
      <c r="H3453" s="719"/>
      <c r="I3453" s="714">
        <f>VLOOKUP(C3439,'Luong VP'!$B$10:$AP$189,29,0)</f>
        <v>0</v>
      </c>
      <c r="J3453" s="714">
        <f>VLOOKUP(C3439,'Luong VP'!$B$10:$AP$189,30,0)</f>
        <v>0</v>
      </c>
    </row>
    <row r="3454" spans="1:12" ht="9.1999999999999993" customHeight="1">
      <c r="A3454" s="712">
        <v>12</v>
      </c>
      <c r="B3454" s="713" t="s">
        <v>691</v>
      </c>
      <c r="C3454" s="714">
        <f>VLOOKUP(C3439,'Luong VP'!$B$10:$AP$189,18,0)</f>
        <v>0</v>
      </c>
      <c r="D3454" s="717"/>
      <c r="E3454" s="710">
        <v>2</v>
      </c>
      <c r="F3454" s="718" t="s">
        <v>239</v>
      </c>
      <c r="G3454" s="718"/>
      <c r="H3454" s="718"/>
      <c r="I3454" s="727"/>
      <c r="J3454" s="728">
        <f>VLOOKUP(C3439,'Luong VP'!$B$10:$AP$189,34,0)</f>
        <v>0</v>
      </c>
      <c r="K3454" s="731"/>
      <c r="L3454" s="715"/>
    </row>
    <row r="3455" spans="1:12" ht="9.1999999999999993" customHeight="1">
      <c r="A3455" s="712">
        <v>13</v>
      </c>
      <c r="B3455" s="713" t="s">
        <v>692</v>
      </c>
      <c r="C3455" s="714">
        <f>VLOOKUP(C3439,'Luong VP'!$B$10:$AP$189,19,0)</f>
        <v>0</v>
      </c>
      <c r="D3455" s="717"/>
      <c r="E3455" s="710">
        <v>3</v>
      </c>
      <c r="F3455" s="716" t="s">
        <v>693</v>
      </c>
      <c r="G3455" s="719"/>
      <c r="H3455" s="719"/>
      <c r="I3455" s="729"/>
      <c r="J3455" s="714">
        <f>VLOOKUP(C3439,'Luong VP'!$B$10:$AP$189,40,0)</f>
        <v>0</v>
      </c>
      <c r="K3455" s="731"/>
      <c r="L3455" s="715"/>
    </row>
    <row r="3456" spans="1:12" ht="9.1999999999999993" customHeight="1">
      <c r="A3456" s="712">
        <v>14</v>
      </c>
      <c r="B3456" s="713" t="s">
        <v>694</v>
      </c>
      <c r="C3456" s="714">
        <f>VLOOKUP(C3439,'Luong VP'!$B$10:$AP$189,20,0)</f>
        <v>0</v>
      </c>
      <c r="D3456" s="717"/>
      <c r="E3456" s="710">
        <v>4</v>
      </c>
      <c r="F3456" s="718" t="s">
        <v>695</v>
      </c>
      <c r="G3456" s="719"/>
      <c r="H3456" s="719"/>
      <c r="I3456" s="729"/>
      <c r="J3456" s="714">
        <f>VLOOKUP(C3439,'Luong VP'!$B$10:$AP$189,35,0)</f>
        <v>15000</v>
      </c>
      <c r="K3456" s="732"/>
      <c r="L3456" s="715"/>
    </row>
    <row r="3457" spans="1:12" ht="9.1999999999999993" customHeight="1">
      <c r="A3457" s="712"/>
      <c r="B3457" s="707" t="s">
        <v>656</v>
      </c>
      <c r="C3457" s="714">
        <f>SUM(C3443:C3456)</f>
        <v>53190</v>
      </c>
      <c r="D3457" s="717"/>
      <c r="E3457" s="710"/>
      <c r="F3457" s="716" t="s">
        <v>241</v>
      </c>
      <c r="G3457" s="719"/>
      <c r="H3457" s="719"/>
      <c r="I3457" s="729"/>
      <c r="J3457" s="730">
        <f>SUM(J3444:J3456)+C3451</f>
        <v>70043.461538461532</v>
      </c>
      <c r="K3457" s="731"/>
      <c r="L3457" s="715"/>
    </row>
    <row r="3458" spans="1:12" ht="9.1999999999999993" customHeight="1">
      <c r="B3458" s="720"/>
      <c r="C3458" s="717"/>
      <c r="D3458" s="717"/>
      <c r="E3458" s="710" t="s">
        <v>696</v>
      </c>
      <c r="F3458" s="711" t="s">
        <v>697</v>
      </c>
      <c r="G3458" s="710"/>
      <c r="H3458" s="710"/>
      <c r="I3458" s="729"/>
      <c r="J3458" s="730">
        <f>SUM(J3459:J3461)</f>
        <v>871.5</v>
      </c>
      <c r="K3458" s="732"/>
      <c r="L3458" s="715"/>
    </row>
    <row r="3459" spans="1:12" ht="9.1999999999999993" customHeight="1">
      <c r="B3459" s="720"/>
      <c r="C3459" s="717"/>
      <c r="D3459" s="717"/>
      <c r="E3459" s="710">
        <v>1</v>
      </c>
      <c r="F3459" s="718" t="s">
        <v>698</v>
      </c>
      <c r="G3459" s="718"/>
      <c r="H3459" s="718"/>
      <c r="I3459" s="733"/>
      <c r="J3459" s="714">
        <f>VLOOKUP(C3439,'Luong VP'!$B$10:$AP$189,37,0)</f>
        <v>871.5</v>
      </c>
      <c r="K3459" s="732"/>
      <c r="L3459" s="715"/>
    </row>
    <row r="3460" spans="1:12" ht="9.1999999999999993" customHeight="1">
      <c r="B3460" s="720"/>
      <c r="C3460" s="717"/>
      <c r="D3460" s="717"/>
      <c r="E3460" s="710">
        <v>2</v>
      </c>
      <c r="F3460" s="718" t="s">
        <v>244</v>
      </c>
      <c r="G3460" s="718"/>
      <c r="H3460" s="718"/>
      <c r="I3460" s="729"/>
      <c r="J3460" s="714">
        <f>VLOOKUP(C3439,'Luong VP'!$B$10:$AP$189,39,0)</f>
        <v>0</v>
      </c>
      <c r="K3460" s="734"/>
      <c r="L3460" s="735"/>
    </row>
    <row r="3461" spans="1:12" ht="9.1999999999999993" customHeight="1">
      <c r="B3461" s="720"/>
      <c r="C3461" s="717"/>
      <c r="D3461" s="717"/>
      <c r="E3461" s="710"/>
      <c r="F3461" s="718" t="s">
        <v>699</v>
      </c>
      <c r="G3461" s="718"/>
      <c r="H3461" s="718"/>
      <c r="I3461" s="729"/>
      <c r="J3461" s="714"/>
      <c r="K3461" s="714"/>
      <c r="L3461" s="736"/>
    </row>
    <row r="3462" spans="1:12" ht="9.1999999999999993" customHeight="1">
      <c r="B3462" s="720"/>
      <c r="C3462" s="717"/>
      <c r="D3462" s="717"/>
      <c r="E3462" s="710" t="s">
        <v>700</v>
      </c>
      <c r="F3462" s="710" t="s">
        <v>246</v>
      </c>
      <c r="G3462" s="710"/>
      <c r="H3462" s="710"/>
      <c r="I3462" s="729"/>
      <c r="J3462" s="728">
        <f>J3457-J3458</f>
        <v>69171.961538461532</v>
      </c>
      <c r="K3462" s="728">
        <f>ROUND(J3462,-1)</f>
        <v>69170</v>
      </c>
      <c r="L3462" s="710"/>
    </row>
    <row r="3463" spans="1:12" ht="9.1999999999999993" customHeight="1">
      <c r="B3463" s="720"/>
      <c r="C3463" s="717"/>
      <c r="D3463" s="717"/>
      <c r="E3463" s="715"/>
      <c r="F3463" s="715"/>
      <c r="G3463" s="715"/>
      <c r="I3463" s="715" t="s">
        <v>701</v>
      </c>
      <c r="J3463" s="737"/>
      <c r="K3463" s="737"/>
      <c r="L3463" s="715"/>
    </row>
    <row r="3464" spans="1:12" ht="9.1999999999999993" customHeight="1">
      <c r="B3464" s="720"/>
      <c r="C3464" s="717"/>
      <c r="D3464" s="717"/>
      <c r="E3464" s="715"/>
      <c r="F3464" s="715"/>
      <c r="G3464" s="715"/>
      <c r="I3464" s="715"/>
      <c r="J3464" s="737"/>
      <c r="K3464" s="737"/>
      <c r="L3464" s="715"/>
    </row>
    <row r="3468" spans="1:12" ht="9.1999999999999993" customHeight="1">
      <c r="C3468" s="696"/>
      <c r="D3468" s="696"/>
      <c r="E3468" s="697" t="str">
        <f>$E$2</f>
        <v>THẺ LƯƠNG THÁNG 08/2019</v>
      </c>
      <c r="F3468" s="698"/>
      <c r="G3468" s="698"/>
      <c r="H3468" s="698"/>
    </row>
    <row r="3469" spans="1:12" ht="9.1999999999999993" customHeight="1">
      <c r="B3469" s="699" t="s">
        <v>644</v>
      </c>
      <c r="C3469" s="700" t="s">
        <v>504</v>
      </c>
      <c r="D3469" s="701"/>
      <c r="F3469" s="702" t="s">
        <v>645</v>
      </c>
      <c r="G3469" s="689" t="str">
        <f>VLOOKUP(C3469,'Luong VP'!$B$10:$AP$189,2,0)</f>
        <v xml:space="preserve"> Thạch Minh Châu </v>
      </c>
    </row>
    <row r="3470" spans="1:12" ht="9.1999999999999993" customHeight="1">
      <c r="B3470" s="699" t="s">
        <v>646</v>
      </c>
      <c r="C3470" s="689" t="str">
        <f>VLOOKUP(C3469,'Luong VP'!$B$10:$AP$189,3,0)</f>
        <v>Sale admin</v>
      </c>
      <c r="F3470" s="702" t="s">
        <v>647</v>
      </c>
      <c r="G3470" s="689">
        <f>VLOOKUP(C3469,'Luong VP'!$B$10:$AP$189,5,0)</f>
        <v>2</v>
      </c>
    </row>
    <row r="3471" spans="1:12" ht="9.1999999999999993" customHeight="1">
      <c r="B3471" s="703"/>
      <c r="C3471" s="704"/>
      <c r="D3471" s="705"/>
      <c r="F3471" s="706" t="s">
        <v>648</v>
      </c>
      <c r="G3471" s="706"/>
      <c r="H3471" s="706"/>
      <c r="I3471" s="725"/>
      <c r="J3471" s="726"/>
    </row>
    <row r="3472" spans="1:12" ht="9.1999999999999993" customHeight="1">
      <c r="A3472" s="707" t="s">
        <v>216</v>
      </c>
      <c r="B3472" s="707" t="s">
        <v>649</v>
      </c>
      <c r="C3472" s="708" t="s">
        <v>650</v>
      </c>
      <c r="D3472" s="709"/>
      <c r="E3472" s="710" t="s">
        <v>216</v>
      </c>
      <c r="F3472" s="711" t="s">
        <v>649</v>
      </c>
      <c r="G3472" s="710"/>
      <c r="H3472" s="710" t="s">
        <v>651</v>
      </c>
      <c r="I3472" s="727" t="s">
        <v>652</v>
      </c>
      <c r="J3472" s="714"/>
      <c r="L3472" s="694" t="s">
        <v>653</v>
      </c>
    </row>
    <row r="3473" spans="1:12" ht="9.1999999999999993" customHeight="1">
      <c r="A3473" s="712">
        <v>1</v>
      </c>
      <c r="B3473" s="713" t="s">
        <v>654</v>
      </c>
      <c r="C3473" s="714">
        <f>VLOOKUP(C3469,'Luong VP'!$B$10:$AP$189,9,0)</f>
        <v>5960</v>
      </c>
      <c r="D3473" s="715"/>
      <c r="E3473" s="710" t="s">
        <v>655</v>
      </c>
      <c r="F3473" s="716" t="s">
        <v>656</v>
      </c>
      <c r="G3473" s="710"/>
      <c r="H3473" s="710"/>
      <c r="I3473" s="727"/>
      <c r="J3473" s="714">
        <f>VLOOKUP(C3469,'Luong VP'!$B$10:$AP$189,21,0)</f>
        <v>6138.8</v>
      </c>
    </row>
    <row r="3474" spans="1:12" ht="9.1999999999999993" customHeight="1">
      <c r="A3474" s="712">
        <v>2</v>
      </c>
      <c r="B3474" s="713" t="s">
        <v>658</v>
      </c>
      <c r="C3474" s="714"/>
      <c r="D3474" s="717"/>
      <c r="E3474" s="710">
        <v>1</v>
      </c>
      <c r="F3474" s="718" t="s">
        <v>659</v>
      </c>
      <c r="G3474" s="718"/>
      <c r="H3474" s="710" t="s">
        <v>660</v>
      </c>
      <c r="I3474" s="727">
        <f>VLOOKUP(C3469,'Luong VP'!$B$10:$AP$189,22,0)</f>
        <v>26</v>
      </c>
      <c r="J3474" s="728">
        <f>J3473/'Cham cong'!$AS$3*I3474</f>
        <v>6138.8</v>
      </c>
    </row>
    <row r="3475" spans="1:12" ht="9.1999999999999993" customHeight="1">
      <c r="A3475" s="712">
        <v>3</v>
      </c>
      <c r="B3475" s="713" t="s">
        <v>661</v>
      </c>
      <c r="C3475" s="714">
        <f>VLOOKUP(C3469,'Luong VP'!$B$10:$AP$189,10,0)</f>
        <v>0</v>
      </c>
      <c r="D3475" s="717"/>
      <c r="E3475" s="710">
        <v>2</v>
      </c>
      <c r="F3475" s="718" t="s">
        <v>662</v>
      </c>
      <c r="G3475" s="718"/>
      <c r="H3475" s="710" t="s">
        <v>660</v>
      </c>
      <c r="I3475" s="727">
        <f>VLOOKUP(C3469,'Luong VP'!$B$10:$AP$189,27,0)</f>
        <v>0</v>
      </c>
      <c r="J3475" s="728">
        <f>J3473/'Cham cong'!$AS$3*I3475*3</f>
        <v>0</v>
      </c>
    </row>
    <row r="3476" spans="1:12" ht="9.1999999999999993" customHeight="1">
      <c r="A3476" s="712">
        <v>4</v>
      </c>
      <c r="B3476" s="713" t="s">
        <v>666</v>
      </c>
      <c r="C3476" s="714">
        <f>VLOOKUP(C3469,'Luong VP'!$B$10:$AP$189,11,0)</f>
        <v>0</v>
      </c>
      <c r="D3476" s="717"/>
      <c r="E3476" s="710">
        <v>3</v>
      </c>
      <c r="F3476" s="718" t="s">
        <v>667</v>
      </c>
      <c r="G3476" s="718"/>
      <c r="H3476" s="710" t="s">
        <v>668</v>
      </c>
      <c r="I3476" s="727">
        <f>VLOOKUP(C3469,'Luong VP'!$B$10:$AP$189,26,0)</f>
        <v>0</v>
      </c>
      <c r="J3476" s="728">
        <f>J3473/'Cham cong'!$AS$3*I3476/8*1.5</f>
        <v>0</v>
      </c>
    </row>
    <row r="3477" spans="1:12" ht="9.1999999999999993" customHeight="1">
      <c r="A3477" s="712">
        <v>5</v>
      </c>
      <c r="B3477" s="713" t="s">
        <v>670</v>
      </c>
      <c r="C3477" s="714">
        <f>VLOOKUP(C3469,'Luong VP'!$B$10:$AP$189,12,0)</f>
        <v>178.79999999999998</v>
      </c>
      <c r="D3477" s="717"/>
      <c r="E3477" s="710">
        <v>4</v>
      </c>
      <c r="F3477" s="718" t="s">
        <v>671</v>
      </c>
      <c r="G3477" s="718"/>
      <c r="H3477" s="710" t="s">
        <v>668</v>
      </c>
      <c r="I3477" s="727">
        <f>VLOOKUP(C3469,'Luong VP'!$B$10:$AP$189,25,0)</f>
        <v>0</v>
      </c>
      <c r="J3477" s="728">
        <f>J3473/'Cham cong'!$AS$3*I3477/8*2</f>
        <v>0</v>
      </c>
    </row>
    <row r="3478" spans="1:12" ht="9.1999999999999993" customHeight="1">
      <c r="A3478" s="712">
        <v>6</v>
      </c>
      <c r="B3478" s="713" t="s">
        <v>673</v>
      </c>
      <c r="C3478" s="714">
        <f>VLOOKUP(C3469,'Luong VP'!$B$10:$AP$189,13,0)</f>
        <v>0</v>
      </c>
      <c r="D3478" s="717"/>
      <c r="E3478" s="710">
        <v>5</v>
      </c>
      <c r="F3478" s="718" t="s">
        <v>674</v>
      </c>
      <c r="G3478" s="718"/>
      <c r="H3478" s="710" t="s">
        <v>660</v>
      </c>
      <c r="I3478" s="727">
        <f>VLOOKUP(C3469,'Luong VP'!$B$10:$AP$189,23,0)</f>
        <v>0</v>
      </c>
      <c r="J3478" s="728">
        <f>C3473/'Cham cong'!$AS$3*I3478</f>
        <v>0</v>
      </c>
      <c r="L3478" s="694" t="str">
        <f>G3469</f>
        <v xml:space="preserve"> Thạch Minh Châu </v>
      </c>
    </row>
    <row r="3479" spans="1:12" ht="9.1999999999999993" customHeight="1">
      <c r="A3479" s="712">
        <v>7</v>
      </c>
      <c r="B3479" s="713" t="s">
        <v>676</v>
      </c>
      <c r="C3479" s="714"/>
      <c r="D3479" s="717"/>
      <c r="E3479" s="710">
        <v>6</v>
      </c>
      <c r="F3479" s="718" t="s">
        <v>677</v>
      </c>
      <c r="G3479" s="718"/>
      <c r="H3479" s="710" t="s">
        <v>660</v>
      </c>
      <c r="I3479" s="727">
        <f>VLOOKUP(C3469,'Luong VP'!$B$10:$AP$189,24,0)</f>
        <v>1</v>
      </c>
      <c r="J3479" s="714">
        <f>C3473/'Cham cong'!$AS$3*I3479</f>
        <v>229.23076923076923</v>
      </c>
    </row>
    <row r="3480" spans="1:12" ht="9.1999999999999993" customHeight="1">
      <c r="A3480" s="712">
        <v>8</v>
      </c>
      <c r="B3480" s="713" t="s">
        <v>679</v>
      </c>
      <c r="C3480" s="714">
        <f>VLOOKUP(C3469,'Luong VP'!$B$10:$AP$189,14,0)</f>
        <v>0</v>
      </c>
      <c r="D3480" s="717"/>
      <c r="E3480" s="710">
        <v>7</v>
      </c>
      <c r="F3480" s="718" t="s">
        <v>680</v>
      </c>
      <c r="G3480" s="718"/>
      <c r="H3480" s="718"/>
      <c r="I3480" s="729"/>
      <c r="J3480" s="714">
        <f>VLOOKUP(C3469,'Luong VP'!$B$10:$AP$189,28,0)</f>
        <v>0</v>
      </c>
    </row>
    <row r="3481" spans="1:12" ht="9.1999999999999993" customHeight="1">
      <c r="A3481" s="712">
        <v>9</v>
      </c>
      <c r="B3481" s="713" t="s">
        <v>683</v>
      </c>
      <c r="C3481" s="714">
        <f>VLOOKUP(C3469,'Luong VP'!$B$10:$AP$189,15,0)</f>
        <v>300</v>
      </c>
      <c r="D3481" s="717"/>
      <c r="E3481" s="710">
        <v>8</v>
      </c>
      <c r="F3481" s="718" t="s">
        <v>238</v>
      </c>
      <c r="G3481" s="718"/>
      <c r="H3481" s="718"/>
      <c r="I3481" s="729"/>
      <c r="J3481" s="714">
        <f>VLOOKUP(C3469,'Luong VP'!$B$10:$AP$189,33,0)</f>
        <v>0</v>
      </c>
    </row>
    <row r="3482" spans="1:12" ht="9.1999999999999993" customHeight="1">
      <c r="A3482" s="712">
        <v>10</v>
      </c>
      <c r="B3482" s="713" t="s">
        <v>685</v>
      </c>
      <c r="C3482" s="714">
        <f>VLOOKUP(C3469,'Luong VP'!$B$10:$AP$189,16,0)</f>
        <v>0</v>
      </c>
      <c r="D3482" s="717"/>
      <c r="E3482" s="710" t="s">
        <v>686</v>
      </c>
      <c r="F3482" s="716" t="s">
        <v>687</v>
      </c>
      <c r="G3482" s="719"/>
      <c r="H3482" s="719"/>
      <c r="I3482" s="729"/>
      <c r="J3482" s="730"/>
    </row>
    <row r="3483" spans="1:12" ht="9.1999999999999993" customHeight="1">
      <c r="A3483" s="712">
        <v>11</v>
      </c>
      <c r="B3483" s="713" t="s">
        <v>688</v>
      </c>
      <c r="C3483" s="714">
        <f>VLOOKUP(C3469,'Luong VP'!$B$10:$AP$189,17,0)</f>
        <v>0</v>
      </c>
      <c r="D3483" s="717"/>
      <c r="E3483" s="710">
        <v>1</v>
      </c>
      <c r="F3483" s="716" t="s">
        <v>689</v>
      </c>
      <c r="G3483" s="719"/>
      <c r="H3483" s="719"/>
      <c r="I3483" s="714">
        <f>VLOOKUP(C3469,'Luong VP'!$B$10:$AP$189,29,0)</f>
        <v>0</v>
      </c>
      <c r="J3483" s="714">
        <f>VLOOKUP(C3469,'Luong VP'!$B$10:$AP$189,30,0)</f>
        <v>8500</v>
      </c>
    </row>
    <row r="3484" spans="1:12" ht="9.1999999999999993" customHeight="1">
      <c r="A3484" s="712">
        <v>12</v>
      </c>
      <c r="B3484" s="713" t="s">
        <v>691</v>
      </c>
      <c r="C3484" s="714">
        <f>VLOOKUP(C3469,'Luong VP'!$B$10:$AP$189,18,0)</f>
        <v>0</v>
      </c>
      <c r="D3484" s="717"/>
      <c r="E3484" s="710">
        <v>2</v>
      </c>
      <c r="F3484" s="718" t="s">
        <v>239</v>
      </c>
      <c r="G3484" s="718"/>
      <c r="H3484" s="718"/>
      <c r="I3484" s="727"/>
      <c r="J3484" s="728">
        <f>VLOOKUP(C3469,'Luong VP'!$B$10:$AP$189,34,0)</f>
        <v>0</v>
      </c>
      <c r="K3484" s="731"/>
      <c r="L3484" s="715"/>
    </row>
    <row r="3485" spans="1:12" ht="9.1999999999999993" customHeight="1">
      <c r="A3485" s="712">
        <v>13</v>
      </c>
      <c r="B3485" s="713" t="s">
        <v>692</v>
      </c>
      <c r="C3485" s="714">
        <f>VLOOKUP(C3469,'Luong VP'!$B$10:$AP$189,19,0)</f>
        <v>0</v>
      </c>
      <c r="D3485" s="717"/>
      <c r="E3485" s="710">
        <v>3</v>
      </c>
      <c r="F3485" s="716" t="s">
        <v>693</v>
      </c>
      <c r="G3485" s="719"/>
      <c r="H3485" s="719"/>
      <c r="I3485" s="729"/>
      <c r="J3485" s="714">
        <f>VLOOKUP(C3469,'Luong VP'!$B$10:$AP$189,40,0)</f>
        <v>0</v>
      </c>
      <c r="K3485" s="731"/>
      <c r="L3485" s="715"/>
    </row>
    <row r="3486" spans="1:12" ht="9.1999999999999993" customHeight="1">
      <c r="A3486" s="712">
        <v>14</v>
      </c>
      <c r="B3486" s="713" t="s">
        <v>694</v>
      </c>
      <c r="C3486" s="714">
        <f>VLOOKUP(C3469,'Luong VP'!$B$10:$AP$189,20,0)</f>
        <v>0</v>
      </c>
      <c r="D3486" s="717"/>
      <c r="E3486" s="710">
        <v>4</v>
      </c>
      <c r="F3486" s="718" t="s">
        <v>695</v>
      </c>
      <c r="G3486" s="719"/>
      <c r="H3486" s="719"/>
      <c r="I3486" s="729"/>
      <c r="J3486" s="714">
        <f>VLOOKUP(C3469,'Luong VP'!$B$10:$AP$189,35,0)</f>
        <v>0</v>
      </c>
      <c r="K3486" s="732"/>
      <c r="L3486" s="715"/>
    </row>
    <row r="3487" spans="1:12" ht="9.1999999999999993" customHeight="1">
      <c r="A3487" s="712"/>
      <c r="B3487" s="707" t="s">
        <v>656</v>
      </c>
      <c r="C3487" s="714">
        <f>SUM(C3473:C3486)</f>
        <v>6438.8</v>
      </c>
      <c r="D3487" s="717"/>
      <c r="E3487" s="710"/>
      <c r="F3487" s="716" t="s">
        <v>241</v>
      </c>
      <c r="G3487" s="719"/>
      <c r="H3487" s="719"/>
      <c r="I3487" s="729"/>
      <c r="J3487" s="730">
        <f>SUM(J3474:J3486)+C3481</f>
        <v>15168.030769230769</v>
      </c>
      <c r="K3487" s="731"/>
      <c r="L3487" s="715"/>
    </row>
    <row r="3488" spans="1:12" ht="9.1999999999999993" customHeight="1">
      <c r="B3488" s="720"/>
      <c r="C3488" s="717"/>
      <c r="D3488" s="717"/>
      <c r="E3488" s="710" t="s">
        <v>696</v>
      </c>
      <c r="F3488" s="711" t="s">
        <v>697</v>
      </c>
      <c r="G3488" s="710"/>
      <c r="H3488" s="710"/>
      <c r="I3488" s="729"/>
      <c r="J3488" s="730">
        <f>SUM(J3489:J3491)</f>
        <v>504</v>
      </c>
      <c r="K3488" s="732"/>
      <c r="L3488" s="715"/>
    </row>
    <row r="3489" spans="1:12" ht="9.1999999999999993" customHeight="1">
      <c r="B3489" s="720"/>
      <c r="C3489" s="717"/>
      <c r="D3489" s="717"/>
      <c r="E3489" s="710">
        <v>1</v>
      </c>
      <c r="F3489" s="718" t="s">
        <v>698</v>
      </c>
      <c r="G3489" s="718"/>
      <c r="H3489" s="718"/>
      <c r="I3489" s="733"/>
      <c r="J3489" s="714">
        <f>VLOOKUP(C3469,'Luong VP'!$B$10:$AP$189,37,0)</f>
        <v>504</v>
      </c>
      <c r="K3489" s="732"/>
      <c r="L3489" s="715"/>
    </row>
    <row r="3490" spans="1:12" ht="9.1999999999999993" customHeight="1">
      <c r="B3490" s="720"/>
      <c r="C3490" s="717"/>
      <c r="D3490" s="717"/>
      <c r="E3490" s="710">
        <v>2</v>
      </c>
      <c r="F3490" s="718" t="s">
        <v>244</v>
      </c>
      <c r="G3490" s="718"/>
      <c r="H3490" s="718"/>
      <c r="I3490" s="729"/>
      <c r="J3490" s="714">
        <f>VLOOKUP(C3469,'Luong VP'!$B$10:$AP$189,39,0)</f>
        <v>0</v>
      </c>
      <c r="K3490" s="734"/>
      <c r="L3490" s="735"/>
    </row>
    <row r="3491" spans="1:12" ht="9.1999999999999993" customHeight="1">
      <c r="B3491" s="720"/>
      <c r="C3491" s="717"/>
      <c r="D3491" s="717"/>
      <c r="E3491" s="710"/>
      <c r="F3491" s="718" t="s">
        <v>699</v>
      </c>
      <c r="G3491" s="718"/>
      <c r="H3491" s="718"/>
      <c r="I3491" s="729"/>
      <c r="J3491" s="714"/>
      <c r="K3491" s="714"/>
      <c r="L3491" s="736"/>
    </row>
    <row r="3492" spans="1:12" ht="9.1999999999999993" customHeight="1">
      <c r="B3492" s="720"/>
      <c r="C3492" s="717"/>
      <c r="D3492" s="717"/>
      <c r="E3492" s="710" t="s">
        <v>700</v>
      </c>
      <c r="F3492" s="710" t="s">
        <v>246</v>
      </c>
      <c r="G3492" s="710"/>
      <c r="H3492" s="710"/>
      <c r="I3492" s="729"/>
      <c r="J3492" s="728">
        <f>J3487-J3488</f>
        <v>14664.030769230769</v>
      </c>
      <c r="K3492" s="728">
        <f>ROUND(J3492,-1)</f>
        <v>14660</v>
      </c>
      <c r="L3492" s="710"/>
    </row>
    <row r="3493" spans="1:12" ht="9.1999999999999993" customHeight="1">
      <c r="B3493" s="720"/>
      <c r="C3493" s="717"/>
      <c r="D3493" s="717"/>
      <c r="E3493" s="715"/>
      <c r="F3493" s="715"/>
      <c r="G3493" s="715"/>
      <c r="I3493" s="715" t="s">
        <v>701</v>
      </c>
      <c r="J3493" s="737"/>
      <c r="K3493" s="737"/>
      <c r="L3493" s="715"/>
    </row>
    <row r="3494" spans="1:12" ht="9.1999999999999993" customHeight="1">
      <c r="B3494" s="720"/>
      <c r="C3494" s="717"/>
      <c r="D3494" s="717"/>
      <c r="E3494" s="715"/>
      <c r="F3494" s="715"/>
      <c r="G3494" s="715"/>
      <c r="I3494" s="715"/>
      <c r="J3494" s="737"/>
      <c r="K3494" s="737"/>
      <c r="L3494" s="715"/>
    </row>
    <row r="3497" spans="1:12" ht="9.1999999999999993" customHeight="1">
      <c r="B3497" s="720"/>
      <c r="C3497" s="717"/>
      <c r="D3497" s="717"/>
      <c r="E3497" s="715"/>
      <c r="F3497" s="715"/>
      <c r="G3497" s="715"/>
      <c r="I3497" s="715"/>
      <c r="J3497" s="737"/>
      <c r="K3497" s="737"/>
      <c r="L3497" s="715"/>
    </row>
    <row r="3498" spans="1:12" ht="9.1999999999999993" customHeight="1">
      <c r="C3498" s="696"/>
      <c r="D3498" s="696"/>
      <c r="E3498" s="697" t="str">
        <f>$E$2</f>
        <v>THẺ LƯƠNG THÁNG 08/2019</v>
      </c>
      <c r="F3498" s="698"/>
      <c r="G3498" s="698"/>
      <c r="H3498" s="698"/>
    </row>
    <row r="3499" spans="1:12" ht="9.1999999999999993" customHeight="1">
      <c r="B3499" s="699" t="s">
        <v>644</v>
      </c>
      <c r="C3499" s="700" t="s">
        <v>509</v>
      </c>
      <c r="D3499" s="701"/>
      <c r="F3499" s="702" t="s">
        <v>645</v>
      </c>
      <c r="G3499" s="689" t="str">
        <f>VLOOKUP(C3499,'Luong VP'!$B$10:$AP$189,2,0)</f>
        <v xml:space="preserve"> Trịnh Minh Hảo</v>
      </c>
    </row>
    <row r="3500" spans="1:12" ht="9.1999999999999993" customHeight="1">
      <c r="B3500" s="699" t="s">
        <v>646</v>
      </c>
      <c r="C3500" s="689" t="str">
        <f>VLOOKUP(C3499,'Luong VP'!$B$10:$AP$189,3,0)</f>
        <v>Trưởng sale TP</v>
      </c>
      <c r="F3500" s="702" t="s">
        <v>647</v>
      </c>
      <c r="G3500" s="689">
        <f>VLOOKUP(C3499,'Luong VP'!$B$10:$AP$189,5,0)</f>
        <v>7</v>
      </c>
    </row>
    <row r="3501" spans="1:12" ht="9.1999999999999993" customHeight="1">
      <c r="B3501" s="703"/>
      <c r="C3501" s="704"/>
      <c r="D3501" s="705"/>
      <c r="F3501" s="706" t="s">
        <v>648</v>
      </c>
      <c r="G3501" s="706"/>
      <c r="H3501" s="706"/>
      <c r="I3501" s="725"/>
      <c r="J3501" s="726"/>
    </row>
    <row r="3502" spans="1:12" ht="9.1999999999999993" customHeight="1">
      <c r="A3502" s="707" t="s">
        <v>216</v>
      </c>
      <c r="B3502" s="707" t="s">
        <v>649</v>
      </c>
      <c r="C3502" s="708" t="s">
        <v>650</v>
      </c>
      <c r="D3502" s="709"/>
      <c r="E3502" s="710" t="s">
        <v>216</v>
      </c>
      <c r="F3502" s="711" t="s">
        <v>649</v>
      </c>
      <c r="G3502" s="710"/>
      <c r="H3502" s="710" t="s">
        <v>651</v>
      </c>
      <c r="I3502" s="727" t="s">
        <v>652</v>
      </c>
      <c r="J3502" s="714"/>
      <c r="L3502" s="694" t="s">
        <v>653</v>
      </c>
    </row>
    <row r="3503" spans="1:12" ht="9.1999999999999993" customHeight="1">
      <c r="A3503" s="712">
        <v>1</v>
      </c>
      <c r="B3503" s="713" t="s">
        <v>654</v>
      </c>
      <c r="C3503" s="714">
        <f>VLOOKUP(C3499,'Luong VP'!$B$10:$AP$189,9,0)</f>
        <v>15220</v>
      </c>
      <c r="D3503" s="715"/>
      <c r="E3503" s="710" t="s">
        <v>655</v>
      </c>
      <c r="F3503" s="716" t="s">
        <v>656</v>
      </c>
      <c r="G3503" s="710"/>
      <c r="H3503" s="710"/>
      <c r="I3503" s="727"/>
      <c r="J3503" s="714">
        <f>VLOOKUP(C3499,'Luong VP'!$B$10:$AP$189,21,0)</f>
        <v>16676.599999999999</v>
      </c>
    </row>
    <row r="3504" spans="1:12" ht="9.1999999999999993" customHeight="1">
      <c r="A3504" s="712">
        <v>2</v>
      </c>
      <c r="B3504" s="713" t="s">
        <v>658</v>
      </c>
      <c r="C3504" s="714"/>
      <c r="D3504" s="717"/>
      <c r="E3504" s="710">
        <v>1</v>
      </c>
      <c r="F3504" s="718" t="s">
        <v>659</v>
      </c>
      <c r="G3504" s="718"/>
      <c r="H3504" s="710" t="s">
        <v>660</v>
      </c>
      <c r="I3504" s="727">
        <f>VLOOKUP(C3499,'Luong VP'!$B$10:$AP$189,22,0)</f>
        <v>26</v>
      </c>
      <c r="J3504" s="728">
        <f>J3503/'Cham cong'!$AS$3*I3504</f>
        <v>16676.599999999999</v>
      </c>
    </row>
    <row r="3505" spans="1:12" ht="9.1999999999999993" customHeight="1">
      <c r="A3505" s="712">
        <v>3</v>
      </c>
      <c r="B3505" s="713" t="s">
        <v>661</v>
      </c>
      <c r="C3505" s="714">
        <f>VLOOKUP(C3499,'Luong VP'!$B$10:$AP$189,10,0)</f>
        <v>0</v>
      </c>
      <c r="D3505" s="717"/>
      <c r="E3505" s="710">
        <v>2</v>
      </c>
      <c r="F3505" s="718" t="s">
        <v>662</v>
      </c>
      <c r="G3505" s="718"/>
      <c r="H3505" s="710" t="s">
        <v>660</v>
      </c>
      <c r="I3505" s="727">
        <f>VLOOKUP(C3499,'Luong VP'!$B$10:$AP$189,27,0)</f>
        <v>0</v>
      </c>
      <c r="J3505" s="728">
        <f>J3503/'Cham cong'!$AS$3*I3505*3</f>
        <v>0</v>
      </c>
    </row>
    <row r="3506" spans="1:12" ht="9.1999999999999993" customHeight="1">
      <c r="A3506" s="712">
        <v>4</v>
      </c>
      <c r="B3506" s="713" t="s">
        <v>666</v>
      </c>
      <c r="C3506" s="714">
        <f>VLOOKUP(C3499,'Luong VP'!$B$10:$AP$189,11,0)</f>
        <v>0</v>
      </c>
      <c r="D3506" s="717"/>
      <c r="E3506" s="710">
        <v>3</v>
      </c>
      <c r="F3506" s="718" t="s">
        <v>667</v>
      </c>
      <c r="G3506" s="718"/>
      <c r="H3506" s="710" t="s">
        <v>668</v>
      </c>
      <c r="I3506" s="727">
        <f>VLOOKUP(C3499,'Luong VP'!$B$10:$AP$189,26,0)</f>
        <v>0</v>
      </c>
      <c r="J3506" s="728">
        <f>J3503/'Cham cong'!$AS$3*I3506/8*1.5</f>
        <v>0</v>
      </c>
    </row>
    <row r="3507" spans="1:12" ht="9.1999999999999993" customHeight="1">
      <c r="A3507" s="712">
        <v>5</v>
      </c>
      <c r="B3507" s="713" t="s">
        <v>670</v>
      </c>
      <c r="C3507" s="714">
        <f>VLOOKUP(C3499,'Luong VP'!$B$10:$AP$189,12,0)</f>
        <v>456.59999999999997</v>
      </c>
      <c r="D3507" s="717"/>
      <c r="E3507" s="710">
        <v>4</v>
      </c>
      <c r="F3507" s="718" t="s">
        <v>671</v>
      </c>
      <c r="G3507" s="718"/>
      <c r="H3507" s="710" t="s">
        <v>668</v>
      </c>
      <c r="I3507" s="727">
        <f>VLOOKUP(C3499,'Luong VP'!$B$10:$AP$189,25,0)</f>
        <v>0</v>
      </c>
      <c r="J3507" s="728">
        <f>J3503/'Cham cong'!$AS$3*I3507/8*2</f>
        <v>0</v>
      </c>
    </row>
    <row r="3508" spans="1:12" ht="9.1999999999999993" customHeight="1">
      <c r="A3508" s="712">
        <v>6</v>
      </c>
      <c r="B3508" s="713" t="s">
        <v>673</v>
      </c>
      <c r="C3508" s="714">
        <f>VLOOKUP(C3499,'Luong VP'!$B$10:$AP$189,13,0)</f>
        <v>0</v>
      </c>
      <c r="D3508" s="717"/>
      <c r="E3508" s="710">
        <v>5</v>
      </c>
      <c r="F3508" s="718" t="s">
        <v>674</v>
      </c>
      <c r="G3508" s="718"/>
      <c r="H3508" s="710" t="s">
        <v>660</v>
      </c>
      <c r="I3508" s="727">
        <f>VLOOKUP(C3499,'Luong VP'!$B$10:$AP$189,23,0)</f>
        <v>0</v>
      </c>
      <c r="J3508" s="728">
        <f>C3503/'Cham cong'!$AS$3*I3508</f>
        <v>0</v>
      </c>
      <c r="L3508" s="694" t="str">
        <f>G3499</f>
        <v xml:space="preserve"> Trịnh Minh Hảo</v>
      </c>
    </row>
    <row r="3509" spans="1:12" ht="9.1999999999999993" customHeight="1">
      <c r="A3509" s="712">
        <v>7</v>
      </c>
      <c r="B3509" s="713" t="s">
        <v>676</v>
      </c>
      <c r="C3509" s="714"/>
      <c r="D3509" s="717"/>
      <c r="E3509" s="710">
        <v>6</v>
      </c>
      <c r="F3509" s="718" t="s">
        <v>677</v>
      </c>
      <c r="G3509" s="718"/>
      <c r="H3509" s="710" t="s">
        <v>660</v>
      </c>
      <c r="I3509" s="727">
        <f>VLOOKUP(C3499,'Luong VP'!$B$10:$AP$189,24,0)</f>
        <v>1</v>
      </c>
      <c r="J3509" s="714">
        <f>C3503/'Cham cong'!$AS$3*I3509</f>
        <v>585.38461538461536</v>
      </c>
    </row>
    <row r="3510" spans="1:12" ht="9.1999999999999993" customHeight="1">
      <c r="A3510" s="712">
        <v>8</v>
      </c>
      <c r="B3510" s="713" t="s">
        <v>679</v>
      </c>
      <c r="C3510" s="714">
        <f>VLOOKUP(C3499,'Luong VP'!$B$10:$AP$189,14,0)</f>
        <v>500</v>
      </c>
      <c r="D3510" s="717"/>
      <c r="E3510" s="710">
        <v>7</v>
      </c>
      <c r="F3510" s="718" t="s">
        <v>680</v>
      </c>
      <c r="G3510" s="718"/>
      <c r="H3510" s="718"/>
      <c r="I3510" s="729"/>
      <c r="J3510" s="714">
        <f>VLOOKUP(C3499,'Luong VP'!$B$10:$AP$189,28,0)</f>
        <v>0</v>
      </c>
    </row>
    <row r="3511" spans="1:12" ht="9.1999999999999993" customHeight="1">
      <c r="A3511" s="712">
        <v>9</v>
      </c>
      <c r="B3511" s="713" t="s">
        <v>683</v>
      </c>
      <c r="C3511" s="714">
        <f>VLOOKUP(C3499,'Luong VP'!$B$10:$AP$189,15,0)</f>
        <v>300</v>
      </c>
      <c r="D3511" s="717"/>
      <c r="E3511" s="710">
        <v>8</v>
      </c>
      <c r="F3511" s="718" t="s">
        <v>238</v>
      </c>
      <c r="G3511" s="718"/>
      <c r="H3511" s="718"/>
      <c r="I3511" s="729"/>
      <c r="J3511" s="714">
        <f>VLOOKUP(C3499,'Luong VP'!$B$10:$AP$189,33,0)</f>
        <v>0</v>
      </c>
    </row>
    <row r="3512" spans="1:12" ht="9.1999999999999993" customHeight="1">
      <c r="A3512" s="712">
        <v>10</v>
      </c>
      <c r="B3512" s="713" t="s">
        <v>685</v>
      </c>
      <c r="C3512" s="714">
        <f>VLOOKUP(C3499,'Luong VP'!$B$10:$AP$189,16,0)</f>
        <v>500</v>
      </c>
      <c r="D3512" s="717"/>
      <c r="E3512" s="710" t="s">
        <v>686</v>
      </c>
      <c r="F3512" s="716" t="s">
        <v>687</v>
      </c>
      <c r="G3512" s="719"/>
      <c r="H3512" s="719"/>
      <c r="I3512" s="729"/>
      <c r="J3512" s="730"/>
    </row>
    <row r="3513" spans="1:12" ht="9.1999999999999993" customHeight="1">
      <c r="A3513" s="712">
        <v>11</v>
      </c>
      <c r="B3513" s="713" t="s">
        <v>688</v>
      </c>
      <c r="C3513" s="714">
        <f>VLOOKUP(C3499,'Luong VP'!$B$10:$AP$189,17,0)</f>
        <v>0</v>
      </c>
      <c r="D3513" s="717"/>
      <c r="E3513" s="710">
        <v>1</v>
      </c>
      <c r="F3513" s="716" t="s">
        <v>689</v>
      </c>
      <c r="G3513" s="719"/>
      <c r="H3513" s="719"/>
      <c r="I3513" s="714">
        <f>VLOOKUP(C3499,'Luong VP'!$B$10:$AP$189,29,0)</f>
        <v>0</v>
      </c>
      <c r="J3513" s="714">
        <f>VLOOKUP(C3499,'Luong VP'!$B$10:$AP$189,30,0)</f>
        <v>10000</v>
      </c>
    </row>
    <row r="3514" spans="1:12" ht="9.1999999999999993" customHeight="1">
      <c r="A3514" s="712">
        <v>12</v>
      </c>
      <c r="B3514" s="713" t="s">
        <v>691</v>
      </c>
      <c r="C3514" s="714">
        <f>VLOOKUP(C3499,'Luong VP'!$B$10:$AP$189,18,0)</f>
        <v>0</v>
      </c>
      <c r="D3514" s="717"/>
      <c r="E3514" s="710">
        <v>2</v>
      </c>
      <c r="F3514" s="718" t="s">
        <v>239</v>
      </c>
      <c r="G3514" s="718"/>
      <c r="H3514" s="718"/>
      <c r="I3514" s="727"/>
      <c r="J3514" s="728">
        <f>VLOOKUP(C3499,'Luong VP'!$B$10:$AP$189,34,0)</f>
        <v>0</v>
      </c>
      <c r="K3514" s="731"/>
      <c r="L3514" s="715"/>
    </row>
    <row r="3515" spans="1:12" ht="9.1999999999999993" customHeight="1">
      <c r="A3515" s="712">
        <v>13</v>
      </c>
      <c r="B3515" s="713" t="s">
        <v>692</v>
      </c>
      <c r="C3515" s="714">
        <f>VLOOKUP(C3499,'Luong VP'!$B$10:$AP$189,19,0)</f>
        <v>0</v>
      </c>
      <c r="D3515" s="717"/>
      <c r="E3515" s="710">
        <v>3</v>
      </c>
      <c r="F3515" s="716" t="s">
        <v>693</v>
      </c>
      <c r="G3515" s="719"/>
      <c r="H3515" s="719"/>
      <c r="I3515" s="729"/>
      <c r="J3515" s="714">
        <f>VLOOKUP(C3499,'Luong VP'!$B$10:$AP$189,40,0)</f>
        <v>0</v>
      </c>
      <c r="K3515" s="731"/>
      <c r="L3515" s="715"/>
    </row>
    <row r="3516" spans="1:12" ht="9.1999999999999993" customHeight="1">
      <c r="A3516" s="712">
        <v>14</v>
      </c>
      <c r="B3516" s="713" t="s">
        <v>694</v>
      </c>
      <c r="C3516" s="714">
        <f>VLOOKUP(C3499,'Luong VP'!$B$10:$AP$189,20,0)</f>
        <v>0</v>
      </c>
      <c r="D3516" s="717"/>
      <c r="E3516" s="710">
        <v>4</v>
      </c>
      <c r="F3516" s="718" t="s">
        <v>695</v>
      </c>
      <c r="G3516" s="719"/>
      <c r="H3516" s="719"/>
      <c r="I3516" s="729"/>
      <c r="J3516" s="714">
        <f>VLOOKUP(C3499,'Luong VP'!$B$10:$AP$189,35,0)</f>
        <v>0</v>
      </c>
      <c r="K3516" s="732"/>
      <c r="L3516" s="715"/>
    </row>
    <row r="3517" spans="1:12" ht="9.1999999999999993" customHeight="1">
      <c r="A3517" s="712"/>
      <c r="B3517" s="707" t="s">
        <v>656</v>
      </c>
      <c r="C3517" s="714">
        <f>SUM(C3503:C3516)</f>
        <v>16976.599999999999</v>
      </c>
      <c r="D3517" s="717"/>
      <c r="E3517" s="710"/>
      <c r="F3517" s="716" t="s">
        <v>241</v>
      </c>
      <c r="G3517" s="719"/>
      <c r="H3517" s="719"/>
      <c r="I3517" s="729"/>
      <c r="J3517" s="730">
        <f>SUM(J3504:J3516)+C3511</f>
        <v>27561.984615384616</v>
      </c>
      <c r="K3517" s="731"/>
      <c r="L3517" s="715"/>
    </row>
    <row r="3518" spans="1:12" ht="9.1999999999999993" customHeight="1">
      <c r="B3518" s="720"/>
      <c r="C3518" s="717"/>
      <c r="D3518" s="717"/>
      <c r="E3518" s="710" t="s">
        <v>696</v>
      </c>
      <c r="F3518" s="711" t="s">
        <v>697</v>
      </c>
      <c r="G3518" s="710"/>
      <c r="H3518" s="710"/>
      <c r="I3518" s="729"/>
      <c r="J3518" s="730">
        <f>SUM(J3519:J3521)</f>
        <v>535.5</v>
      </c>
      <c r="K3518" s="732"/>
      <c r="L3518" s="715"/>
    </row>
    <row r="3519" spans="1:12" ht="9.1999999999999993" customHeight="1">
      <c r="B3519" s="720"/>
      <c r="C3519" s="717"/>
      <c r="D3519" s="717"/>
      <c r="E3519" s="710">
        <v>1</v>
      </c>
      <c r="F3519" s="718" t="s">
        <v>698</v>
      </c>
      <c r="G3519" s="718"/>
      <c r="H3519" s="718"/>
      <c r="I3519" s="733"/>
      <c r="J3519" s="714">
        <f>VLOOKUP(C3499,'Luong VP'!$B$10:$AP$189,37,0)</f>
        <v>535.5</v>
      </c>
      <c r="K3519" s="732"/>
      <c r="L3519" s="715"/>
    </row>
    <row r="3520" spans="1:12" ht="9.1999999999999993" customHeight="1">
      <c r="B3520" s="720"/>
      <c r="C3520" s="717"/>
      <c r="D3520" s="717"/>
      <c r="E3520" s="710">
        <v>2</v>
      </c>
      <c r="F3520" s="718" t="s">
        <v>244</v>
      </c>
      <c r="G3520" s="718"/>
      <c r="H3520" s="718"/>
      <c r="I3520" s="729"/>
      <c r="J3520" s="714">
        <f>VLOOKUP(C3499,'Luong VP'!$B$10:$AP$189,39,0)</f>
        <v>0</v>
      </c>
      <c r="K3520" s="734"/>
      <c r="L3520" s="735"/>
    </row>
    <row r="3521" spans="1:12" ht="9.1999999999999993" customHeight="1">
      <c r="B3521" s="720"/>
      <c r="C3521" s="717"/>
      <c r="D3521" s="717"/>
      <c r="E3521" s="710"/>
      <c r="F3521" s="718" t="s">
        <v>699</v>
      </c>
      <c r="G3521" s="718"/>
      <c r="H3521" s="718"/>
      <c r="I3521" s="729"/>
      <c r="J3521" s="714"/>
      <c r="K3521" s="714"/>
      <c r="L3521" s="736"/>
    </row>
    <row r="3522" spans="1:12" ht="9.1999999999999993" customHeight="1">
      <c r="B3522" s="720"/>
      <c r="C3522" s="717"/>
      <c r="D3522" s="717"/>
      <c r="E3522" s="710" t="s">
        <v>700</v>
      </c>
      <c r="F3522" s="710" t="s">
        <v>246</v>
      </c>
      <c r="G3522" s="710"/>
      <c r="H3522" s="710"/>
      <c r="I3522" s="729"/>
      <c r="J3522" s="728">
        <f>J3517-J3518</f>
        <v>27026.484615384616</v>
      </c>
      <c r="K3522" s="728">
        <f>ROUND(J3522,-1)</f>
        <v>27030</v>
      </c>
      <c r="L3522" s="710"/>
    </row>
    <row r="3523" spans="1:12" ht="9.1999999999999993" customHeight="1">
      <c r="B3523" s="720"/>
      <c r="C3523" s="717"/>
      <c r="D3523" s="717"/>
      <c r="E3523" s="715"/>
      <c r="F3523" s="715"/>
      <c r="G3523" s="715"/>
      <c r="I3523" s="715" t="s">
        <v>701</v>
      </c>
      <c r="J3523" s="737"/>
      <c r="K3523" s="737"/>
      <c r="L3523" s="715"/>
    </row>
    <row r="3524" spans="1:12" ht="9.1999999999999993" customHeight="1">
      <c r="B3524" s="720"/>
      <c r="C3524" s="717"/>
      <c r="D3524" s="717"/>
      <c r="E3524" s="715"/>
      <c r="F3524" s="715"/>
      <c r="G3524" s="715"/>
      <c r="I3524" s="715"/>
      <c r="J3524" s="737"/>
      <c r="K3524" s="737"/>
      <c r="L3524" s="715"/>
    </row>
    <row r="3525" spans="1:12" ht="9.1999999999999993" customHeight="1">
      <c r="B3525" s="720"/>
      <c r="C3525" s="717"/>
      <c r="D3525" s="717"/>
      <c r="E3525" s="715"/>
      <c r="F3525" s="715"/>
      <c r="G3525" s="715"/>
      <c r="I3525" s="715"/>
      <c r="J3525" s="737"/>
      <c r="K3525" s="737"/>
      <c r="L3525" s="715"/>
    </row>
    <row r="3526" spans="1:12" ht="9.1999999999999993" customHeight="1">
      <c r="B3526" s="720"/>
      <c r="C3526" s="717"/>
      <c r="D3526" s="717"/>
      <c r="E3526" s="715"/>
      <c r="F3526" s="715"/>
      <c r="G3526" s="715"/>
      <c r="I3526" s="715"/>
      <c r="J3526" s="737"/>
      <c r="K3526" s="737"/>
      <c r="L3526" s="715"/>
    </row>
    <row r="3527" spans="1:12" ht="9.1999999999999993" customHeight="1">
      <c r="B3527" s="720"/>
      <c r="C3527" s="717"/>
      <c r="D3527" s="717"/>
      <c r="E3527" s="715"/>
      <c r="F3527" s="715"/>
      <c r="G3527" s="715"/>
      <c r="I3527" s="715"/>
      <c r="J3527" s="737"/>
      <c r="K3527" s="737"/>
      <c r="L3527" s="715"/>
    </row>
    <row r="3528" spans="1:12" ht="9.1999999999999993" customHeight="1">
      <c r="C3528" s="696"/>
      <c r="D3528" s="696"/>
      <c r="E3528" s="697" t="str">
        <f>$E$2</f>
        <v>THẺ LƯƠNG THÁNG 08/2019</v>
      </c>
      <c r="F3528" s="698"/>
      <c r="G3528" s="698"/>
      <c r="H3528" s="698"/>
    </row>
    <row r="3529" spans="1:12" ht="9.1999999999999993" customHeight="1">
      <c r="B3529" s="699" t="s">
        <v>644</v>
      </c>
      <c r="C3529" s="700" t="s">
        <v>512</v>
      </c>
      <c r="D3529" s="701"/>
      <c r="F3529" s="702" t="s">
        <v>645</v>
      </c>
      <c r="G3529" s="689" t="str">
        <f>VLOOKUP(C3529,'Luong VP'!$B$10:$AP$189,2,0)</f>
        <v>Nguyễn Thái Bình</v>
      </c>
    </row>
    <row r="3530" spans="1:12" ht="9.1999999999999993" customHeight="1">
      <c r="B3530" s="699" t="s">
        <v>646</v>
      </c>
      <c r="C3530" s="689" t="str">
        <f>VLOOKUP(C3529,'Luong VP'!$B$10:$AP$189,3,0)</f>
        <v>NV sale</v>
      </c>
      <c r="F3530" s="702" t="s">
        <v>647</v>
      </c>
      <c r="G3530" s="689">
        <f>VLOOKUP(C3529,'Luong VP'!$B$10:$AP$189,5,0)</f>
        <v>7</v>
      </c>
    </row>
    <row r="3531" spans="1:12" ht="9.1999999999999993" customHeight="1">
      <c r="B3531" s="703"/>
      <c r="C3531" s="704"/>
      <c r="D3531" s="705"/>
      <c r="F3531" s="706" t="s">
        <v>648</v>
      </c>
      <c r="G3531" s="706"/>
      <c r="H3531" s="706"/>
      <c r="I3531" s="725"/>
      <c r="J3531" s="726"/>
    </row>
    <row r="3532" spans="1:12" ht="9.1999999999999993" customHeight="1">
      <c r="A3532" s="707" t="s">
        <v>216</v>
      </c>
      <c r="B3532" s="707" t="s">
        <v>649</v>
      </c>
      <c r="C3532" s="708" t="s">
        <v>650</v>
      </c>
      <c r="D3532" s="709"/>
      <c r="E3532" s="710" t="s">
        <v>216</v>
      </c>
      <c r="F3532" s="711" t="s">
        <v>649</v>
      </c>
      <c r="G3532" s="710"/>
      <c r="H3532" s="710" t="s">
        <v>651</v>
      </c>
      <c r="I3532" s="727" t="s">
        <v>652</v>
      </c>
      <c r="J3532" s="714"/>
      <c r="L3532" s="694" t="s">
        <v>653</v>
      </c>
    </row>
    <row r="3533" spans="1:12" ht="9.1999999999999993" customHeight="1">
      <c r="A3533" s="712">
        <v>1</v>
      </c>
      <c r="B3533" s="713" t="s">
        <v>654</v>
      </c>
      <c r="C3533" s="714">
        <f>VLOOKUP(C3529,'Luong VP'!$B$10:$AP$189,9,0)</f>
        <v>7900</v>
      </c>
      <c r="D3533" s="715"/>
      <c r="E3533" s="710" t="s">
        <v>655</v>
      </c>
      <c r="F3533" s="716" t="s">
        <v>656</v>
      </c>
      <c r="G3533" s="710"/>
      <c r="H3533" s="710"/>
      <c r="I3533" s="727"/>
      <c r="J3533" s="714">
        <f>VLOOKUP(C3529,'Luong VP'!$B$10:$AP$189,21,0)</f>
        <v>8900</v>
      </c>
    </row>
    <row r="3534" spans="1:12" ht="9.1999999999999993" customHeight="1">
      <c r="A3534" s="712">
        <v>2</v>
      </c>
      <c r="B3534" s="713" t="s">
        <v>658</v>
      </c>
      <c r="C3534" s="714"/>
      <c r="D3534" s="717"/>
      <c r="E3534" s="710">
        <v>1</v>
      </c>
      <c r="F3534" s="718" t="s">
        <v>659</v>
      </c>
      <c r="G3534" s="718"/>
      <c r="H3534" s="710" t="s">
        <v>660</v>
      </c>
      <c r="I3534" s="727">
        <f>VLOOKUP(C3529,'Luong VP'!$B$10:$AP$189,22,0)</f>
        <v>26</v>
      </c>
      <c r="J3534" s="728">
        <f>J3533/'Cham cong'!$AS$3*I3534</f>
        <v>8900</v>
      </c>
    </row>
    <row r="3535" spans="1:12" ht="9.1999999999999993" customHeight="1">
      <c r="A3535" s="712">
        <v>3</v>
      </c>
      <c r="B3535" s="713" t="s">
        <v>661</v>
      </c>
      <c r="C3535" s="714">
        <f>VLOOKUP(C3529,'Luong VP'!$B$10:$AP$189,10,0)</f>
        <v>0</v>
      </c>
      <c r="D3535" s="717"/>
      <c r="E3535" s="710">
        <v>2</v>
      </c>
      <c r="F3535" s="718" t="s">
        <v>662</v>
      </c>
      <c r="G3535" s="718"/>
      <c r="H3535" s="710" t="s">
        <v>660</v>
      </c>
      <c r="I3535" s="727">
        <f>VLOOKUP(C3529,'Luong VP'!$B$10:$AP$189,27,0)</f>
        <v>0</v>
      </c>
      <c r="J3535" s="728">
        <f>J3533/'Cham cong'!$AS$3*I3535*3</f>
        <v>0</v>
      </c>
    </row>
    <row r="3536" spans="1:12" ht="9.1999999999999993" customHeight="1">
      <c r="A3536" s="712">
        <v>4</v>
      </c>
      <c r="B3536" s="713" t="s">
        <v>666</v>
      </c>
      <c r="C3536" s="714">
        <f>VLOOKUP(C3529,'Luong VP'!$B$10:$AP$189,11,0)</f>
        <v>0</v>
      </c>
      <c r="D3536" s="717"/>
      <c r="E3536" s="710">
        <v>3</v>
      </c>
      <c r="F3536" s="718" t="s">
        <v>667</v>
      </c>
      <c r="G3536" s="718"/>
      <c r="H3536" s="710" t="s">
        <v>668</v>
      </c>
      <c r="I3536" s="727">
        <f>VLOOKUP(C3529,'Luong VP'!$B$10:$AP$189,26,0)</f>
        <v>0</v>
      </c>
      <c r="J3536" s="728">
        <f>J3533/'Cham cong'!$AS$3*I3536/8*1.5</f>
        <v>0</v>
      </c>
    </row>
    <row r="3537" spans="1:12" ht="9.1999999999999993" customHeight="1">
      <c r="A3537" s="712">
        <v>5</v>
      </c>
      <c r="B3537" s="713" t="s">
        <v>670</v>
      </c>
      <c r="C3537" s="714">
        <f>VLOOKUP(C3529,'Luong VP'!$B$10:$AP$189,12,0)</f>
        <v>0</v>
      </c>
      <c r="D3537" s="717"/>
      <c r="E3537" s="710">
        <v>4</v>
      </c>
      <c r="F3537" s="718" t="s">
        <v>671</v>
      </c>
      <c r="G3537" s="718"/>
      <c r="H3537" s="710" t="s">
        <v>668</v>
      </c>
      <c r="I3537" s="727">
        <f>VLOOKUP(C3529,'Luong VP'!$B$10:$AP$189,25,0)</f>
        <v>0</v>
      </c>
      <c r="J3537" s="728">
        <f>J3533/'Cham cong'!$AS$3*I3537/8*2</f>
        <v>0</v>
      </c>
    </row>
    <row r="3538" spans="1:12" ht="9.1999999999999993" customHeight="1">
      <c r="A3538" s="712">
        <v>6</v>
      </c>
      <c r="B3538" s="713" t="s">
        <v>673</v>
      </c>
      <c r="C3538" s="714">
        <f>VLOOKUP(C3529,'Luong VP'!$B$10:$AP$189,13,0)</f>
        <v>0</v>
      </c>
      <c r="D3538" s="717"/>
      <c r="E3538" s="710">
        <v>5</v>
      </c>
      <c r="F3538" s="718" t="s">
        <v>674</v>
      </c>
      <c r="G3538" s="718"/>
      <c r="H3538" s="710" t="s">
        <v>660</v>
      </c>
      <c r="I3538" s="727">
        <f>VLOOKUP(C3529,'Luong VP'!$B$10:$AP$189,23,0)</f>
        <v>0</v>
      </c>
      <c r="J3538" s="728">
        <f>C3533/'Cham cong'!$AS$3*I3538</f>
        <v>0</v>
      </c>
      <c r="L3538" s="694" t="str">
        <f>G3529</f>
        <v>Nguyễn Thái Bình</v>
      </c>
    </row>
    <row r="3539" spans="1:12" ht="9.1999999999999993" customHeight="1">
      <c r="A3539" s="712">
        <v>7</v>
      </c>
      <c r="B3539" s="713" t="s">
        <v>676</v>
      </c>
      <c r="C3539" s="714"/>
      <c r="D3539" s="717"/>
      <c r="E3539" s="710">
        <v>6</v>
      </c>
      <c r="F3539" s="718" t="s">
        <v>677</v>
      </c>
      <c r="G3539" s="718"/>
      <c r="H3539" s="710" t="s">
        <v>660</v>
      </c>
      <c r="I3539" s="727">
        <f>VLOOKUP(C3529,'Luong VP'!$B$10:$AP$189,24,0)</f>
        <v>1</v>
      </c>
      <c r="J3539" s="714">
        <f>C3533/'Cham cong'!$AS$3*I3539</f>
        <v>303.84615384615387</v>
      </c>
    </row>
    <row r="3540" spans="1:12" ht="9.1999999999999993" customHeight="1">
      <c r="A3540" s="712">
        <v>8</v>
      </c>
      <c r="B3540" s="713" t="s">
        <v>679</v>
      </c>
      <c r="C3540" s="714">
        <f>VLOOKUP(C3529,'Luong VP'!$B$10:$AP$189,14,0)</f>
        <v>500</v>
      </c>
      <c r="D3540" s="717"/>
      <c r="E3540" s="710">
        <v>7</v>
      </c>
      <c r="F3540" s="718" t="s">
        <v>680</v>
      </c>
      <c r="G3540" s="718"/>
      <c r="H3540" s="718"/>
      <c r="I3540" s="729"/>
      <c r="J3540" s="714">
        <f>VLOOKUP(C3529,'Luong VP'!$B$10:$AP$189,28,0)</f>
        <v>0</v>
      </c>
    </row>
    <row r="3541" spans="1:12" ht="9.1999999999999993" customHeight="1">
      <c r="A3541" s="712">
        <v>9</v>
      </c>
      <c r="B3541" s="713" t="s">
        <v>683</v>
      </c>
      <c r="C3541" s="714">
        <f>VLOOKUP(C3529,'Luong VP'!$B$10:$AP$189,15,0)</f>
        <v>200</v>
      </c>
      <c r="D3541" s="717"/>
      <c r="E3541" s="710">
        <v>8</v>
      </c>
      <c r="F3541" s="718" t="s">
        <v>238</v>
      </c>
      <c r="G3541" s="718"/>
      <c r="H3541" s="771" t="s">
        <v>660</v>
      </c>
      <c r="I3541" s="787">
        <v>0</v>
      </c>
      <c r="J3541" s="775">
        <v>0</v>
      </c>
    </row>
    <row r="3542" spans="1:12" ht="9.1999999999999993" customHeight="1">
      <c r="A3542" s="712">
        <v>10</v>
      </c>
      <c r="B3542" s="713" t="s">
        <v>685</v>
      </c>
      <c r="C3542" s="714">
        <f>VLOOKUP(C3529,'Luong VP'!$B$10:$AP$189,16,0)</f>
        <v>500</v>
      </c>
      <c r="D3542" s="717"/>
      <c r="E3542" s="710" t="s">
        <v>686</v>
      </c>
      <c r="F3542" s="716" t="s">
        <v>687</v>
      </c>
      <c r="G3542" s="719"/>
      <c r="H3542" s="719"/>
      <c r="I3542" s="729"/>
      <c r="J3542" s="730"/>
    </row>
    <row r="3543" spans="1:12" ht="9.1999999999999993" customHeight="1">
      <c r="A3543" s="712">
        <v>11</v>
      </c>
      <c r="B3543" s="713" t="s">
        <v>688</v>
      </c>
      <c r="C3543" s="714">
        <f>VLOOKUP(C3529,'Luong VP'!$B$10:$AP$189,17,0)</f>
        <v>0</v>
      </c>
      <c r="D3543" s="717"/>
      <c r="E3543" s="710">
        <v>1</v>
      </c>
      <c r="F3543" s="716" t="s">
        <v>689</v>
      </c>
      <c r="G3543" s="719"/>
      <c r="H3543" s="719"/>
      <c r="I3543" s="714">
        <f>VLOOKUP(C3529,'Luong VP'!$B$10:$AP$189,29,0)</f>
        <v>0</v>
      </c>
      <c r="J3543" s="714">
        <f>VLOOKUP(C3529,'Luong VP'!$B$10:$AP$189,30,0)</f>
        <v>6000</v>
      </c>
    </row>
    <row r="3544" spans="1:12" ht="9.1999999999999993" customHeight="1">
      <c r="A3544" s="712">
        <v>12</v>
      </c>
      <c r="B3544" s="713" t="s">
        <v>691</v>
      </c>
      <c r="C3544" s="714">
        <f>VLOOKUP(C3529,'Luong VP'!$B$10:$AP$189,18,0)</f>
        <v>0</v>
      </c>
      <c r="D3544" s="717"/>
      <c r="E3544" s="710">
        <v>2</v>
      </c>
      <c r="F3544" s="718" t="s">
        <v>239</v>
      </c>
      <c r="G3544" s="718"/>
      <c r="H3544" s="718"/>
      <c r="I3544" s="727"/>
      <c r="J3544" s="728">
        <f>VLOOKUP(C3529,'Luong VP'!$B$10:$AP$189,34,0)</f>
        <v>0</v>
      </c>
      <c r="K3544" s="731"/>
      <c r="L3544" s="715"/>
    </row>
    <row r="3545" spans="1:12" ht="9.1999999999999993" customHeight="1">
      <c r="A3545" s="712">
        <v>13</v>
      </c>
      <c r="B3545" s="713" t="s">
        <v>692</v>
      </c>
      <c r="C3545" s="714">
        <f>VLOOKUP(C3529,'Luong VP'!$B$10:$AP$189,19,0)</f>
        <v>0</v>
      </c>
      <c r="D3545" s="717"/>
      <c r="E3545" s="710">
        <v>3</v>
      </c>
      <c r="F3545" s="716" t="s">
        <v>693</v>
      </c>
      <c r="G3545" s="719"/>
      <c r="H3545" s="719"/>
      <c r="I3545" s="729"/>
      <c r="J3545" s="714">
        <f>VLOOKUP(C3529,'Luong VP'!$B$10:$AP$189,40,0)</f>
        <v>0</v>
      </c>
      <c r="K3545" s="731"/>
      <c r="L3545" s="715"/>
    </row>
    <row r="3546" spans="1:12" ht="9.1999999999999993" customHeight="1">
      <c r="A3546" s="712">
        <v>14</v>
      </c>
      <c r="B3546" s="713" t="s">
        <v>694</v>
      </c>
      <c r="C3546" s="714">
        <f>VLOOKUP(C3529,'Luong VP'!$B$10:$AP$189,20,0)</f>
        <v>0</v>
      </c>
      <c r="D3546" s="717"/>
      <c r="E3546" s="710">
        <v>4</v>
      </c>
      <c r="F3546" s="718" t="s">
        <v>695</v>
      </c>
      <c r="G3546" s="719"/>
      <c r="H3546" s="719"/>
      <c r="I3546" s="729"/>
      <c r="J3546" s="714">
        <f>VLOOKUP(C3529,'Luong VP'!$B$10:$AP$189,35,0)</f>
        <v>0</v>
      </c>
      <c r="K3546" s="732"/>
      <c r="L3546" s="715"/>
    </row>
    <row r="3547" spans="1:12" ht="9.1999999999999993" customHeight="1">
      <c r="A3547" s="712"/>
      <c r="B3547" s="707" t="s">
        <v>656</v>
      </c>
      <c r="C3547" s="714">
        <f>SUM(C3533:C3546)</f>
        <v>9100</v>
      </c>
      <c r="D3547" s="717"/>
      <c r="E3547" s="710"/>
      <c r="F3547" s="716" t="s">
        <v>241</v>
      </c>
      <c r="G3547" s="719"/>
      <c r="H3547" s="719"/>
      <c r="I3547" s="729"/>
      <c r="J3547" s="730">
        <f>SUM(J3534:J3546)+C3541</f>
        <v>15403.846153846154</v>
      </c>
      <c r="K3547" s="731"/>
      <c r="L3547" s="715"/>
    </row>
    <row r="3548" spans="1:12" ht="9.1999999999999993" customHeight="1">
      <c r="B3548" s="720"/>
      <c r="C3548" s="717"/>
      <c r="D3548" s="717"/>
      <c r="E3548" s="710" t="s">
        <v>696</v>
      </c>
      <c r="F3548" s="711" t="s">
        <v>697</v>
      </c>
      <c r="G3548" s="710"/>
      <c r="H3548" s="710"/>
      <c r="I3548" s="729"/>
      <c r="J3548" s="730">
        <f>SUM(J3549:J3551)</f>
        <v>504</v>
      </c>
      <c r="K3548" s="732"/>
      <c r="L3548" s="715"/>
    </row>
    <row r="3549" spans="1:12" ht="9.1999999999999993" customHeight="1">
      <c r="B3549" s="720"/>
      <c r="C3549" s="717"/>
      <c r="D3549" s="717"/>
      <c r="E3549" s="710">
        <v>1</v>
      </c>
      <c r="F3549" s="718" t="s">
        <v>698</v>
      </c>
      <c r="G3549" s="718"/>
      <c r="H3549" s="718"/>
      <c r="I3549" s="733"/>
      <c r="J3549" s="714">
        <f>VLOOKUP(C3529,'Luong VP'!$B$10:$AP$189,37,0)</f>
        <v>504</v>
      </c>
      <c r="K3549" s="732"/>
      <c r="L3549" s="715"/>
    </row>
    <row r="3550" spans="1:12" ht="9.1999999999999993" customHeight="1">
      <c r="B3550" s="720"/>
      <c r="C3550" s="717"/>
      <c r="D3550" s="717"/>
      <c r="E3550" s="710">
        <v>2</v>
      </c>
      <c r="F3550" s="718" t="s">
        <v>244</v>
      </c>
      <c r="G3550" s="718"/>
      <c r="H3550" s="718"/>
      <c r="I3550" s="729"/>
      <c r="J3550" s="714">
        <f>VLOOKUP(C3529,'Luong VP'!$B$10:$AP$189,39,0)</f>
        <v>0</v>
      </c>
      <c r="K3550" s="734"/>
      <c r="L3550" s="735"/>
    </row>
    <row r="3551" spans="1:12" ht="9.1999999999999993" customHeight="1">
      <c r="B3551" s="720"/>
      <c r="C3551" s="717"/>
      <c r="D3551" s="717"/>
      <c r="E3551" s="710"/>
      <c r="F3551" s="718" t="s">
        <v>699</v>
      </c>
      <c r="G3551" s="718"/>
      <c r="H3551" s="718"/>
      <c r="I3551" s="729"/>
      <c r="J3551" s="714"/>
      <c r="K3551" s="714"/>
      <c r="L3551" s="736"/>
    </row>
    <row r="3552" spans="1:12" ht="9.1999999999999993" customHeight="1">
      <c r="B3552" s="720"/>
      <c r="C3552" s="717"/>
      <c r="D3552" s="717"/>
      <c r="E3552" s="710" t="s">
        <v>700</v>
      </c>
      <c r="F3552" s="710" t="s">
        <v>246</v>
      </c>
      <c r="G3552" s="710"/>
      <c r="H3552" s="710"/>
      <c r="I3552" s="729"/>
      <c r="J3552" s="728">
        <f>J3547-J3548</f>
        <v>14899.846153846154</v>
      </c>
      <c r="K3552" s="728">
        <f>ROUND(J3552,-1)</f>
        <v>14900</v>
      </c>
      <c r="L3552" s="710"/>
    </row>
    <row r="3553" spans="1:12" ht="9.1999999999999993" customHeight="1">
      <c r="B3553" s="720"/>
      <c r="C3553" s="717"/>
      <c r="D3553" s="717"/>
      <c r="E3553" s="715"/>
      <c r="F3553" s="715"/>
      <c r="G3553" s="715"/>
      <c r="I3553" s="715" t="s">
        <v>701</v>
      </c>
      <c r="J3553" s="737"/>
      <c r="K3553" s="737"/>
      <c r="L3553" s="715"/>
    </row>
    <row r="3554" spans="1:12" ht="9.1999999999999993" customHeight="1">
      <c r="B3554" s="720"/>
      <c r="C3554" s="717"/>
      <c r="D3554" s="717"/>
      <c r="E3554" s="715"/>
      <c r="F3554" s="715"/>
      <c r="G3554" s="715"/>
      <c r="I3554" s="715"/>
      <c r="J3554" s="737"/>
      <c r="K3554" s="737"/>
      <c r="L3554" s="715"/>
    </row>
    <row r="3559" spans="1:12" ht="9.1999999999999993" customHeight="1">
      <c r="C3559" s="696"/>
      <c r="D3559" s="696"/>
      <c r="E3559" s="697" t="str">
        <f>$E$2</f>
        <v>THẺ LƯƠNG THÁNG 08/2019</v>
      </c>
      <c r="F3559" s="698"/>
      <c r="G3559" s="698"/>
      <c r="H3559" s="698"/>
    </row>
    <row r="3560" spans="1:12" ht="9.1999999999999993" customHeight="1">
      <c r="B3560" s="699" t="s">
        <v>644</v>
      </c>
      <c r="C3560" s="700" t="s">
        <v>515</v>
      </c>
      <c r="D3560" s="701"/>
      <c r="F3560" s="702" t="s">
        <v>645</v>
      </c>
      <c r="G3560" s="689" t="str">
        <f>VLOOKUP(C3560,'Luong VP'!$B$10:$AP$189,2,0)</f>
        <v>Nguyễn Ngọc Hồng Vy</v>
      </c>
    </row>
    <row r="3561" spans="1:12" ht="9.1999999999999993" customHeight="1">
      <c r="B3561" s="699" t="s">
        <v>646</v>
      </c>
      <c r="C3561" s="689" t="str">
        <f>VLOOKUP(C3560,'Luong VP'!$B$10:$AP$189,3,0)</f>
        <v>NV sale</v>
      </c>
      <c r="F3561" s="702" t="s">
        <v>647</v>
      </c>
      <c r="G3561" s="689">
        <f>VLOOKUP(C3560,'Luong VP'!$B$10:$AP$189,5,0)</f>
        <v>5</v>
      </c>
    </row>
    <row r="3562" spans="1:12" ht="9.1999999999999993" customHeight="1">
      <c r="B3562" s="703"/>
      <c r="C3562" s="704"/>
      <c r="D3562" s="705"/>
      <c r="F3562" s="706" t="s">
        <v>648</v>
      </c>
      <c r="G3562" s="706"/>
      <c r="H3562" s="706"/>
      <c r="I3562" s="725"/>
      <c r="J3562" s="726"/>
    </row>
    <row r="3563" spans="1:12" ht="9.1999999999999993" customHeight="1">
      <c r="A3563" s="707" t="s">
        <v>216</v>
      </c>
      <c r="B3563" s="707" t="s">
        <v>649</v>
      </c>
      <c r="C3563" s="708" t="s">
        <v>650</v>
      </c>
      <c r="D3563" s="709"/>
      <c r="E3563" s="710" t="s">
        <v>216</v>
      </c>
      <c r="F3563" s="711" t="s">
        <v>649</v>
      </c>
      <c r="G3563" s="710"/>
      <c r="H3563" s="710" t="s">
        <v>651</v>
      </c>
      <c r="I3563" s="727" t="s">
        <v>652</v>
      </c>
      <c r="J3563" s="714"/>
      <c r="L3563" s="694" t="s">
        <v>653</v>
      </c>
    </row>
    <row r="3564" spans="1:12" ht="9.1999999999999993" customHeight="1">
      <c r="A3564" s="712">
        <v>1</v>
      </c>
      <c r="B3564" s="713" t="s">
        <v>654</v>
      </c>
      <c r="C3564" s="714">
        <f>VLOOKUP(C3560,'Luong VP'!$B$10:$AP$189,9,0)</f>
        <v>7160</v>
      </c>
      <c r="D3564" s="715"/>
      <c r="E3564" s="710" t="s">
        <v>655</v>
      </c>
      <c r="F3564" s="716" t="s">
        <v>656</v>
      </c>
      <c r="G3564" s="710"/>
      <c r="H3564" s="710"/>
      <c r="I3564" s="727"/>
      <c r="J3564" s="714">
        <f>VLOOKUP(C3560,'Luong VP'!$B$10:$AP$189,21,0)</f>
        <v>7160</v>
      </c>
    </row>
    <row r="3565" spans="1:12" ht="9.1999999999999993" customHeight="1">
      <c r="A3565" s="712">
        <v>2</v>
      </c>
      <c r="B3565" s="713" t="s">
        <v>658</v>
      </c>
      <c r="C3565" s="714"/>
      <c r="D3565" s="717"/>
      <c r="E3565" s="710">
        <v>1</v>
      </c>
      <c r="F3565" s="718" t="s">
        <v>659</v>
      </c>
      <c r="G3565" s="718"/>
      <c r="H3565" s="710" t="s">
        <v>660</v>
      </c>
      <c r="I3565" s="727">
        <f>VLOOKUP(C3560,'Luong VP'!$B$10:$AP$189,22,0)</f>
        <v>26</v>
      </c>
      <c r="J3565" s="728">
        <f>J3564/'Cham cong'!$AS$3*I3565</f>
        <v>7159.9999999999991</v>
      </c>
    </row>
    <row r="3566" spans="1:12" ht="9.1999999999999993" customHeight="1">
      <c r="A3566" s="712">
        <v>3</v>
      </c>
      <c r="B3566" s="713" t="s">
        <v>661</v>
      </c>
      <c r="C3566" s="714">
        <f>VLOOKUP(C3560,'Luong VP'!$B$10:$AP$189,10,0)</f>
        <v>0</v>
      </c>
      <c r="D3566" s="717"/>
      <c r="E3566" s="710">
        <v>2</v>
      </c>
      <c r="F3566" s="718" t="s">
        <v>662</v>
      </c>
      <c r="G3566" s="718"/>
      <c r="H3566" s="710" t="s">
        <v>660</v>
      </c>
      <c r="I3566" s="727">
        <f>VLOOKUP(C3560,'Luong VP'!$B$10:$AP$189,27,0)</f>
        <v>0</v>
      </c>
      <c r="J3566" s="728">
        <f>J3564/'Cham cong'!$AS$3*I3566*3</f>
        <v>0</v>
      </c>
    </row>
    <row r="3567" spans="1:12" ht="9.1999999999999993" customHeight="1">
      <c r="A3567" s="712">
        <v>4</v>
      </c>
      <c r="B3567" s="713" t="s">
        <v>666</v>
      </c>
      <c r="C3567" s="714">
        <f>VLOOKUP(C3560,'Luong VP'!$B$10:$AP$189,11,0)</f>
        <v>0</v>
      </c>
      <c r="D3567" s="717"/>
      <c r="E3567" s="710">
        <v>3</v>
      </c>
      <c r="F3567" s="718" t="s">
        <v>667</v>
      </c>
      <c r="G3567" s="718"/>
      <c r="H3567" s="710" t="s">
        <v>668</v>
      </c>
      <c r="I3567" s="727">
        <f>VLOOKUP(C3560,'Luong VP'!$B$10:$AP$189,26,0)</f>
        <v>0</v>
      </c>
      <c r="J3567" s="728">
        <f>J3564/'Cham cong'!$AS$3*I3567/8*1.5</f>
        <v>0</v>
      </c>
    </row>
    <row r="3568" spans="1:12" ht="9.1999999999999993" customHeight="1">
      <c r="A3568" s="712">
        <v>5</v>
      </c>
      <c r="B3568" s="713" t="s">
        <v>670</v>
      </c>
      <c r="C3568" s="714">
        <f>VLOOKUP(C3560,'Luong VP'!$B$10:$AP$189,12,0)</f>
        <v>0</v>
      </c>
      <c r="D3568" s="717"/>
      <c r="E3568" s="710">
        <v>4</v>
      </c>
      <c r="F3568" s="718" t="s">
        <v>671</v>
      </c>
      <c r="G3568" s="718"/>
      <c r="H3568" s="710" t="s">
        <v>668</v>
      </c>
      <c r="I3568" s="727">
        <f>VLOOKUP(C3560,'Luong VP'!$B$10:$AP$189,25,0)</f>
        <v>0</v>
      </c>
      <c r="J3568" s="728">
        <f>J3564/'Cham cong'!$AS$3*I3568/8*2</f>
        <v>0</v>
      </c>
    </row>
    <row r="3569" spans="1:12" ht="9.1999999999999993" customHeight="1">
      <c r="A3569" s="712">
        <v>6</v>
      </c>
      <c r="B3569" s="713" t="s">
        <v>673</v>
      </c>
      <c r="C3569" s="714">
        <f>VLOOKUP(C3560,'Luong VP'!$B$10:$AP$189,13,0)</f>
        <v>0</v>
      </c>
      <c r="D3569" s="717"/>
      <c r="E3569" s="710">
        <v>5</v>
      </c>
      <c r="F3569" s="718" t="s">
        <v>674</v>
      </c>
      <c r="G3569" s="718"/>
      <c r="H3569" s="710" t="s">
        <v>660</v>
      </c>
      <c r="I3569" s="727">
        <f>VLOOKUP(C3560,'Luong VP'!$B$10:$AP$189,23,0)</f>
        <v>0</v>
      </c>
      <c r="J3569" s="728">
        <f>C3564/'Cham cong'!$AS$3*I3569</f>
        <v>0</v>
      </c>
      <c r="L3569" s="694" t="str">
        <f>G3560</f>
        <v>Nguyễn Ngọc Hồng Vy</v>
      </c>
    </row>
    <row r="3570" spans="1:12" ht="9.1999999999999993" customHeight="1">
      <c r="A3570" s="712">
        <v>7</v>
      </c>
      <c r="B3570" s="713" t="s">
        <v>676</v>
      </c>
      <c r="C3570" s="714"/>
      <c r="D3570" s="717"/>
      <c r="E3570" s="710">
        <v>6</v>
      </c>
      <c r="F3570" s="718" t="s">
        <v>677</v>
      </c>
      <c r="G3570" s="718"/>
      <c r="H3570" s="710" t="s">
        <v>660</v>
      </c>
      <c r="I3570" s="727">
        <f>VLOOKUP(C3560,'Luong VP'!$B$10:$AP$189,24,0)</f>
        <v>1</v>
      </c>
      <c r="J3570" s="714">
        <f>C3564/'Cham cong'!$AS$3*I3570</f>
        <v>275.38461538461536</v>
      </c>
    </row>
    <row r="3571" spans="1:12" ht="9.1999999999999993" customHeight="1">
      <c r="A3571" s="712">
        <v>8</v>
      </c>
      <c r="B3571" s="713" t="s">
        <v>679</v>
      </c>
      <c r="C3571" s="714">
        <f>VLOOKUP(C3560,'Luong VP'!$B$10:$AP$189,14,0)</f>
        <v>0</v>
      </c>
      <c r="D3571" s="717"/>
      <c r="E3571" s="710">
        <v>7</v>
      </c>
      <c r="F3571" s="718" t="s">
        <v>680</v>
      </c>
      <c r="G3571" s="718"/>
      <c r="H3571" s="718"/>
      <c r="I3571" s="729"/>
      <c r="J3571" s="714">
        <f>VLOOKUP(C3560,'Luong VP'!$B$10:$AP$189,28,0)</f>
        <v>0</v>
      </c>
    </row>
    <row r="3572" spans="1:12" ht="9.1999999999999993" customHeight="1">
      <c r="A3572" s="712">
        <v>9</v>
      </c>
      <c r="B3572" s="713" t="s">
        <v>683</v>
      </c>
      <c r="C3572" s="714">
        <f>VLOOKUP(C3560,'Luong VP'!$B$10:$AP$189,15,0)</f>
        <v>200</v>
      </c>
      <c r="D3572" s="717"/>
      <c r="E3572" s="710">
        <v>8</v>
      </c>
      <c r="F3572" s="718" t="s">
        <v>238</v>
      </c>
      <c r="G3572" s="718"/>
      <c r="H3572" s="771" t="s">
        <v>660</v>
      </c>
      <c r="I3572" s="787">
        <v>0</v>
      </c>
      <c r="J3572" s="775">
        <v>0</v>
      </c>
    </row>
    <row r="3573" spans="1:12" ht="9.1999999999999993" customHeight="1">
      <c r="A3573" s="712">
        <v>10</v>
      </c>
      <c r="B3573" s="713" t="s">
        <v>685</v>
      </c>
      <c r="C3573" s="714">
        <f>VLOOKUP(C3560,'Luong VP'!$B$10:$AP$189,16,0)</f>
        <v>0</v>
      </c>
      <c r="D3573" s="717"/>
      <c r="E3573" s="710" t="s">
        <v>686</v>
      </c>
      <c r="F3573" s="716" t="s">
        <v>687</v>
      </c>
      <c r="G3573" s="719"/>
      <c r="H3573" s="719"/>
      <c r="I3573" s="729"/>
      <c r="J3573" s="730"/>
    </row>
    <row r="3574" spans="1:12" ht="9.1999999999999993" customHeight="1">
      <c r="A3574" s="712">
        <v>11</v>
      </c>
      <c r="B3574" s="713" t="s">
        <v>688</v>
      </c>
      <c r="C3574" s="714">
        <f>VLOOKUP(C3560,'Luong VP'!$B$10:$AP$189,17,0)</f>
        <v>0</v>
      </c>
      <c r="D3574" s="717"/>
      <c r="E3574" s="710">
        <v>1</v>
      </c>
      <c r="F3574" s="716" t="s">
        <v>689</v>
      </c>
      <c r="G3574" s="719"/>
      <c r="H3574" s="719"/>
      <c r="I3574" s="714">
        <f>VLOOKUP(C3560,'Luong VP'!$B$10:$AP$189,29,0)</f>
        <v>0</v>
      </c>
      <c r="J3574" s="714">
        <f>VLOOKUP(C3560,'Luong VP'!$B$10:$AP$189,30,0)</f>
        <v>6000</v>
      </c>
    </row>
    <row r="3575" spans="1:12" ht="9.1999999999999993" customHeight="1">
      <c r="A3575" s="712">
        <v>12</v>
      </c>
      <c r="B3575" s="713" t="s">
        <v>691</v>
      </c>
      <c r="C3575" s="714">
        <f>VLOOKUP(C3560,'Luong VP'!$B$10:$AP$189,18,0)</f>
        <v>0</v>
      </c>
      <c r="D3575" s="717"/>
      <c r="E3575" s="710">
        <v>2</v>
      </c>
      <c r="F3575" s="718" t="s">
        <v>239</v>
      </c>
      <c r="G3575" s="718"/>
      <c r="H3575" s="718"/>
      <c r="I3575" s="727"/>
      <c r="J3575" s="728">
        <f>VLOOKUP(C3560,'Luong VP'!$B$10:$AP$189,34,0)</f>
        <v>0</v>
      </c>
      <c r="K3575" s="731"/>
      <c r="L3575" s="715"/>
    </row>
    <row r="3576" spans="1:12" ht="9.1999999999999993" customHeight="1">
      <c r="A3576" s="712">
        <v>13</v>
      </c>
      <c r="B3576" s="713" t="s">
        <v>692</v>
      </c>
      <c r="C3576" s="714">
        <f>VLOOKUP(C3560,'Luong VP'!$B$10:$AP$189,19,0)</f>
        <v>0</v>
      </c>
      <c r="D3576" s="717"/>
      <c r="E3576" s="710">
        <v>3</v>
      </c>
      <c r="F3576" s="716" t="s">
        <v>693</v>
      </c>
      <c r="G3576" s="719"/>
      <c r="H3576" s="719"/>
      <c r="I3576" s="729"/>
      <c r="J3576" s="714">
        <f>VLOOKUP(C3560,'Luong VP'!$B$10:$AP$189,40,0)</f>
        <v>0</v>
      </c>
      <c r="K3576" s="731"/>
      <c r="L3576" s="715"/>
    </row>
    <row r="3577" spans="1:12" ht="9.1999999999999993" customHeight="1">
      <c r="A3577" s="712">
        <v>14</v>
      </c>
      <c r="B3577" s="713" t="s">
        <v>694</v>
      </c>
      <c r="C3577" s="714">
        <f>VLOOKUP(C3560,'Luong VP'!$B$10:$AP$189,20,0)</f>
        <v>0</v>
      </c>
      <c r="D3577" s="717"/>
      <c r="E3577" s="710">
        <v>4</v>
      </c>
      <c r="F3577" s="718" t="s">
        <v>695</v>
      </c>
      <c r="G3577" s="719"/>
      <c r="H3577" s="719"/>
      <c r="I3577" s="729"/>
      <c r="J3577" s="714">
        <f>VLOOKUP(C3560,'Luong VP'!$B$10:$AP$189,35,0)</f>
        <v>0</v>
      </c>
      <c r="K3577" s="732"/>
      <c r="L3577" s="715"/>
    </row>
    <row r="3578" spans="1:12" ht="9.1999999999999993" customHeight="1">
      <c r="A3578" s="712"/>
      <c r="B3578" s="707" t="s">
        <v>656</v>
      </c>
      <c r="C3578" s="714">
        <f>SUM(C3564:C3577)</f>
        <v>7360</v>
      </c>
      <c r="D3578" s="717"/>
      <c r="E3578" s="710"/>
      <c r="F3578" s="716" t="s">
        <v>241</v>
      </c>
      <c r="G3578" s="719"/>
      <c r="H3578" s="719"/>
      <c r="I3578" s="729"/>
      <c r="J3578" s="730">
        <f>SUM(J3565:J3577)+C3572</f>
        <v>13635.384615384613</v>
      </c>
      <c r="K3578" s="731"/>
      <c r="L3578" s="715"/>
    </row>
    <row r="3579" spans="1:12" ht="9.1999999999999993" customHeight="1">
      <c r="B3579" s="720"/>
      <c r="C3579" s="717"/>
      <c r="D3579" s="717"/>
      <c r="E3579" s="710" t="s">
        <v>696</v>
      </c>
      <c r="F3579" s="711" t="s">
        <v>697</v>
      </c>
      <c r="G3579" s="710"/>
      <c r="H3579" s="710"/>
      <c r="I3579" s="729"/>
      <c r="J3579" s="730">
        <f>SUM(J3580:J3582)</f>
        <v>504</v>
      </c>
      <c r="K3579" s="732"/>
      <c r="L3579" s="715"/>
    </row>
    <row r="3580" spans="1:12" ht="9.1999999999999993" customHeight="1">
      <c r="B3580" s="720"/>
      <c r="C3580" s="717"/>
      <c r="D3580" s="717"/>
      <c r="E3580" s="710">
        <v>1</v>
      </c>
      <c r="F3580" s="718" t="s">
        <v>698</v>
      </c>
      <c r="G3580" s="718"/>
      <c r="H3580" s="718"/>
      <c r="I3580" s="733"/>
      <c r="J3580" s="714">
        <f>VLOOKUP(C3560,'Luong VP'!$B$10:$AP$189,37,0)</f>
        <v>504</v>
      </c>
      <c r="K3580" s="732"/>
      <c r="L3580" s="715"/>
    </row>
    <row r="3581" spans="1:12" ht="9.1999999999999993" customHeight="1">
      <c r="B3581" s="720"/>
      <c r="C3581" s="717"/>
      <c r="D3581" s="717"/>
      <c r="E3581" s="710">
        <v>2</v>
      </c>
      <c r="F3581" s="718" t="s">
        <v>244</v>
      </c>
      <c r="G3581" s="718"/>
      <c r="H3581" s="718"/>
      <c r="I3581" s="729"/>
      <c r="J3581" s="714">
        <f>VLOOKUP(C3560,'Luong VP'!$B$10:$AP$189,39,0)</f>
        <v>0</v>
      </c>
      <c r="K3581" s="734"/>
      <c r="L3581" s="735"/>
    </row>
    <row r="3582" spans="1:12" ht="9.1999999999999993" customHeight="1">
      <c r="B3582" s="720"/>
      <c r="C3582" s="717"/>
      <c r="D3582" s="717"/>
      <c r="E3582" s="710"/>
      <c r="F3582" s="718" t="s">
        <v>699</v>
      </c>
      <c r="G3582" s="718"/>
      <c r="H3582" s="718"/>
      <c r="I3582" s="729"/>
      <c r="J3582" s="714"/>
      <c r="K3582" s="714"/>
      <c r="L3582" s="736"/>
    </row>
    <row r="3583" spans="1:12" ht="9.1999999999999993" customHeight="1">
      <c r="B3583" s="720"/>
      <c r="C3583" s="717"/>
      <c r="D3583" s="717"/>
      <c r="E3583" s="710" t="s">
        <v>700</v>
      </c>
      <c r="F3583" s="710" t="s">
        <v>246</v>
      </c>
      <c r="G3583" s="710"/>
      <c r="H3583" s="710"/>
      <c r="I3583" s="729"/>
      <c r="J3583" s="728">
        <f>J3578-J3579</f>
        <v>13131.384615384613</v>
      </c>
      <c r="K3583" s="728">
        <f>ROUND(J3583,-1)</f>
        <v>13130</v>
      </c>
      <c r="L3583" s="710"/>
    </row>
    <row r="3584" spans="1:12" ht="9.1999999999999993" customHeight="1">
      <c r="B3584" s="720"/>
      <c r="C3584" s="717"/>
      <c r="D3584" s="717"/>
      <c r="E3584" s="715"/>
      <c r="F3584" s="715"/>
      <c r="G3584" s="715"/>
      <c r="I3584" s="715" t="s">
        <v>701</v>
      </c>
      <c r="J3584" s="737"/>
      <c r="K3584" s="737"/>
      <c r="L3584" s="715"/>
    </row>
    <row r="3585" spans="1:12" ht="9.1999999999999993" customHeight="1">
      <c r="B3585" s="720"/>
      <c r="C3585" s="717"/>
      <c r="D3585" s="717"/>
      <c r="E3585" s="715"/>
      <c r="F3585" s="715"/>
      <c r="G3585" s="715"/>
      <c r="I3585" s="715"/>
      <c r="J3585" s="737"/>
      <c r="K3585" s="737"/>
      <c r="L3585" s="715"/>
    </row>
    <row r="3586" spans="1:12" ht="9.1999999999999993" customHeight="1">
      <c r="B3586" s="720"/>
      <c r="C3586" s="717"/>
      <c r="D3586" s="717"/>
      <c r="E3586" s="715"/>
      <c r="F3586" s="715"/>
      <c r="G3586" s="715"/>
      <c r="I3586" s="715"/>
      <c r="J3586" s="737"/>
      <c r="K3586" s="737"/>
      <c r="L3586" s="715"/>
    </row>
    <row r="3587" spans="1:12" ht="9.1999999999999993" customHeight="1">
      <c r="B3587" s="720"/>
      <c r="C3587" s="717"/>
      <c r="D3587" s="717"/>
      <c r="E3587" s="715"/>
      <c r="F3587" s="715"/>
      <c r="G3587" s="715"/>
      <c r="I3587" s="715"/>
      <c r="J3587" s="737"/>
      <c r="K3587" s="737"/>
      <c r="L3587" s="715"/>
    </row>
    <row r="3588" spans="1:12" ht="9.1999999999999993" customHeight="1">
      <c r="B3588" s="720"/>
      <c r="C3588" s="717"/>
      <c r="D3588" s="717"/>
      <c r="E3588" s="715"/>
      <c r="F3588" s="715"/>
      <c r="G3588" s="715"/>
      <c r="I3588" s="715"/>
      <c r="J3588" s="737"/>
      <c r="K3588" s="737"/>
      <c r="L3588" s="715"/>
    </row>
    <row r="3589" spans="1:12" ht="9.1999999999999993" customHeight="1">
      <c r="C3589" s="696"/>
      <c r="D3589" s="696"/>
      <c r="E3589" s="697" t="str">
        <f>$E$2</f>
        <v>THẺ LƯƠNG THÁNG 08/2019</v>
      </c>
      <c r="F3589" s="698"/>
      <c r="G3589" s="698"/>
      <c r="H3589" s="698"/>
    </row>
    <row r="3590" spans="1:12" ht="9.1999999999999993" customHeight="1">
      <c r="B3590" s="699" t="s">
        <v>644</v>
      </c>
      <c r="C3590" s="700" t="s">
        <v>1299</v>
      </c>
      <c r="D3590" s="701"/>
      <c r="F3590" s="1475" t="s">
        <v>645</v>
      </c>
      <c r="G3590" s="689" t="str">
        <f>VLOOKUP(C3590,'Luong VP'!$B$10:$AP$189,2,0)</f>
        <v>Nguyễn Lê Thanh Thùy</v>
      </c>
    </row>
    <row r="3591" spans="1:12" ht="9.1999999999999993" customHeight="1">
      <c r="B3591" s="699" t="s">
        <v>646</v>
      </c>
      <c r="C3591" s="689" t="str">
        <f>VLOOKUP(C3590,'Luong VP'!$B$10:$AP$189,3,0)</f>
        <v>NV sale</v>
      </c>
      <c r="F3591" s="1475" t="s">
        <v>647</v>
      </c>
      <c r="G3591" s="689">
        <f>VLOOKUP(C3590,'Luong VP'!$B$10:$AP$189,5,0)</f>
        <v>2</v>
      </c>
    </row>
    <row r="3592" spans="1:12" ht="9.1999999999999993" customHeight="1">
      <c r="B3592" s="703"/>
      <c r="C3592" s="704"/>
      <c r="D3592" s="705"/>
      <c r="F3592" s="706" t="s">
        <v>648</v>
      </c>
      <c r="G3592" s="706"/>
      <c r="H3592" s="706"/>
      <c r="I3592" s="725"/>
      <c r="J3592" s="726"/>
    </row>
    <row r="3593" spans="1:12" ht="9.1999999999999993" customHeight="1">
      <c r="A3593" s="707" t="s">
        <v>216</v>
      </c>
      <c r="B3593" s="707" t="s">
        <v>649</v>
      </c>
      <c r="C3593" s="708" t="s">
        <v>650</v>
      </c>
      <c r="D3593" s="709"/>
      <c r="E3593" s="710" t="s">
        <v>216</v>
      </c>
      <c r="F3593" s="711" t="s">
        <v>649</v>
      </c>
      <c r="G3593" s="710"/>
      <c r="H3593" s="710" t="s">
        <v>651</v>
      </c>
      <c r="I3593" s="727" t="s">
        <v>652</v>
      </c>
      <c r="J3593" s="714"/>
      <c r="L3593" s="694" t="s">
        <v>653</v>
      </c>
    </row>
    <row r="3594" spans="1:12" ht="9.1999999999999993" customHeight="1">
      <c r="A3594" s="712">
        <v>1</v>
      </c>
      <c r="B3594" s="713" t="s">
        <v>654</v>
      </c>
      <c r="C3594" s="714">
        <f>VLOOKUP(C3590,'Luong VP'!$B$10:$AP$189,9,0)</f>
        <v>6190</v>
      </c>
      <c r="D3594" s="715"/>
      <c r="E3594" s="710" t="s">
        <v>655</v>
      </c>
      <c r="F3594" s="716" t="s">
        <v>656</v>
      </c>
      <c r="G3594" s="710"/>
      <c r="H3594" s="710"/>
      <c r="I3594" s="727"/>
      <c r="J3594" s="714">
        <f>VLOOKUP(C3590,'Luong VP'!$B$10:$AP$189,21,0)</f>
        <v>5261.5</v>
      </c>
    </row>
    <row r="3595" spans="1:12" ht="9.1999999999999993" customHeight="1">
      <c r="A3595" s="712">
        <v>2</v>
      </c>
      <c r="B3595" s="713" t="s">
        <v>658</v>
      </c>
      <c r="C3595" s="714"/>
      <c r="D3595" s="717"/>
      <c r="E3595" s="710">
        <v>1</v>
      </c>
      <c r="F3595" s="718" t="s">
        <v>659</v>
      </c>
      <c r="G3595" s="718"/>
      <c r="H3595" s="710" t="s">
        <v>660</v>
      </c>
      <c r="I3595" s="727">
        <f>VLOOKUP(C3590,'Luong VP'!$B$10:$AP$189,22,0)</f>
        <v>26</v>
      </c>
      <c r="J3595" s="728">
        <f>J3594/'Cham cong'!$AS$3*I3595</f>
        <v>5261.5</v>
      </c>
    </row>
    <row r="3596" spans="1:12" ht="9.1999999999999993" customHeight="1">
      <c r="A3596" s="712">
        <v>3</v>
      </c>
      <c r="B3596" s="713" t="s">
        <v>661</v>
      </c>
      <c r="C3596" s="714">
        <f>VLOOKUP(C3590,'Luong VP'!$B$10:$AP$189,10,0)</f>
        <v>0</v>
      </c>
      <c r="D3596" s="717"/>
      <c r="E3596" s="710">
        <v>2</v>
      </c>
      <c r="F3596" s="718" t="s">
        <v>662</v>
      </c>
      <c r="G3596" s="718"/>
      <c r="H3596" s="710" t="s">
        <v>660</v>
      </c>
      <c r="I3596" s="727">
        <f>VLOOKUP(C3590,'Luong VP'!$B$10:$AP$189,27,0)</f>
        <v>0</v>
      </c>
      <c r="J3596" s="728">
        <f>J3594/'Cham cong'!$AS$3*I3596*3</f>
        <v>0</v>
      </c>
    </row>
    <row r="3597" spans="1:12" ht="9.1999999999999993" customHeight="1">
      <c r="A3597" s="712">
        <v>4</v>
      </c>
      <c r="B3597" s="713" t="s">
        <v>666</v>
      </c>
      <c r="C3597" s="714">
        <f>VLOOKUP(C3590,'Luong VP'!$B$10:$AP$189,11,0)</f>
        <v>0</v>
      </c>
      <c r="D3597" s="717"/>
      <c r="E3597" s="710">
        <v>3</v>
      </c>
      <c r="F3597" s="718" t="s">
        <v>667</v>
      </c>
      <c r="G3597" s="718"/>
      <c r="H3597" s="710" t="s">
        <v>668</v>
      </c>
      <c r="I3597" s="727">
        <f>VLOOKUP(C3590,'Luong VP'!$B$10:$AP$189,26,0)</f>
        <v>0</v>
      </c>
      <c r="J3597" s="728">
        <f>J3594/'Cham cong'!$AS$3*I3597/8*1.5</f>
        <v>0</v>
      </c>
    </row>
    <row r="3598" spans="1:12" ht="9.1999999999999993" customHeight="1">
      <c r="A3598" s="712">
        <v>5</v>
      </c>
      <c r="B3598" s="713" t="s">
        <v>670</v>
      </c>
      <c r="C3598" s="714">
        <f>VLOOKUP(C3590,'Luong VP'!$B$10:$AP$189,12,0)</f>
        <v>0</v>
      </c>
      <c r="D3598" s="717"/>
      <c r="E3598" s="710">
        <v>4</v>
      </c>
      <c r="F3598" s="718" t="s">
        <v>671</v>
      </c>
      <c r="G3598" s="718"/>
      <c r="H3598" s="710" t="s">
        <v>668</v>
      </c>
      <c r="I3598" s="727">
        <f>VLOOKUP(C3590,'Luong VP'!$B$10:$AP$189,25,0)</f>
        <v>0</v>
      </c>
      <c r="J3598" s="728">
        <f>J3594/'Cham cong'!$AS$3*I3598/8*2</f>
        <v>0</v>
      </c>
    </row>
    <row r="3599" spans="1:12" ht="9.1999999999999993" customHeight="1">
      <c r="A3599" s="712">
        <v>6</v>
      </c>
      <c r="B3599" s="713" t="s">
        <v>673</v>
      </c>
      <c r="C3599" s="714">
        <f>VLOOKUP(C3590,'Luong VP'!$B$10:$AP$189,13,0)</f>
        <v>0</v>
      </c>
      <c r="D3599" s="717"/>
      <c r="E3599" s="710">
        <v>5</v>
      </c>
      <c r="F3599" s="718" t="s">
        <v>674</v>
      </c>
      <c r="G3599" s="718"/>
      <c r="H3599" s="710" t="s">
        <v>660</v>
      </c>
      <c r="I3599" s="727">
        <f>VLOOKUP(C3590,'Luong VP'!$B$10:$AP$189,23,0)</f>
        <v>0</v>
      </c>
      <c r="J3599" s="728">
        <f>C3594/'Cham cong'!$AS$3*I3599</f>
        <v>0</v>
      </c>
      <c r="L3599" s="694" t="str">
        <f>G3590</f>
        <v>Nguyễn Lê Thanh Thùy</v>
      </c>
    </row>
    <row r="3600" spans="1:12" ht="9.1999999999999993" customHeight="1">
      <c r="A3600" s="712">
        <v>7</v>
      </c>
      <c r="B3600" s="713" t="s">
        <v>676</v>
      </c>
      <c r="C3600" s="714"/>
      <c r="D3600" s="717"/>
      <c r="E3600" s="710">
        <v>6</v>
      </c>
      <c r="F3600" s="718" t="s">
        <v>677</v>
      </c>
      <c r="G3600" s="718"/>
      <c r="H3600" s="710" t="s">
        <v>660</v>
      </c>
      <c r="I3600" s="727">
        <f>VLOOKUP(C3590,'Luong VP'!$B$10:$AP$189,24,0)</f>
        <v>1</v>
      </c>
      <c r="J3600" s="714">
        <f>C3594/'Cham cong'!$AS$3*I3600</f>
        <v>238.07692307692307</v>
      </c>
    </row>
    <row r="3601" spans="1:12" ht="9.1999999999999993" customHeight="1">
      <c r="A3601" s="712">
        <v>8</v>
      </c>
      <c r="B3601" s="713" t="s">
        <v>679</v>
      </c>
      <c r="C3601" s="714">
        <f>VLOOKUP(C3590,'Luong VP'!$B$10:$AP$189,14,0)</f>
        <v>0</v>
      </c>
      <c r="D3601" s="717"/>
      <c r="E3601" s="710">
        <v>7</v>
      </c>
      <c r="F3601" s="718" t="s">
        <v>680</v>
      </c>
      <c r="G3601" s="718"/>
      <c r="H3601" s="718"/>
      <c r="I3601" s="729"/>
      <c r="J3601" s="714">
        <f>VLOOKUP(C3590,'Luong VP'!$B$10:$AP$189,28,0)</f>
        <v>0</v>
      </c>
    </row>
    <row r="3602" spans="1:12" ht="9.1999999999999993" customHeight="1">
      <c r="A3602" s="712">
        <v>9</v>
      </c>
      <c r="B3602" s="713" t="s">
        <v>683</v>
      </c>
      <c r="C3602" s="714">
        <f>VLOOKUP(C3590,'Luong VP'!$B$10:$AP$189,15,0)</f>
        <v>200</v>
      </c>
      <c r="D3602" s="717"/>
      <c r="E3602" s="710">
        <v>8</v>
      </c>
      <c r="F3602" s="718" t="s">
        <v>238</v>
      </c>
      <c r="G3602" s="718"/>
      <c r="H3602" s="771" t="s">
        <v>660</v>
      </c>
      <c r="I3602" s="787">
        <v>0</v>
      </c>
      <c r="J3602" s="775">
        <v>0</v>
      </c>
    </row>
    <row r="3603" spans="1:12" ht="9.1999999999999993" customHeight="1">
      <c r="A3603" s="712">
        <v>10</v>
      </c>
      <c r="B3603" s="713" t="s">
        <v>685</v>
      </c>
      <c r="C3603" s="714">
        <f>VLOOKUP(C3590,'Luong VP'!$B$10:$AP$189,16,0)</f>
        <v>0</v>
      </c>
      <c r="D3603" s="717"/>
      <c r="E3603" s="710" t="s">
        <v>686</v>
      </c>
      <c r="F3603" s="716" t="s">
        <v>687</v>
      </c>
      <c r="G3603" s="719"/>
      <c r="H3603" s="719"/>
      <c r="I3603" s="729"/>
      <c r="J3603" s="730"/>
    </row>
    <row r="3604" spans="1:12" ht="9.1999999999999993" customHeight="1">
      <c r="A3604" s="712">
        <v>11</v>
      </c>
      <c r="B3604" s="713" t="s">
        <v>688</v>
      </c>
      <c r="C3604" s="714">
        <f>VLOOKUP(C3590,'Luong VP'!$B$10:$AP$189,17,0)</f>
        <v>0</v>
      </c>
      <c r="D3604" s="717"/>
      <c r="E3604" s="710">
        <v>1</v>
      </c>
      <c r="F3604" s="716" t="s">
        <v>689</v>
      </c>
      <c r="G3604" s="719"/>
      <c r="H3604" s="719"/>
      <c r="I3604" s="714">
        <f>VLOOKUP(C3590,'Luong VP'!$B$10:$AP$189,29,0)</f>
        <v>0</v>
      </c>
      <c r="J3604" s="714">
        <f>VLOOKUP(C3590,'Luong VP'!$B$10:$AP$189,30,0)</f>
        <v>2000</v>
      </c>
    </row>
    <row r="3605" spans="1:12" ht="9.1999999999999993" customHeight="1">
      <c r="A3605" s="712">
        <v>12</v>
      </c>
      <c r="B3605" s="713" t="s">
        <v>691</v>
      </c>
      <c r="C3605" s="714">
        <f>VLOOKUP(C3590,'Luong VP'!$B$10:$AP$189,18,0)</f>
        <v>0</v>
      </c>
      <c r="D3605" s="717"/>
      <c r="E3605" s="710">
        <v>2</v>
      </c>
      <c r="F3605" s="718" t="s">
        <v>239</v>
      </c>
      <c r="G3605" s="718"/>
      <c r="H3605" s="718"/>
      <c r="I3605" s="727"/>
      <c r="J3605" s="728">
        <f>VLOOKUP(C3590,'Luong VP'!$B$10:$AP$189,34,0)</f>
        <v>0</v>
      </c>
      <c r="K3605" s="731"/>
      <c r="L3605" s="715"/>
    </row>
    <row r="3606" spans="1:12" ht="9.1999999999999993" customHeight="1">
      <c r="A3606" s="712">
        <v>13</v>
      </c>
      <c r="B3606" s="713" t="s">
        <v>692</v>
      </c>
      <c r="C3606" s="714">
        <f>VLOOKUP(C3590,'Luong VP'!$B$10:$AP$189,19,0)</f>
        <v>0</v>
      </c>
      <c r="D3606" s="717"/>
      <c r="E3606" s="710">
        <v>3</v>
      </c>
      <c r="F3606" s="716" t="s">
        <v>693</v>
      </c>
      <c r="G3606" s="719"/>
      <c r="H3606" s="719"/>
      <c r="I3606" s="729"/>
      <c r="J3606" s="714">
        <f>VLOOKUP(C3590,'Luong VP'!$B$10:$AP$189,40,0)</f>
        <v>0</v>
      </c>
      <c r="K3606" s="731"/>
      <c r="L3606" s="715"/>
    </row>
    <row r="3607" spans="1:12" ht="9.1999999999999993" customHeight="1">
      <c r="A3607" s="712">
        <v>14</v>
      </c>
      <c r="B3607" s="713" t="s">
        <v>694</v>
      </c>
      <c r="C3607" s="714">
        <f>VLOOKUP(C3590,'Luong VP'!$B$10:$AP$189,20,0)</f>
        <v>0</v>
      </c>
      <c r="D3607" s="717"/>
      <c r="E3607" s="710">
        <v>4</v>
      </c>
      <c r="F3607" s="718" t="s">
        <v>695</v>
      </c>
      <c r="G3607" s="719"/>
      <c r="H3607" s="719"/>
      <c r="I3607" s="729"/>
      <c r="J3607" s="714">
        <f>VLOOKUP(C3590,'Luong VP'!$B$10:$AP$189,35,0)</f>
        <v>0</v>
      </c>
      <c r="K3607" s="732"/>
      <c r="L3607" s="715"/>
    </row>
    <row r="3608" spans="1:12" ht="9.1999999999999993" customHeight="1">
      <c r="A3608" s="712"/>
      <c r="B3608" s="707" t="s">
        <v>656</v>
      </c>
      <c r="C3608" s="714">
        <f>SUM(C3594:C3607)</f>
        <v>6390</v>
      </c>
      <c r="D3608" s="717"/>
      <c r="E3608" s="710"/>
      <c r="F3608" s="716" t="s">
        <v>241</v>
      </c>
      <c r="G3608" s="719"/>
      <c r="H3608" s="719"/>
      <c r="I3608" s="729"/>
      <c r="J3608" s="730">
        <f>SUM(J3595:J3607)+C3602</f>
        <v>7699.5769230769229</v>
      </c>
      <c r="K3608" s="731"/>
      <c r="L3608" s="715"/>
    </row>
    <row r="3609" spans="1:12" ht="9.1999999999999993" customHeight="1">
      <c r="B3609" s="720"/>
      <c r="C3609" s="717"/>
      <c r="D3609" s="717"/>
      <c r="E3609" s="710" t="s">
        <v>696</v>
      </c>
      <c r="F3609" s="711" t="s">
        <v>697</v>
      </c>
      <c r="G3609" s="710"/>
      <c r="H3609" s="710"/>
      <c r="I3609" s="729"/>
      <c r="J3609" s="730">
        <f>SUM(J3610:J3612)</f>
        <v>0</v>
      </c>
      <c r="K3609" s="732"/>
      <c r="L3609" s="715"/>
    </row>
    <row r="3610" spans="1:12" ht="9.1999999999999993" customHeight="1">
      <c r="B3610" s="720"/>
      <c r="C3610" s="717"/>
      <c r="D3610" s="717"/>
      <c r="E3610" s="710">
        <v>1</v>
      </c>
      <c r="F3610" s="718" t="s">
        <v>698</v>
      </c>
      <c r="G3610" s="718"/>
      <c r="H3610" s="718"/>
      <c r="I3610" s="733"/>
      <c r="J3610" s="714">
        <f>VLOOKUP(C3590,'Luong VP'!$B$10:$AP$189,37,0)</f>
        <v>0</v>
      </c>
      <c r="K3610" s="732"/>
      <c r="L3610" s="715"/>
    </row>
    <row r="3611" spans="1:12" ht="9.1999999999999993" customHeight="1">
      <c r="B3611" s="720"/>
      <c r="C3611" s="717"/>
      <c r="D3611" s="717"/>
      <c r="E3611" s="710">
        <v>2</v>
      </c>
      <c r="F3611" s="718" t="s">
        <v>244</v>
      </c>
      <c r="G3611" s="718"/>
      <c r="H3611" s="718"/>
      <c r="I3611" s="729"/>
      <c r="J3611" s="714">
        <f>VLOOKUP(C3590,'Luong VP'!$B$10:$AP$189,39,0)</f>
        <v>0</v>
      </c>
      <c r="K3611" s="734"/>
      <c r="L3611" s="735"/>
    </row>
    <row r="3612" spans="1:12" ht="9.1999999999999993" customHeight="1">
      <c r="B3612" s="720"/>
      <c r="C3612" s="717"/>
      <c r="D3612" s="717"/>
      <c r="E3612" s="710"/>
      <c r="F3612" s="718" t="s">
        <v>699</v>
      </c>
      <c r="G3612" s="718"/>
      <c r="H3612" s="718"/>
      <c r="I3612" s="729"/>
      <c r="J3612" s="714"/>
      <c r="K3612" s="714"/>
      <c r="L3612" s="736"/>
    </row>
    <row r="3613" spans="1:12" ht="9.1999999999999993" customHeight="1">
      <c r="B3613" s="720"/>
      <c r="C3613" s="717"/>
      <c r="D3613" s="717"/>
      <c r="E3613" s="710" t="s">
        <v>700</v>
      </c>
      <c r="F3613" s="710" t="s">
        <v>246</v>
      </c>
      <c r="G3613" s="710"/>
      <c r="H3613" s="710"/>
      <c r="I3613" s="729"/>
      <c r="J3613" s="728">
        <f>J3608-J3609</f>
        <v>7699.5769230769229</v>
      </c>
      <c r="K3613" s="728">
        <f>ROUND(J3613,-1)</f>
        <v>7700</v>
      </c>
      <c r="L3613" s="710"/>
    </row>
    <row r="3614" spans="1:12" ht="9.1999999999999993" customHeight="1">
      <c r="B3614" s="720"/>
      <c r="C3614" s="717"/>
      <c r="D3614" s="717"/>
      <c r="E3614" s="715"/>
      <c r="F3614" s="715"/>
      <c r="G3614" s="715"/>
      <c r="I3614" s="715" t="s">
        <v>701</v>
      </c>
      <c r="J3614" s="737"/>
      <c r="K3614" s="737"/>
      <c r="L3614" s="715"/>
    </row>
    <row r="3619" spans="1:12" ht="9.1999999999999993" customHeight="1">
      <c r="C3619" s="696"/>
      <c r="D3619" s="696"/>
      <c r="E3619" s="697" t="str">
        <f>$E$2</f>
        <v>THẺ LƯƠNG THÁNG 08/2019</v>
      </c>
      <c r="F3619" s="698"/>
      <c r="G3619" s="698"/>
      <c r="H3619" s="698"/>
    </row>
    <row r="3620" spans="1:12" ht="9.1999999999999993" customHeight="1">
      <c r="B3620" s="699" t="s">
        <v>644</v>
      </c>
      <c r="C3620" s="700" t="s">
        <v>518</v>
      </c>
      <c r="D3620" s="701"/>
      <c r="F3620" s="702" t="s">
        <v>645</v>
      </c>
      <c r="G3620" s="689" t="str">
        <f>VLOOKUP(C3620,'Luong VP'!$B$10:$AP$189,2,0)</f>
        <v xml:space="preserve"> Phan Thanh Tùng </v>
      </c>
    </row>
    <row r="3621" spans="1:12" ht="9.1999999999999993" customHeight="1">
      <c r="B3621" s="699" t="s">
        <v>646</v>
      </c>
      <c r="C3621" s="689" t="str">
        <f>VLOOKUP(C3620,'Luong VP'!$B$10:$AP$189,3,0)</f>
        <v>NV sale</v>
      </c>
      <c r="F3621" s="702" t="s">
        <v>647</v>
      </c>
      <c r="G3621" s="689">
        <f>VLOOKUP(C3620,'Luong VP'!$B$10:$AP$189,5,0)</f>
        <v>4</v>
      </c>
    </row>
    <row r="3622" spans="1:12" ht="9.1999999999999993" customHeight="1">
      <c r="B3622" s="703"/>
      <c r="C3622" s="704"/>
      <c r="D3622" s="705"/>
      <c r="F3622" s="706" t="s">
        <v>648</v>
      </c>
      <c r="G3622" s="706"/>
      <c r="H3622" s="706"/>
      <c r="I3622" s="725"/>
      <c r="J3622" s="726"/>
    </row>
    <row r="3623" spans="1:12" ht="9.1999999999999993" customHeight="1">
      <c r="A3623" s="707" t="s">
        <v>216</v>
      </c>
      <c r="B3623" s="707" t="s">
        <v>649</v>
      </c>
      <c r="C3623" s="708" t="s">
        <v>650</v>
      </c>
      <c r="D3623" s="709"/>
      <c r="E3623" s="710" t="s">
        <v>216</v>
      </c>
      <c r="F3623" s="711" t="s">
        <v>649</v>
      </c>
      <c r="G3623" s="710"/>
      <c r="H3623" s="710" t="s">
        <v>651</v>
      </c>
      <c r="I3623" s="727" t="s">
        <v>652</v>
      </c>
      <c r="J3623" s="714"/>
      <c r="L3623" s="694" t="s">
        <v>653</v>
      </c>
    </row>
    <row r="3624" spans="1:12" ht="9.1999999999999993" customHeight="1">
      <c r="A3624" s="712">
        <v>1</v>
      </c>
      <c r="B3624" s="713" t="s">
        <v>654</v>
      </c>
      <c r="C3624" s="714">
        <f>VLOOKUP(C3620,'Luong VP'!$B$10:$AP$189,9,0)</f>
        <v>6820</v>
      </c>
      <c r="D3624" s="715"/>
      <c r="E3624" s="710" t="s">
        <v>655</v>
      </c>
      <c r="F3624" s="716" t="s">
        <v>656</v>
      </c>
      <c r="G3624" s="710"/>
      <c r="H3624" s="710"/>
      <c r="I3624" s="727"/>
      <c r="J3624" s="714">
        <f>VLOOKUP(C3620,'Luong VP'!$B$10:$AP$189,21,0)</f>
        <v>8570.2000000000007</v>
      </c>
    </row>
    <row r="3625" spans="1:12" ht="9.1999999999999993" customHeight="1">
      <c r="A3625" s="712">
        <v>2</v>
      </c>
      <c r="B3625" s="713" t="s">
        <v>658</v>
      </c>
      <c r="C3625" s="714"/>
      <c r="D3625" s="717"/>
      <c r="E3625" s="710">
        <v>1</v>
      </c>
      <c r="F3625" s="718" t="s">
        <v>659</v>
      </c>
      <c r="G3625" s="718"/>
      <c r="H3625" s="710" t="s">
        <v>660</v>
      </c>
      <c r="I3625" s="727">
        <f>VLOOKUP(C3620,'Luong VP'!$B$10:$AP$189,22,0)</f>
        <v>26</v>
      </c>
      <c r="J3625" s="728">
        <f>J3624/'Cham cong'!$AS$3*I3625</f>
        <v>8570.2000000000007</v>
      </c>
    </row>
    <row r="3626" spans="1:12" ht="9.1999999999999993" customHeight="1">
      <c r="A3626" s="712">
        <v>3</v>
      </c>
      <c r="B3626" s="713" t="s">
        <v>661</v>
      </c>
      <c r="C3626" s="714">
        <f>VLOOKUP(C3620,'Luong VP'!$B$10:$AP$189,10,0)</f>
        <v>0</v>
      </c>
      <c r="D3626" s="717"/>
      <c r="E3626" s="710">
        <v>2</v>
      </c>
      <c r="F3626" s="718" t="s">
        <v>662</v>
      </c>
      <c r="G3626" s="718"/>
      <c r="H3626" s="710" t="s">
        <v>660</v>
      </c>
      <c r="I3626" s="727">
        <f>VLOOKUP(C3620,'Luong VP'!$B$10:$AP$189,27,0)</f>
        <v>0</v>
      </c>
      <c r="J3626" s="728">
        <f>J3624/'Cham cong'!$AS$3*I3626*3</f>
        <v>0</v>
      </c>
    </row>
    <row r="3627" spans="1:12" ht="9.1999999999999993" customHeight="1">
      <c r="A3627" s="712">
        <v>4</v>
      </c>
      <c r="B3627" s="713" t="s">
        <v>666</v>
      </c>
      <c r="C3627" s="714">
        <f>VLOOKUP(C3620,'Luong VP'!$B$10:$AP$189,11,0)</f>
        <v>0</v>
      </c>
      <c r="D3627" s="717"/>
      <c r="E3627" s="710">
        <v>3</v>
      </c>
      <c r="F3627" s="718" t="s">
        <v>667</v>
      </c>
      <c r="G3627" s="718"/>
      <c r="H3627" s="710" t="s">
        <v>668</v>
      </c>
      <c r="I3627" s="727">
        <f>VLOOKUP(C3620,'Luong VP'!$B$10:$AP$189,26,0)</f>
        <v>0</v>
      </c>
      <c r="J3627" s="728">
        <f>J3624/'Cham cong'!$AS$3*I3627/8*1.5</f>
        <v>0</v>
      </c>
    </row>
    <row r="3628" spans="1:12" ht="9.1999999999999993" customHeight="1">
      <c r="A3628" s="712">
        <v>5</v>
      </c>
      <c r="B3628" s="713" t="s">
        <v>670</v>
      </c>
      <c r="C3628" s="714">
        <f>VLOOKUP(C3620,'Luong VP'!$B$10:$AP$189,12,0)</f>
        <v>750.2</v>
      </c>
      <c r="D3628" s="717"/>
      <c r="E3628" s="710">
        <v>4</v>
      </c>
      <c r="F3628" s="718" t="s">
        <v>671</v>
      </c>
      <c r="G3628" s="718"/>
      <c r="H3628" s="710" t="s">
        <v>668</v>
      </c>
      <c r="I3628" s="727">
        <f>VLOOKUP(C3620,'Luong VP'!$B$10:$AP$189,25,0)</f>
        <v>0</v>
      </c>
      <c r="J3628" s="728">
        <f>J3624/'Cham cong'!$AS$3*I3628/8*2</f>
        <v>0</v>
      </c>
    </row>
    <row r="3629" spans="1:12" ht="9.1999999999999993" customHeight="1">
      <c r="A3629" s="712">
        <v>6</v>
      </c>
      <c r="B3629" s="713" t="s">
        <v>673</v>
      </c>
      <c r="C3629" s="714">
        <f>VLOOKUP(C3620,'Luong VP'!$B$10:$AP$189,13,0)</f>
        <v>0</v>
      </c>
      <c r="D3629" s="717"/>
      <c r="E3629" s="710">
        <v>5</v>
      </c>
      <c r="F3629" s="718" t="s">
        <v>674</v>
      </c>
      <c r="G3629" s="718"/>
      <c r="H3629" s="710" t="s">
        <v>660</v>
      </c>
      <c r="I3629" s="727">
        <f>VLOOKUP(C3620,'Luong VP'!$B$10:$AP$189,23,0)</f>
        <v>0</v>
      </c>
      <c r="J3629" s="728">
        <f>C3624/'Cham cong'!$AS$3*I3629</f>
        <v>0</v>
      </c>
      <c r="L3629" s="694" t="str">
        <f>G3620</f>
        <v xml:space="preserve"> Phan Thanh Tùng </v>
      </c>
    </row>
    <row r="3630" spans="1:12" ht="9.1999999999999993" customHeight="1">
      <c r="A3630" s="712">
        <v>7</v>
      </c>
      <c r="B3630" s="713" t="s">
        <v>676</v>
      </c>
      <c r="C3630" s="714"/>
      <c r="D3630" s="717"/>
      <c r="E3630" s="710">
        <v>6</v>
      </c>
      <c r="F3630" s="718" t="s">
        <v>677</v>
      </c>
      <c r="G3630" s="718"/>
      <c r="H3630" s="710" t="s">
        <v>660</v>
      </c>
      <c r="I3630" s="727">
        <f>VLOOKUP(C3620,'Luong VP'!$B$10:$AP$189,24,0)</f>
        <v>1</v>
      </c>
      <c r="J3630" s="714">
        <f>C3624/'Cham cong'!$AS$3*I3630</f>
        <v>262.30769230769232</v>
      </c>
    </row>
    <row r="3631" spans="1:12" ht="9.1999999999999993" customHeight="1">
      <c r="A3631" s="712">
        <v>8</v>
      </c>
      <c r="B3631" s="713" t="s">
        <v>679</v>
      </c>
      <c r="C3631" s="714">
        <f>VLOOKUP(C3620,'Luong VP'!$B$10:$AP$189,14,0)</f>
        <v>500</v>
      </c>
      <c r="D3631" s="717"/>
      <c r="E3631" s="710">
        <v>7</v>
      </c>
      <c r="F3631" s="718" t="s">
        <v>680</v>
      </c>
      <c r="G3631" s="718"/>
      <c r="H3631" s="718"/>
      <c r="I3631" s="729"/>
      <c r="J3631" s="714">
        <f>VLOOKUP(C3620,'Luong VP'!$B$10:$AP$189,28,0)</f>
        <v>0</v>
      </c>
    </row>
    <row r="3632" spans="1:12" ht="9.1999999999999993" customHeight="1">
      <c r="A3632" s="712">
        <v>9</v>
      </c>
      <c r="B3632" s="713" t="s">
        <v>683</v>
      </c>
      <c r="C3632" s="714">
        <f>VLOOKUP(C3620,'Luong VP'!$B$10:$AP$189,15,0)</f>
        <v>200</v>
      </c>
      <c r="D3632" s="717"/>
      <c r="E3632" s="710">
        <v>8</v>
      </c>
      <c r="F3632" s="718" t="s">
        <v>238</v>
      </c>
      <c r="G3632" s="718"/>
      <c r="H3632" s="718"/>
      <c r="I3632" s="729"/>
      <c r="J3632" s="714">
        <f>VLOOKUP(C3620,'Luong VP'!$B$10:$AP$189,33,0)</f>
        <v>0</v>
      </c>
    </row>
    <row r="3633" spans="1:12" ht="9.1999999999999993" customHeight="1">
      <c r="A3633" s="712">
        <v>10</v>
      </c>
      <c r="B3633" s="713" t="s">
        <v>685</v>
      </c>
      <c r="C3633" s="714">
        <f>VLOOKUP(C3620,'Luong VP'!$B$10:$AP$189,16,0)</f>
        <v>500</v>
      </c>
      <c r="D3633" s="717"/>
      <c r="E3633" s="710" t="s">
        <v>686</v>
      </c>
      <c r="F3633" s="716" t="s">
        <v>687</v>
      </c>
      <c r="G3633" s="719"/>
      <c r="H3633" s="719"/>
      <c r="I3633" s="729"/>
      <c r="J3633" s="730"/>
    </row>
    <row r="3634" spans="1:12" ht="9.1999999999999993" customHeight="1">
      <c r="A3634" s="712">
        <v>11</v>
      </c>
      <c r="B3634" s="713" t="s">
        <v>688</v>
      </c>
      <c r="C3634" s="714">
        <f>VLOOKUP(C3620,'Luong VP'!$B$10:$AP$189,17,0)</f>
        <v>0</v>
      </c>
      <c r="D3634" s="717"/>
      <c r="E3634" s="710">
        <v>1</v>
      </c>
      <c r="F3634" s="716" t="s">
        <v>689</v>
      </c>
      <c r="G3634" s="719"/>
      <c r="H3634" s="719"/>
      <c r="I3634" s="714">
        <f>VLOOKUP(C3620,'Luong VP'!$B$10:$AP$189,29,0)</f>
        <v>0</v>
      </c>
      <c r="J3634" s="714">
        <f>VLOOKUP(C3620,'Luong VP'!$B$10:$AP$189,30,0)</f>
        <v>8000</v>
      </c>
    </row>
    <row r="3635" spans="1:12" ht="9.1999999999999993" customHeight="1">
      <c r="A3635" s="712">
        <v>12</v>
      </c>
      <c r="B3635" s="713" t="s">
        <v>691</v>
      </c>
      <c r="C3635" s="714">
        <f>VLOOKUP(C3620,'Luong VP'!$B$10:$AP$189,18,0)</f>
        <v>0</v>
      </c>
      <c r="D3635" s="717"/>
      <c r="E3635" s="710">
        <v>2</v>
      </c>
      <c r="F3635" s="718" t="s">
        <v>239</v>
      </c>
      <c r="G3635" s="718"/>
      <c r="H3635" s="718"/>
      <c r="I3635" s="727"/>
      <c r="J3635" s="728">
        <f>VLOOKUP(C3620,'Luong VP'!$B$10:$AP$189,34,0)</f>
        <v>0</v>
      </c>
      <c r="K3635" s="731"/>
      <c r="L3635" s="715"/>
    </row>
    <row r="3636" spans="1:12" ht="9.1999999999999993" customHeight="1">
      <c r="A3636" s="712">
        <v>13</v>
      </c>
      <c r="B3636" s="713" t="s">
        <v>692</v>
      </c>
      <c r="C3636" s="714">
        <f>VLOOKUP(C3620,'Luong VP'!$B$10:$AP$189,19,0)</f>
        <v>0</v>
      </c>
      <c r="D3636" s="717"/>
      <c r="E3636" s="710">
        <v>3</v>
      </c>
      <c r="F3636" s="716" t="s">
        <v>693</v>
      </c>
      <c r="G3636" s="719"/>
      <c r="H3636" s="719"/>
      <c r="I3636" s="729"/>
      <c r="J3636" s="714">
        <f>VLOOKUP(C3620,'Luong VP'!$B$10:$AP$189,40,0)</f>
        <v>0</v>
      </c>
      <c r="K3636" s="731"/>
      <c r="L3636" s="715"/>
    </row>
    <row r="3637" spans="1:12" ht="9.1999999999999993" customHeight="1">
      <c r="A3637" s="712">
        <v>14</v>
      </c>
      <c r="B3637" s="713" t="s">
        <v>694</v>
      </c>
      <c r="C3637" s="714">
        <f>VLOOKUP(C3620,'Luong VP'!$B$10:$AP$189,20,0)</f>
        <v>0</v>
      </c>
      <c r="D3637" s="717"/>
      <c r="E3637" s="710">
        <v>4</v>
      </c>
      <c r="F3637" s="718" t="s">
        <v>695</v>
      </c>
      <c r="G3637" s="719"/>
      <c r="H3637" s="719"/>
      <c r="I3637" s="729"/>
      <c r="J3637" s="714">
        <f>VLOOKUP(C3620,'Luong VP'!$B$10:$AP$189,35,0)</f>
        <v>0</v>
      </c>
      <c r="K3637" s="732"/>
      <c r="L3637" s="715"/>
    </row>
    <row r="3638" spans="1:12" ht="9.1999999999999993" customHeight="1">
      <c r="A3638" s="712"/>
      <c r="B3638" s="707" t="s">
        <v>656</v>
      </c>
      <c r="C3638" s="714">
        <f>SUM(C3624:C3637)</f>
        <v>8770.2000000000007</v>
      </c>
      <c r="D3638" s="717"/>
      <c r="E3638" s="710"/>
      <c r="F3638" s="716" t="s">
        <v>241</v>
      </c>
      <c r="G3638" s="719"/>
      <c r="H3638" s="719"/>
      <c r="I3638" s="729"/>
      <c r="J3638" s="730">
        <f>SUM(J3625:J3637)+C3632</f>
        <v>17032.507692307692</v>
      </c>
      <c r="K3638" s="731"/>
      <c r="L3638" s="715"/>
    </row>
    <row r="3639" spans="1:12" ht="9.1999999999999993" customHeight="1">
      <c r="B3639" s="720"/>
      <c r="C3639" s="717"/>
      <c r="D3639" s="717"/>
      <c r="E3639" s="710" t="s">
        <v>696</v>
      </c>
      <c r="F3639" s="711" t="s">
        <v>697</v>
      </c>
      <c r="G3639" s="710"/>
      <c r="H3639" s="710"/>
      <c r="I3639" s="729"/>
      <c r="J3639" s="730">
        <f>SUM(J3640:J3642)</f>
        <v>504</v>
      </c>
      <c r="K3639" s="732"/>
      <c r="L3639" s="715"/>
    </row>
    <row r="3640" spans="1:12" ht="9.1999999999999993" customHeight="1">
      <c r="B3640" s="720"/>
      <c r="C3640" s="717"/>
      <c r="D3640" s="717"/>
      <c r="E3640" s="710">
        <v>1</v>
      </c>
      <c r="F3640" s="718" t="s">
        <v>698</v>
      </c>
      <c r="G3640" s="718"/>
      <c r="H3640" s="718"/>
      <c r="I3640" s="733"/>
      <c r="J3640" s="714">
        <f>VLOOKUP(C3620,'Luong VP'!$B$10:$AP$189,37,0)</f>
        <v>504</v>
      </c>
      <c r="K3640" s="732"/>
      <c r="L3640" s="715"/>
    </row>
    <row r="3641" spans="1:12" ht="9.1999999999999993" customHeight="1">
      <c r="B3641" s="720"/>
      <c r="C3641" s="717"/>
      <c r="D3641" s="717"/>
      <c r="E3641" s="710">
        <v>2</v>
      </c>
      <c r="F3641" s="718" t="s">
        <v>244</v>
      </c>
      <c r="G3641" s="718"/>
      <c r="H3641" s="718"/>
      <c r="I3641" s="729"/>
      <c r="J3641" s="714">
        <f>VLOOKUP(C3620,'Luong VP'!$B$10:$AP$189,39,0)</f>
        <v>0</v>
      </c>
      <c r="K3641" s="734"/>
      <c r="L3641" s="735"/>
    </row>
    <row r="3642" spans="1:12" ht="9.1999999999999993" customHeight="1">
      <c r="B3642" s="720"/>
      <c r="C3642" s="717"/>
      <c r="D3642" s="717"/>
      <c r="E3642" s="710"/>
      <c r="F3642" s="718" t="s">
        <v>699</v>
      </c>
      <c r="G3642" s="718"/>
      <c r="H3642" s="718"/>
      <c r="I3642" s="729"/>
      <c r="J3642" s="714"/>
      <c r="K3642" s="714"/>
      <c r="L3642" s="736"/>
    </row>
    <row r="3643" spans="1:12" ht="9.1999999999999993" customHeight="1">
      <c r="B3643" s="720"/>
      <c r="C3643" s="717"/>
      <c r="D3643" s="717"/>
      <c r="E3643" s="710" t="s">
        <v>700</v>
      </c>
      <c r="F3643" s="710" t="s">
        <v>246</v>
      </c>
      <c r="G3643" s="710"/>
      <c r="H3643" s="710"/>
      <c r="I3643" s="729"/>
      <c r="J3643" s="728">
        <f>J3638-J3639</f>
        <v>16528.507692307692</v>
      </c>
      <c r="K3643" s="728">
        <f>ROUND(J3643,-1)</f>
        <v>16530</v>
      </c>
      <c r="L3643" s="710"/>
    </row>
    <row r="3644" spans="1:12" ht="9.1999999999999993" customHeight="1">
      <c r="B3644" s="720"/>
      <c r="C3644" s="717"/>
      <c r="D3644" s="717"/>
      <c r="E3644" s="715"/>
      <c r="F3644" s="715"/>
      <c r="G3644" s="715"/>
      <c r="I3644" s="715" t="s">
        <v>701</v>
      </c>
      <c r="J3644" s="737"/>
      <c r="K3644" s="737"/>
      <c r="L3644" s="715"/>
    </row>
    <row r="3645" spans="1:12" ht="9.1999999999999993" customHeight="1">
      <c r="B3645" s="720"/>
      <c r="C3645" s="717"/>
      <c r="D3645" s="717"/>
      <c r="E3645" s="715"/>
      <c r="F3645" s="715"/>
      <c r="G3645" s="715"/>
      <c r="I3645" s="715"/>
      <c r="J3645" s="737"/>
      <c r="K3645" s="737"/>
      <c r="L3645" s="715"/>
    </row>
    <row r="3646" spans="1:12" ht="9.1999999999999993" customHeight="1">
      <c r="B3646" s="720"/>
      <c r="C3646" s="717"/>
      <c r="D3646" s="717"/>
      <c r="E3646" s="715"/>
      <c r="F3646" s="715"/>
      <c r="G3646" s="715"/>
      <c r="I3646" s="715"/>
      <c r="J3646" s="737"/>
      <c r="K3646" s="737"/>
      <c r="L3646" s="715"/>
    </row>
    <row r="3647" spans="1:12" ht="9.1999999999999993" customHeight="1">
      <c r="B3647" s="720"/>
      <c r="C3647" s="717"/>
      <c r="D3647" s="717"/>
      <c r="E3647" s="715"/>
      <c r="F3647" s="715"/>
      <c r="G3647" s="715"/>
      <c r="I3647" s="715"/>
      <c r="J3647" s="737"/>
      <c r="K3647" s="737"/>
      <c r="L3647" s="715"/>
    </row>
    <row r="3649" spans="1:12" ht="9.1999999999999993" customHeight="1">
      <c r="C3649" s="696"/>
      <c r="D3649" s="696"/>
      <c r="E3649" s="697" t="str">
        <f>$E$2</f>
        <v>THẺ LƯƠNG THÁNG 08/2019</v>
      </c>
      <c r="F3649" s="698"/>
      <c r="G3649" s="698"/>
      <c r="H3649" s="698"/>
    </row>
    <row r="3650" spans="1:12" ht="9.1999999999999993" customHeight="1">
      <c r="B3650" s="699" t="s">
        <v>644</v>
      </c>
      <c r="C3650" s="700" t="s">
        <v>521</v>
      </c>
      <c r="D3650" s="701"/>
      <c r="F3650" s="702" t="s">
        <v>645</v>
      </c>
      <c r="G3650" s="689" t="str">
        <f>VLOOKUP(C3650,'Luong VP'!$B$10:$AP$189,2,0)</f>
        <v xml:space="preserve"> Nguyễn Đức Trung </v>
      </c>
    </row>
    <row r="3651" spans="1:12" ht="9.1999999999999993" customHeight="1">
      <c r="B3651" s="699" t="s">
        <v>646</v>
      </c>
      <c r="C3651" s="689" t="str">
        <f>VLOOKUP(C3650,'Luong VP'!$B$10:$AP$189,3,0)</f>
        <v>NV sale</v>
      </c>
      <c r="F3651" s="702" t="s">
        <v>647</v>
      </c>
      <c r="G3651" s="689">
        <f>VLOOKUP(C3650,'Luong VP'!$B$10:$AP$189,5,0)</f>
        <v>2</v>
      </c>
    </row>
    <row r="3652" spans="1:12" ht="9.1999999999999993" customHeight="1">
      <c r="B3652" s="703"/>
      <c r="C3652" s="704"/>
      <c r="D3652" s="705"/>
      <c r="F3652" s="706" t="s">
        <v>648</v>
      </c>
      <c r="G3652" s="706"/>
      <c r="H3652" s="706"/>
      <c r="I3652" s="725"/>
      <c r="J3652" s="726"/>
    </row>
    <row r="3653" spans="1:12" ht="9.1999999999999993" customHeight="1">
      <c r="A3653" s="707" t="s">
        <v>216</v>
      </c>
      <c r="B3653" s="707" t="s">
        <v>649</v>
      </c>
      <c r="C3653" s="708" t="s">
        <v>650</v>
      </c>
      <c r="D3653" s="709"/>
      <c r="E3653" s="710" t="s">
        <v>216</v>
      </c>
      <c r="F3653" s="711" t="s">
        <v>649</v>
      </c>
      <c r="G3653" s="710"/>
      <c r="H3653" s="710" t="s">
        <v>651</v>
      </c>
      <c r="I3653" s="727" t="s">
        <v>652</v>
      </c>
      <c r="J3653" s="714"/>
      <c r="L3653" s="694" t="s">
        <v>653</v>
      </c>
    </row>
    <row r="3654" spans="1:12" ht="9.1999999999999993" customHeight="1">
      <c r="A3654" s="712">
        <v>1</v>
      </c>
      <c r="B3654" s="713" t="s">
        <v>654</v>
      </c>
      <c r="C3654" s="714">
        <f>VLOOKUP(C3650,'Luong VP'!$B$10:$AP$189,9,0)</f>
        <v>6190</v>
      </c>
      <c r="D3654" s="715"/>
      <c r="E3654" s="710" t="s">
        <v>655</v>
      </c>
      <c r="F3654" s="716" t="s">
        <v>656</v>
      </c>
      <c r="G3654" s="710"/>
      <c r="H3654" s="710"/>
      <c r="I3654" s="727"/>
      <c r="J3654" s="714">
        <f>VLOOKUP(C3650,'Luong VP'!$B$10:$AP$189,21,0)</f>
        <v>7190</v>
      </c>
    </row>
    <row r="3655" spans="1:12" ht="9.1999999999999993" customHeight="1">
      <c r="A3655" s="712">
        <v>2</v>
      </c>
      <c r="B3655" s="713" t="s">
        <v>658</v>
      </c>
      <c r="C3655" s="714"/>
      <c r="D3655" s="717"/>
      <c r="E3655" s="710">
        <v>1</v>
      </c>
      <c r="F3655" s="718" t="s">
        <v>659</v>
      </c>
      <c r="G3655" s="718"/>
      <c r="H3655" s="710" t="s">
        <v>660</v>
      </c>
      <c r="I3655" s="727">
        <f>VLOOKUP(C3650,'Luong VP'!$B$10:$AP$189,22,0)</f>
        <v>26</v>
      </c>
      <c r="J3655" s="728">
        <f>J3654/'Cham cong'!$AS$3*I3655</f>
        <v>7190</v>
      </c>
    </row>
    <row r="3656" spans="1:12" ht="9.1999999999999993" customHeight="1">
      <c r="A3656" s="712">
        <v>3</v>
      </c>
      <c r="B3656" s="713" t="s">
        <v>661</v>
      </c>
      <c r="C3656" s="714">
        <f>VLOOKUP(C3650,'Luong VP'!$B$10:$AP$189,10,0)</f>
        <v>0</v>
      </c>
      <c r="D3656" s="717"/>
      <c r="E3656" s="710">
        <v>2</v>
      </c>
      <c r="F3656" s="718" t="s">
        <v>662</v>
      </c>
      <c r="G3656" s="718"/>
      <c r="H3656" s="710" t="s">
        <v>660</v>
      </c>
      <c r="I3656" s="727">
        <f>VLOOKUP(C3650,'Luong VP'!$B$10:$AP$189,27,0)</f>
        <v>0</v>
      </c>
      <c r="J3656" s="728">
        <f>J3654/'Cham cong'!$AS$3*I3656*3</f>
        <v>0</v>
      </c>
    </row>
    <row r="3657" spans="1:12" ht="9.1999999999999993" customHeight="1">
      <c r="A3657" s="712">
        <v>4</v>
      </c>
      <c r="B3657" s="713" t="s">
        <v>666</v>
      </c>
      <c r="C3657" s="714">
        <f>VLOOKUP(C3650,'Luong VP'!$B$10:$AP$189,11,0)</f>
        <v>0</v>
      </c>
      <c r="D3657" s="717"/>
      <c r="E3657" s="710">
        <v>3</v>
      </c>
      <c r="F3657" s="718" t="s">
        <v>667</v>
      </c>
      <c r="G3657" s="718"/>
      <c r="H3657" s="710" t="s">
        <v>668</v>
      </c>
      <c r="I3657" s="727">
        <f>VLOOKUP(C3650,'Luong VP'!$B$10:$AP$189,26,0)</f>
        <v>0</v>
      </c>
      <c r="J3657" s="728">
        <f>J3654/'Cham cong'!$AS$3*I3657/8*1.5</f>
        <v>0</v>
      </c>
    </row>
    <row r="3658" spans="1:12" ht="9.1999999999999993" customHeight="1">
      <c r="A3658" s="712">
        <v>5</v>
      </c>
      <c r="B3658" s="713" t="s">
        <v>670</v>
      </c>
      <c r="C3658" s="714">
        <f>VLOOKUP(C3650,'Luong VP'!$B$10:$AP$189,12,0)</f>
        <v>0</v>
      </c>
      <c r="D3658" s="717"/>
      <c r="E3658" s="710">
        <v>4</v>
      </c>
      <c r="F3658" s="718" t="s">
        <v>671</v>
      </c>
      <c r="G3658" s="718"/>
      <c r="H3658" s="710" t="s">
        <v>668</v>
      </c>
      <c r="I3658" s="727">
        <f>VLOOKUP(C3650,'Luong VP'!$B$10:$AP$189,25,0)</f>
        <v>0</v>
      </c>
      <c r="J3658" s="728">
        <f>J3654/'Cham cong'!$AS$3*I3658/8*2</f>
        <v>0</v>
      </c>
    </row>
    <row r="3659" spans="1:12" ht="9.1999999999999993" customHeight="1">
      <c r="A3659" s="712">
        <v>6</v>
      </c>
      <c r="B3659" s="713" t="s">
        <v>673</v>
      </c>
      <c r="C3659" s="714">
        <f>VLOOKUP(C3650,'Luong VP'!$B$10:$AP$189,13,0)</f>
        <v>0</v>
      </c>
      <c r="D3659" s="717"/>
      <c r="E3659" s="710">
        <v>5</v>
      </c>
      <c r="F3659" s="718" t="s">
        <v>674</v>
      </c>
      <c r="G3659" s="718"/>
      <c r="H3659" s="710" t="s">
        <v>660</v>
      </c>
      <c r="I3659" s="727">
        <f>VLOOKUP(C3650,'Luong VP'!$B$10:$AP$189,23,0)</f>
        <v>0</v>
      </c>
      <c r="J3659" s="728">
        <f>C3654/'Cham cong'!$AS$3*I3659</f>
        <v>0</v>
      </c>
      <c r="L3659" s="694" t="str">
        <f>G3650</f>
        <v xml:space="preserve"> Nguyễn Đức Trung </v>
      </c>
    </row>
    <row r="3660" spans="1:12" ht="9.1999999999999993" customHeight="1">
      <c r="A3660" s="712">
        <v>7</v>
      </c>
      <c r="B3660" s="713" t="s">
        <v>676</v>
      </c>
      <c r="C3660" s="714"/>
      <c r="D3660" s="717"/>
      <c r="E3660" s="710">
        <v>6</v>
      </c>
      <c r="F3660" s="718" t="s">
        <v>677</v>
      </c>
      <c r="G3660" s="718"/>
      <c r="H3660" s="710" t="s">
        <v>660</v>
      </c>
      <c r="I3660" s="727">
        <f>VLOOKUP(C3650,'Luong VP'!$B$10:$AP$189,24,0)</f>
        <v>1</v>
      </c>
      <c r="J3660" s="714">
        <f>C3654/'Cham cong'!$AS$3*I3660</f>
        <v>238.07692307692307</v>
      </c>
    </row>
    <row r="3661" spans="1:12" ht="9.1999999999999993" customHeight="1">
      <c r="A3661" s="712">
        <v>8</v>
      </c>
      <c r="B3661" s="713" t="s">
        <v>679</v>
      </c>
      <c r="C3661" s="714">
        <f>VLOOKUP(C3650,'Luong VP'!$B$10:$AP$189,14,0)</f>
        <v>500</v>
      </c>
      <c r="D3661" s="717"/>
      <c r="E3661" s="710">
        <v>7</v>
      </c>
      <c r="F3661" s="718" t="s">
        <v>680</v>
      </c>
      <c r="G3661" s="718"/>
      <c r="H3661" s="718"/>
      <c r="I3661" s="729"/>
      <c r="J3661" s="714">
        <f>VLOOKUP(C3650,'Luong VP'!$B$10:$AP$189,28,0)</f>
        <v>0</v>
      </c>
    </row>
    <row r="3662" spans="1:12" ht="9.1999999999999993" customHeight="1">
      <c r="A3662" s="712">
        <v>9</v>
      </c>
      <c r="B3662" s="713" t="s">
        <v>683</v>
      </c>
      <c r="C3662" s="714">
        <f>VLOOKUP(C3650,'Luong VP'!$B$10:$AP$189,15,0)</f>
        <v>200</v>
      </c>
      <c r="D3662" s="717"/>
      <c r="E3662" s="710">
        <v>8</v>
      </c>
      <c r="F3662" s="718" t="s">
        <v>238</v>
      </c>
      <c r="G3662" s="718"/>
      <c r="H3662" s="718"/>
      <c r="I3662" s="729"/>
      <c r="J3662" s="714">
        <f>VLOOKUP(C3650,'Luong VP'!$B$10:$AP$189,33,0)</f>
        <v>0</v>
      </c>
    </row>
    <row r="3663" spans="1:12" ht="9.1999999999999993" customHeight="1">
      <c r="A3663" s="712">
        <v>10</v>
      </c>
      <c r="B3663" s="713" t="s">
        <v>685</v>
      </c>
      <c r="C3663" s="714">
        <f>VLOOKUP(C3650,'Luong VP'!$B$10:$AP$189,16,0)</f>
        <v>500</v>
      </c>
      <c r="D3663" s="717"/>
      <c r="E3663" s="710" t="s">
        <v>686</v>
      </c>
      <c r="F3663" s="716" t="s">
        <v>687</v>
      </c>
      <c r="G3663" s="719"/>
      <c r="H3663" s="719"/>
      <c r="I3663" s="729"/>
      <c r="J3663" s="730"/>
    </row>
    <row r="3664" spans="1:12" ht="9.1999999999999993" customHeight="1">
      <c r="A3664" s="712">
        <v>11</v>
      </c>
      <c r="B3664" s="713" t="s">
        <v>688</v>
      </c>
      <c r="C3664" s="714">
        <f>VLOOKUP(C3650,'Luong VP'!$B$10:$AP$189,17,0)</f>
        <v>0</v>
      </c>
      <c r="D3664" s="717"/>
      <c r="E3664" s="710">
        <v>1</v>
      </c>
      <c r="F3664" s="716" t="s">
        <v>689</v>
      </c>
      <c r="G3664" s="719"/>
      <c r="H3664" s="719"/>
      <c r="I3664" s="714">
        <f>VLOOKUP(C3650,'Luong VP'!$B$10:$AP$189,29,0)</f>
        <v>0</v>
      </c>
      <c r="J3664" s="714">
        <f>VLOOKUP(C3650,'Luong VP'!$B$10:$AP$189,30,0)</f>
        <v>8000</v>
      </c>
    </row>
    <row r="3665" spans="1:12" ht="9.1999999999999993" customHeight="1">
      <c r="A3665" s="712">
        <v>12</v>
      </c>
      <c r="B3665" s="713" t="s">
        <v>691</v>
      </c>
      <c r="C3665" s="714">
        <f>VLOOKUP(C3650,'Luong VP'!$B$10:$AP$189,18,0)</f>
        <v>0</v>
      </c>
      <c r="D3665" s="717"/>
      <c r="E3665" s="710">
        <v>2</v>
      </c>
      <c r="F3665" s="718" t="s">
        <v>239</v>
      </c>
      <c r="G3665" s="718"/>
      <c r="H3665" s="718"/>
      <c r="I3665" s="727"/>
      <c r="J3665" s="728">
        <f>VLOOKUP(C3650,'Luong VP'!$B$10:$AP$189,34,0)</f>
        <v>0</v>
      </c>
      <c r="K3665" s="731"/>
      <c r="L3665" s="715"/>
    </row>
    <row r="3666" spans="1:12" ht="9.1999999999999993" customHeight="1">
      <c r="A3666" s="712">
        <v>13</v>
      </c>
      <c r="B3666" s="713" t="s">
        <v>692</v>
      </c>
      <c r="C3666" s="714">
        <f>VLOOKUP(C3650,'Luong VP'!$B$10:$AP$189,19,0)</f>
        <v>0</v>
      </c>
      <c r="D3666" s="717"/>
      <c r="E3666" s="710">
        <v>3</v>
      </c>
      <c r="F3666" s="716" t="s">
        <v>693</v>
      </c>
      <c r="G3666" s="719"/>
      <c r="H3666" s="719"/>
      <c r="I3666" s="729"/>
      <c r="J3666" s="714">
        <f>VLOOKUP(C3650,'Luong VP'!$B$10:$AP$189,40,0)</f>
        <v>0</v>
      </c>
      <c r="K3666" s="731"/>
      <c r="L3666" s="715"/>
    </row>
    <row r="3667" spans="1:12" ht="9.1999999999999993" customHeight="1">
      <c r="A3667" s="712">
        <v>14</v>
      </c>
      <c r="B3667" s="713" t="s">
        <v>694</v>
      </c>
      <c r="C3667" s="714">
        <f>VLOOKUP(C3650,'Luong VP'!$B$10:$AP$189,20,0)</f>
        <v>0</v>
      </c>
      <c r="D3667" s="717"/>
      <c r="E3667" s="710">
        <v>4</v>
      </c>
      <c r="F3667" s="718" t="s">
        <v>695</v>
      </c>
      <c r="G3667" s="719"/>
      <c r="H3667" s="719"/>
      <c r="I3667" s="729"/>
      <c r="J3667" s="714">
        <f>VLOOKUP(C3650,'Luong VP'!$B$10:$AP$189,35,0)</f>
        <v>0</v>
      </c>
      <c r="K3667" s="732"/>
      <c r="L3667" s="715"/>
    </row>
    <row r="3668" spans="1:12" ht="9.1999999999999993" customHeight="1">
      <c r="A3668" s="712"/>
      <c r="B3668" s="707" t="s">
        <v>656</v>
      </c>
      <c r="C3668" s="714">
        <f>SUM(C3654:C3667)</f>
        <v>7390</v>
      </c>
      <c r="D3668" s="717"/>
      <c r="E3668" s="710"/>
      <c r="F3668" s="716" t="s">
        <v>241</v>
      </c>
      <c r="G3668" s="719"/>
      <c r="H3668" s="719"/>
      <c r="I3668" s="729"/>
      <c r="J3668" s="730">
        <f>SUM(J3655:J3667)+C3662</f>
        <v>15628.076923076922</v>
      </c>
      <c r="K3668" s="731"/>
      <c r="L3668" s="715"/>
    </row>
    <row r="3669" spans="1:12" ht="9.1999999999999993" customHeight="1">
      <c r="B3669" s="720"/>
      <c r="C3669" s="717"/>
      <c r="D3669" s="717"/>
      <c r="E3669" s="710" t="s">
        <v>696</v>
      </c>
      <c r="F3669" s="711" t="s">
        <v>697</v>
      </c>
      <c r="G3669" s="710"/>
      <c r="H3669" s="710"/>
      <c r="I3669" s="729"/>
      <c r="J3669" s="730">
        <f>SUM(J3670:J3672)</f>
        <v>504</v>
      </c>
      <c r="K3669" s="732"/>
      <c r="L3669" s="715"/>
    </row>
    <row r="3670" spans="1:12" ht="9.1999999999999993" customHeight="1">
      <c r="B3670" s="720"/>
      <c r="C3670" s="717"/>
      <c r="D3670" s="717"/>
      <c r="E3670" s="710">
        <v>1</v>
      </c>
      <c r="F3670" s="718" t="s">
        <v>698</v>
      </c>
      <c r="G3670" s="718"/>
      <c r="H3670" s="718"/>
      <c r="I3670" s="733"/>
      <c r="J3670" s="714">
        <f>VLOOKUP(C3650,'Luong VP'!$B$10:$AP$189,37,0)</f>
        <v>504</v>
      </c>
      <c r="K3670" s="732"/>
      <c r="L3670" s="715"/>
    </row>
    <row r="3671" spans="1:12" ht="9.1999999999999993" customHeight="1">
      <c r="B3671" s="720"/>
      <c r="C3671" s="717"/>
      <c r="D3671" s="717"/>
      <c r="E3671" s="710">
        <v>2</v>
      </c>
      <c r="F3671" s="718" t="s">
        <v>244</v>
      </c>
      <c r="G3671" s="718"/>
      <c r="H3671" s="718"/>
      <c r="I3671" s="729"/>
      <c r="J3671" s="714">
        <f>VLOOKUP(C3650,'Luong VP'!$B$10:$AP$189,39,0)</f>
        <v>0</v>
      </c>
      <c r="K3671" s="734"/>
      <c r="L3671" s="735"/>
    </row>
    <row r="3672" spans="1:12" ht="9.1999999999999993" customHeight="1">
      <c r="B3672" s="720"/>
      <c r="C3672" s="717"/>
      <c r="D3672" s="717"/>
      <c r="E3672" s="710"/>
      <c r="F3672" s="718" t="s">
        <v>699</v>
      </c>
      <c r="G3672" s="718"/>
      <c r="H3672" s="718"/>
      <c r="I3672" s="729"/>
      <c r="J3672" s="714"/>
      <c r="K3672" s="714"/>
      <c r="L3672" s="736"/>
    </row>
    <row r="3673" spans="1:12" ht="9.1999999999999993" customHeight="1">
      <c r="B3673" s="720"/>
      <c r="C3673" s="717"/>
      <c r="D3673" s="717"/>
      <c r="E3673" s="710" t="s">
        <v>700</v>
      </c>
      <c r="F3673" s="710" t="s">
        <v>246</v>
      </c>
      <c r="G3673" s="710"/>
      <c r="H3673" s="710"/>
      <c r="I3673" s="729"/>
      <c r="J3673" s="728">
        <f>J3668-J3669</f>
        <v>15124.076923076922</v>
      </c>
      <c r="K3673" s="728">
        <f>ROUND(J3673,-1)</f>
        <v>15120</v>
      </c>
      <c r="L3673" s="710"/>
    </row>
    <row r="3674" spans="1:12" ht="9.1999999999999993" customHeight="1">
      <c r="B3674" s="720"/>
      <c r="C3674" s="717"/>
      <c r="D3674" s="717"/>
      <c r="E3674" s="715"/>
      <c r="F3674" s="715"/>
      <c r="G3674" s="715"/>
      <c r="I3674" s="715" t="s">
        <v>701</v>
      </c>
      <c r="J3674" s="737"/>
      <c r="K3674" s="737"/>
      <c r="L3674" s="715"/>
    </row>
    <row r="3675" spans="1:12" ht="9.1999999999999993" customHeight="1">
      <c r="B3675" s="720"/>
      <c r="C3675" s="717"/>
      <c r="D3675" s="717"/>
      <c r="E3675" s="715"/>
      <c r="F3675" s="715"/>
      <c r="G3675" s="715"/>
      <c r="I3675" s="715"/>
      <c r="J3675" s="737"/>
      <c r="K3675" s="737"/>
      <c r="L3675" s="715"/>
    </row>
    <row r="3679" spans="1:12" ht="9.1999999999999993" customHeight="1">
      <c r="C3679" s="696"/>
      <c r="D3679" s="696"/>
      <c r="E3679" s="697" t="str">
        <f>$E$2</f>
        <v>THẺ LƯƠNG THÁNG 08/2019</v>
      </c>
      <c r="F3679" s="698"/>
      <c r="G3679" s="698"/>
      <c r="H3679" s="698"/>
    </row>
    <row r="3680" spans="1:12" ht="9.1999999999999993" customHeight="1">
      <c r="B3680" s="699" t="s">
        <v>644</v>
      </c>
      <c r="C3680" s="700" t="s">
        <v>524</v>
      </c>
      <c r="D3680" s="701"/>
      <c r="F3680" s="702" t="s">
        <v>645</v>
      </c>
      <c r="G3680" s="689" t="str">
        <f>VLOOKUP(C3680,'Luong VP'!$B$10:$AP$189,2,0)</f>
        <v xml:space="preserve"> Nguyễn Minh Đại </v>
      </c>
    </row>
    <row r="3681" spans="1:12" ht="9.1999999999999993" customHeight="1">
      <c r="B3681" s="699" t="s">
        <v>646</v>
      </c>
      <c r="C3681" s="689" t="str">
        <f>VLOOKUP(C3680,'Luong VP'!$B$10:$AP$189,3,0)</f>
        <v>NV sale</v>
      </c>
      <c r="F3681" s="702" t="s">
        <v>647</v>
      </c>
      <c r="G3681" s="689">
        <f>VLOOKUP(C3680,'Luong VP'!$B$10:$AP$189,5,0)</f>
        <v>2</v>
      </c>
    </row>
    <row r="3682" spans="1:12" ht="9.1999999999999993" customHeight="1">
      <c r="B3682" s="703"/>
      <c r="C3682" s="704"/>
      <c r="D3682" s="705"/>
      <c r="F3682" s="706" t="s">
        <v>648</v>
      </c>
      <c r="G3682" s="706"/>
      <c r="H3682" s="706"/>
      <c r="I3682" s="725"/>
      <c r="J3682" s="726"/>
    </row>
    <row r="3683" spans="1:12" ht="9.1999999999999993" customHeight="1">
      <c r="A3683" s="707" t="s">
        <v>216</v>
      </c>
      <c r="B3683" s="707" t="s">
        <v>649</v>
      </c>
      <c r="C3683" s="708" t="s">
        <v>650</v>
      </c>
      <c r="D3683" s="709"/>
      <c r="E3683" s="710" t="s">
        <v>216</v>
      </c>
      <c r="F3683" s="711" t="s">
        <v>649</v>
      </c>
      <c r="G3683" s="710"/>
      <c r="H3683" s="710" t="s">
        <v>651</v>
      </c>
      <c r="I3683" s="727" t="s">
        <v>652</v>
      </c>
      <c r="J3683" s="714"/>
      <c r="L3683" s="694" t="s">
        <v>653</v>
      </c>
    </row>
    <row r="3684" spans="1:12" ht="9.1999999999999993" customHeight="1">
      <c r="A3684" s="712">
        <v>1</v>
      </c>
      <c r="B3684" s="713" t="s">
        <v>654</v>
      </c>
      <c r="C3684" s="714">
        <f>VLOOKUP(C3680,'Luong VP'!$B$10:$AP$189,9,0)</f>
        <v>6190</v>
      </c>
      <c r="D3684" s="715"/>
      <c r="E3684" s="710" t="s">
        <v>655</v>
      </c>
      <c r="F3684" s="716" t="s">
        <v>656</v>
      </c>
      <c r="G3684" s="710"/>
      <c r="H3684" s="710"/>
      <c r="I3684" s="727"/>
      <c r="J3684" s="714">
        <f>VLOOKUP(C3680,'Luong VP'!$B$10:$AP$189,21,0)</f>
        <v>7190</v>
      </c>
    </row>
    <row r="3685" spans="1:12" ht="9.1999999999999993" customHeight="1">
      <c r="A3685" s="712">
        <v>2</v>
      </c>
      <c r="B3685" s="713" t="s">
        <v>658</v>
      </c>
      <c r="C3685" s="714"/>
      <c r="D3685" s="717"/>
      <c r="E3685" s="710">
        <v>1</v>
      </c>
      <c r="F3685" s="718" t="s">
        <v>659</v>
      </c>
      <c r="G3685" s="718"/>
      <c r="H3685" s="710" t="s">
        <v>660</v>
      </c>
      <c r="I3685" s="727">
        <f>VLOOKUP(C3680,'Luong VP'!$B$10:$AP$189,22,0)</f>
        <v>26</v>
      </c>
      <c r="J3685" s="728">
        <f>J3684/'Cham cong'!$AS$3*I3685</f>
        <v>7190</v>
      </c>
    </row>
    <row r="3686" spans="1:12" ht="9.1999999999999993" customHeight="1">
      <c r="A3686" s="712">
        <v>3</v>
      </c>
      <c r="B3686" s="713" t="s">
        <v>661</v>
      </c>
      <c r="C3686" s="714">
        <f>VLOOKUP(C3680,'Luong VP'!$B$10:$AP$189,10,0)</f>
        <v>0</v>
      </c>
      <c r="D3686" s="717"/>
      <c r="E3686" s="710">
        <v>2</v>
      </c>
      <c r="F3686" s="718" t="s">
        <v>662</v>
      </c>
      <c r="G3686" s="718"/>
      <c r="H3686" s="710" t="s">
        <v>660</v>
      </c>
      <c r="I3686" s="727">
        <f>VLOOKUP(C3680,'Luong VP'!$B$10:$AP$189,27,0)</f>
        <v>0</v>
      </c>
      <c r="J3686" s="728">
        <f>J3684/'Cham cong'!$AS$3*I3686*3</f>
        <v>0</v>
      </c>
    </row>
    <row r="3687" spans="1:12" ht="9.1999999999999993" customHeight="1">
      <c r="A3687" s="712">
        <v>4</v>
      </c>
      <c r="B3687" s="713" t="s">
        <v>666</v>
      </c>
      <c r="C3687" s="714">
        <f>VLOOKUP(C3680,'Luong VP'!$B$10:$AP$189,11,0)</f>
        <v>0</v>
      </c>
      <c r="D3687" s="717"/>
      <c r="E3687" s="710">
        <v>3</v>
      </c>
      <c r="F3687" s="718" t="s">
        <v>667</v>
      </c>
      <c r="G3687" s="718"/>
      <c r="H3687" s="710" t="s">
        <v>668</v>
      </c>
      <c r="I3687" s="727">
        <f>VLOOKUP(C3680,'Luong VP'!$B$10:$AP$189,26,0)</f>
        <v>0</v>
      </c>
      <c r="J3687" s="728">
        <f>J3684/'Cham cong'!$AS$3*I3687/8*1.5</f>
        <v>0</v>
      </c>
    </row>
    <row r="3688" spans="1:12" ht="9.1999999999999993" customHeight="1">
      <c r="A3688" s="712">
        <v>5</v>
      </c>
      <c r="B3688" s="713" t="s">
        <v>670</v>
      </c>
      <c r="C3688" s="714">
        <f>VLOOKUP(C3680,'Luong VP'!$B$10:$AP$189,12,0)</f>
        <v>0</v>
      </c>
      <c r="D3688" s="717"/>
      <c r="E3688" s="710">
        <v>4</v>
      </c>
      <c r="F3688" s="718" t="s">
        <v>671</v>
      </c>
      <c r="G3688" s="718"/>
      <c r="H3688" s="710" t="s">
        <v>668</v>
      </c>
      <c r="I3688" s="727">
        <f>VLOOKUP(C3680,'Luong VP'!$B$10:$AP$189,25,0)</f>
        <v>0</v>
      </c>
      <c r="J3688" s="728">
        <f>J3684/'Cham cong'!$AS$3*I3688/8*2</f>
        <v>0</v>
      </c>
    </row>
    <row r="3689" spans="1:12" ht="9.1999999999999993" customHeight="1">
      <c r="A3689" s="712">
        <v>6</v>
      </c>
      <c r="B3689" s="713" t="s">
        <v>673</v>
      </c>
      <c r="C3689" s="714">
        <f>VLOOKUP(C3680,'Luong VP'!$B$10:$AP$189,13,0)</f>
        <v>0</v>
      </c>
      <c r="D3689" s="717"/>
      <c r="E3689" s="710">
        <v>5</v>
      </c>
      <c r="F3689" s="718" t="s">
        <v>674</v>
      </c>
      <c r="G3689" s="718"/>
      <c r="H3689" s="710" t="s">
        <v>660</v>
      </c>
      <c r="I3689" s="727">
        <f>VLOOKUP(C3680,'Luong VP'!$B$10:$AP$189,23,0)</f>
        <v>0</v>
      </c>
      <c r="J3689" s="728">
        <f>C3684/'Cham cong'!$AS$3*I3689</f>
        <v>0</v>
      </c>
      <c r="L3689" s="694" t="str">
        <f>G3680</f>
        <v xml:space="preserve"> Nguyễn Minh Đại </v>
      </c>
    </row>
    <row r="3690" spans="1:12" ht="9.1999999999999993" customHeight="1">
      <c r="A3690" s="712">
        <v>7</v>
      </c>
      <c r="B3690" s="713" t="s">
        <v>676</v>
      </c>
      <c r="C3690" s="714"/>
      <c r="D3690" s="717"/>
      <c r="E3690" s="710">
        <v>6</v>
      </c>
      <c r="F3690" s="718" t="s">
        <v>677</v>
      </c>
      <c r="G3690" s="718"/>
      <c r="H3690" s="710" t="s">
        <v>660</v>
      </c>
      <c r="I3690" s="727">
        <f>VLOOKUP(C3680,'Luong VP'!$B$10:$AP$189,24,0)</f>
        <v>1</v>
      </c>
      <c r="J3690" s="714">
        <f>C3684/'Cham cong'!$AS$3*I3690</f>
        <v>238.07692307692307</v>
      </c>
    </row>
    <row r="3691" spans="1:12" ht="9.1999999999999993" customHeight="1">
      <c r="A3691" s="712">
        <v>8</v>
      </c>
      <c r="B3691" s="713" t="s">
        <v>679</v>
      </c>
      <c r="C3691" s="714">
        <f>VLOOKUP(C3680,'Luong VP'!$B$10:$AP$189,14,0)</f>
        <v>500</v>
      </c>
      <c r="D3691" s="717"/>
      <c r="E3691" s="710">
        <v>7</v>
      </c>
      <c r="F3691" s="718" t="s">
        <v>680</v>
      </c>
      <c r="G3691" s="718"/>
      <c r="H3691" s="718"/>
      <c r="I3691" s="729"/>
      <c r="J3691" s="714">
        <f>VLOOKUP(C3680,'Luong VP'!$B$10:$AP$189,28,0)</f>
        <v>0</v>
      </c>
    </row>
    <row r="3692" spans="1:12" ht="9.1999999999999993" customHeight="1">
      <c r="A3692" s="712">
        <v>9</v>
      </c>
      <c r="B3692" s="713" t="s">
        <v>683</v>
      </c>
      <c r="C3692" s="714">
        <f>VLOOKUP(C3680,'Luong VP'!$B$10:$AP$189,15,0)</f>
        <v>200</v>
      </c>
      <c r="D3692" s="717"/>
      <c r="E3692" s="710">
        <v>8</v>
      </c>
      <c r="F3692" s="718" t="s">
        <v>238</v>
      </c>
      <c r="G3692" s="718"/>
      <c r="H3692" s="718"/>
      <c r="I3692" s="729"/>
      <c r="J3692" s="714">
        <f>VLOOKUP(C3680,'Luong VP'!$B$10:$AP$189,33,0)</f>
        <v>0</v>
      </c>
    </row>
    <row r="3693" spans="1:12" ht="9.1999999999999993" customHeight="1">
      <c r="A3693" s="712">
        <v>10</v>
      </c>
      <c r="B3693" s="713" t="s">
        <v>685</v>
      </c>
      <c r="C3693" s="714">
        <f>VLOOKUP(C3680,'Luong VP'!$B$10:$AP$189,16,0)</f>
        <v>500</v>
      </c>
      <c r="D3693" s="717"/>
      <c r="E3693" s="710" t="s">
        <v>686</v>
      </c>
      <c r="F3693" s="716" t="s">
        <v>687</v>
      </c>
      <c r="G3693" s="719"/>
      <c r="H3693" s="719"/>
      <c r="I3693" s="729"/>
      <c r="J3693" s="730"/>
    </row>
    <row r="3694" spans="1:12" ht="9.1999999999999993" customHeight="1">
      <c r="A3694" s="712">
        <v>11</v>
      </c>
      <c r="B3694" s="713" t="s">
        <v>688</v>
      </c>
      <c r="C3694" s="714">
        <f>VLOOKUP(C3680,'Luong VP'!$B$10:$AP$189,17,0)</f>
        <v>0</v>
      </c>
      <c r="D3694" s="717"/>
      <c r="E3694" s="710">
        <v>1</v>
      </c>
      <c r="F3694" s="716" t="s">
        <v>689</v>
      </c>
      <c r="G3694" s="719"/>
      <c r="H3694" s="719"/>
      <c r="I3694" s="714">
        <f>VLOOKUP(C3680,'Luong VP'!$B$10:$AP$189,29,0)</f>
        <v>0</v>
      </c>
      <c r="J3694" s="714">
        <f>VLOOKUP(C3680,'Luong VP'!$B$10:$AP$189,30,0)</f>
        <v>8000</v>
      </c>
    </row>
    <row r="3695" spans="1:12" ht="9.1999999999999993" customHeight="1">
      <c r="A3695" s="712">
        <v>12</v>
      </c>
      <c r="B3695" s="713" t="s">
        <v>691</v>
      </c>
      <c r="C3695" s="714">
        <f>VLOOKUP(C3680,'Luong VP'!$B$10:$AP$189,18,0)</f>
        <v>0</v>
      </c>
      <c r="D3695" s="717"/>
      <c r="E3695" s="710">
        <v>2</v>
      </c>
      <c r="F3695" s="718" t="s">
        <v>239</v>
      </c>
      <c r="G3695" s="718"/>
      <c r="H3695" s="718"/>
      <c r="I3695" s="727"/>
      <c r="J3695" s="728">
        <f>VLOOKUP(C3680,'Luong VP'!$B$10:$AP$189,34,0)</f>
        <v>0</v>
      </c>
      <c r="K3695" s="731"/>
      <c r="L3695" s="715"/>
    </row>
    <row r="3696" spans="1:12" ht="9.1999999999999993" customHeight="1">
      <c r="A3696" s="712">
        <v>13</v>
      </c>
      <c r="B3696" s="713" t="s">
        <v>692</v>
      </c>
      <c r="C3696" s="714">
        <f>VLOOKUP(C3680,'Luong VP'!$B$10:$AP$189,19,0)</f>
        <v>0</v>
      </c>
      <c r="D3696" s="717"/>
      <c r="E3696" s="710">
        <v>3</v>
      </c>
      <c r="F3696" s="716" t="s">
        <v>693</v>
      </c>
      <c r="G3696" s="719"/>
      <c r="H3696" s="719"/>
      <c r="I3696" s="729"/>
      <c r="J3696" s="714">
        <f>VLOOKUP(C3680,'Luong VP'!$B$10:$AP$189,40,0)</f>
        <v>0</v>
      </c>
      <c r="K3696" s="731"/>
      <c r="L3696" s="715"/>
    </row>
    <row r="3697" spans="1:12" ht="9.1999999999999993" customHeight="1">
      <c r="A3697" s="712">
        <v>14</v>
      </c>
      <c r="B3697" s="713" t="s">
        <v>694</v>
      </c>
      <c r="C3697" s="714">
        <f>VLOOKUP(C3680,'Luong VP'!$B$10:$AP$189,20,0)</f>
        <v>0</v>
      </c>
      <c r="D3697" s="717"/>
      <c r="E3697" s="710">
        <v>4</v>
      </c>
      <c r="F3697" s="718" t="s">
        <v>695</v>
      </c>
      <c r="G3697" s="719"/>
      <c r="H3697" s="719"/>
      <c r="I3697" s="729"/>
      <c r="J3697" s="714">
        <f>VLOOKUP(C3680,'Luong VP'!$B$10:$AP$189,35,0)</f>
        <v>0</v>
      </c>
      <c r="K3697" s="732"/>
      <c r="L3697" s="715"/>
    </row>
    <row r="3698" spans="1:12" ht="9.1999999999999993" customHeight="1">
      <c r="A3698" s="712"/>
      <c r="B3698" s="707" t="s">
        <v>656</v>
      </c>
      <c r="C3698" s="714">
        <f>SUM(C3684:C3697)</f>
        <v>7390</v>
      </c>
      <c r="D3698" s="717"/>
      <c r="E3698" s="710"/>
      <c r="F3698" s="716" t="s">
        <v>241</v>
      </c>
      <c r="G3698" s="719"/>
      <c r="H3698" s="719"/>
      <c r="I3698" s="729"/>
      <c r="J3698" s="730">
        <f>SUM(J3685:J3697)+C3692</f>
        <v>15628.076923076922</v>
      </c>
      <c r="K3698" s="731"/>
      <c r="L3698" s="715"/>
    </row>
    <row r="3699" spans="1:12" ht="9.1999999999999993" customHeight="1">
      <c r="B3699" s="720"/>
      <c r="C3699" s="717"/>
      <c r="D3699" s="717"/>
      <c r="E3699" s="710" t="s">
        <v>696</v>
      </c>
      <c r="F3699" s="711" t="s">
        <v>697</v>
      </c>
      <c r="G3699" s="710"/>
      <c r="H3699" s="710"/>
      <c r="I3699" s="729"/>
      <c r="J3699" s="730">
        <f>SUM(J3700:J3702)</f>
        <v>504</v>
      </c>
      <c r="K3699" s="732"/>
      <c r="L3699" s="715"/>
    </row>
    <row r="3700" spans="1:12" ht="9.1999999999999993" customHeight="1">
      <c r="B3700" s="720"/>
      <c r="C3700" s="717"/>
      <c r="D3700" s="717"/>
      <c r="E3700" s="710">
        <v>1</v>
      </c>
      <c r="F3700" s="718" t="s">
        <v>698</v>
      </c>
      <c r="G3700" s="718"/>
      <c r="H3700" s="718"/>
      <c r="I3700" s="733"/>
      <c r="J3700" s="714">
        <f>VLOOKUP(C3680,'Luong VP'!$B$10:$AP$189,37,0)</f>
        <v>504</v>
      </c>
      <c r="K3700" s="732"/>
      <c r="L3700" s="715"/>
    </row>
    <row r="3701" spans="1:12" ht="9.1999999999999993" customHeight="1">
      <c r="B3701" s="720"/>
      <c r="C3701" s="717"/>
      <c r="D3701" s="717"/>
      <c r="E3701" s="710">
        <v>2</v>
      </c>
      <c r="F3701" s="718" t="s">
        <v>244</v>
      </c>
      <c r="G3701" s="718"/>
      <c r="H3701" s="718"/>
      <c r="I3701" s="729"/>
      <c r="J3701" s="714">
        <f>VLOOKUP(C3680,'Luong VP'!$B$10:$AP$189,39,0)</f>
        <v>0</v>
      </c>
      <c r="K3701" s="734"/>
      <c r="L3701" s="735"/>
    </row>
    <row r="3702" spans="1:12" ht="9.1999999999999993" customHeight="1">
      <c r="B3702" s="720"/>
      <c r="C3702" s="717"/>
      <c r="D3702" s="717"/>
      <c r="E3702" s="710"/>
      <c r="F3702" s="718" t="s">
        <v>699</v>
      </c>
      <c r="G3702" s="718"/>
      <c r="H3702" s="718"/>
      <c r="I3702" s="729"/>
      <c r="J3702" s="714"/>
      <c r="K3702" s="714"/>
      <c r="L3702" s="736"/>
    </row>
    <row r="3703" spans="1:12" ht="9.1999999999999993" customHeight="1">
      <c r="B3703" s="720"/>
      <c r="C3703" s="717"/>
      <c r="D3703" s="717"/>
      <c r="E3703" s="710" t="s">
        <v>700</v>
      </c>
      <c r="F3703" s="710" t="s">
        <v>246</v>
      </c>
      <c r="G3703" s="710"/>
      <c r="H3703" s="710"/>
      <c r="I3703" s="729"/>
      <c r="J3703" s="728">
        <f>J3698-J3699</f>
        <v>15124.076923076922</v>
      </c>
      <c r="K3703" s="728">
        <f>ROUND(J3703,-1)</f>
        <v>15120</v>
      </c>
      <c r="L3703" s="710"/>
    </row>
    <row r="3704" spans="1:12" ht="9.1999999999999993" customHeight="1">
      <c r="B3704" s="720"/>
      <c r="C3704" s="717"/>
      <c r="D3704" s="717"/>
      <c r="E3704" s="715"/>
      <c r="F3704" s="715"/>
      <c r="G3704" s="715"/>
      <c r="I3704" s="715" t="s">
        <v>701</v>
      </c>
      <c r="J3704" s="737"/>
      <c r="K3704" s="737"/>
      <c r="L3704" s="715"/>
    </row>
    <row r="3707" spans="1:12" ht="9.1999999999999993" customHeight="1">
      <c r="B3707" s="720"/>
      <c r="C3707" s="717"/>
      <c r="D3707" s="717"/>
      <c r="E3707" s="715"/>
      <c r="F3707" s="715"/>
      <c r="G3707" s="715"/>
      <c r="I3707" s="715"/>
      <c r="J3707" s="737"/>
      <c r="K3707" s="737"/>
      <c r="L3707" s="715"/>
    </row>
    <row r="3708" spans="1:12" ht="9.1999999999999993" customHeight="1">
      <c r="B3708" s="720"/>
      <c r="C3708" s="717"/>
      <c r="D3708" s="717"/>
      <c r="E3708" s="715"/>
      <c r="F3708" s="715"/>
      <c r="G3708" s="715"/>
      <c r="I3708" s="715"/>
      <c r="J3708" s="737"/>
      <c r="K3708" s="737"/>
      <c r="L3708" s="715"/>
    </row>
    <row r="3709" spans="1:12" ht="9.1999999999999993" customHeight="1">
      <c r="B3709" s="720"/>
      <c r="C3709" s="717"/>
      <c r="D3709" s="717"/>
      <c r="E3709" s="715"/>
      <c r="F3709" s="715"/>
      <c r="G3709" s="715"/>
      <c r="I3709" s="715"/>
      <c r="J3709" s="737"/>
      <c r="K3709" s="737"/>
      <c r="L3709" s="715"/>
    </row>
    <row r="3711" spans="1:12" ht="9.1999999999999993" customHeight="1">
      <c r="C3711" s="696"/>
      <c r="D3711" s="696"/>
      <c r="E3711" s="697" t="str">
        <f>$E$2</f>
        <v>THẺ LƯƠNG THÁNG 08/2019</v>
      </c>
      <c r="F3711" s="698"/>
      <c r="G3711" s="698"/>
      <c r="H3711" s="698"/>
    </row>
    <row r="3712" spans="1:12" ht="9.1999999999999993" customHeight="1">
      <c r="B3712" s="699" t="s">
        <v>644</v>
      </c>
      <c r="C3712" s="700" t="s">
        <v>527</v>
      </c>
      <c r="D3712" s="701"/>
      <c r="F3712" s="702" t="s">
        <v>645</v>
      </c>
      <c r="G3712" s="689" t="str">
        <f>VLOOKUP(C3712,'Luong VP'!$B$10:$AP$189,2,0)</f>
        <v>Hoàng Văn Nhân</v>
      </c>
    </row>
    <row r="3713" spans="1:12" ht="9.1999999999999993" customHeight="1">
      <c r="B3713" s="699" t="s">
        <v>646</v>
      </c>
      <c r="C3713" s="689" t="str">
        <f>VLOOKUP(C3712,'Luong VP'!$B$10:$AP$189,3,0)</f>
        <v>Trưởng sale Tỉnh</v>
      </c>
      <c r="F3713" s="702" t="s">
        <v>647</v>
      </c>
      <c r="G3713" s="689">
        <f>VLOOKUP(C3712,'Luong VP'!$B$10:$AP$189,5,0)</f>
        <v>7</v>
      </c>
    </row>
    <row r="3714" spans="1:12" ht="9.1999999999999993" customHeight="1">
      <c r="B3714" s="703"/>
      <c r="C3714" s="704"/>
      <c r="D3714" s="705"/>
      <c r="F3714" s="706" t="s">
        <v>648</v>
      </c>
      <c r="G3714" s="706"/>
      <c r="H3714" s="706"/>
      <c r="I3714" s="725"/>
      <c r="J3714" s="726"/>
    </row>
    <row r="3715" spans="1:12" ht="9.1999999999999993" customHeight="1">
      <c r="A3715" s="707" t="s">
        <v>216</v>
      </c>
      <c r="B3715" s="707" t="s">
        <v>649</v>
      </c>
      <c r="C3715" s="708" t="s">
        <v>650</v>
      </c>
      <c r="D3715" s="709"/>
      <c r="E3715" s="710" t="s">
        <v>216</v>
      </c>
      <c r="F3715" s="711" t="s">
        <v>649</v>
      </c>
      <c r="G3715" s="710"/>
      <c r="H3715" s="710" t="s">
        <v>651</v>
      </c>
      <c r="I3715" s="727" t="s">
        <v>652</v>
      </c>
      <c r="J3715" s="714"/>
      <c r="L3715" s="694" t="s">
        <v>653</v>
      </c>
    </row>
    <row r="3716" spans="1:12" ht="9.1999999999999993" customHeight="1">
      <c r="A3716" s="712">
        <v>1</v>
      </c>
      <c r="B3716" s="713" t="s">
        <v>654</v>
      </c>
      <c r="C3716" s="714">
        <f>VLOOKUP(C3712,'Luong VP'!$B$10:$AP$189,9,0)</f>
        <v>15220</v>
      </c>
      <c r="D3716" s="715"/>
      <c r="E3716" s="710" t="s">
        <v>655</v>
      </c>
      <c r="F3716" s="716" t="s">
        <v>656</v>
      </c>
      <c r="G3716" s="710"/>
      <c r="H3716" s="710"/>
      <c r="I3716" s="727"/>
      <c r="J3716" s="714">
        <f>VLOOKUP(C3712,'Luong VP'!$B$10:$AP$189,21,0)</f>
        <v>16220</v>
      </c>
    </row>
    <row r="3717" spans="1:12" ht="9.1999999999999993" customHeight="1">
      <c r="A3717" s="712">
        <v>2</v>
      </c>
      <c r="B3717" s="713" t="s">
        <v>658</v>
      </c>
      <c r="C3717" s="714"/>
      <c r="D3717" s="717"/>
      <c r="E3717" s="710">
        <v>1</v>
      </c>
      <c r="F3717" s="718" t="s">
        <v>659</v>
      </c>
      <c r="G3717" s="718"/>
      <c r="H3717" s="710" t="s">
        <v>660</v>
      </c>
      <c r="I3717" s="727">
        <f>VLOOKUP(C3712,'Luong VP'!$B$10:$AP$189,22,0)</f>
        <v>26</v>
      </c>
      <c r="J3717" s="728">
        <f>J3716/'Cham cong'!$AS$3*I3717</f>
        <v>16220</v>
      </c>
    </row>
    <row r="3718" spans="1:12" ht="9.1999999999999993" customHeight="1">
      <c r="A3718" s="712">
        <v>3</v>
      </c>
      <c r="B3718" s="713" t="s">
        <v>661</v>
      </c>
      <c r="C3718" s="714">
        <f>VLOOKUP(C3712,'Luong VP'!$B$10:$AP$189,10,0)</f>
        <v>0</v>
      </c>
      <c r="D3718" s="717"/>
      <c r="E3718" s="710">
        <v>2</v>
      </c>
      <c r="F3718" s="718" t="s">
        <v>662</v>
      </c>
      <c r="G3718" s="718"/>
      <c r="H3718" s="710" t="s">
        <v>660</v>
      </c>
      <c r="I3718" s="727">
        <f>VLOOKUP(C3712,'Luong VP'!$B$10:$AP$189,27,0)</f>
        <v>0</v>
      </c>
      <c r="J3718" s="728">
        <f>J3716/'Cham cong'!$AS$3*I3718*3</f>
        <v>0</v>
      </c>
    </row>
    <row r="3719" spans="1:12" ht="9.1999999999999993" customHeight="1">
      <c r="A3719" s="712">
        <v>4</v>
      </c>
      <c r="B3719" s="713" t="s">
        <v>666</v>
      </c>
      <c r="C3719" s="714">
        <f>VLOOKUP(C3712,'Luong VP'!$B$10:$AP$189,11,0)</f>
        <v>0</v>
      </c>
      <c r="D3719" s="717"/>
      <c r="E3719" s="710">
        <v>3</v>
      </c>
      <c r="F3719" s="718" t="s">
        <v>667</v>
      </c>
      <c r="G3719" s="718"/>
      <c r="H3719" s="710" t="s">
        <v>668</v>
      </c>
      <c r="I3719" s="727">
        <f>VLOOKUP(C3712,'Luong VP'!$B$10:$AP$189,26,0)</f>
        <v>0</v>
      </c>
      <c r="J3719" s="728">
        <f>J3716/'Cham cong'!$AS$3*I3719/8*1.5</f>
        <v>0</v>
      </c>
    </row>
    <row r="3720" spans="1:12" ht="9.1999999999999993" customHeight="1">
      <c r="A3720" s="712">
        <v>5</v>
      </c>
      <c r="B3720" s="713" t="s">
        <v>670</v>
      </c>
      <c r="C3720" s="714">
        <f>VLOOKUP(C3712,'Luong VP'!$B$10:$AP$189,12,0)</f>
        <v>0</v>
      </c>
      <c r="D3720" s="717"/>
      <c r="E3720" s="710">
        <v>4</v>
      </c>
      <c r="F3720" s="718" t="s">
        <v>671</v>
      </c>
      <c r="G3720" s="718"/>
      <c r="H3720" s="710" t="s">
        <v>668</v>
      </c>
      <c r="I3720" s="727">
        <f>VLOOKUP(C3712,'Luong VP'!$B$10:$AP$189,25,0)</f>
        <v>0</v>
      </c>
      <c r="J3720" s="728">
        <f>J3716/'Cham cong'!$AS$3*I3720/8*2</f>
        <v>0</v>
      </c>
    </row>
    <row r="3721" spans="1:12" ht="9.1999999999999993" customHeight="1">
      <c r="A3721" s="712">
        <v>6</v>
      </c>
      <c r="B3721" s="713" t="s">
        <v>673</v>
      </c>
      <c r="C3721" s="714">
        <f>VLOOKUP(C3712,'Luong VP'!$B$10:$AP$189,13,0)</f>
        <v>0</v>
      </c>
      <c r="D3721" s="717"/>
      <c r="E3721" s="710">
        <v>5</v>
      </c>
      <c r="F3721" s="718" t="s">
        <v>674</v>
      </c>
      <c r="G3721" s="718"/>
      <c r="H3721" s="710" t="s">
        <v>660</v>
      </c>
      <c r="I3721" s="727">
        <f>VLOOKUP(C3712,'Luong VP'!$B$10:$AP$189,23,0)</f>
        <v>0</v>
      </c>
      <c r="J3721" s="728">
        <f>C3716/'Cham cong'!$AS$3*I3721</f>
        <v>0</v>
      </c>
      <c r="L3721" s="694" t="str">
        <f>G3712</f>
        <v>Hoàng Văn Nhân</v>
      </c>
    </row>
    <row r="3722" spans="1:12" ht="9.1999999999999993" customHeight="1">
      <c r="A3722" s="712">
        <v>7</v>
      </c>
      <c r="B3722" s="713" t="s">
        <v>676</v>
      </c>
      <c r="C3722" s="714"/>
      <c r="D3722" s="717"/>
      <c r="E3722" s="710">
        <v>6</v>
      </c>
      <c r="F3722" s="718" t="s">
        <v>677</v>
      </c>
      <c r="G3722" s="718"/>
      <c r="H3722" s="710" t="s">
        <v>660</v>
      </c>
      <c r="I3722" s="727">
        <f>VLOOKUP(C3712,'Luong VP'!$B$10:$AP$189,24,0)</f>
        <v>1</v>
      </c>
      <c r="J3722" s="714">
        <f>C3716/'Cham cong'!$AS$3*I3722</f>
        <v>585.38461538461536</v>
      </c>
    </row>
    <row r="3723" spans="1:12" ht="9.1999999999999993" customHeight="1">
      <c r="A3723" s="712">
        <v>8</v>
      </c>
      <c r="B3723" s="713" t="s">
        <v>679</v>
      </c>
      <c r="C3723" s="714">
        <f>VLOOKUP(C3712,'Luong VP'!$B$10:$AP$189,14,0)</f>
        <v>500</v>
      </c>
      <c r="D3723" s="717"/>
      <c r="E3723" s="710">
        <v>7</v>
      </c>
      <c r="F3723" s="718" t="s">
        <v>680</v>
      </c>
      <c r="G3723" s="718"/>
      <c r="H3723" s="718"/>
      <c r="I3723" s="729"/>
      <c r="J3723" s="714">
        <f>VLOOKUP(C3712,'Luong VP'!$B$10:$AP$189,28,0)</f>
        <v>0</v>
      </c>
    </row>
    <row r="3724" spans="1:12" ht="9.1999999999999993" customHeight="1">
      <c r="A3724" s="712">
        <v>9</v>
      </c>
      <c r="B3724" s="713" t="s">
        <v>683</v>
      </c>
      <c r="C3724" s="714">
        <f>VLOOKUP(C3712,'Luong VP'!$B$10:$AP$189,15,0)</f>
        <v>300</v>
      </c>
      <c r="D3724" s="717"/>
      <c r="E3724" s="710">
        <v>8</v>
      </c>
      <c r="F3724" s="718" t="s">
        <v>238</v>
      </c>
      <c r="G3724" s="779"/>
      <c r="H3724" s="771"/>
      <c r="I3724" s="787"/>
      <c r="J3724" s="775">
        <v>0</v>
      </c>
    </row>
    <row r="3725" spans="1:12" ht="9.1999999999999993" customHeight="1">
      <c r="A3725" s="712">
        <v>10</v>
      </c>
      <c r="B3725" s="713" t="s">
        <v>685</v>
      </c>
      <c r="C3725" s="714">
        <f>VLOOKUP(C3712,'Luong VP'!$B$10:$AP$189,16,0)</f>
        <v>500</v>
      </c>
      <c r="D3725" s="717"/>
      <c r="E3725" s="710" t="s">
        <v>686</v>
      </c>
      <c r="F3725" s="716" t="s">
        <v>687</v>
      </c>
      <c r="G3725" s="719"/>
      <c r="H3725" s="719"/>
      <c r="I3725" s="729"/>
      <c r="J3725" s="730"/>
    </row>
    <row r="3726" spans="1:12" ht="9.1999999999999993" customHeight="1">
      <c r="A3726" s="712">
        <v>11</v>
      </c>
      <c r="B3726" s="713" t="s">
        <v>688</v>
      </c>
      <c r="C3726" s="714">
        <f>VLOOKUP(C3712,'Luong VP'!$B$10:$AP$189,17,0)</f>
        <v>0</v>
      </c>
      <c r="D3726" s="717"/>
      <c r="E3726" s="710">
        <v>1</v>
      </c>
      <c r="F3726" s="716" t="s">
        <v>689</v>
      </c>
      <c r="G3726" s="719"/>
      <c r="H3726" s="719"/>
      <c r="I3726" s="714">
        <f>VLOOKUP(C3712,'Luong VP'!$B$10:$AP$189,29,0)</f>
        <v>0</v>
      </c>
      <c r="J3726" s="714">
        <f>VLOOKUP(C3712,'Luong VP'!$B$10:$AP$189,30,0)</f>
        <v>5000</v>
      </c>
    </row>
    <row r="3727" spans="1:12" ht="9.1999999999999993" customHeight="1">
      <c r="A3727" s="712">
        <v>12</v>
      </c>
      <c r="B3727" s="713" t="s">
        <v>691</v>
      </c>
      <c r="C3727" s="714">
        <f>VLOOKUP(C3712,'Luong VP'!$B$10:$AP$189,18,0)</f>
        <v>0</v>
      </c>
      <c r="D3727" s="717"/>
      <c r="E3727" s="710">
        <v>2</v>
      </c>
      <c r="F3727" s="718" t="s">
        <v>239</v>
      </c>
      <c r="G3727" s="718"/>
      <c r="H3727" s="718"/>
      <c r="I3727" s="727"/>
      <c r="J3727" s="728">
        <f>VLOOKUP(C3712,'Luong VP'!$B$10:$AP$189,34,0)</f>
        <v>0</v>
      </c>
      <c r="K3727" s="731"/>
      <c r="L3727" s="715"/>
    </row>
    <row r="3728" spans="1:12" ht="9.1999999999999993" customHeight="1">
      <c r="A3728" s="712">
        <v>13</v>
      </c>
      <c r="B3728" s="713" t="s">
        <v>692</v>
      </c>
      <c r="C3728" s="714">
        <f>VLOOKUP(C3712,'Luong VP'!$B$10:$AP$189,19,0)</f>
        <v>0</v>
      </c>
      <c r="D3728" s="717"/>
      <c r="E3728" s="710">
        <v>3</v>
      </c>
      <c r="F3728" s="716" t="s">
        <v>693</v>
      </c>
      <c r="G3728" s="719"/>
      <c r="H3728" s="719"/>
      <c r="I3728" s="729"/>
      <c r="J3728" s="714">
        <f>VLOOKUP(C3712,'Luong VP'!$B$10:$AP$189,40,0)</f>
        <v>0</v>
      </c>
      <c r="K3728" s="731"/>
      <c r="L3728" s="715"/>
    </row>
    <row r="3729" spans="1:12" ht="9.1999999999999993" customHeight="1">
      <c r="A3729" s="712">
        <v>14</v>
      </c>
      <c r="B3729" s="713" t="s">
        <v>694</v>
      </c>
      <c r="C3729" s="714">
        <f>VLOOKUP(C3712,'Luong VP'!$B$10:$AP$189,20,0)</f>
        <v>0</v>
      </c>
      <c r="D3729" s="717"/>
      <c r="E3729" s="710">
        <v>4</v>
      </c>
      <c r="F3729" s="718" t="s">
        <v>695</v>
      </c>
      <c r="G3729" s="719"/>
      <c r="H3729" s="719"/>
      <c r="I3729" s="729"/>
      <c r="J3729" s="714">
        <f>VLOOKUP(C3712,'Luong VP'!$B$10:$AP$189,35,0)</f>
        <v>0</v>
      </c>
      <c r="K3729" s="732"/>
      <c r="L3729" s="715"/>
    </row>
    <row r="3730" spans="1:12" ht="9.1999999999999993" customHeight="1">
      <c r="A3730" s="712"/>
      <c r="B3730" s="707" t="s">
        <v>656</v>
      </c>
      <c r="C3730" s="714">
        <f>SUM(C3716:C3729)</f>
        <v>16520</v>
      </c>
      <c r="D3730" s="717"/>
      <c r="E3730" s="710"/>
      <c r="F3730" s="716" t="s">
        <v>241</v>
      </c>
      <c r="G3730" s="719"/>
      <c r="H3730" s="719"/>
      <c r="I3730" s="729"/>
      <c r="J3730" s="730">
        <f>SUM(J3717:J3729)+C3724</f>
        <v>22105.384615384617</v>
      </c>
      <c r="K3730" s="731"/>
      <c r="L3730" s="715"/>
    </row>
    <row r="3731" spans="1:12" ht="9.1999999999999993" customHeight="1">
      <c r="B3731" s="720"/>
      <c r="C3731" s="717"/>
      <c r="D3731" s="717"/>
      <c r="E3731" s="710" t="s">
        <v>696</v>
      </c>
      <c r="F3731" s="711" t="s">
        <v>697</v>
      </c>
      <c r="G3731" s="710"/>
      <c r="H3731" s="710"/>
      <c r="I3731" s="729"/>
      <c r="J3731" s="730">
        <f>SUM(J3732:J3734)</f>
        <v>535.5</v>
      </c>
      <c r="K3731" s="732"/>
      <c r="L3731" s="715"/>
    </row>
    <row r="3732" spans="1:12" ht="9.1999999999999993" customHeight="1">
      <c r="B3732" s="720"/>
      <c r="C3732" s="717"/>
      <c r="D3732" s="717"/>
      <c r="E3732" s="710">
        <v>1</v>
      </c>
      <c r="F3732" s="718" t="s">
        <v>698</v>
      </c>
      <c r="G3732" s="718"/>
      <c r="H3732" s="718"/>
      <c r="I3732" s="733"/>
      <c r="J3732" s="714">
        <f>VLOOKUP(C3712,'Luong VP'!$B$10:$AP$189,37,0)</f>
        <v>535.5</v>
      </c>
      <c r="K3732" s="732"/>
      <c r="L3732" s="715"/>
    </row>
    <row r="3733" spans="1:12" ht="9.1999999999999993" customHeight="1">
      <c r="B3733" s="720"/>
      <c r="C3733" s="717"/>
      <c r="D3733" s="717"/>
      <c r="E3733" s="710">
        <v>2</v>
      </c>
      <c r="F3733" s="718" t="s">
        <v>244</v>
      </c>
      <c r="G3733" s="718"/>
      <c r="H3733" s="718"/>
      <c r="I3733" s="729"/>
      <c r="J3733" s="714">
        <f>VLOOKUP(C3712,'Luong VP'!$B$10:$AP$189,39,0)</f>
        <v>0</v>
      </c>
      <c r="K3733" s="734"/>
      <c r="L3733" s="735"/>
    </row>
    <row r="3734" spans="1:12" ht="9.1999999999999993" customHeight="1">
      <c r="B3734" s="720"/>
      <c r="C3734" s="717"/>
      <c r="D3734" s="717"/>
      <c r="E3734" s="710"/>
      <c r="F3734" s="718" t="s">
        <v>699</v>
      </c>
      <c r="G3734" s="718"/>
      <c r="H3734" s="718"/>
      <c r="I3734" s="729"/>
      <c r="J3734" s="714"/>
      <c r="K3734" s="714"/>
      <c r="L3734" s="736"/>
    </row>
    <row r="3735" spans="1:12" ht="9.1999999999999993" customHeight="1">
      <c r="B3735" s="720"/>
      <c r="C3735" s="717"/>
      <c r="D3735" s="717"/>
      <c r="E3735" s="710" t="s">
        <v>700</v>
      </c>
      <c r="F3735" s="710" t="s">
        <v>246</v>
      </c>
      <c r="G3735" s="710"/>
      <c r="H3735" s="710"/>
      <c r="I3735" s="729"/>
      <c r="J3735" s="728">
        <f>J3730-J3731</f>
        <v>21569.884615384617</v>
      </c>
      <c r="K3735" s="728">
        <f>ROUND(J3735,-1)</f>
        <v>21570</v>
      </c>
      <c r="L3735" s="710"/>
    </row>
    <row r="3736" spans="1:12" ht="9.1999999999999993" customHeight="1">
      <c r="B3736" s="720"/>
      <c r="C3736" s="717"/>
      <c r="D3736" s="717"/>
      <c r="E3736" s="715"/>
      <c r="F3736" s="715"/>
      <c r="G3736" s="715"/>
      <c r="I3736" s="715" t="s">
        <v>701</v>
      </c>
      <c r="J3736" s="737"/>
      <c r="K3736" s="737"/>
      <c r="L3736" s="715"/>
    </row>
    <row r="3737" spans="1:12" ht="9.1999999999999993" customHeight="1">
      <c r="B3737" s="720"/>
      <c r="C3737" s="717"/>
      <c r="D3737" s="717"/>
      <c r="E3737" s="715"/>
      <c r="F3737" s="715"/>
      <c r="G3737" s="715"/>
      <c r="I3737" s="715"/>
      <c r="J3737" s="737"/>
      <c r="K3737" s="737"/>
      <c r="L3737" s="715"/>
    </row>
    <row r="3738" spans="1:12" ht="9.1999999999999993" customHeight="1">
      <c r="B3738" s="720"/>
      <c r="C3738" s="717"/>
      <c r="D3738" s="717"/>
      <c r="E3738" s="715"/>
      <c r="F3738" s="715"/>
      <c r="G3738" s="715"/>
      <c r="I3738" s="715"/>
      <c r="J3738" s="737"/>
      <c r="K3738" s="737"/>
      <c r="L3738" s="715"/>
    </row>
    <row r="3739" spans="1:12" ht="9.1999999999999993" customHeight="1">
      <c r="B3739" s="720"/>
      <c r="C3739" s="717"/>
      <c r="D3739" s="717"/>
      <c r="E3739" s="715"/>
      <c r="F3739" s="715"/>
      <c r="G3739" s="715"/>
      <c r="I3739" s="715"/>
      <c r="J3739" s="737"/>
      <c r="K3739" s="737"/>
      <c r="L3739" s="715"/>
    </row>
    <row r="3740" spans="1:12" ht="9.1999999999999993" customHeight="1">
      <c r="B3740" s="720"/>
      <c r="C3740" s="717"/>
      <c r="D3740" s="717"/>
      <c r="E3740" s="715"/>
      <c r="F3740" s="715"/>
      <c r="G3740" s="715"/>
      <c r="I3740" s="715"/>
      <c r="J3740" s="737"/>
      <c r="K3740" s="737"/>
      <c r="L3740" s="715"/>
    </row>
    <row r="3741" spans="1:12" ht="9.1999999999999993" customHeight="1">
      <c r="C3741" s="696"/>
      <c r="D3741" s="696"/>
      <c r="E3741" s="697" t="str">
        <f>$E$2</f>
        <v>THẺ LƯƠNG THÁNG 08/2019</v>
      </c>
      <c r="F3741" s="698"/>
      <c r="G3741" s="698"/>
      <c r="H3741" s="698"/>
    </row>
    <row r="3742" spans="1:12" ht="9.1999999999999993" customHeight="1">
      <c r="B3742" s="699" t="s">
        <v>644</v>
      </c>
      <c r="C3742" s="700" t="s">
        <v>1254</v>
      </c>
      <c r="D3742" s="701"/>
      <c r="F3742" s="702" t="s">
        <v>645</v>
      </c>
      <c r="G3742" s="689" t="str">
        <f>VLOOKUP(C3742,'Luong VP'!$B$10:$AP$189,2,0)</f>
        <v>Đậu Minh Hùng</v>
      </c>
    </row>
    <row r="3743" spans="1:12" ht="9.1999999999999993" customHeight="1">
      <c r="B3743" s="699" t="s">
        <v>646</v>
      </c>
      <c r="C3743" s="689" t="str">
        <f>VLOOKUP(C3742,'Luong VP'!$B$10:$AP$189,3,0)</f>
        <v>NV sale</v>
      </c>
      <c r="F3743" s="702" t="s">
        <v>647</v>
      </c>
      <c r="G3743" s="689">
        <f>VLOOKUP(C3742,'Luong VP'!$B$10:$AP$189,5,0)</f>
        <v>2</v>
      </c>
    </row>
    <row r="3744" spans="1:12" ht="9.1999999999999993" customHeight="1">
      <c r="B3744" s="703"/>
      <c r="C3744" s="704"/>
      <c r="D3744" s="705"/>
      <c r="F3744" s="706" t="s">
        <v>648</v>
      </c>
      <c r="G3744" s="706"/>
      <c r="H3744" s="706"/>
      <c r="I3744" s="725"/>
      <c r="J3744" s="726"/>
    </row>
    <row r="3745" spans="1:12" ht="9.1999999999999993" customHeight="1">
      <c r="A3745" s="707" t="s">
        <v>216</v>
      </c>
      <c r="B3745" s="707" t="s">
        <v>649</v>
      </c>
      <c r="C3745" s="708" t="s">
        <v>650</v>
      </c>
      <c r="D3745" s="709"/>
      <c r="E3745" s="710" t="s">
        <v>216</v>
      </c>
      <c r="F3745" s="711" t="s">
        <v>649</v>
      </c>
      <c r="G3745" s="710"/>
      <c r="H3745" s="710" t="s">
        <v>651</v>
      </c>
      <c r="I3745" s="727" t="s">
        <v>652</v>
      </c>
      <c r="J3745" s="714"/>
      <c r="L3745" s="694" t="s">
        <v>653</v>
      </c>
    </row>
    <row r="3746" spans="1:12" ht="9.1999999999999993" customHeight="1">
      <c r="A3746" s="712">
        <v>1</v>
      </c>
      <c r="B3746" s="713" t="s">
        <v>654</v>
      </c>
      <c r="C3746" s="714">
        <f>VLOOKUP(C3742,'Luong VP'!$B$10:$AP$189,9,0)</f>
        <v>6190</v>
      </c>
      <c r="D3746" s="715"/>
      <c r="E3746" s="710" t="s">
        <v>655</v>
      </c>
      <c r="F3746" s="716" t="s">
        <v>656</v>
      </c>
      <c r="G3746" s="710"/>
      <c r="H3746" s="710"/>
      <c r="I3746" s="727"/>
      <c r="J3746" s="714">
        <f>VLOOKUP(C3742,'Luong VP'!$B$10:$AP$189,21,0)</f>
        <v>7190</v>
      </c>
    </row>
    <row r="3747" spans="1:12" ht="9.1999999999999993" customHeight="1">
      <c r="A3747" s="712">
        <v>2</v>
      </c>
      <c r="B3747" s="713" t="s">
        <v>658</v>
      </c>
      <c r="C3747" s="714"/>
      <c r="D3747" s="717"/>
      <c r="E3747" s="710">
        <v>1</v>
      </c>
      <c r="F3747" s="718" t="s">
        <v>659</v>
      </c>
      <c r="G3747" s="718"/>
      <c r="H3747" s="710" t="s">
        <v>660</v>
      </c>
      <c r="I3747" s="727">
        <f>VLOOKUP(C3742,'Luong VP'!$B$10:$AP$189,22,0)</f>
        <v>26</v>
      </c>
      <c r="J3747" s="728">
        <f>J3746/'Cham cong'!$AS$3*I3747</f>
        <v>7190</v>
      </c>
    </row>
    <row r="3748" spans="1:12" ht="9.1999999999999993" customHeight="1">
      <c r="A3748" s="712">
        <v>3</v>
      </c>
      <c r="B3748" s="713" t="s">
        <v>661</v>
      </c>
      <c r="C3748" s="714">
        <f>VLOOKUP(C3742,'Luong VP'!$B$10:$AP$189,10,0)</f>
        <v>0</v>
      </c>
      <c r="D3748" s="717"/>
      <c r="E3748" s="710">
        <v>2</v>
      </c>
      <c r="F3748" s="718" t="s">
        <v>662</v>
      </c>
      <c r="G3748" s="718"/>
      <c r="H3748" s="710" t="s">
        <v>660</v>
      </c>
      <c r="I3748" s="727">
        <f>VLOOKUP(C3742,'Luong VP'!$B$10:$AP$189,27,0)</f>
        <v>0</v>
      </c>
      <c r="J3748" s="728">
        <f>J3746/'Cham cong'!$AS$3*I3748*3</f>
        <v>0</v>
      </c>
    </row>
    <row r="3749" spans="1:12" ht="9.1999999999999993" customHeight="1">
      <c r="A3749" s="712">
        <v>4</v>
      </c>
      <c r="B3749" s="713" t="s">
        <v>666</v>
      </c>
      <c r="C3749" s="714">
        <f>VLOOKUP(C3742,'Luong VP'!$B$10:$AP$189,11,0)</f>
        <v>0</v>
      </c>
      <c r="D3749" s="717"/>
      <c r="E3749" s="710">
        <v>3</v>
      </c>
      <c r="F3749" s="718" t="s">
        <v>667</v>
      </c>
      <c r="G3749" s="718"/>
      <c r="H3749" s="710" t="s">
        <v>668</v>
      </c>
      <c r="I3749" s="727">
        <f>VLOOKUP(C3742,'Luong VP'!$B$10:$AP$189,26,0)</f>
        <v>0</v>
      </c>
      <c r="J3749" s="728">
        <f>J3746/'Cham cong'!$AS$3*I3749/8*1.5</f>
        <v>0</v>
      </c>
    </row>
    <row r="3750" spans="1:12" ht="9.1999999999999993" customHeight="1">
      <c r="A3750" s="712">
        <v>5</v>
      </c>
      <c r="B3750" s="713" t="s">
        <v>670</v>
      </c>
      <c r="C3750" s="714">
        <f>VLOOKUP(C3742,'Luong VP'!$B$10:$AP$189,12,0)</f>
        <v>0</v>
      </c>
      <c r="D3750" s="717"/>
      <c r="E3750" s="710">
        <v>4</v>
      </c>
      <c r="F3750" s="718" t="s">
        <v>671</v>
      </c>
      <c r="G3750" s="718"/>
      <c r="H3750" s="710" t="s">
        <v>668</v>
      </c>
      <c r="I3750" s="727">
        <f>VLOOKUP(C3742,'Luong VP'!$B$10:$AP$189,25,0)</f>
        <v>0</v>
      </c>
      <c r="J3750" s="728">
        <f>J3746/'Cham cong'!$AS$3*I3750/8*2</f>
        <v>0</v>
      </c>
    </row>
    <row r="3751" spans="1:12" ht="9.1999999999999993" customHeight="1">
      <c r="A3751" s="712">
        <v>6</v>
      </c>
      <c r="B3751" s="713" t="s">
        <v>673</v>
      </c>
      <c r="C3751" s="714">
        <f>VLOOKUP(C3742,'Luong VP'!$B$10:$AP$189,13,0)</f>
        <v>0</v>
      </c>
      <c r="D3751" s="717"/>
      <c r="E3751" s="710">
        <v>5</v>
      </c>
      <c r="F3751" s="718" t="s">
        <v>674</v>
      </c>
      <c r="G3751" s="718"/>
      <c r="H3751" s="710" t="s">
        <v>660</v>
      </c>
      <c r="I3751" s="727">
        <f>VLOOKUP(C3742,'Luong VP'!$B$10:$AP$189,23,0)</f>
        <v>0</v>
      </c>
      <c r="J3751" s="728">
        <f>C3746/'Cham cong'!$AS$3*I3751</f>
        <v>0</v>
      </c>
      <c r="L3751" s="694" t="str">
        <f>G3742</f>
        <v>Đậu Minh Hùng</v>
      </c>
    </row>
    <row r="3752" spans="1:12" ht="9.1999999999999993" customHeight="1">
      <c r="A3752" s="712">
        <v>7</v>
      </c>
      <c r="B3752" s="713" t="s">
        <v>676</v>
      </c>
      <c r="C3752" s="714"/>
      <c r="D3752" s="717"/>
      <c r="E3752" s="710">
        <v>6</v>
      </c>
      <c r="F3752" s="718" t="s">
        <v>677</v>
      </c>
      <c r="G3752" s="718"/>
      <c r="H3752" s="710" t="s">
        <v>660</v>
      </c>
      <c r="I3752" s="727">
        <f>VLOOKUP(C3742,'Luong VP'!$B$10:$AP$189,24,0)</f>
        <v>1</v>
      </c>
      <c r="J3752" s="714">
        <f>C3746/'Cham cong'!$AS$3*I3752</f>
        <v>238.07692307692307</v>
      </c>
    </row>
    <row r="3753" spans="1:12" ht="9.1999999999999993" customHeight="1">
      <c r="A3753" s="712">
        <v>8</v>
      </c>
      <c r="B3753" s="713" t="s">
        <v>679</v>
      </c>
      <c r="C3753" s="714">
        <f>VLOOKUP(C3742,'Luong VP'!$B$10:$AP$189,14,0)</f>
        <v>500</v>
      </c>
      <c r="D3753" s="717"/>
      <c r="E3753" s="710">
        <v>7</v>
      </c>
      <c r="F3753" s="718" t="s">
        <v>680</v>
      </c>
      <c r="G3753" s="718"/>
      <c r="H3753" s="718"/>
      <c r="I3753" s="729"/>
      <c r="J3753" s="714">
        <f>VLOOKUP(C3742,'Luong VP'!$B$10:$AP$189,28,0)</f>
        <v>0</v>
      </c>
    </row>
    <row r="3754" spans="1:12" ht="9.1999999999999993" customHeight="1">
      <c r="A3754" s="712">
        <v>9</v>
      </c>
      <c r="B3754" s="713" t="s">
        <v>683</v>
      </c>
      <c r="C3754" s="714">
        <f>VLOOKUP(C3742,'Luong VP'!$B$10:$AP$189,15,0)</f>
        <v>200</v>
      </c>
      <c r="D3754" s="717"/>
      <c r="E3754" s="710">
        <v>8</v>
      </c>
      <c r="F3754" s="718" t="s">
        <v>238</v>
      </c>
      <c r="G3754" s="718"/>
      <c r="H3754" s="798" t="s">
        <v>660</v>
      </c>
      <c r="I3754" s="729"/>
      <c r="J3754" s="714">
        <v>0</v>
      </c>
      <c r="K3754" s="723"/>
    </row>
    <row r="3755" spans="1:12" ht="9.1999999999999993" customHeight="1">
      <c r="A3755" s="712">
        <v>10</v>
      </c>
      <c r="B3755" s="713" t="s">
        <v>685</v>
      </c>
      <c r="C3755" s="714">
        <f>VLOOKUP(C3742,'Luong VP'!$B$10:$AP$189,16,0)</f>
        <v>500</v>
      </c>
      <c r="D3755" s="717"/>
      <c r="E3755" s="710" t="s">
        <v>686</v>
      </c>
      <c r="F3755" s="716" t="s">
        <v>687</v>
      </c>
      <c r="G3755" s="719"/>
      <c r="H3755" s="719"/>
      <c r="I3755" s="729"/>
      <c r="J3755" s="730"/>
    </row>
    <row r="3756" spans="1:12" ht="9.1999999999999993" customHeight="1">
      <c r="A3756" s="712">
        <v>11</v>
      </c>
      <c r="B3756" s="713" t="s">
        <v>688</v>
      </c>
      <c r="C3756" s="714">
        <f>VLOOKUP(C3742,'Luong VP'!$B$10:$AP$189,17,0)</f>
        <v>0</v>
      </c>
      <c r="D3756" s="717"/>
      <c r="E3756" s="710">
        <v>1</v>
      </c>
      <c r="F3756" s="716" t="s">
        <v>689</v>
      </c>
      <c r="G3756" s="719"/>
      <c r="H3756" s="719"/>
      <c r="I3756" s="714">
        <f>VLOOKUP(C3742,'Luong VP'!$B$10:$AP$189,29,0)</f>
        <v>0</v>
      </c>
      <c r="J3756" s="714">
        <f>VLOOKUP(C3742,'Luong VP'!$B$10:$AP$189,30,0)</f>
        <v>8000</v>
      </c>
    </row>
    <row r="3757" spans="1:12" ht="9.1999999999999993" customHeight="1">
      <c r="A3757" s="712">
        <v>12</v>
      </c>
      <c r="B3757" s="713" t="s">
        <v>691</v>
      </c>
      <c r="C3757" s="714">
        <f>VLOOKUP(C3742,'Luong VP'!$B$10:$AP$189,18,0)</f>
        <v>0</v>
      </c>
      <c r="D3757" s="717"/>
      <c r="E3757" s="710">
        <v>2</v>
      </c>
      <c r="F3757" s="718" t="s">
        <v>239</v>
      </c>
      <c r="G3757" s="718"/>
      <c r="H3757" s="718"/>
      <c r="I3757" s="727"/>
      <c r="J3757" s="728">
        <f>VLOOKUP(C3742,'Luong VP'!$B$10:$AP$189,34,0)</f>
        <v>0</v>
      </c>
      <c r="K3757" s="731"/>
      <c r="L3757" s="715"/>
    </row>
    <row r="3758" spans="1:12" ht="9.1999999999999993" customHeight="1">
      <c r="A3758" s="712">
        <v>13</v>
      </c>
      <c r="B3758" s="713" t="s">
        <v>692</v>
      </c>
      <c r="C3758" s="714">
        <f>VLOOKUP(C3742,'Luong VP'!$B$10:$AP$189,19,0)</f>
        <v>0</v>
      </c>
      <c r="D3758" s="717"/>
      <c r="E3758" s="710">
        <v>3</v>
      </c>
      <c r="F3758" s="716" t="s">
        <v>693</v>
      </c>
      <c r="G3758" s="719"/>
      <c r="H3758" s="719"/>
      <c r="I3758" s="729"/>
      <c r="J3758" s="714">
        <f>VLOOKUP(C3742,'Luong VP'!$B$10:$AP$189,40,0)</f>
        <v>0</v>
      </c>
      <c r="K3758" s="731"/>
      <c r="L3758" s="715"/>
    </row>
    <row r="3759" spans="1:12" ht="9.1999999999999993" customHeight="1">
      <c r="A3759" s="712">
        <v>14</v>
      </c>
      <c r="B3759" s="713" t="s">
        <v>694</v>
      </c>
      <c r="C3759" s="714">
        <f>VLOOKUP(C3742,'Luong VP'!$B$10:$AP$189,20,0)</f>
        <v>0</v>
      </c>
      <c r="D3759" s="717"/>
      <c r="E3759" s="710">
        <v>4</v>
      </c>
      <c r="F3759" s="718" t="s">
        <v>695</v>
      </c>
      <c r="G3759" s="719"/>
      <c r="H3759" s="719"/>
      <c r="I3759" s="729"/>
      <c r="J3759" s="714">
        <f>VLOOKUP(C3742,'Luong VP'!$B$10:$AP$189,35,0)</f>
        <v>0</v>
      </c>
      <c r="K3759" s="732"/>
      <c r="L3759" s="715"/>
    </row>
    <row r="3760" spans="1:12" ht="9.1999999999999993" customHeight="1">
      <c r="A3760" s="712"/>
      <c r="B3760" s="707" t="s">
        <v>656</v>
      </c>
      <c r="C3760" s="714">
        <f>SUM(C3746:C3759)</f>
        <v>7390</v>
      </c>
      <c r="D3760" s="717"/>
      <c r="E3760" s="710"/>
      <c r="F3760" s="716" t="s">
        <v>241</v>
      </c>
      <c r="G3760" s="719"/>
      <c r="H3760" s="719"/>
      <c r="I3760" s="729"/>
      <c r="J3760" s="730">
        <f>SUM(J3747:J3759)+C3754</f>
        <v>15628.076923076922</v>
      </c>
      <c r="K3760" s="731"/>
      <c r="L3760" s="715"/>
    </row>
    <row r="3761" spans="1:12" ht="9.1999999999999993" customHeight="1">
      <c r="B3761" s="720"/>
      <c r="C3761" s="717"/>
      <c r="D3761" s="717"/>
      <c r="E3761" s="710" t="s">
        <v>696</v>
      </c>
      <c r="F3761" s="711" t="s">
        <v>697</v>
      </c>
      <c r="G3761" s="710"/>
      <c r="H3761" s="710"/>
      <c r="I3761" s="729"/>
      <c r="J3761" s="730">
        <f>SUM(J3762:J3764)</f>
        <v>0</v>
      </c>
      <c r="K3761" s="732"/>
      <c r="L3761" s="715"/>
    </row>
    <row r="3762" spans="1:12" ht="9.1999999999999993" customHeight="1">
      <c r="B3762" s="720"/>
      <c r="C3762" s="717"/>
      <c r="D3762" s="717"/>
      <c r="E3762" s="710">
        <v>1</v>
      </c>
      <c r="F3762" s="718" t="s">
        <v>698</v>
      </c>
      <c r="G3762" s="718"/>
      <c r="H3762" s="718"/>
      <c r="I3762" s="733"/>
      <c r="J3762" s="714">
        <f>VLOOKUP(C3742,'Luong VP'!$B$10:$AP$189,37,0)</f>
        <v>0</v>
      </c>
      <c r="K3762" s="732"/>
      <c r="L3762" s="715"/>
    </row>
    <row r="3763" spans="1:12" ht="9.1999999999999993" customHeight="1">
      <c r="B3763" s="720"/>
      <c r="C3763" s="717"/>
      <c r="D3763" s="717"/>
      <c r="E3763" s="710">
        <v>2</v>
      </c>
      <c r="F3763" s="718" t="s">
        <v>244</v>
      </c>
      <c r="G3763" s="718"/>
      <c r="H3763" s="718"/>
      <c r="I3763" s="729"/>
      <c r="J3763" s="714">
        <f>VLOOKUP(C3742,'Luong VP'!$B$10:$AP$189,39,0)</f>
        <v>0</v>
      </c>
      <c r="K3763" s="734"/>
      <c r="L3763" s="735"/>
    </row>
    <row r="3764" spans="1:12" ht="9.1999999999999993" customHeight="1">
      <c r="B3764" s="720"/>
      <c r="C3764" s="717"/>
      <c r="D3764" s="717"/>
      <c r="E3764" s="710"/>
      <c r="F3764" s="718" t="s">
        <v>699</v>
      </c>
      <c r="G3764" s="718"/>
      <c r="H3764" s="718"/>
      <c r="I3764" s="729"/>
      <c r="J3764" s="714"/>
      <c r="K3764" s="714"/>
      <c r="L3764" s="736"/>
    </row>
    <row r="3765" spans="1:12" ht="9.1999999999999993" customHeight="1">
      <c r="B3765" s="720"/>
      <c r="C3765" s="717"/>
      <c r="D3765" s="717"/>
      <c r="E3765" s="710" t="s">
        <v>700</v>
      </c>
      <c r="F3765" s="710" t="s">
        <v>246</v>
      </c>
      <c r="G3765" s="710"/>
      <c r="H3765" s="710"/>
      <c r="I3765" s="729"/>
      <c r="J3765" s="728">
        <f>J3760-J3761</f>
        <v>15628.076923076922</v>
      </c>
      <c r="K3765" s="728">
        <f>ROUND(J3765,-1)</f>
        <v>15630</v>
      </c>
      <c r="L3765" s="710"/>
    </row>
    <row r="3766" spans="1:12" ht="9.1999999999999993" customHeight="1">
      <c r="B3766" s="720"/>
      <c r="C3766" s="717"/>
      <c r="D3766" s="717"/>
      <c r="E3766" s="715"/>
      <c r="F3766" s="715"/>
      <c r="G3766" s="715"/>
      <c r="I3766" s="715" t="s">
        <v>701</v>
      </c>
      <c r="J3766" s="737"/>
      <c r="K3766" s="737"/>
      <c r="L3766" s="715"/>
    </row>
    <row r="3767" spans="1:12" ht="9.1999999999999993" customHeight="1">
      <c r="B3767" s="720"/>
      <c r="C3767" s="717"/>
      <c r="D3767" s="717"/>
      <c r="E3767" s="715"/>
      <c r="F3767" s="715"/>
      <c r="G3767" s="715"/>
      <c r="I3767" s="715"/>
      <c r="J3767" s="737"/>
      <c r="K3767" s="737"/>
      <c r="L3767" s="715"/>
    </row>
    <row r="3768" spans="1:12" ht="9.1999999999999993" customHeight="1">
      <c r="B3768" s="720"/>
      <c r="C3768" s="717"/>
      <c r="D3768" s="717"/>
      <c r="E3768" s="715"/>
      <c r="F3768" s="715"/>
      <c r="G3768" s="715"/>
      <c r="I3768" s="715"/>
      <c r="J3768" s="737"/>
      <c r="K3768" s="737"/>
      <c r="L3768" s="715"/>
    </row>
    <row r="3769" spans="1:12" ht="9.1999999999999993" customHeight="1">
      <c r="B3769" s="720"/>
      <c r="C3769" s="717"/>
      <c r="D3769" s="717"/>
      <c r="E3769" s="715"/>
      <c r="F3769" s="715"/>
      <c r="G3769" s="715"/>
      <c r="I3769" s="715"/>
      <c r="J3769" s="737"/>
      <c r="K3769" s="737"/>
      <c r="L3769" s="715"/>
    </row>
    <row r="3770" spans="1:12" ht="9.1999999999999993" customHeight="1">
      <c r="B3770" s="720"/>
      <c r="C3770" s="717"/>
      <c r="D3770" s="717"/>
      <c r="E3770" s="715"/>
      <c r="F3770" s="715"/>
      <c r="G3770" s="715"/>
      <c r="I3770" s="715"/>
      <c r="J3770" s="737"/>
      <c r="K3770" s="737"/>
      <c r="L3770" s="715"/>
    </row>
    <row r="3771" spans="1:12" ht="9.1999999999999993" customHeight="1">
      <c r="B3771" s="720"/>
      <c r="C3771" s="717"/>
      <c r="D3771" s="717"/>
      <c r="E3771" s="715"/>
      <c r="F3771" s="715"/>
      <c r="G3771" s="715"/>
      <c r="I3771" s="715"/>
      <c r="J3771" s="737"/>
      <c r="K3771" s="737"/>
      <c r="L3771" s="715"/>
    </row>
    <row r="3772" spans="1:12" ht="9.1999999999999993" customHeight="1">
      <c r="C3772" s="696"/>
      <c r="D3772" s="696"/>
      <c r="E3772" s="697" t="str">
        <f>$E$2</f>
        <v>THẺ LƯƠNG THÁNG 08/2019</v>
      </c>
      <c r="F3772" s="698"/>
      <c r="G3772" s="698"/>
      <c r="H3772" s="698"/>
    </row>
    <row r="3773" spans="1:12" ht="9.1999999999999993" customHeight="1">
      <c r="B3773" s="699" t="s">
        <v>644</v>
      </c>
      <c r="C3773" s="700" t="s">
        <v>1249</v>
      </c>
      <c r="D3773" s="701"/>
      <c r="F3773" s="702" t="s">
        <v>645</v>
      </c>
      <c r="G3773" s="689" t="str">
        <f>VLOOKUP(C3773,'Luong VP'!$B$10:$AP$189,2,0)</f>
        <v>Nguyễn Hoàng Luân</v>
      </c>
    </row>
    <row r="3774" spans="1:12" ht="9.1999999999999993" customHeight="1">
      <c r="B3774" s="699" t="s">
        <v>646</v>
      </c>
      <c r="C3774" s="689" t="str">
        <f>VLOOKUP(C3773,'Luong VP'!$B$10:$AP$189,3,0)</f>
        <v>NV sale</v>
      </c>
      <c r="F3774" s="702" t="s">
        <v>647</v>
      </c>
      <c r="G3774" s="689">
        <f>VLOOKUP(C3773,'Luong VP'!$B$10:$AP$189,5,0)</f>
        <v>2</v>
      </c>
    </row>
    <row r="3775" spans="1:12" ht="9.1999999999999993" customHeight="1">
      <c r="B3775" s="703"/>
      <c r="C3775" s="704"/>
      <c r="D3775" s="705"/>
      <c r="F3775" s="706" t="s">
        <v>648</v>
      </c>
      <c r="G3775" s="706"/>
      <c r="H3775" s="706"/>
      <c r="I3775" s="725"/>
      <c r="J3775" s="726"/>
    </row>
    <row r="3776" spans="1:12" ht="9.1999999999999993" customHeight="1">
      <c r="A3776" s="707" t="s">
        <v>216</v>
      </c>
      <c r="B3776" s="707" t="s">
        <v>649</v>
      </c>
      <c r="C3776" s="708" t="s">
        <v>650</v>
      </c>
      <c r="D3776" s="709"/>
      <c r="E3776" s="710" t="s">
        <v>216</v>
      </c>
      <c r="F3776" s="711" t="s">
        <v>649</v>
      </c>
      <c r="G3776" s="710"/>
      <c r="H3776" s="710" t="s">
        <v>651</v>
      </c>
      <c r="I3776" s="727" t="s">
        <v>652</v>
      </c>
      <c r="J3776" s="714"/>
      <c r="L3776" s="694" t="s">
        <v>653</v>
      </c>
    </row>
    <row r="3777" spans="1:12" ht="9.1999999999999993" customHeight="1">
      <c r="A3777" s="712">
        <v>1</v>
      </c>
      <c r="B3777" s="713" t="s">
        <v>654</v>
      </c>
      <c r="C3777" s="714">
        <f>VLOOKUP(C3773,'Luong VP'!$B$10:$AP$189,9,0)</f>
        <v>6190</v>
      </c>
      <c r="D3777" s="715"/>
      <c r="E3777" s="710" t="s">
        <v>655</v>
      </c>
      <c r="F3777" s="716" t="s">
        <v>656</v>
      </c>
      <c r="G3777" s="710"/>
      <c r="H3777" s="710"/>
      <c r="I3777" s="727"/>
      <c r="J3777" s="714">
        <f>VLOOKUP(C3773,'Luong VP'!$B$10:$AP$189,21,0)</f>
        <v>7190</v>
      </c>
    </row>
    <row r="3778" spans="1:12" ht="9.1999999999999993" customHeight="1">
      <c r="A3778" s="712">
        <v>2</v>
      </c>
      <c r="B3778" s="713" t="s">
        <v>658</v>
      </c>
      <c r="C3778" s="714"/>
      <c r="D3778" s="717"/>
      <c r="E3778" s="710">
        <v>1</v>
      </c>
      <c r="F3778" s="718" t="s">
        <v>659</v>
      </c>
      <c r="G3778" s="718"/>
      <c r="H3778" s="710" t="s">
        <v>660</v>
      </c>
      <c r="I3778" s="727">
        <f>VLOOKUP(C3773,'Luong VP'!$B$10:$AP$189,22,0)</f>
        <v>26</v>
      </c>
      <c r="J3778" s="728">
        <f>J3777/'Cham cong'!$AS$3*I3778</f>
        <v>7190</v>
      </c>
    </row>
    <row r="3779" spans="1:12" ht="9.1999999999999993" customHeight="1">
      <c r="A3779" s="712">
        <v>3</v>
      </c>
      <c r="B3779" s="713" t="s">
        <v>661</v>
      </c>
      <c r="C3779" s="714">
        <f>VLOOKUP(C3773,'Luong VP'!$B$10:$AP$189,10,0)</f>
        <v>0</v>
      </c>
      <c r="D3779" s="717"/>
      <c r="E3779" s="710">
        <v>2</v>
      </c>
      <c r="F3779" s="718" t="s">
        <v>662</v>
      </c>
      <c r="G3779" s="718"/>
      <c r="H3779" s="710" t="s">
        <v>660</v>
      </c>
      <c r="I3779" s="727">
        <f>VLOOKUP(C3773,'Luong VP'!$B$10:$AP$189,27,0)</f>
        <v>0</v>
      </c>
      <c r="J3779" s="728">
        <f>J3777/'Cham cong'!$AS$3*I3779*3</f>
        <v>0</v>
      </c>
    </row>
    <row r="3780" spans="1:12" ht="9.1999999999999993" customHeight="1">
      <c r="A3780" s="712">
        <v>4</v>
      </c>
      <c r="B3780" s="713" t="s">
        <v>666</v>
      </c>
      <c r="C3780" s="714">
        <f>VLOOKUP(C3773,'Luong VP'!$B$10:$AP$189,11,0)</f>
        <v>0</v>
      </c>
      <c r="D3780" s="717"/>
      <c r="E3780" s="710">
        <v>3</v>
      </c>
      <c r="F3780" s="718" t="s">
        <v>667</v>
      </c>
      <c r="G3780" s="718"/>
      <c r="H3780" s="710" t="s">
        <v>668</v>
      </c>
      <c r="I3780" s="727">
        <f>VLOOKUP(C3773,'Luong VP'!$B$10:$AP$189,26,0)</f>
        <v>0</v>
      </c>
      <c r="J3780" s="728">
        <f>J3777/'Cham cong'!$AS$3*I3780/8*1.5</f>
        <v>0</v>
      </c>
    </row>
    <row r="3781" spans="1:12" ht="9.1999999999999993" customHeight="1">
      <c r="A3781" s="712">
        <v>5</v>
      </c>
      <c r="B3781" s="713" t="s">
        <v>670</v>
      </c>
      <c r="C3781" s="714">
        <f>VLOOKUP(C3773,'Luong VP'!$B$10:$AP$189,12,0)</f>
        <v>0</v>
      </c>
      <c r="D3781" s="717"/>
      <c r="E3781" s="710">
        <v>4</v>
      </c>
      <c r="F3781" s="718" t="s">
        <v>671</v>
      </c>
      <c r="G3781" s="718"/>
      <c r="H3781" s="710" t="s">
        <v>668</v>
      </c>
      <c r="I3781" s="727">
        <f>VLOOKUP(C3773,'Luong VP'!$B$10:$AP$189,25,0)</f>
        <v>0</v>
      </c>
      <c r="J3781" s="728">
        <f>J3777/'Cham cong'!$AS$3*I3781/8*2</f>
        <v>0</v>
      </c>
    </row>
    <row r="3782" spans="1:12" ht="9.1999999999999993" customHeight="1">
      <c r="A3782" s="712">
        <v>6</v>
      </c>
      <c r="B3782" s="713" t="s">
        <v>673</v>
      </c>
      <c r="C3782" s="714">
        <f>VLOOKUP(C3773,'Luong VP'!$B$10:$AP$189,13,0)</f>
        <v>0</v>
      </c>
      <c r="D3782" s="717"/>
      <c r="E3782" s="710">
        <v>5</v>
      </c>
      <c r="F3782" s="718" t="s">
        <v>674</v>
      </c>
      <c r="G3782" s="718"/>
      <c r="H3782" s="710" t="s">
        <v>660</v>
      </c>
      <c r="I3782" s="727">
        <f>VLOOKUP(C3773,'Luong VP'!$B$10:$AP$189,23,0)</f>
        <v>0</v>
      </c>
      <c r="J3782" s="728">
        <f>C3777/'Cham cong'!$AS$3*I3782</f>
        <v>0</v>
      </c>
      <c r="L3782" s="694" t="str">
        <f>G3773</f>
        <v>Nguyễn Hoàng Luân</v>
      </c>
    </row>
    <row r="3783" spans="1:12" ht="9.1999999999999993" customHeight="1">
      <c r="A3783" s="712">
        <v>7</v>
      </c>
      <c r="B3783" s="713" t="s">
        <v>676</v>
      </c>
      <c r="C3783" s="714"/>
      <c r="D3783" s="717"/>
      <c r="E3783" s="710">
        <v>6</v>
      </c>
      <c r="F3783" s="718" t="s">
        <v>677</v>
      </c>
      <c r="G3783" s="718"/>
      <c r="H3783" s="710" t="s">
        <v>660</v>
      </c>
      <c r="I3783" s="727">
        <f>VLOOKUP(C3773,'Luong VP'!$B$10:$AP$189,24,0)</f>
        <v>1</v>
      </c>
      <c r="J3783" s="714">
        <f>C3777/'Cham cong'!$AS$3*I3783</f>
        <v>238.07692307692307</v>
      </c>
    </row>
    <row r="3784" spans="1:12" ht="9.1999999999999993" customHeight="1">
      <c r="A3784" s="712">
        <v>8</v>
      </c>
      <c r="B3784" s="713" t="s">
        <v>679</v>
      </c>
      <c r="C3784" s="714">
        <f>VLOOKUP(C3773,'Luong VP'!$B$10:$AP$189,14,0)</f>
        <v>500</v>
      </c>
      <c r="D3784" s="717"/>
      <c r="E3784" s="710">
        <v>7</v>
      </c>
      <c r="F3784" s="718" t="s">
        <v>680</v>
      </c>
      <c r="G3784" s="718"/>
      <c r="H3784" s="718"/>
      <c r="I3784" s="729"/>
      <c r="J3784" s="714">
        <f>VLOOKUP(C3773,'Luong VP'!$B$10:$AP$189,28,0)</f>
        <v>0</v>
      </c>
    </row>
    <row r="3785" spans="1:12" ht="9.1999999999999993" customHeight="1">
      <c r="A3785" s="712">
        <v>9</v>
      </c>
      <c r="B3785" s="713" t="s">
        <v>683</v>
      </c>
      <c r="C3785" s="714">
        <f>VLOOKUP(C3773,'Luong VP'!$B$10:$AP$189,15,0)</f>
        <v>200</v>
      </c>
      <c r="D3785" s="717"/>
      <c r="E3785" s="710">
        <v>8</v>
      </c>
      <c r="F3785" s="718" t="s">
        <v>238</v>
      </c>
      <c r="G3785" s="718"/>
      <c r="H3785" s="771" t="s">
        <v>660</v>
      </c>
      <c r="I3785" s="787"/>
      <c r="J3785" s="775"/>
    </row>
    <row r="3786" spans="1:12" ht="9.1999999999999993" customHeight="1">
      <c r="A3786" s="712">
        <v>10</v>
      </c>
      <c r="B3786" s="713" t="s">
        <v>685</v>
      </c>
      <c r="C3786" s="714">
        <f>VLOOKUP(C3773,'Luong VP'!$B$10:$AP$189,16,0)</f>
        <v>500</v>
      </c>
      <c r="D3786" s="717"/>
      <c r="E3786" s="710" t="s">
        <v>686</v>
      </c>
      <c r="F3786" s="716" t="s">
        <v>687</v>
      </c>
      <c r="G3786" s="719"/>
      <c r="H3786" s="719"/>
      <c r="I3786" s="729"/>
      <c r="J3786" s="730"/>
    </row>
    <row r="3787" spans="1:12" ht="9.1999999999999993" customHeight="1">
      <c r="A3787" s="712">
        <v>11</v>
      </c>
      <c r="B3787" s="713" t="s">
        <v>688</v>
      </c>
      <c r="C3787" s="714">
        <f>VLOOKUP(C3773,'Luong VP'!$B$10:$AP$189,17,0)</f>
        <v>0</v>
      </c>
      <c r="D3787" s="717"/>
      <c r="E3787" s="710">
        <v>1</v>
      </c>
      <c r="F3787" s="716" t="s">
        <v>689</v>
      </c>
      <c r="G3787" s="719"/>
      <c r="H3787" s="719"/>
      <c r="I3787" s="714">
        <f>VLOOKUP(C3773,'Luong VP'!$B$10:$AP$189,29,0)</f>
        <v>0</v>
      </c>
      <c r="J3787" s="714">
        <f>VLOOKUP(C3773,'Luong VP'!$B$10:$AP$189,30,0)</f>
        <v>6000</v>
      </c>
    </row>
    <row r="3788" spans="1:12" ht="9.1999999999999993" customHeight="1">
      <c r="A3788" s="712">
        <v>12</v>
      </c>
      <c r="B3788" s="713" t="s">
        <v>691</v>
      </c>
      <c r="C3788" s="714">
        <f>VLOOKUP(C3773,'Luong VP'!$B$10:$AP$189,18,0)</f>
        <v>0</v>
      </c>
      <c r="D3788" s="717"/>
      <c r="E3788" s="710">
        <v>2</v>
      </c>
      <c r="F3788" s="718" t="s">
        <v>239</v>
      </c>
      <c r="G3788" s="718"/>
      <c r="H3788" s="718"/>
      <c r="I3788" s="727"/>
      <c r="J3788" s="728">
        <f>VLOOKUP(C3773,'Luong VP'!$B$10:$AP$189,34,0)</f>
        <v>0</v>
      </c>
      <c r="K3788" s="731"/>
      <c r="L3788" s="715"/>
    </row>
    <row r="3789" spans="1:12" ht="9.1999999999999993" customHeight="1">
      <c r="A3789" s="712">
        <v>13</v>
      </c>
      <c r="B3789" s="713" t="s">
        <v>692</v>
      </c>
      <c r="C3789" s="714">
        <f>VLOOKUP(C3773,'Luong VP'!$B$10:$AP$189,19,0)</f>
        <v>0</v>
      </c>
      <c r="D3789" s="717"/>
      <c r="E3789" s="710">
        <v>3</v>
      </c>
      <c r="F3789" s="716" t="s">
        <v>693</v>
      </c>
      <c r="G3789" s="719"/>
      <c r="H3789" s="719"/>
      <c r="I3789" s="729"/>
      <c r="J3789" s="714">
        <f>VLOOKUP(C3773,'Luong VP'!$B$10:$AP$189,40,0)</f>
        <v>0</v>
      </c>
      <c r="K3789" s="731"/>
      <c r="L3789" s="715"/>
    </row>
    <row r="3790" spans="1:12" ht="9.1999999999999993" customHeight="1">
      <c r="A3790" s="712">
        <v>14</v>
      </c>
      <c r="B3790" s="713" t="s">
        <v>694</v>
      </c>
      <c r="C3790" s="714">
        <f>VLOOKUP(C3773,'Luong VP'!$B$10:$AP$189,20,0)</f>
        <v>0</v>
      </c>
      <c r="D3790" s="717"/>
      <c r="E3790" s="710">
        <v>4</v>
      </c>
      <c r="F3790" s="718" t="s">
        <v>695</v>
      </c>
      <c r="G3790" s="719"/>
      <c r="H3790" s="719"/>
      <c r="I3790" s="729"/>
      <c r="J3790" s="714">
        <f>VLOOKUP(C3773,'Luong VP'!$B$10:$AP$189,35,0)</f>
        <v>0</v>
      </c>
      <c r="K3790" s="732"/>
      <c r="L3790" s="715"/>
    </row>
    <row r="3791" spans="1:12" ht="9.1999999999999993" customHeight="1">
      <c r="A3791" s="712"/>
      <c r="B3791" s="707" t="s">
        <v>656</v>
      </c>
      <c r="C3791" s="714">
        <f>SUM(C3777:C3790)</f>
        <v>7390</v>
      </c>
      <c r="D3791" s="717"/>
      <c r="E3791" s="710"/>
      <c r="F3791" s="716" t="s">
        <v>241</v>
      </c>
      <c r="G3791" s="719"/>
      <c r="H3791" s="719"/>
      <c r="I3791" s="729"/>
      <c r="J3791" s="730">
        <f>SUM(J3778:J3790)+C3785</f>
        <v>13628.076923076922</v>
      </c>
      <c r="K3791" s="731"/>
      <c r="L3791" s="715"/>
    </row>
    <row r="3792" spans="1:12" ht="9.1999999999999993" customHeight="1">
      <c r="B3792" s="720"/>
      <c r="C3792" s="717"/>
      <c r="D3792" s="717"/>
      <c r="E3792" s="710" t="s">
        <v>696</v>
      </c>
      <c r="F3792" s="711" t="s">
        <v>697</v>
      </c>
      <c r="G3792" s="710"/>
      <c r="H3792" s="710"/>
      <c r="I3792" s="729"/>
      <c r="J3792" s="730">
        <f>SUM(J3793:J3795)</f>
        <v>0</v>
      </c>
      <c r="K3792" s="732"/>
      <c r="L3792" s="715"/>
    </row>
    <row r="3793" spans="1:12" ht="9.1999999999999993" customHeight="1">
      <c r="B3793" s="720"/>
      <c r="C3793" s="717"/>
      <c r="D3793" s="717"/>
      <c r="E3793" s="710">
        <v>1</v>
      </c>
      <c r="F3793" s="718" t="s">
        <v>698</v>
      </c>
      <c r="G3793" s="718"/>
      <c r="H3793" s="718"/>
      <c r="I3793" s="733"/>
      <c r="J3793" s="714">
        <f>VLOOKUP(C3773,'Luong VP'!$B$10:$AP$189,37,0)</f>
        <v>0</v>
      </c>
      <c r="K3793" s="732"/>
      <c r="L3793" s="715"/>
    </row>
    <row r="3794" spans="1:12" ht="9.1999999999999993" customHeight="1">
      <c r="B3794" s="720"/>
      <c r="C3794" s="717"/>
      <c r="D3794" s="717"/>
      <c r="E3794" s="710">
        <v>2</v>
      </c>
      <c r="F3794" s="718" t="s">
        <v>244</v>
      </c>
      <c r="G3794" s="718"/>
      <c r="H3794" s="718"/>
      <c r="I3794" s="729"/>
      <c r="J3794" s="714">
        <f>VLOOKUP(C3773,'Luong VP'!$B$10:$AP$189,39,0)</f>
        <v>0</v>
      </c>
      <c r="K3794" s="734"/>
      <c r="L3794" s="735"/>
    </row>
    <row r="3795" spans="1:12" ht="9.1999999999999993" customHeight="1">
      <c r="B3795" s="720"/>
      <c r="C3795" s="717"/>
      <c r="D3795" s="717"/>
      <c r="E3795" s="710"/>
      <c r="F3795" s="718" t="s">
        <v>699</v>
      </c>
      <c r="G3795" s="718"/>
      <c r="H3795" s="718"/>
      <c r="I3795" s="729"/>
      <c r="J3795" s="714"/>
      <c r="K3795" s="714"/>
      <c r="L3795" s="736"/>
    </row>
    <row r="3796" spans="1:12" ht="9.1999999999999993" customHeight="1">
      <c r="B3796" s="720"/>
      <c r="C3796" s="717"/>
      <c r="D3796" s="717"/>
      <c r="E3796" s="710" t="s">
        <v>700</v>
      </c>
      <c r="F3796" s="710" t="s">
        <v>246</v>
      </c>
      <c r="G3796" s="710"/>
      <c r="H3796" s="710"/>
      <c r="I3796" s="729"/>
      <c r="J3796" s="728">
        <f>J3791-J3792</f>
        <v>13628.076923076922</v>
      </c>
      <c r="K3796" s="728">
        <f>ROUND(J3796,-1)</f>
        <v>13630</v>
      </c>
      <c r="L3796" s="710"/>
    </row>
    <row r="3797" spans="1:12" ht="9.1999999999999993" customHeight="1">
      <c r="B3797" s="720"/>
      <c r="C3797" s="717"/>
      <c r="D3797" s="717"/>
      <c r="E3797" s="715"/>
      <c r="F3797" s="715"/>
      <c r="G3797" s="715"/>
      <c r="I3797" s="715" t="s">
        <v>701</v>
      </c>
      <c r="J3797" s="737"/>
      <c r="K3797" s="737"/>
      <c r="L3797" s="715"/>
    </row>
    <row r="3802" spans="1:12" ht="9.1999999999999993" customHeight="1">
      <c r="C3802" s="696"/>
      <c r="D3802" s="696"/>
      <c r="E3802" s="697" t="str">
        <f>$E$2</f>
        <v>THẺ LƯƠNG THÁNG 08/2019</v>
      </c>
      <c r="F3802" s="698"/>
      <c r="G3802" s="698"/>
      <c r="H3802" s="698"/>
    </row>
    <row r="3803" spans="1:12" ht="9.1999999999999993" customHeight="1">
      <c r="B3803" s="699" t="s">
        <v>644</v>
      </c>
      <c r="C3803" s="700" t="s">
        <v>532</v>
      </c>
      <c r="D3803" s="701"/>
      <c r="F3803" s="702" t="s">
        <v>645</v>
      </c>
      <c r="G3803" s="689" t="str">
        <f>VLOOKUP(C3803,'Luong VP'!$B$10:$AP$189,2,0)</f>
        <v>Đinh Hiệp Thương</v>
      </c>
    </row>
    <row r="3804" spans="1:12" ht="9.1999999999999993" customHeight="1">
      <c r="B3804" s="699" t="s">
        <v>646</v>
      </c>
      <c r="C3804" s="689" t="str">
        <f>VLOOKUP(C3803,'Luong VP'!$B$10:$AP$189,3,0)</f>
        <v>NV sale</v>
      </c>
      <c r="F3804" s="702" t="s">
        <v>647</v>
      </c>
      <c r="G3804" s="689">
        <f>VLOOKUP(C3803,'Luong VP'!$B$10:$AP$189,5,0)</f>
        <v>2</v>
      </c>
    </row>
    <row r="3805" spans="1:12" ht="9.1999999999999993" customHeight="1">
      <c r="B3805" s="703"/>
      <c r="C3805" s="704"/>
      <c r="D3805" s="705"/>
      <c r="F3805" s="706" t="s">
        <v>648</v>
      </c>
      <c r="G3805" s="706"/>
      <c r="H3805" s="706"/>
      <c r="I3805" s="725"/>
      <c r="J3805" s="726"/>
    </row>
    <row r="3806" spans="1:12" ht="9.1999999999999993" customHeight="1">
      <c r="A3806" s="707" t="s">
        <v>216</v>
      </c>
      <c r="B3806" s="707" t="s">
        <v>649</v>
      </c>
      <c r="C3806" s="708" t="s">
        <v>650</v>
      </c>
      <c r="D3806" s="709"/>
      <c r="E3806" s="710" t="s">
        <v>216</v>
      </c>
      <c r="F3806" s="711" t="s">
        <v>649</v>
      </c>
      <c r="G3806" s="710"/>
      <c r="H3806" s="710" t="s">
        <v>651</v>
      </c>
      <c r="I3806" s="727" t="s">
        <v>652</v>
      </c>
      <c r="J3806" s="714"/>
      <c r="L3806" s="694" t="s">
        <v>653</v>
      </c>
    </row>
    <row r="3807" spans="1:12" ht="9.1999999999999993" customHeight="1">
      <c r="A3807" s="712">
        <v>1</v>
      </c>
      <c r="B3807" s="713" t="s">
        <v>654</v>
      </c>
      <c r="C3807" s="714">
        <f>VLOOKUP(C3803,'Luong VP'!$B$10:$AP$189,9,0)</f>
        <v>6190</v>
      </c>
      <c r="D3807" s="715"/>
      <c r="E3807" s="710" t="s">
        <v>655</v>
      </c>
      <c r="F3807" s="716" t="s">
        <v>656</v>
      </c>
      <c r="G3807" s="710"/>
      <c r="H3807" s="710"/>
      <c r="I3807" s="727"/>
      <c r="J3807" s="714">
        <f>VLOOKUP(C3803,'Luong VP'!$B$10:$AP$189,21,0)</f>
        <v>7190</v>
      </c>
    </row>
    <row r="3808" spans="1:12" ht="9.1999999999999993" customHeight="1">
      <c r="A3808" s="712">
        <v>2</v>
      </c>
      <c r="B3808" s="713" t="s">
        <v>658</v>
      </c>
      <c r="C3808" s="714"/>
      <c r="D3808" s="717"/>
      <c r="E3808" s="710">
        <v>1</v>
      </c>
      <c r="F3808" s="718" t="s">
        <v>659</v>
      </c>
      <c r="G3808" s="718"/>
      <c r="H3808" s="710" t="s">
        <v>660</v>
      </c>
      <c r="I3808" s="727">
        <f>VLOOKUP(C3803,'Luong VP'!$B$10:$AP$189,22,0)</f>
        <v>26</v>
      </c>
      <c r="J3808" s="728">
        <f>J3807/'Cham cong'!$AS$3*I3808</f>
        <v>7190</v>
      </c>
    </row>
    <row r="3809" spans="1:12" ht="9.1999999999999993" customHeight="1">
      <c r="A3809" s="712">
        <v>3</v>
      </c>
      <c r="B3809" s="713" t="s">
        <v>661</v>
      </c>
      <c r="C3809" s="714">
        <f>VLOOKUP(C3803,'Luong VP'!$B$10:$AP$189,10,0)</f>
        <v>0</v>
      </c>
      <c r="D3809" s="717"/>
      <c r="E3809" s="710">
        <v>2</v>
      </c>
      <c r="F3809" s="718" t="s">
        <v>662</v>
      </c>
      <c r="G3809" s="718"/>
      <c r="H3809" s="710" t="s">
        <v>660</v>
      </c>
      <c r="I3809" s="727">
        <f>VLOOKUP(C3803,'Luong VP'!$B$10:$AP$189,27,0)</f>
        <v>0</v>
      </c>
      <c r="J3809" s="728">
        <f>J3807/'Cham cong'!$AS$3*I3809*3</f>
        <v>0</v>
      </c>
    </row>
    <row r="3810" spans="1:12" ht="9.1999999999999993" customHeight="1">
      <c r="A3810" s="712">
        <v>4</v>
      </c>
      <c r="B3810" s="713" t="s">
        <v>666</v>
      </c>
      <c r="C3810" s="714">
        <f>VLOOKUP(C3803,'Luong VP'!$B$10:$AP$189,11,0)</f>
        <v>0</v>
      </c>
      <c r="D3810" s="717"/>
      <c r="E3810" s="710">
        <v>3</v>
      </c>
      <c r="F3810" s="718" t="s">
        <v>667</v>
      </c>
      <c r="G3810" s="718"/>
      <c r="H3810" s="710" t="s">
        <v>668</v>
      </c>
      <c r="I3810" s="727">
        <f>VLOOKUP(C3803,'Luong VP'!$B$10:$AP$189,26,0)</f>
        <v>0</v>
      </c>
      <c r="J3810" s="728">
        <f>J3807/'Cham cong'!$AS$3*I3810/8*1.5</f>
        <v>0</v>
      </c>
    </row>
    <row r="3811" spans="1:12" ht="9.1999999999999993" customHeight="1">
      <c r="A3811" s="712">
        <v>5</v>
      </c>
      <c r="B3811" s="713" t="s">
        <v>670</v>
      </c>
      <c r="C3811" s="714">
        <f>VLOOKUP(C3803,'Luong VP'!$B$10:$AP$189,12,0)</f>
        <v>0</v>
      </c>
      <c r="D3811" s="717"/>
      <c r="E3811" s="710">
        <v>4</v>
      </c>
      <c r="F3811" s="718" t="s">
        <v>671</v>
      </c>
      <c r="G3811" s="718"/>
      <c r="H3811" s="710" t="s">
        <v>668</v>
      </c>
      <c r="I3811" s="727">
        <f>VLOOKUP(C3803,'Luong VP'!$B$10:$AP$189,25,0)</f>
        <v>0</v>
      </c>
      <c r="J3811" s="728">
        <f>J3807/'Cham cong'!$AS$3*I3811/8*2</f>
        <v>0</v>
      </c>
    </row>
    <row r="3812" spans="1:12" ht="9.1999999999999993" customHeight="1">
      <c r="A3812" s="712">
        <v>6</v>
      </c>
      <c r="B3812" s="713" t="s">
        <v>673</v>
      </c>
      <c r="C3812" s="714">
        <f>VLOOKUP(C3803,'Luong VP'!$B$10:$AP$189,13,0)</f>
        <v>0</v>
      </c>
      <c r="D3812" s="717"/>
      <c r="E3812" s="710">
        <v>5</v>
      </c>
      <c r="F3812" s="718" t="s">
        <v>674</v>
      </c>
      <c r="G3812" s="718"/>
      <c r="H3812" s="710" t="s">
        <v>660</v>
      </c>
      <c r="I3812" s="727">
        <f>VLOOKUP(C3803,'Luong VP'!$B$10:$AP$189,23,0)</f>
        <v>0</v>
      </c>
      <c r="J3812" s="728">
        <f>C3807/'Cham cong'!$AS$3*I3812</f>
        <v>0</v>
      </c>
      <c r="L3812" s="694" t="str">
        <f>G3803</f>
        <v>Đinh Hiệp Thương</v>
      </c>
    </row>
    <row r="3813" spans="1:12" ht="9.1999999999999993" customHeight="1">
      <c r="A3813" s="712">
        <v>7</v>
      </c>
      <c r="B3813" s="713" t="s">
        <v>676</v>
      </c>
      <c r="C3813" s="714"/>
      <c r="D3813" s="717"/>
      <c r="E3813" s="710">
        <v>6</v>
      </c>
      <c r="F3813" s="718" t="s">
        <v>677</v>
      </c>
      <c r="G3813" s="718"/>
      <c r="H3813" s="710" t="s">
        <v>660</v>
      </c>
      <c r="I3813" s="727">
        <f>VLOOKUP(C3803,'Luong VP'!$B$10:$AP$189,24,0)</f>
        <v>1</v>
      </c>
      <c r="J3813" s="714">
        <f>C3807/'Cham cong'!$AS$3*I3813</f>
        <v>238.07692307692307</v>
      </c>
    </row>
    <row r="3814" spans="1:12" ht="9.1999999999999993" customHeight="1">
      <c r="A3814" s="712">
        <v>8</v>
      </c>
      <c r="B3814" s="713" t="s">
        <v>679</v>
      </c>
      <c r="C3814" s="714">
        <f>VLOOKUP(C3803,'Luong VP'!$B$10:$AP$189,14,0)</f>
        <v>500</v>
      </c>
      <c r="D3814" s="717"/>
      <c r="E3814" s="710">
        <v>7</v>
      </c>
      <c r="F3814" s="718" t="s">
        <v>680</v>
      </c>
      <c r="G3814" s="718"/>
      <c r="H3814" s="718"/>
      <c r="I3814" s="729"/>
      <c r="J3814" s="714">
        <f>VLOOKUP(C3803,'Luong VP'!$B$10:$AP$189,28,0)</f>
        <v>0</v>
      </c>
    </row>
    <row r="3815" spans="1:12" ht="9.1999999999999993" customHeight="1">
      <c r="A3815" s="712">
        <v>9</v>
      </c>
      <c r="B3815" s="713" t="s">
        <v>683</v>
      </c>
      <c r="C3815" s="714">
        <f>VLOOKUP(C3803,'Luong VP'!$B$10:$AP$189,15,0)</f>
        <v>200</v>
      </c>
      <c r="D3815" s="717"/>
      <c r="E3815" s="710">
        <v>8</v>
      </c>
      <c r="F3815" s="718" t="s">
        <v>238</v>
      </c>
      <c r="G3815" s="718"/>
      <c r="H3815" s="718"/>
      <c r="I3815" s="729"/>
      <c r="J3815" s="714">
        <f>VLOOKUP(C3803,'Luong VP'!$B$10:$AP$189,33,0)</f>
        <v>0</v>
      </c>
    </row>
    <row r="3816" spans="1:12" ht="9.1999999999999993" customHeight="1">
      <c r="A3816" s="712">
        <v>10</v>
      </c>
      <c r="B3816" s="713" t="s">
        <v>685</v>
      </c>
      <c r="C3816" s="714">
        <f>VLOOKUP(C3803,'Luong VP'!$B$10:$AP$189,16,0)</f>
        <v>500</v>
      </c>
      <c r="D3816" s="717"/>
      <c r="E3816" s="710" t="s">
        <v>686</v>
      </c>
      <c r="F3816" s="716" t="s">
        <v>687</v>
      </c>
      <c r="G3816" s="719"/>
      <c r="H3816" s="719"/>
      <c r="I3816" s="729"/>
      <c r="J3816" s="730"/>
    </row>
    <row r="3817" spans="1:12" ht="9.1999999999999993" customHeight="1">
      <c r="A3817" s="712">
        <v>11</v>
      </c>
      <c r="B3817" s="713" t="s">
        <v>688</v>
      </c>
      <c r="C3817" s="714">
        <f>VLOOKUP(C3803,'Luong VP'!$B$10:$AP$189,17,0)</f>
        <v>0</v>
      </c>
      <c r="D3817" s="717"/>
      <c r="E3817" s="710">
        <v>1</v>
      </c>
      <c r="F3817" s="716" t="s">
        <v>689</v>
      </c>
      <c r="G3817" s="719"/>
      <c r="H3817" s="719"/>
      <c r="I3817" s="714">
        <f>VLOOKUP(C3803,'Luong VP'!$B$10:$AP$189,29,0)</f>
        <v>0</v>
      </c>
      <c r="J3817" s="714">
        <f>VLOOKUP(C3803,'Luong VP'!$B$10:$AP$189,30,0)</f>
        <v>3000</v>
      </c>
    </row>
    <row r="3818" spans="1:12" ht="9.1999999999999993" customHeight="1">
      <c r="A3818" s="712">
        <v>12</v>
      </c>
      <c r="B3818" s="713" t="s">
        <v>691</v>
      </c>
      <c r="C3818" s="714">
        <f>VLOOKUP(C3803,'Luong VP'!$B$10:$AP$189,18,0)</f>
        <v>0</v>
      </c>
      <c r="D3818" s="717"/>
      <c r="E3818" s="710">
        <v>2</v>
      </c>
      <c r="F3818" s="718" t="s">
        <v>239</v>
      </c>
      <c r="G3818" s="718"/>
      <c r="H3818" s="718"/>
      <c r="I3818" s="727"/>
      <c r="J3818" s="728">
        <f>VLOOKUP(C3803,'Luong VP'!$B$10:$AP$189,34,0)</f>
        <v>0</v>
      </c>
      <c r="K3818" s="731"/>
      <c r="L3818" s="715"/>
    </row>
    <row r="3819" spans="1:12" ht="9.1999999999999993" customHeight="1">
      <c r="A3819" s="712">
        <v>13</v>
      </c>
      <c r="B3819" s="713" t="s">
        <v>692</v>
      </c>
      <c r="C3819" s="714">
        <f>VLOOKUP(C3803,'Luong VP'!$B$10:$AP$189,19,0)</f>
        <v>0</v>
      </c>
      <c r="D3819" s="717"/>
      <c r="E3819" s="710">
        <v>3</v>
      </c>
      <c r="F3819" s="716" t="s">
        <v>693</v>
      </c>
      <c r="G3819" s="719"/>
      <c r="H3819" s="719"/>
      <c r="I3819" s="729"/>
      <c r="J3819" s="714">
        <f>VLOOKUP(C3803,'Luong VP'!$B$10:$AP$189,40,0)</f>
        <v>0</v>
      </c>
      <c r="K3819" s="731"/>
      <c r="L3819" s="715"/>
    </row>
    <row r="3820" spans="1:12" ht="9.1999999999999993" customHeight="1">
      <c r="A3820" s="712">
        <v>14</v>
      </c>
      <c r="B3820" s="713" t="s">
        <v>694</v>
      </c>
      <c r="C3820" s="714">
        <f>VLOOKUP(C3803,'Luong VP'!$B$10:$AP$189,20,0)</f>
        <v>0</v>
      </c>
      <c r="D3820" s="717"/>
      <c r="E3820" s="710">
        <v>4</v>
      </c>
      <c r="F3820" s="718" t="s">
        <v>695</v>
      </c>
      <c r="G3820" s="719"/>
      <c r="H3820" s="719"/>
      <c r="I3820" s="729"/>
      <c r="J3820" s="714">
        <f>VLOOKUP(C3803,'Luong VP'!$B$10:$AP$189,35,0)</f>
        <v>0</v>
      </c>
      <c r="K3820" s="732"/>
      <c r="L3820" s="715"/>
    </row>
    <row r="3821" spans="1:12" ht="9.1999999999999993" customHeight="1">
      <c r="A3821" s="712"/>
      <c r="B3821" s="707" t="s">
        <v>656</v>
      </c>
      <c r="C3821" s="714">
        <f>SUM(C3807:C3820)</f>
        <v>7390</v>
      </c>
      <c r="D3821" s="717"/>
      <c r="E3821" s="710"/>
      <c r="F3821" s="716" t="s">
        <v>241</v>
      </c>
      <c r="G3821" s="719"/>
      <c r="H3821" s="719"/>
      <c r="I3821" s="729"/>
      <c r="J3821" s="730">
        <f>SUM(J3808:J3820)+C3815</f>
        <v>10628.076923076922</v>
      </c>
      <c r="K3821" s="731"/>
      <c r="L3821" s="715"/>
    </row>
    <row r="3822" spans="1:12" ht="9.1999999999999993" customHeight="1">
      <c r="B3822" s="720"/>
      <c r="C3822" s="717"/>
      <c r="D3822" s="717"/>
      <c r="E3822" s="710" t="s">
        <v>696</v>
      </c>
      <c r="F3822" s="711" t="s">
        <v>697</v>
      </c>
      <c r="G3822" s="710"/>
      <c r="H3822" s="710"/>
      <c r="I3822" s="729"/>
      <c r="J3822" s="730">
        <f>SUM(J3823:J3825)</f>
        <v>504</v>
      </c>
      <c r="K3822" s="732"/>
      <c r="L3822" s="715"/>
    </row>
    <row r="3823" spans="1:12" ht="9.1999999999999993" customHeight="1">
      <c r="B3823" s="720"/>
      <c r="C3823" s="717"/>
      <c r="D3823" s="717"/>
      <c r="E3823" s="710">
        <v>1</v>
      </c>
      <c r="F3823" s="718" t="s">
        <v>698</v>
      </c>
      <c r="G3823" s="718"/>
      <c r="H3823" s="718"/>
      <c r="I3823" s="733"/>
      <c r="J3823" s="714">
        <f>VLOOKUP(C3803,'Luong VP'!$B$10:$AP$189,37,0)</f>
        <v>504</v>
      </c>
      <c r="K3823" s="732"/>
      <c r="L3823" s="715"/>
    </row>
    <row r="3824" spans="1:12" ht="9.1999999999999993" customHeight="1">
      <c r="B3824" s="720"/>
      <c r="C3824" s="717"/>
      <c r="D3824" s="717"/>
      <c r="E3824" s="710">
        <v>2</v>
      </c>
      <c r="F3824" s="718" t="s">
        <v>244</v>
      </c>
      <c r="G3824" s="718"/>
      <c r="H3824" s="718"/>
      <c r="I3824" s="729"/>
      <c r="J3824" s="714">
        <f>VLOOKUP(C3803,'Luong VP'!$B$10:$AP$189,39,0)</f>
        <v>0</v>
      </c>
      <c r="K3824" s="734"/>
      <c r="L3824" s="735"/>
    </row>
    <row r="3825" spans="1:12" ht="9.1999999999999993" customHeight="1">
      <c r="B3825" s="720"/>
      <c r="C3825" s="717"/>
      <c r="D3825" s="717"/>
      <c r="E3825" s="710"/>
      <c r="F3825" s="718" t="s">
        <v>699</v>
      </c>
      <c r="G3825" s="718"/>
      <c r="H3825" s="718"/>
      <c r="I3825" s="729"/>
      <c r="J3825" s="714"/>
      <c r="K3825" s="714"/>
      <c r="L3825" s="736"/>
    </row>
    <row r="3826" spans="1:12" ht="9.1999999999999993" customHeight="1">
      <c r="B3826" s="720"/>
      <c r="C3826" s="717"/>
      <c r="D3826" s="717"/>
      <c r="E3826" s="710" t="s">
        <v>700</v>
      </c>
      <c r="F3826" s="710" t="s">
        <v>246</v>
      </c>
      <c r="G3826" s="710"/>
      <c r="H3826" s="710"/>
      <c r="I3826" s="729"/>
      <c r="J3826" s="728">
        <f>J3821-J3822</f>
        <v>10124.076923076922</v>
      </c>
      <c r="K3826" s="728">
        <f>ROUND(J3826,-1)</f>
        <v>10120</v>
      </c>
      <c r="L3826" s="710"/>
    </row>
    <row r="3827" spans="1:12" ht="9.1999999999999993" customHeight="1">
      <c r="B3827" s="720"/>
      <c r="C3827" s="717"/>
      <c r="D3827" s="717"/>
      <c r="E3827" s="715"/>
      <c r="F3827" s="715"/>
      <c r="G3827" s="715"/>
      <c r="I3827" s="715" t="s">
        <v>701</v>
      </c>
      <c r="J3827" s="737"/>
      <c r="K3827" s="737"/>
      <c r="L3827" s="715"/>
    </row>
    <row r="3828" spans="1:12" ht="9.1999999999999993" customHeight="1">
      <c r="B3828" s="720"/>
      <c r="C3828" s="717"/>
      <c r="D3828" s="717"/>
      <c r="E3828" s="715"/>
      <c r="F3828" s="715"/>
      <c r="G3828" s="715"/>
      <c r="I3828" s="715"/>
      <c r="J3828" s="737"/>
      <c r="K3828" s="737"/>
      <c r="L3828" s="715"/>
    </row>
    <row r="3829" spans="1:12" ht="9.1999999999999993" customHeight="1">
      <c r="B3829" s="720"/>
      <c r="C3829" s="717"/>
      <c r="D3829" s="717"/>
      <c r="E3829" s="715"/>
      <c r="F3829" s="715"/>
      <c r="G3829" s="715"/>
      <c r="I3829" s="715"/>
      <c r="J3829" s="737"/>
      <c r="K3829" s="737"/>
      <c r="L3829" s="715"/>
    </row>
    <row r="3830" spans="1:12" ht="9.1999999999999993" customHeight="1">
      <c r="B3830" s="720"/>
      <c r="C3830" s="717"/>
      <c r="D3830" s="717"/>
      <c r="E3830" s="715"/>
      <c r="F3830" s="715"/>
      <c r="G3830" s="715"/>
      <c r="I3830" s="715"/>
      <c r="J3830" s="737"/>
      <c r="K3830" s="737"/>
      <c r="L3830" s="715"/>
    </row>
    <row r="3831" spans="1:12" ht="9.1999999999999993" customHeight="1">
      <c r="B3831" s="720"/>
      <c r="C3831" s="717"/>
      <c r="D3831" s="717"/>
      <c r="E3831" s="715"/>
      <c r="F3831" s="715"/>
      <c r="G3831" s="715"/>
      <c r="I3831" s="715"/>
      <c r="J3831" s="737"/>
      <c r="K3831" s="737"/>
      <c r="L3831" s="715"/>
    </row>
    <row r="3832" spans="1:12" ht="9.1999999999999993" customHeight="1">
      <c r="B3832" s="720"/>
      <c r="C3832" s="717"/>
      <c r="D3832" s="717"/>
      <c r="E3832" s="715"/>
      <c r="F3832" s="715"/>
      <c r="G3832" s="715"/>
      <c r="I3832" s="715"/>
      <c r="J3832" s="737"/>
      <c r="K3832" s="737"/>
      <c r="L3832" s="715"/>
    </row>
    <row r="3833" spans="1:12" ht="9.1999999999999993" customHeight="1">
      <c r="C3833" s="696"/>
      <c r="D3833" s="696"/>
      <c r="E3833" s="697" t="str">
        <f>$E$2</f>
        <v>THẺ LƯƠNG THÁNG 08/2019</v>
      </c>
      <c r="F3833" s="698"/>
      <c r="G3833" s="698"/>
      <c r="H3833" s="698"/>
    </row>
    <row r="3834" spans="1:12" ht="9.1999999999999993" customHeight="1">
      <c r="B3834" s="699" t="s">
        <v>644</v>
      </c>
      <c r="C3834" s="700" t="s">
        <v>535</v>
      </c>
      <c r="D3834" s="701"/>
      <c r="F3834" s="702" t="s">
        <v>645</v>
      </c>
      <c r="G3834" s="689" t="str">
        <f>VLOOKUP(C3834,'Luong VP'!$B$10:$AP$189,2,0)</f>
        <v>Nguyễn Văn Ninh</v>
      </c>
    </row>
    <row r="3835" spans="1:12" ht="9.1999999999999993" customHeight="1">
      <c r="B3835" s="699" t="s">
        <v>646</v>
      </c>
      <c r="C3835" s="689" t="str">
        <f>VLOOKUP(C3834,'Luong VP'!$B$10:$AP$189,3,0)</f>
        <v>NV sale</v>
      </c>
      <c r="F3835" s="702" t="s">
        <v>647</v>
      </c>
      <c r="G3835" s="689">
        <f>VLOOKUP(C3834,'Luong VP'!$B$10:$AP$189,5,0)</f>
        <v>2</v>
      </c>
    </row>
    <row r="3836" spans="1:12" ht="9.1999999999999993" customHeight="1">
      <c r="B3836" s="703"/>
      <c r="C3836" s="704"/>
      <c r="D3836" s="705"/>
      <c r="F3836" s="706" t="s">
        <v>648</v>
      </c>
      <c r="G3836" s="706"/>
      <c r="H3836" s="706"/>
      <c r="I3836" s="725"/>
      <c r="J3836" s="726"/>
    </row>
    <row r="3837" spans="1:12" ht="9.1999999999999993" customHeight="1">
      <c r="A3837" s="707" t="s">
        <v>216</v>
      </c>
      <c r="B3837" s="707" t="s">
        <v>649</v>
      </c>
      <c r="C3837" s="708" t="s">
        <v>650</v>
      </c>
      <c r="D3837" s="709"/>
      <c r="E3837" s="710" t="s">
        <v>216</v>
      </c>
      <c r="F3837" s="711" t="s">
        <v>649</v>
      </c>
      <c r="G3837" s="710"/>
      <c r="H3837" s="710" t="s">
        <v>651</v>
      </c>
      <c r="I3837" s="727" t="s">
        <v>652</v>
      </c>
      <c r="J3837" s="714"/>
      <c r="L3837" s="694" t="s">
        <v>653</v>
      </c>
    </row>
    <row r="3838" spans="1:12" ht="9.1999999999999993" customHeight="1">
      <c r="A3838" s="712">
        <v>1</v>
      </c>
      <c r="B3838" s="713" t="s">
        <v>654</v>
      </c>
      <c r="C3838" s="714">
        <f>VLOOKUP(C3834,'Luong VP'!$B$10:$AP$189,9,0)</f>
        <v>6190</v>
      </c>
      <c r="D3838" s="715"/>
      <c r="E3838" s="710" t="s">
        <v>655</v>
      </c>
      <c r="F3838" s="716" t="s">
        <v>656</v>
      </c>
      <c r="G3838" s="710"/>
      <c r="H3838" s="710"/>
      <c r="I3838" s="727"/>
      <c r="J3838" s="714">
        <f>VLOOKUP(C3834,'Luong VP'!$B$10:$AP$189,21,0)</f>
        <v>7190</v>
      </c>
    </row>
    <row r="3839" spans="1:12" ht="9.1999999999999993" customHeight="1">
      <c r="A3839" s="712">
        <v>2</v>
      </c>
      <c r="B3839" s="713" t="s">
        <v>658</v>
      </c>
      <c r="C3839" s="714"/>
      <c r="D3839" s="717"/>
      <c r="E3839" s="710">
        <v>1</v>
      </c>
      <c r="F3839" s="718" t="s">
        <v>659</v>
      </c>
      <c r="G3839" s="718"/>
      <c r="H3839" s="710" t="s">
        <v>660</v>
      </c>
      <c r="I3839" s="727">
        <f>VLOOKUP(C3834,'Luong VP'!$B$10:$AP$189,22,0)</f>
        <v>26</v>
      </c>
      <c r="J3839" s="728">
        <f>J3838/'Cham cong'!$AS$3*I3839</f>
        <v>7190</v>
      </c>
    </row>
    <row r="3840" spans="1:12" ht="9.1999999999999993" customHeight="1">
      <c r="A3840" s="712">
        <v>3</v>
      </c>
      <c r="B3840" s="713" t="s">
        <v>661</v>
      </c>
      <c r="C3840" s="714">
        <f>VLOOKUP(C3834,'Luong VP'!$B$10:$AP$189,10,0)</f>
        <v>0</v>
      </c>
      <c r="D3840" s="717"/>
      <c r="E3840" s="710">
        <v>2</v>
      </c>
      <c r="F3840" s="718" t="s">
        <v>662</v>
      </c>
      <c r="G3840" s="718"/>
      <c r="H3840" s="710" t="s">
        <v>660</v>
      </c>
      <c r="I3840" s="727">
        <f>VLOOKUP(C3834,'Luong VP'!$B$10:$AP$189,27,0)</f>
        <v>0</v>
      </c>
      <c r="J3840" s="728">
        <f>J3838/'Cham cong'!$AS$3*I3840*3</f>
        <v>0</v>
      </c>
    </row>
    <row r="3841" spans="1:12" ht="9.1999999999999993" customHeight="1">
      <c r="A3841" s="712">
        <v>4</v>
      </c>
      <c r="B3841" s="713" t="s">
        <v>666</v>
      </c>
      <c r="C3841" s="714">
        <f>VLOOKUP(C3834,'Luong VP'!$B$10:$AP$189,11,0)</f>
        <v>0</v>
      </c>
      <c r="D3841" s="717"/>
      <c r="E3841" s="710">
        <v>3</v>
      </c>
      <c r="F3841" s="718" t="s">
        <v>667</v>
      </c>
      <c r="G3841" s="718"/>
      <c r="H3841" s="710" t="s">
        <v>668</v>
      </c>
      <c r="I3841" s="727">
        <f>VLOOKUP(C3834,'Luong VP'!$B$10:$AP$189,26,0)</f>
        <v>0</v>
      </c>
      <c r="J3841" s="728">
        <f>J3838/'Cham cong'!$AS$3*I3841/8*1.5</f>
        <v>0</v>
      </c>
    </row>
    <row r="3842" spans="1:12" ht="9.1999999999999993" customHeight="1">
      <c r="A3842" s="712">
        <v>5</v>
      </c>
      <c r="B3842" s="713" t="s">
        <v>670</v>
      </c>
      <c r="C3842" s="714">
        <f>VLOOKUP(C3834,'Luong VP'!$B$10:$AP$189,12,0)</f>
        <v>0</v>
      </c>
      <c r="D3842" s="717"/>
      <c r="E3842" s="710">
        <v>4</v>
      </c>
      <c r="F3842" s="718" t="s">
        <v>671</v>
      </c>
      <c r="G3842" s="718"/>
      <c r="H3842" s="710" t="s">
        <v>668</v>
      </c>
      <c r="I3842" s="727">
        <f>VLOOKUP(C3834,'Luong VP'!$B$10:$AP$189,25,0)</f>
        <v>0</v>
      </c>
      <c r="J3842" s="728">
        <f>J3838/'Cham cong'!$AS$3*I3842/8*2</f>
        <v>0</v>
      </c>
    </row>
    <row r="3843" spans="1:12" ht="9.1999999999999993" customHeight="1">
      <c r="A3843" s="712">
        <v>6</v>
      </c>
      <c r="B3843" s="713" t="s">
        <v>673</v>
      </c>
      <c r="C3843" s="714">
        <f>VLOOKUP(C3834,'Luong VP'!$B$10:$AP$189,13,0)</f>
        <v>0</v>
      </c>
      <c r="D3843" s="717"/>
      <c r="E3843" s="710">
        <v>5</v>
      </c>
      <c r="F3843" s="718" t="s">
        <v>674</v>
      </c>
      <c r="G3843" s="718"/>
      <c r="H3843" s="710" t="s">
        <v>660</v>
      </c>
      <c r="I3843" s="727">
        <f>VLOOKUP(C3834,'Luong VP'!$B$10:$AP$189,23,0)</f>
        <v>0</v>
      </c>
      <c r="J3843" s="728">
        <f>C3838/'Cham cong'!$AS$3*I3843</f>
        <v>0</v>
      </c>
      <c r="L3843" s="694" t="str">
        <f>G3834</f>
        <v>Nguyễn Văn Ninh</v>
      </c>
    </row>
    <row r="3844" spans="1:12" ht="9.1999999999999993" customHeight="1">
      <c r="A3844" s="712">
        <v>7</v>
      </c>
      <c r="B3844" s="713" t="s">
        <v>676</v>
      </c>
      <c r="C3844" s="714"/>
      <c r="D3844" s="717"/>
      <c r="E3844" s="710">
        <v>6</v>
      </c>
      <c r="F3844" s="718" t="s">
        <v>677</v>
      </c>
      <c r="G3844" s="718"/>
      <c r="H3844" s="710" t="s">
        <v>660</v>
      </c>
      <c r="I3844" s="727">
        <f>VLOOKUP(C3834,'Luong VP'!$B$10:$AP$189,24,0)</f>
        <v>1</v>
      </c>
      <c r="J3844" s="714">
        <f>C3838/'Cham cong'!$AS$3*I3844</f>
        <v>238.07692307692307</v>
      </c>
    </row>
    <row r="3845" spans="1:12" ht="9.1999999999999993" customHeight="1">
      <c r="A3845" s="712">
        <v>8</v>
      </c>
      <c r="B3845" s="713" t="s">
        <v>679</v>
      </c>
      <c r="C3845" s="714">
        <f>VLOOKUP(C3834,'Luong VP'!$B$10:$AP$189,14,0)</f>
        <v>500</v>
      </c>
      <c r="D3845" s="717"/>
      <c r="E3845" s="710">
        <v>7</v>
      </c>
      <c r="F3845" s="718" t="s">
        <v>680</v>
      </c>
      <c r="G3845" s="718"/>
      <c r="H3845" s="718"/>
      <c r="I3845" s="729"/>
      <c r="J3845" s="714">
        <f>VLOOKUP(C3834,'Luong VP'!$B$10:$AP$189,28,0)</f>
        <v>0</v>
      </c>
    </row>
    <row r="3846" spans="1:12" ht="9.1999999999999993" customHeight="1">
      <c r="A3846" s="712">
        <v>9</v>
      </c>
      <c r="B3846" s="713" t="s">
        <v>683</v>
      </c>
      <c r="C3846" s="714">
        <f>VLOOKUP(C3834,'Luong VP'!$B$10:$AP$189,15,0)</f>
        <v>200</v>
      </c>
      <c r="D3846" s="717"/>
      <c r="E3846" s="710">
        <v>8</v>
      </c>
      <c r="F3846" s="718" t="s">
        <v>238</v>
      </c>
      <c r="G3846" s="718"/>
      <c r="H3846" s="771" t="s">
        <v>660</v>
      </c>
      <c r="I3846" s="787"/>
      <c r="J3846" s="775"/>
    </row>
    <row r="3847" spans="1:12" ht="9.1999999999999993" customHeight="1">
      <c r="A3847" s="712">
        <v>10</v>
      </c>
      <c r="B3847" s="713" t="s">
        <v>685</v>
      </c>
      <c r="C3847" s="714">
        <f>VLOOKUP(C3834,'Luong VP'!$B$10:$AP$189,16,0)</f>
        <v>500</v>
      </c>
      <c r="D3847" s="717"/>
      <c r="E3847" s="710" t="s">
        <v>686</v>
      </c>
      <c r="F3847" s="716" t="s">
        <v>687</v>
      </c>
      <c r="G3847" s="719"/>
      <c r="H3847" s="719"/>
      <c r="I3847" s="729"/>
      <c r="J3847" s="730"/>
    </row>
    <row r="3848" spans="1:12" ht="9.1999999999999993" customHeight="1">
      <c r="A3848" s="712">
        <v>11</v>
      </c>
      <c r="B3848" s="713" t="s">
        <v>688</v>
      </c>
      <c r="C3848" s="714">
        <f>VLOOKUP(C3834,'Luong VP'!$B$10:$AP$189,17,0)</f>
        <v>0</v>
      </c>
      <c r="D3848" s="717"/>
      <c r="E3848" s="710">
        <v>1</v>
      </c>
      <c r="F3848" s="716" t="s">
        <v>689</v>
      </c>
      <c r="G3848" s="719"/>
      <c r="H3848" s="719"/>
      <c r="I3848" s="714">
        <f>VLOOKUP(C3834,'Luong VP'!$B$10:$AP$189,29,0)</f>
        <v>0</v>
      </c>
      <c r="J3848" s="714">
        <f>VLOOKUP(C3834,'Luong VP'!$B$10:$AP$189,30,0)</f>
        <v>3000</v>
      </c>
    </row>
    <row r="3849" spans="1:12" ht="9.1999999999999993" customHeight="1">
      <c r="A3849" s="712">
        <v>12</v>
      </c>
      <c r="B3849" s="713" t="s">
        <v>691</v>
      </c>
      <c r="C3849" s="714">
        <f>VLOOKUP(C3834,'Luong VP'!$B$10:$AP$189,18,0)</f>
        <v>0</v>
      </c>
      <c r="D3849" s="717"/>
      <c r="E3849" s="710">
        <v>2</v>
      </c>
      <c r="F3849" s="718" t="s">
        <v>239</v>
      </c>
      <c r="G3849" s="718"/>
      <c r="H3849" s="718"/>
      <c r="I3849" s="727"/>
      <c r="J3849" s="728">
        <f>VLOOKUP(C3834,'Luong VP'!$B$10:$AP$189,34,0)</f>
        <v>0</v>
      </c>
      <c r="K3849" s="731"/>
      <c r="L3849" s="715"/>
    </row>
    <row r="3850" spans="1:12" ht="9.1999999999999993" customHeight="1">
      <c r="A3850" s="712">
        <v>13</v>
      </c>
      <c r="B3850" s="713" t="s">
        <v>692</v>
      </c>
      <c r="C3850" s="714">
        <f>VLOOKUP(C3834,'Luong VP'!$B$10:$AP$189,19,0)</f>
        <v>0</v>
      </c>
      <c r="D3850" s="717"/>
      <c r="E3850" s="710">
        <v>3</v>
      </c>
      <c r="F3850" s="716" t="s">
        <v>693</v>
      </c>
      <c r="G3850" s="719"/>
      <c r="H3850" s="719"/>
      <c r="I3850" s="729"/>
      <c r="J3850" s="714">
        <f>VLOOKUP(C3834,'Luong VP'!$B$10:$AP$189,40,0)</f>
        <v>0</v>
      </c>
      <c r="K3850" s="731"/>
      <c r="L3850" s="715"/>
    </row>
    <row r="3851" spans="1:12" ht="9.1999999999999993" customHeight="1">
      <c r="A3851" s="712">
        <v>14</v>
      </c>
      <c r="B3851" s="713" t="s">
        <v>694</v>
      </c>
      <c r="C3851" s="714">
        <f>VLOOKUP(C3834,'Luong VP'!$B$10:$AP$189,20,0)</f>
        <v>0</v>
      </c>
      <c r="D3851" s="717"/>
      <c r="E3851" s="710">
        <v>4</v>
      </c>
      <c r="F3851" s="718" t="s">
        <v>695</v>
      </c>
      <c r="G3851" s="719"/>
      <c r="H3851" s="719"/>
      <c r="I3851" s="729"/>
      <c r="J3851" s="714">
        <f>VLOOKUP(C3834,'Luong VP'!$B$10:$AP$189,35,0)</f>
        <v>0</v>
      </c>
      <c r="K3851" s="732"/>
      <c r="L3851" s="715"/>
    </row>
    <row r="3852" spans="1:12" ht="9.1999999999999993" customHeight="1">
      <c r="A3852" s="712"/>
      <c r="B3852" s="707" t="s">
        <v>656</v>
      </c>
      <c r="C3852" s="714">
        <f>SUM(C3838:C3851)</f>
        <v>7390</v>
      </c>
      <c r="D3852" s="717"/>
      <c r="E3852" s="710"/>
      <c r="F3852" s="716" t="s">
        <v>241</v>
      </c>
      <c r="G3852" s="719"/>
      <c r="H3852" s="719"/>
      <c r="I3852" s="729"/>
      <c r="J3852" s="730">
        <f>SUM(J3839:J3851)+C3846</f>
        <v>10628.076923076922</v>
      </c>
      <c r="K3852" s="731"/>
      <c r="L3852" s="715"/>
    </row>
    <row r="3853" spans="1:12" ht="9.1999999999999993" customHeight="1">
      <c r="B3853" s="720"/>
      <c r="C3853" s="717"/>
      <c r="D3853" s="717"/>
      <c r="E3853" s="710" t="s">
        <v>696</v>
      </c>
      <c r="F3853" s="711" t="s">
        <v>697</v>
      </c>
      <c r="G3853" s="710"/>
      <c r="H3853" s="710"/>
      <c r="I3853" s="729"/>
      <c r="J3853" s="730">
        <f>SUM(J3854:J3856)</f>
        <v>504</v>
      </c>
      <c r="K3853" s="732"/>
      <c r="L3853" s="715"/>
    </row>
    <row r="3854" spans="1:12" ht="9.1999999999999993" customHeight="1">
      <c r="B3854" s="720"/>
      <c r="C3854" s="717"/>
      <c r="D3854" s="717"/>
      <c r="E3854" s="710">
        <v>1</v>
      </c>
      <c r="F3854" s="718" t="s">
        <v>698</v>
      </c>
      <c r="G3854" s="718"/>
      <c r="H3854" s="718"/>
      <c r="I3854" s="733"/>
      <c r="J3854" s="714">
        <f>VLOOKUP(C3834,'Luong VP'!$B$10:$AP$189,37,0)</f>
        <v>504</v>
      </c>
      <c r="K3854" s="732"/>
      <c r="L3854" s="715"/>
    </row>
    <row r="3855" spans="1:12" ht="9.1999999999999993" customHeight="1">
      <c r="B3855" s="720"/>
      <c r="C3855" s="717"/>
      <c r="D3855" s="717"/>
      <c r="E3855" s="710">
        <v>2</v>
      </c>
      <c r="F3855" s="718" t="s">
        <v>244</v>
      </c>
      <c r="G3855" s="718"/>
      <c r="H3855" s="718"/>
      <c r="I3855" s="729"/>
      <c r="J3855" s="714">
        <f>VLOOKUP(C3834,'Luong VP'!$B$10:$AP$189,39,0)</f>
        <v>0</v>
      </c>
      <c r="K3855" s="734"/>
      <c r="L3855" s="735"/>
    </row>
    <row r="3856" spans="1:12" ht="9.1999999999999993" customHeight="1">
      <c r="B3856" s="720"/>
      <c r="C3856" s="717"/>
      <c r="D3856" s="717"/>
      <c r="E3856" s="710"/>
      <c r="F3856" s="718" t="s">
        <v>699</v>
      </c>
      <c r="G3856" s="718"/>
      <c r="H3856" s="718"/>
      <c r="I3856" s="729"/>
      <c r="J3856" s="714"/>
      <c r="K3856" s="714"/>
      <c r="L3856" s="736"/>
    </row>
    <row r="3857" spans="1:12" ht="9.1999999999999993" customHeight="1">
      <c r="B3857" s="720"/>
      <c r="C3857" s="717"/>
      <c r="D3857" s="717"/>
      <c r="E3857" s="710" t="s">
        <v>700</v>
      </c>
      <c r="F3857" s="710" t="s">
        <v>246</v>
      </c>
      <c r="G3857" s="710"/>
      <c r="H3857" s="710"/>
      <c r="I3857" s="729"/>
      <c r="J3857" s="728">
        <f>J3852-J3853</f>
        <v>10124.076923076922</v>
      </c>
      <c r="K3857" s="728">
        <f>ROUND(J3857,-1)</f>
        <v>10120</v>
      </c>
      <c r="L3857" s="710"/>
    </row>
    <row r="3858" spans="1:12" ht="9.1999999999999993" customHeight="1">
      <c r="B3858" s="720"/>
      <c r="C3858" s="717"/>
      <c r="D3858" s="717"/>
      <c r="E3858" s="715"/>
      <c r="F3858" s="715"/>
      <c r="G3858" s="715"/>
      <c r="I3858" s="715" t="s">
        <v>701</v>
      </c>
      <c r="J3858" s="737"/>
      <c r="K3858" s="737"/>
      <c r="L3858" s="715"/>
    </row>
    <row r="3859" spans="1:12" ht="9.1999999999999993" customHeight="1">
      <c r="B3859" s="720"/>
      <c r="C3859" s="717"/>
      <c r="D3859" s="717"/>
      <c r="E3859" s="715"/>
      <c r="F3859" s="715"/>
      <c r="G3859" s="715"/>
      <c r="I3859" s="715"/>
      <c r="J3859" s="737"/>
      <c r="K3859" s="737"/>
      <c r="L3859" s="715"/>
    </row>
    <row r="3860" spans="1:12" ht="9.1999999999999993" customHeight="1">
      <c r="B3860" s="720"/>
      <c r="C3860" s="717"/>
      <c r="D3860" s="717"/>
      <c r="E3860" s="715"/>
      <c r="F3860" s="715"/>
      <c r="G3860" s="715"/>
      <c r="I3860" s="715"/>
      <c r="J3860" s="737"/>
      <c r="K3860" s="737"/>
      <c r="L3860" s="715"/>
    </row>
    <row r="3861" spans="1:12" ht="9.1999999999999993" customHeight="1">
      <c r="B3861" s="720"/>
      <c r="C3861" s="717"/>
      <c r="D3861" s="717"/>
      <c r="E3861" s="715"/>
      <c r="F3861" s="715"/>
      <c r="G3861" s="715"/>
      <c r="I3861" s="715"/>
      <c r="J3861" s="737"/>
      <c r="K3861" s="737"/>
      <c r="L3861" s="715"/>
    </row>
    <row r="3862" spans="1:12" ht="9.1999999999999993" customHeight="1">
      <c r="B3862" s="720"/>
      <c r="C3862" s="717"/>
      <c r="D3862" s="717"/>
      <c r="E3862" s="715"/>
      <c r="F3862" s="715"/>
      <c r="G3862" s="715"/>
      <c r="I3862" s="715"/>
      <c r="J3862" s="737"/>
      <c r="K3862" s="737"/>
      <c r="L3862" s="715"/>
    </row>
    <row r="3863" spans="1:12" ht="9.1999999999999993" customHeight="1">
      <c r="C3863" s="696"/>
      <c r="D3863" s="696"/>
      <c r="E3863" s="697" t="str">
        <f>$E$2</f>
        <v>THẺ LƯƠNG THÁNG 08/2019</v>
      </c>
      <c r="F3863" s="698"/>
      <c r="G3863" s="698"/>
      <c r="H3863" s="698"/>
    </row>
    <row r="3864" spans="1:12" ht="9.1999999999999993" customHeight="1">
      <c r="B3864" s="699" t="s">
        <v>644</v>
      </c>
      <c r="C3864" s="700" t="s">
        <v>537</v>
      </c>
      <c r="D3864" s="701"/>
      <c r="F3864" s="702" t="s">
        <v>645</v>
      </c>
      <c r="G3864" s="689" t="str">
        <f>VLOOKUP(C3864,'Luong VP'!$B$10:$AP$189,2,0)</f>
        <v>Nguyễn Anh Vũ</v>
      </c>
    </row>
    <row r="3865" spans="1:12" ht="9.1999999999999993" customHeight="1">
      <c r="B3865" s="699" t="s">
        <v>646</v>
      </c>
      <c r="C3865" s="689" t="str">
        <f>VLOOKUP(C3864,'Luong VP'!$B$10:$AP$189,3,0)</f>
        <v>NV sale</v>
      </c>
      <c r="F3865" s="702" t="s">
        <v>647</v>
      </c>
      <c r="G3865" s="689">
        <f>VLOOKUP(C3864,'Luong VP'!$B$10:$AP$189,5,0)</f>
        <v>2</v>
      </c>
    </row>
    <row r="3866" spans="1:12" ht="9.1999999999999993" customHeight="1">
      <c r="B3866" s="703"/>
      <c r="C3866" s="704"/>
      <c r="D3866" s="705"/>
      <c r="F3866" s="706" t="s">
        <v>648</v>
      </c>
      <c r="G3866" s="706"/>
      <c r="H3866" s="706"/>
      <c r="I3866" s="725"/>
      <c r="J3866" s="726"/>
    </row>
    <row r="3867" spans="1:12" ht="9.1999999999999993" customHeight="1">
      <c r="A3867" s="707" t="s">
        <v>216</v>
      </c>
      <c r="B3867" s="707" t="s">
        <v>649</v>
      </c>
      <c r="C3867" s="708" t="s">
        <v>650</v>
      </c>
      <c r="D3867" s="709"/>
      <c r="E3867" s="710" t="s">
        <v>216</v>
      </c>
      <c r="F3867" s="711" t="s">
        <v>649</v>
      </c>
      <c r="G3867" s="710"/>
      <c r="H3867" s="710" t="s">
        <v>651</v>
      </c>
      <c r="I3867" s="727" t="s">
        <v>652</v>
      </c>
      <c r="J3867" s="714"/>
      <c r="L3867" s="694" t="s">
        <v>653</v>
      </c>
    </row>
    <row r="3868" spans="1:12" ht="9.1999999999999993" customHeight="1">
      <c r="A3868" s="712">
        <v>1</v>
      </c>
      <c r="B3868" s="713" t="s">
        <v>654</v>
      </c>
      <c r="C3868" s="714">
        <f>VLOOKUP(C3864,'Luong VP'!$B$10:$AP$189,9,0)</f>
        <v>6190</v>
      </c>
      <c r="D3868" s="715"/>
      <c r="E3868" s="710" t="s">
        <v>655</v>
      </c>
      <c r="F3868" s="716" t="s">
        <v>656</v>
      </c>
      <c r="G3868" s="710"/>
      <c r="H3868" s="710"/>
      <c r="I3868" s="727"/>
      <c r="J3868" s="714">
        <f>VLOOKUP(C3864,'Luong VP'!$B$10:$AP$189,21,0)</f>
        <v>7190</v>
      </c>
    </row>
    <row r="3869" spans="1:12" ht="9.1999999999999993" customHeight="1">
      <c r="A3869" s="712">
        <v>2</v>
      </c>
      <c r="B3869" s="713" t="s">
        <v>658</v>
      </c>
      <c r="C3869" s="714"/>
      <c r="D3869" s="717"/>
      <c r="E3869" s="710">
        <v>1</v>
      </c>
      <c r="F3869" s="718" t="s">
        <v>659</v>
      </c>
      <c r="G3869" s="718"/>
      <c r="H3869" s="710" t="s">
        <v>660</v>
      </c>
      <c r="I3869" s="727">
        <f>VLOOKUP(C3864,'Luong VP'!$B$10:$AP$189,22,0)</f>
        <v>26</v>
      </c>
      <c r="J3869" s="728">
        <f>J3868/'Cham cong'!$AS$3*I3869</f>
        <v>7190</v>
      </c>
    </row>
    <row r="3870" spans="1:12" ht="9.1999999999999993" customHeight="1">
      <c r="A3870" s="712">
        <v>3</v>
      </c>
      <c r="B3870" s="713" t="s">
        <v>661</v>
      </c>
      <c r="C3870" s="714">
        <f>VLOOKUP(C3864,'Luong VP'!$B$10:$AP$189,10,0)</f>
        <v>0</v>
      </c>
      <c r="D3870" s="717"/>
      <c r="E3870" s="710">
        <v>2</v>
      </c>
      <c r="F3870" s="718" t="s">
        <v>662</v>
      </c>
      <c r="G3870" s="718"/>
      <c r="H3870" s="710" t="s">
        <v>660</v>
      </c>
      <c r="I3870" s="727">
        <f>VLOOKUP(C3864,'Luong VP'!$B$10:$AP$189,27,0)</f>
        <v>0</v>
      </c>
      <c r="J3870" s="728">
        <f>J3868/'Cham cong'!$AS$3*I3870*3</f>
        <v>0</v>
      </c>
    </row>
    <row r="3871" spans="1:12" ht="9.1999999999999993" customHeight="1">
      <c r="A3871" s="712">
        <v>4</v>
      </c>
      <c r="B3871" s="713" t="s">
        <v>666</v>
      </c>
      <c r="C3871" s="714">
        <f>VLOOKUP(C3864,'Luong VP'!$B$10:$AP$189,11,0)</f>
        <v>0</v>
      </c>
      <c r="D3871" s="717"/>
      <c r="E3871" s="710">
        <v>3</v>
      </c>
      <c r="F3871" s="718" t="s">
        <v>667</v>
      </c>
      <c r="G3871" s="718"/>
      <c r="H3871" s="710" t="s">
        <v>668</v>
      </c>
      <c r="I3871" s="727">
        <f>VLOOKUP(C3864,'Luong VP'!$B$10:$AP$189,26,0)</f>
        <v>0</v>
      </c>
      <c r="J3871" s="728">
        <f>J3868/'Cham cong'!$AS$3*I3871/8*1.5</f>
        <v>0</v>
      </c>
    </row>
    <row r="3872" spans="1:12" ht="9.1999999999999993" customHeight="1">
      <c r="A3872" s="712">
        <v>5</v>
      </c>
      <c r="B3872" s="713" t="s">
        <v>670</v>
      </c>
      <c r="C3872" s="714">
        <f>VLOOKUP(C3864,'Luong VP'!$B$10:$AP$189,12,0)</f>
        <v>0</v>
      </c>
      <c r="D3872" s="717"/>
      <c r="E3872" s="710">
        <v>4</v>
      </c>
      <c r="F3872" s="718" t="s">
        <v>671</v>
      </c>
      <c r="G3872" s="718"/>
      <c r="H3872" s="710" t="s">
        <v>668</v>
      </c>
      <c r="I3872" s="727">
        <f>VLOOKUP(C3864,'Luong VP'!$B$10:$AP$189,25,0)</f>
        <v>0</v>
      </c>
      <c r="J3872" s="728">
        <f>J3868/'Cham cong'!$AS$3*I3872/8*2</f>
        <v>0</v>
      </c>
    </row>
    <row r="3873" spans="1:12" ht="9.1999999999999993" customHeight="1">
      <c r="A3873" s="712">
        <v>6</v>
      </c>
      <c r="B3873" s="713" t="s">
        <v>673</v>
      </c>
      <c r="C3873" s="714">
        <f>VLOOKUP(C3864,'Luong VP'!$B$10:$AP$189,13,0)</f>
        <v>0</v>
      </c>
      <c r="D3873" s="717"/>
      <c r="E3873" s="710">
        <v>5</v>
      </c>
      <c r="F3873" s="718" t="s">
        <v>674</v>
      </c>
      <c r="G3873" s="718"/>
      <c r="H3873" s="710" t="s">
        <v>660</v>
      </c>
      <c r="I3873" s="727">
        <f>VLOOKUP(C3864,'Luong VP'!$B$10:$AP$189,23,0)</f>
        <v>0</v>
      </c>
      <c r="J3873" s="728">
        <f>C3868/'Cham cong'!$AS$3*I3873</f>
        <v>0</v>
      </c>
      <c r="L3873" s="694" t="str">
        <f>G3864</f>
        <v>Nguyễn Anh Vũ</v>
      </c>
    </row>
    <row r="3874" spans="1:12" ht="9.1999999999999993" customHeight="1">
      <c r="A3874" s="712">
        <v>7</v>
      </c>
      <c r="B3874" s="713" t="s">
        <v>676</v>
      </c>
      <c r="C3874" s="714"/>
      <c r="D3874" s="717"/>
      <c r="E3874" s="710">
        <v>6</v>
      </c>
      <c r="F3874" s="718" t="s">
        <v>677</v>
      </c>
      <c r="G3874" s="718"/>
      <c r="H3874" s="710" t="s">
        <v>660</v>
      </c>
      <c r="I3874" s="727">
        <f>VLOOKUP(C3864,'Luong VP'!$B$10:$AP$189,24,0)</f>
        <v>1</v>
      </c>
      <c r="J3874" s="714">
        <f>C3868/'Cham cong'!$AS$3*I3874</f>
        <v>238.07692307692307</v>
      </c>
    </row>
    <row r="3875" spans="1:12" ht="9.1999999999999993" customHeight="1">
      <c r="A3875" s="712">
        <v>8</v>
      </c>
      <c r="B3875" s="713" t="s">
        <v>679</v>
      </c>
      <c r="C3875" s="714">
        <f>VLOOKUP(C3864,'Luong VP'!$B$10:$AP$189,14,0)</f>
        <v>500</v>
      </c>
      <c r="D3875" s="717"/>
      <c r="E3875" s="710">
        <v>7</v>
      </c>
      <c r="F3875" s="718" t="s">
        <v>680</v>
      </c>
      <c r="G3875" s="718"/>
      <c r="H3875" s="718"/>
      <c r="I3875" s="729"/>
      <c r="J3875" s="714">
        <f>VLOOKUP(C3864,'Luong VP'!$B$10:$AP$189,28,0)</f>
        <v>0</v>
      </c>
    </row>
    <row r="3876" spans="1:12" ht="9.1999999999999993" customHeight="1">
      <c r="A3876" s="712">
        <v>9</v>
      </c>
      <c r="B3876" s="713" t="s">
        <v>683</v>
      </c>
      <c r="C3876" s="714">
        <f>VLOOKUP(C3864,'Luong VP'!$B$10:$AP$189,15,0)</f>
        <v>200</v>
      </c>
      <c r="D3876" s="717"/>
      <c r="E3876" s="710">
        <v>8</v>
      </c>
      <c r="F3876" s="718" t="s">
        <v>238</v>
      </c>
      <c r="G3876" s="718"/>
      <c r="H3876" s="771" t="s">
        <v>660</v>
      </c>
      <c r="I3876" s="803"/>
      <c r="J3876" s="804"/>
    </row>
    <row r="3877" spans="1:12" ht="9.1999999999999993" customHeight="1">
      <c r="A3877" s="712">
        <v>10</v>
      </c>
      <c r="B3877" s="713" t="s">
        <v>685</v>
      </c>
      <c r="C3877" s="714">
        <f>VLOOKUP(C3864,'Luong VP'!$B$10:$AP$189,16,0)</f>
        <v>500</v>
      </c>
      <c r="D3877" s="717"/>
      <c r="E3877" s="710" t="s">
        <v>686</v>
      </c>
      <c r="F3877" s="716" t="s">
        <v>687</v>
      </c>
      <c r="G3877" s="719"/>
      <c r="H3877" s="719"/>
      <c r="I3877" s="729"/>
      <c r="J3877" s="730"/>
    </row>
    <row r="3878" spans="1:12" ht="9.1999999999999993" customHeight="1">
      <c r="A3878" s="712">
        <v>11</v>
      </c>
      <c r="B3878" s="713" t="s">
        <v>688</v>
      </c>
      <c r="C3878" s="714">
        <f>VLOOKUP(C3864,'Luong VP'!$B$10:$AP$189,17,0)</f>
        <v>0</v>
      </c>
      <c r="D3878" s="717"/>
      <c r="E3878" s="710">
        <v>1</v>
      </c>
      <c r="F3878" s="716" t="s">
        <v>689</v>
      </c>
      <c r="G3878" s="719"/>
      <c r="H3878" s="719"/>
      <c r="I3878" s="714">
        <f>VLOOKUP(C3864,'Luong VP'!$B$10:$AP$189,29,0)</f>
        <v>0</v>
      </c>
      <c r="J3878" s="714">
        <f>VLOOKUP(C3864,'Luong VP'!$B$10:$AP$189,30,0)</f>
        <v>4000</v>
      </c>
    </row>
    <row r="3879" spans="1:12" ht="9.1999999999999993" customHeight="1">
      <c r="A3879" s="712">
        <v>12</v>
      </c>
      <c r="B3879" s="713" t="s">
        <v>691</v>
      </c>
      <c r="C3879" s="714">
        <f>VLOOKUP(C3864,'Luong VP'!$B$10:$AP$189,18,0)</f>
        <v>0</v>
      </c>
      <c r="D3879" s="717"/>
      <c r="E3879" s="710">
        <v>2</v>
      </c>
      <c r="F3879" s="718" t="s">
        <v>239</v>
      </c>
      <c r="G3879" s="718"/>
      <c r="H3879" s="718"/>
      <c r="I3879" s="727"/>
      <c r="J3879" s="728">
        <f>VLOOKUP(C3864,'Luong VP'!$B$10:$AP$189,34,0)</f>
        <v>0</v>
      </c>
      <c r="K3879" s="731"/>
      <c r="L3879" s="715"/>
    </row>
    <row r="3880" spans="1:12" ht="9.1999999999999993" customHeight="1">
      <c r="A3880" s="712">
        <v>13</v>
      </c>
      <c r="B3880" s="713" t="s">
        <v>692</v>
      </c>
      <c r="C3880" s="714">
        <f>VLOOKUP(C3864,'Luong VP'!$B$10:$AP$189,19,0)</f>
        <v>0</v>
      </c>
      <c r="D3880" s="717"/>
      <c r="E3880" s="710">
        <v>3</v>
      </c>
      <c r="F3880" s="716" t="s">
        <v>693</v>
      </c>
      <c r="G3880" s="719"/>
      <c r="H3880" s="719"/>
      <c r="I3880" s="729"/>
      <c r="J3880" s="714">
        <f>VLOOKUP(C3864,'Luong VP'!$B$10:$AP$189,40,0)</f>
        <v>0</v>
      </c>
      <c r="K3880" s="731"/>
      <c r="L3880" s="715"/>
    </row>
    <row r="3881" spans="1:12" ht="9.1999999999999993" customHeight="1">
      <c r="A3881" s="712">
        <v>14</v>
      </c>
      <c r="B3881" s="713" t="s">
        <v>694</v>
      </c>
      <c r="C3881" s="714">
        <f>VLOOKUP(C3864,'Luong VP'!$B$10:$AP$189,20,0)</f>
        <v>0</v>
      </c>
      <c r="D3881" s="717"/>
      <c r="E3881" s="710">
        <v>4</v>
      </c>
      <c r="F3881" s="718" t="s">
        <v>695</v>
      </c>
      <c r="G3881" s="719"/>
      <c r="H3881" s="719"/>
      <c r="I3881" s="729"/>
      <c r="J3881" s="714">
        <f>VLOOKUP(C3864,'Luong VP'!$B$10:$AP$189,35,0)</f>
        <v>0</v>
      </c>
      <c r="K3881" s="732"/>
      <c r="L3881" s="715"/>
    </row>
    <row r="3882" spans="1:12" ht="9.1999999999999993" customHeight="1">
      <c r="A3882" s="712"/>
      <c r="B3882" s="707" t="s">
        <v>656</v>
      </c>
      <c r="C3882" s="714">
        <f>SUM(C3868:C3881)</f>
        <v>7390</v>
      </c>
      <c r="D3882" s="717"/>
      <c r="E3882" s="710"/>
      <c r="F3882" s="716" t="s">
        <v>241</v>
      </c>
      <c r="G3882" s="719"/>
      <c r="H3882" s="719"/>
      <c r="I3882" s="729"/>
      <c r="J3882" s="730">
        <f>SUM(J3869:J3881)+C3876</f>
        <v>11628.076923076922</v>
      </c>
      <c r="K3882" s="731"/>
      <c r="L3882" s="715"/>
    </row>
    <row r="3883" spans="1:12" ht="9.1999999999999993" customHeight="1">
      <c r="B3883" s="720"/>
      <c r="C3883" s="717"/>
      <c r="D3883" s="717"/>
      <c r="E3883" s="710" t="s">
        <v>696</v>
      </c>
      <c r="F3883" s="711" t="s">
        <v>697</v>
      </c>
      <c r="G3883" s="710"/>
      <c r="H3883" s="710"/>
      <c r="I3883" s="729"/>
      <c r="J3883" s="730">
        <f>SUM(J3884:J3886)</f>
        <v>0</v>
      </c>
      <c r="K3883" s="732"/>
      <c r="L3883" s="715"/>
    </row>
    <row r="3884" spans="1:12" ht="9.1999999999999993" customHeight="1">
      <c r="B3884" s="720"/>
      <c r="C3884" s="717"/>
      <c r="D3884" s="717"/>
      <c r="E3884" s="710">
        <v>1</v>
      </c>
      <c r="F3884" s="718" t="s">
        <v>698</v>
      </c>
      <c r="G3884" s="718"/>
      <c r="H3884" s="718"/>
      <c r="I3884" s="733"/>
      <c r="J3884" s="714">
        <f>VLOOKUP(C3864,'Luong VP'!$B$10:$AP$189,37,0)</f>
        <v>0</v>
      </c>
      <c r="K3884" s="732"/>
      <c r="L3884" s="715"/>
    </row>
    <row r="3885" spans="1:12" ht="9.1999999999999993" customHeight="1">
      <c r="B3885" s="720"/>
      <c r="C3885" s="717"/>
      <c r="D3885" s="717"/>
      <c r="E3885" s="710">
        <v>2</v>
      </c>
      <c r="F3885" s="718" t="s">
        <v>244</v>
      </c>
      <c r="G3885" s="718"/>
      <c r="H3885" s="718"/>
      <c r="I3885" s="729"/>
      <c r="J3885" s="714">
        <f>VLOOKUP(C3864,'Luong VP'!$B$10:$AP$189,39,0)</f>
        <v>0</v>
      </c>
      <c r="K3885" s="734"/>
      <c r="L3885" s="735"/>
    </row>
    <row r="3886" spans="1:12" ht="9.1999999999999993" customHeight="1">
      <c r="B3886" s="720"/>
      <c r="C3886" s="717"/>
      <c r="D3886" s="717"/>
      <c r="E3886" s="710"/>
      <c r="F3886" s="718" t="s">
        <v>699</v>
      </c>
      <c r="G3886" s="718"/>
      <c r="H3886" s="718"/>
      <c r="I3886" s="729"/>
      <c r="J3886" s="714"/>
      <c r="K3886" s="714"/>
      <c r="L3886" s="736"/>
    </row>
    <row r="3887" spans="1:12" ht="9.1999999999999993" customHeight="1">
      <c r="B3887" s="720"/>
      <c r="C3887" s="717"/>
      <c r="D3887" s="717"/>
      <c r="E3887" s="710" t="s">
        <v>700</v>
      </c>
      <c r="F3887" s="710" t="s">
        <v>246</v>
      </c>
      <c r="G3887" s="710"/>
      <c r="H3887" s="710"/>
      <c r="I3887" s="729"/>
      <c r="J3887" s="728">
        <f>J3882-J3883</f>
        <v>11628.076923076922</v>
      </c>
      <c r="K3887" s="728">
        <f>ROUND(J3887,-1)</f>
        <v>11630</v>
      </c>
      <c r="L3887" s="710"/>
    </row>
    <row r="3888" spans="1:12" ht="9.1999999999999993" customHeight="1">
      <c r="B3888" s="720"/>
      <c r="C3888" s="717"/>
      <c r="D3888" s="717"/>
      <c r="E3888" s="715"/>
      <c r="F3888" s="715"/>
      <c r="G3888" s="715"/>
      <c r="I3888" s="715" t="s">
        <v>701</v>
      </c>
      <c r="J3888" s="737"/>
      <c r="K3888" s="737"/>
      <c r="L3888" s="715"/>
    </row>
    <row r="3889" spans="1:12" ht="9.1999999999999993" customHeight="1">
      <c r="B3889" s="720"/>
      <c r="C3889" s="717"/>
      <c r="D3889" s="717"/>
      <c r="E3889" s="715"/>
      <c r="F3889" s="715"/>
      <c r="G3889" s="715"/>
      <c r="I3889" s="715"/>
      <c r="J3889" s="737"/>
      <c r="K3889" s="737"/>
      <c r="L3889" s="715"/>
    </row>
    <row r="3890" spans="1:12" ht="9.1999999999999993" customHeight="1">
      <c r="B3890" s="720"/>
      <c r="C3890" s="717"/>
      <c r="D3890" s="717"/>
      <c r="E3890" s="715"/>
      <c r="F3890" s="715"/>
      <c r="G3890" s="715"/>
      <c r="I3890" s="715"/>
      <c r="J3890" s="737"/>
      <c r="K3890" s="737"/>
      <c r="L3890" s="715"/>
    </row>
    <row r="3891" spans="1:12" ht="9.1999999999999993" customHeight="1">
      <c r="B3891" s="720"/>
      <c r="C3891" s="717"/>
      <c r="D3891" s="717"/>
      <c r="E3891" s="715"/>
      <c r="F3891" s="715"/>
      <c r="G3891" s="715"/>
      <c r="I3891" s="715"/>
      <c r="J3891" s="737"/>
      <c r="K3891" s="737"/>
      <c r="L3891" s="715"/>
    </row>
    <row r="3892" spans="1:12" ht="9.1999999999999993" customHeight="1">
      <c r="B3892" s="720"/>
      <c r="C3892" s="717"/>
      <c r="D3892" s="717"/>
      <c r="E3892" s="715"/>
      <c r="F3892" s="715"/>
      <c r="G3892" s="715"/>
      <c r="I3892" s="715"/>
      <c r="J3892" s="737"/>
      <c r="K3892" s="737"/>
      <c r="L3892" s="715"/>
    </row>
    <row r="3893" spans="1:12" ht="9.1999999999999993" customHeight="1">
      <c r="C3893" s="696"/>
      <c r="D3893" s="696"/>
      <c r="E3893" s="697" t="str">
        <f>$E$2</f>
        <v>THẺ LƯƠNG THÁNG 08/2019</v>
      </c>
      <c r="F3893" s="698"/>
      <c r="G3893" s="698"/>
      <c r="H3893" s="698"/>
    </row>
    <row r="3894" spans="1:12" ht="9.1999999999999993" customHeight="1">
      <c r="B3894" s="699" t="s">
        <v>644</v>
      </c>
      <c r="C3894" s="700" t="s">
        <v>539</v>
      </c>
      <c r="D3894" s="701"/>
      <c r="F3894" s="702" t="s">
        <v>645</v>
      </c>
      <c r="G3894" s="689" t="str">
        <f>VLOOKUP(C3894,'Luong VP'!$B$10:$AP$189,2,0)</f>
        <v>Huỳnh Ngọc Minh</v>
      </c>
    </row>
    <row r="3895" spans="1:12" ht="9.1999999999999993" customHeight="1">
      <c r="B3895" s="699" t="s">
        <v>646</v>
      </c>
      <c r="C3895" s="689" t="str">
        <f>VLOOKUP(C3894,'Luong VP'!$B$10:$AP$189,3,0)</f>
        <v>Trưởng sale Tỉnh</v>
      </c>
      <c r="F3895" s="702" t="s">
        <v>647</v>
      </c>
      <c r="G3895" s="689">
        <f>VLOOKUP(C3894,'Luong VP'!$B$10:$AP$189,5,0)</f>
        <v>7</v>
      </c>
    </row>
    <row r="3896" spans="1:12" ht="9.1999999999999993" customHeight="1">
      <c r="B3896" s="703"/>
      <c r="C3896" s="704"/>
      <c r="D3896" s="705"/>
      <c r="F3896" s="706" t="s">
        <v>648</v>
      </c>
      <c r="G3896" s="706"/>
      <c r="H3896" s="706"/>
      <c r="I3896" s="725"/>
      <c r="J3896" s="726"/>
    </row>
    <row r="3897" spans="1:12" ht="9.1999999999999993" customHeight="1">
      <c r="A3897" s="707" t="s">
        <v>216</v>
      </c>
      <c r="B3897" s="707" t="s">
        <v>649</v>
      </c>
      <c r="C3897" s="708" t="s">
        <v>650</v>
      </c>
      <c r="D3897" s="709"/>
      <c r="E3897" s="710" t="s">
        <v>216</v>
      </c>
      <c r="F3897" s="711" t="s">
        <v>649</v>
      </c>
      <c r="G3897" s="710"/>
      <c r="H3897" s="710" t="s">
        <v>651</v>
      </c>
      <c r="I3897" s="727" t="s">
        <v>652</v>
      </c>
      <c r="J3897" s="714"/>
      <c r="L3897" s="694" t="s">
        <v>653</v>
      </c>
    </row>
    <row r="3898" spans="1:12" ht="9.1999999999999993" customHeight="1">
      <c r="A3898" s="712">
        <v>1</v>
      </c>
      <c r="B3898" s="713" t="s">
        <v>654</v>
      </c>
      <c r="C3898" s="714">
        <f>VLOOKUP(C3894,'Luong VP'!$B$10:$AP$189,9,0)</f>
        <v>15220</v>
      </c>
      <c r="D3898" s="715"/>
      <c r="E3898" s="710" t="s">
        <v>655</v>
      </c>
      <c r="F3898" s="716" t="s">
        <v>656</v>
      </c>
      <c r="G3898" s="710"/>
      <c r="H3898" s="710"/>
      <c r="I3898" s="727"/>
      <c r="J3898" s="714">
        <f>VLOOKUP(C3894,'Luong VP'!$B$10:$AP$189,21,0)</f>
        <v>24720</v>
      </c>
    </row>
    <row r="3899" spans="1:12" ht="9.1999999999999993" customHeight="1">
      <c r="A3899" s="712">
        <v>2</v>
      </c>
      <c r="B3899" s="713" t="s">
        <v>658</v>
      </c>
      <c r="C3899" s="714"/>
      <c r="D3899" s="717"/>
      <c r="E3899" s="710">
        <v>1</v>
      </c>
      <c r="F3899" s="718" t="s">
        <v>659</v>
      </c>
      <c r="G3899" s="718"/>
      <c r="H3899" s="710" t="s">
        <v>660</v>
      </c>
      <c r="I3899" s="727">
        <f>VLOOKUP(C3894,'Luong VP'!$B$10:$AP$189,22,0)</f>
        <v>26</v>
      </c>
      <c r="J3899" s="728">
        <f>J3898/'Cham cong'!$AS$3*I3899</f>
        <v>24720</v>
      </c>
    </row>
    <row r="3900" spans="1:12" ht="9.1999999999999993" customHeight="1">
      <c r="A3900" s="712">
        <v>3</v>
      </c>
      <c r="B3900" s="713" t="s">
        <v>661</v>
      </c>
      <c r="C3900" s="714">
        <f>VLOOKUP(C3894,'Luong VP'!$B$10:$AP$189,10,0)</f>
        <v>0</v>
      </c>
      <c r="D3900" s="717"/>
      <c r="E3900" s="710">
        <v>2</v>
      </c>
      <c r="F3900" s="718" t="s">
        <v>662</v>
      </c>
      <c r="G3900" s="718"/>
      <c r="H3900" s="710" t="s">
        <v>660</v>
      </c>
      <c r="I3900" s="727">
        <f>VLOOKUP(C3894,'Luong VP'!$B$10:$AP$189,27,0)</f>
        <v>0</v>
      </c>
      <c r="J3900" s="728">
        <f>J3898/'Cham cong'!$AS$3*I3900*3</f>
        <v>0</v>
      </c>
    </row>
    <row r="3901" spans="1:12" ht="9.1999999999999993" customHeight="1">
      <c r="A3901" s="712">
        <v>4</v>
      </c>
      <c r="B3901" s="713" t="s">
        <v>666</v>
      </c>
      <c r="C3901" s="714">
        <f>VLOOKUP(C3894,'Luong VP'!$B$10:$AP$189,11,0)</f>
        <v>0</v>
      </c>
      <c r="D3901" s="717"/>
      <c r="E3901" s="710">
        <v>3</v>
      </c>
      <c r="F3901" s="718" t="s">
        <v>667</v>
      </c>
      <c r="G3901" s="718"/>
      <c r="H3901" s="710" t="s">
        <v>668</v>
      </c>
      <c r="I3901" s="727">
        <f>VLOOKUP(C3894,'Luong VP'!$B$10:$AP$189,26,0)</f>
        <v>0</v>
      </c>
      <c r="J3901" s="728">
        <f>J3898/'Cham cong'!$AS$3*I3901/8*1.5</f>
        <v>0</v>
      </c>
    </row>
    <row r="3902" spans="1:12" ht="9.1999999999999993" customHeight="1">
      <c r="A3902" s="712">
        <v>5</v>
      </c>
      <c r="B3902" s="713" t="s">
        <v>670</v>
      </c>
      <c r="C3902" s="714">
        <f>VLOOKUP(C3894,'Luong VP'!$B$10:$AP$189,12,0)</f>
        <v>0</v>
      </c>
      <c r="D3902" s="717"/>
      <c r="E3902" s="710">
        <v>4</v>
      </c>
      <c r="F3902" s="718" t="s">
        <v>671</v>
      </c>
      <c r="G3902" s="718"/>
      <c r="H3902" s="710" t="s">
        <v>668</v>
      </c>
      <c r="I3902" s="727">
        <f>VLOOKUP(C3894,'Luong VP'!$B$10:$AP$189,25,0)</f>
        <v>0</v>
      </c>
      <c r="J3902" s="728">
        <f>J3898/'Cham cong'!$AS$3*I3902/8*2</f>
        <v>0</v>
      </c>
    </row>
    <row r="3903" spans="1:12" ht="9.1999999999999993" customHeight="1">
      <c r="A3903" s="712">
        <v>6</v>
      </c>
      <c r="B3903" s="713" t="s">
        <v>673</v>
      </c>
      <c r="C3903" s="714">
        <f>VLOOKUP(C3894,'Luong VP'!$B$10:$AP$189,13,0)</f>
        <v>0</v>
      </c>
      <c r="D3903" s="717"/>
      <c r="E3903" s="710">
        <v>5</v>
      </c>
      <c r="F3903" s="718" t="s">
        <v>674</v>
      </c>
      <c r="G3903" s="718"/>
      <c r="H3903" s="710" t="s">
        <v>660</v>
      </c>
      <c r="I3903" s="727">
        <f>VLOOKUP(C3894,'Luong VP'!$B$10:$AP$189,23,0)</f>
        <v>0</v>
      </c>
      <c r="J3903" s="728">
        <f>C3898/'Cham cong'!$AS$3*I3903</f>
        <v>0</v>
      </c>
      <c r="L3903" s="694" t="str">
        <f>G3894</f>
        <v>Huỳnh Ngọc Minh</v>
      </c>
    </row>
    <row r="3904" spans="1:12" ht="9.1999999999999993" customHeight="1">
      <c r="A3904" s="712">
        <v>7</v>
      </c>
      <c r="B3904" s="713" t="s">
        <v>676</v>
      </c>
      <c r="C3904" s="714"/>
      <c r="D3904" s="717"/>
      <c r="E3904" s="710">
        <v>6</v>
      </c>
      <c r="F3904" s="718" t="s">
        <v>677</v>
      </c>
      <c r="G3904" s="718"/>
      <c r="H3904" s="710" t="s">
        <v>660</v>
      </c>
      <c r="I3904" s="727">
        <f>VLOOKUP(C3894,'Luong VP'!$B$10:$AP$189,24,0)</f>
        <v>1</v>
      </c>
      <c r="J3904" s="714">
        <f>C3898/'Cham cong'!$AS$3*I3904</f>
        <v>585.38461538461536</v>
      </c>
    </row>
    <row r="3905" spans="1:12" ht="9.1999999999999993" customHeight="1">
      <c r="A3905" s="712">
        <v>8</v>
      </c>
      <c r="B3905" s="713" t="s">
        <v>679</v>
      </c>
      <c r="C3905" s="714">
        <f>VLOOKUP(C3894,'Luong VP'!$B$10:$AP$189,14,0)</f>
        <v>500</v>
      </c>
      <c r="D3905" s="717"/>
      <c r="E3905" s="710">
        <v>7</v>
      </c>
      <c r="F3905" s="718" t="s">
        <v>680</v>
      </c>
      <c r="G3905" s="718"/>
      <c r="H3905" s="718"/>
      <c r="I3905" s="729"/>
      <c r="J3905" s="714">
        <f>VLOOKUP(C3894,'Luong VP'!$B$10:$AP$189,28,0)</f>
        <v>0</v>
      </c>
    </row>
    <row r="3906" spans="1:12" ht="9.1999999999999993" customHeight="1">
      <c r="A3906" s="712">
        <v>9</v>
      </c>
      <c r="B3906" s="713" t="s">
        <v>683</v>
      </c>
      <c r="C3906" s="714">
        <f>VLOOKUP(C3894,'Luong VP'!$B$10:$AP$189,15,0)</f>
        <v>300</v>
      </c>
      <c r="D3906" s="717"/>
      <c r="E3906" s="710">
        <v>8</v>
      </c>
      <c r="F3906" s="718" t="s">
        <v>238</v>
      </c>
      <c r="G3906" s="718"/>
      <c r="H3906" s="710" t="s">
        <v>660</v>
      </c>
      <c r="I3906" s="729"/>
      <c r="J3906" s="714"/>
    </row>
    <row r="3907" spans="1:12" ht="9.1999999999999993" customHeight="1">
      <c r="A3907" s="712">
        <v>10</v>
      </c>
      <c r="B3907" s="713" t="s">
        <v>685</v>
      </c>
      <c r="C3907" s="714">
        <f>VLOOKUP(C3894,'Luong VP'!$B$10:$AP$189,16,0)</f>
        <v>500</v>
      </c>
      <c r="D3907" s="717"/>
      <c r="E3907" s="710" t="s">
        <v>686</v>
      </c>
      <c r="F3907" s="716" t="s">
        <v>687</v>
      </c>
      <c r="G3907" s="719"/>
      <c r="H3907" s="719"/>
      <c r="I3907" s="729"/>
      <c r="J3907" s="730"/>
    </row>
    <row r="3908" spans="1:12" ht="9.1999999999999993" customHeight="1">
      <c r="A3908" s="712">
        <v>11</v>
      </c>
      <c r="B3908" s="713" t="s">
        <v>688</v>
      </c>
      <c r="C3908" s="714">
        <f>VLOOKUP(C3894,'Luong VP'!$B$10:$AP$189,17,0)</f>
        <v>0</v>
      </c>
      <c r="D3908" s="717"/>
      <c r="E3908" s="710">
        <v>1</v>
      </c>
      <c r="F3908" s="716" t="s">
        <v>689</v>
      </c>
      <c r="G3908" s="719"/>
      <c r="H3908" s="719"/>
      <c r="I3908" s="714">
        <f>VLOOKUP(C3894,'Luong VP'!$B$10:$AP$189,29,0)</f>
        <v>0</v>
      </c>
      <c r="J3908" s="714">
        <f>VLOOKUP(C3894,'Luong VP'!$B$10:$AP$189,30,0)</f>
        <v>5000</v>
      </c>
    </row>
    <row r="3909" spans="1:12" ht="9.1999999999999993" customHeight="1">
      <c r="A3909" s="712">
        <v>12</v>
      </c>
      <c r="B3909" s="713" t="s">
        <v>691</v>
      </c>
      <c r="C3909" s="714">
        <f>VLOOKUP(C3894,'Luong VP'!$B$10:$AP$189,18,0)</f>
        <v>0</v>
      </c>
      <c r="D3909" s="717"/>
      <c r="E3909" s="710">
        <v>2</v>
      </c>
      <c r="F3909" s="718" t="s">
        <v>239</v>
      </c>
      <c r="G3909" s="718"/>
      <c r="H3909" s="718"/>
      <c r="I3909" s="727"/>
      <c r="J3909" s="728">
        <f>VLOOKUP(C3894,'Luong VP'!$B$10:$AP$189,34,0)</f>
        <v>0</v>
      </c>
      <c r="K3909" s="731"/>
      <c r="L3909" s="715"/>
    </row>
    <row r="3910" spans="1:12" ht="9.1999999999999993" customHeight="1">
      <c r="A3910" s="712">
        <v>13</v>
      </c>
      <c r="B3910" s="713" t="s">
        <v>692</v>
      </c>
      <c r="C3910" s="714">
        <f>VLOOKUP(C3894,'Luong VP'!$B$10:$AP$189,19,0)</f>
        <v>0</v>
      </c>
      <c r="D3910" s="717"/>
      <c r="E3910" s="710">
        <v>3</v>
      </c>
      <c r="F3910" s="716" t="s">
        <v>693</v>
      </c>
      <c r="G3910" s="719"/>
      <c r="H3910" s="719"/>
      <c r="I3910" s="729"/>
      <c r="J3910" s="714">
        <f>VLOOKUP(C3894,'Luong VP'!$B$10:$AP$189,40,0)</f>
        <v>0</v>
      </c>
      <c r="K3910" s="731"/>
      <c r="L3910" s="715"/>
    </row>
    <row r="3911" spans="1:12" ht="9.1999999999999993" customHeight="1">
      <c r="A3911" s="712">
        <v>14</v>
      </c>
      <c r="B3911" s="713" t="s">
        <v>694</v>
      </c>
      <c r="C3911" s="714">
        <f>VLOOKUP(C3894,'Luong VP'!$B$10:$AP$189,20,0)</f>
        <v>8500</v>
      </c>
      <c r="D3911" s="717"/>
      <c r="E3911" s="710">
        <v>4</v>
      </c>
      <c r="F3911" s="718" t="s">
        <v>695</v>
      </c>
      <c r="G3911" s="719"/>
      <c r="H3911" s="719"/>
      <c r="I3911" s="729"/>
      <c r="J3911" s="714">
        <f>VLOOKUP(C3894,'Luong VP'!$B$10:$AP$189,35,0)</f>
        <v>0</v>
      </c>
      <c r="K3911" s="732"/>
      <c r="L3911" s="715"/>
    </row>
    <row r="3912" spans="1:12" ht="9.1999999999999993" customHeight="1">
      <c r="A3912" s="712"/>
      <c r="B3912" s="707" t="s">
        <v>656</v>
      </c>
      <c r="C3912" s="714">
        <f>SUM(C3898:C3911)</f>
        <v>25020</v>
      </c>
      <c r="D3912" s="717"/>
      <c r="E3912" s="710"/>
      <c r="F3912" s="716" t="s">
        <v>241</v>
      </c>
      <c r="G3912" s="719"/>
      <c r="H3912" s="719"/>
      <c r="I3912" s="729"/>
      <c r="J3912" s="730">
        <f>SUM(J3899:J3911)+C3906</f>
        <v>30605.384615384617</v>
      </c>
      <c r="K3912" s="731"/>
      <c r="L3912" s="715"/>
    </row>
    <row r="3913" spans="1:12" ht="9.1999999999999993" customHeight="1">
      <c r="B3913" s="720"/>
      <c r="C3913" s="717"/>
      <c r="D3913" s="717"/>
      <c r="E3913" s="710" t="s">
        <v>696</v>
      </c>
      <c r="F3913" s="711" t="s">
        <v>697</v>
      </c>
      <c r="G3913" s="710"/>
      <c r="H3913" s="710"/>
      <c r="I3913" s="729"/>
      <c r="J3913" s="730">
        <f>SUM(J3914:J3916)</f>
        <v>0</v>
      </c>
      <c r="K3913" s="732"/>
      <c r="L3913" s="715"/>
    </row>
    <row r="3914" spans="1:12" ht="9.1999999999999993" customHeight="1">
      <c r="B3914" s="720"/>
      <c r="C3914" s="717"/>
      <c r="D3914" s="717"/>
      <c r="E3914" s="710">
        <v>1</v>
      </c>
      <c r="F3914" s="718" t="s">
        <v>698</v>
      </c>
      <c r="G3914" s="718"/>
      <c r="H3914" s="718"/>
      <c r="I3914" s="733"/>
      <c r="J3914" s="714">
        <f>VLOOKUP(C3894,'Luong VP'!$B$10:$AP$189,37,0)</f>
        <v>0</v>
      </c>
      <c r="K3914" s="732"/>
      <c r="L3914" s="715"/>
    </row>
    <row r="3915" spans="1:12" ht="9.1999999999999993" customHeight="1">
      <c r="B3915" s="720"/>
      <c r="C3915" s="717"/>
      <c r="D3915" s="717"/>
      <c r="E3915" s="710">
        <v>2</v>
      </c>
      <c r="F3915" s="718" t="s">
        <v>244</v>
      </c>
      <c r="G3915" s="718"/>
      <c r="H3915" s="718"/>
      <c r="I3915" s="729"/>
      <c r="J3915" s="714">
        <f>VLOOKUP(C3894,'Luong VP'!$B$10:$AP$189,39,0)</f>
        <v>0</v>
      </c>
      <c r="K3915" s="734"/>
      <c r="L3915" s="735"/>
    </row>
    <row r="3916" spans="1:12" ht="9.1999999999999993" customHeight="1">
      <c r="B3916" s="720"/>
      <c r="C3916" s="717"/>
      <c r="D3916" s="717"/>
      <c r="E3916" s="710"/>
      <c r="F3916" s="718" t="s">
        <v>699</v>
      </c>
      <c r="G3916" s="718"/>
      <c r="H3916" s="718"/>
      <c r="I3916" s="729"/>
      <c r="J3916" s="714"/>
      <c r="K3916" s="714"/>
      <c r="L3916" s="736"/>
    </row>
    <row r="3917" spans="1:12" ht="9.1999999999999993" customHeight="1">
      <c r="B3917" s="720"/>
      <c r="C3917" s="717"/>
      <c r="D3917" s="717"/>
      <c r="E3917" s="710" t="s">
        <v>700</v>
      </c>
      <c r="F3917" s="710" t="s">
        <v>246</v>
      </c>
      <c r="G3917" s="710"/>
      <c r="H3917" s="710"/>
      <c r="I3917" s="729"/>
      <c r="J3917" s="728">
        <f>J3912-J3913</f>
        <v>30605.384615384617</v>
      </c>
      <c r="K3917" s="728">
        <f>ROUND(J3917,-1)</f>
        <v>30610</v>
      </c>
      <c r="L3917" s="710"/>
    </row>
    <row r="3918" spans="1:12" ht="9.1999999999999993" customHeight="1">
      <c r="B3918" s="720"/>
      <c r="C3918" s="717"/>
      <c r="D3918" s="717"/>
      <c r="E3918" s="715"/>
      <c r="F3918" s="715"/>
      <c r="G3918" s="715"/>
      <c r="I3918" s="715" t="s">
        <v>701</v>
      </c>
      <c r="J3918" s="737"/>
      <c r="K3918" s="737"/>
      <c r="L3918" s="715"/>
    </row>
    <row r="3919" spans="1:12" ht="9.1999999999999993" customHeight="1">
      <c r="B3919" s="720"/>
      <c r="C3919" s="717"/>
      <c r="D3919" s="717"/>
      <c r="E3919" s="715"/>
      <c r="F3919" s="715"/>
      <c r="G3919" s="715"/>
      <c r="I3919" s="715"/>
      <c r="J3919" s="737"/>
      <c r="K3919" s="737"/>
      <c r="L3919" s="715"/>
    </row>
    <row r="3920" spans="1:12" ht="9.1999999999999993" customHeight="1">
      <c r="B3920" s="720"/>
      <c r="C3920" s="717"/>
      <c r="D3920" s="717"/>
      <c r="E3920" s="715"/>
      <c r="F3920" s="715"/>
      <c r="G3920" s="715"/>
      <c r="I3920" s="715"/>
      <c r="J3920" s="737"/>
      <c r="K3920" s="737"/>
      <c r="L3920" s="715"/>
    </row>
    <row r="3921" spans="1:12" ht="9.1999999999999993" customHeight="1">
      <c r="B3921" s="720"/>
      <c r="C3921" s="717"/>
      <c r="D3921" s="717"/>
      <c r="E3921" s="715"/>
      <c r="F3921" s="715"/>
      <c r="G3921" s="715"/>
      <c r="I3921" s="715"/>
      <c r="J3921" s="737"/>
      <c r="K3921" s="737"/>
      <c r="L3921" s="715"/>
    </row>
    <row r="3922" spans="1:12" ht="9.1999999999999993" customHeight="1">
      <c r="C3922" s="696"/>
      <c r="D3922" s="696"/>
      <c r="E3922" s="697" t="str">
        <f>$E$2</f>
        <v>THẺ LƯƠNG THÁNG 08/2019</v>
      </c>
      <c r="F3922" s="698"/>
      <c r="G3922" s="698"/>
      <c r="H3922" s="698"/>
    </row>
    <row r="3923" spans="1:12" ht="9.1999999999999993" customHeight="1">
      <c r="B3923" s="699" t="s">
        <v>644</v>
      </c>
      <c r="C3923" s="700" t="s">
        <v>541</v>
      </c>
      <c r="D3923" s="701"/>
      <c r="F3923" s="702" t="s">
        <v>645</v>
      </c>
      <c r="G3923" s="689" t="str">
        <f>VLOOKUP(C3923,'Luong VP'!$B$10:$AP$189,2,0)</f>
        <v>Nguyễn Quốc Tâm</v>
      </c>
    </row>
    <row r="3924" spans="1:12" ht="9.1999999999999993" customHeight="1">
      <c r="B3924" s="699" t="s">
        <v>646</v>
      </c>
      <c r="C3924" s="689" t="str">
        <f>VLOOKUP(C3923,'Luong VP'!$B$10:$AP$189,3,0)</f>
        <v>NV sale</v>
      </c>
      <c r="F3924" s="702" t="s">
        <v>647</v>
      </c>
      <c r="G3924" s="689">
        <f>VLOOKUP(C3923,'Luong VP'!$B$10:$AP$189,5,0)</f>
        <v>2</v>
      </c>
    </row>
    <row r="3925" spans="1:12" ht="9.1999999999999993" customHeight="1">
      <c r="B3925" s="703"/>
      <c r="C3925" s="704"/>
      <c r="D3925" s="705"/>
      <c r="F3925" s="706" t="s">
        <v>648</v>
      </c>
      <c r="G3925" s="706"/>
      <c r="H3925" s="706"/>
      <c r="I3925" s="725"/>
      <c r="J3925" s="726"/>
    </row>
    <row r="3926" spans="1:12" ht="9.1999999999999993" customHeight="1">
      <c r="A3926" s="707" t="s">
        <v>216</v>
      </c>
      <c r="B3926" s="707" t="s">
        <v>649</v>
      </c>
      <c r="C3926" s="708" t="s">
        <v>650</v>
      </c>
      <c r="D3926" s="709"/>
      <c r="E3926" s="710" t="s">
        <v>216</v>
      </c>
      <c r="F3926" s="711" t="s">
        <v>649</v>
      </c>
      <c r="G3926" s="710"/>
      <c r="H3926" s="710" t="s">
        <v>651</v>
      </c>
      <c r="I3926" s="727" t="s">
        <v>652</v>
      </c>
      <c r="J3926" s="714"/>
      <c r="L3926" s="694" t="s">
        <v>653</v>
      </c>
    </row>
    <row r="3927" spans="1:12" ht="9.1999999999999993" customHeight="1">
      <c r="A3927" s="712">
        <v>1</v>
      </c>
      <c r="B3927" s="713" t="s">
        <v>654</v>
      </c>
      <c r="C3927" s="714">
        <f>VLOOKUP(C3923,'Luong VP'!$B$10:$AP$189,9,0)</f>
        <v>6190</v>
      </c>
      <c r="D3927" s="715"/>
      <c r="E3927" s="710" t="s">
        <v>655</v>
      </c>
      <c r="F3927" s="716" t="s">
        <v>656</v>
      </c>
      <c r="G3927" s="710"/>
      <c r="H3927" s="710"/>
      <c r="I3927" s="727"/>
      <c r="J3927" s="714">
        <f>VLOOKUP(C3923,'Luong VP'!$B$10:$AP$189,21,0)</f>
        <v>7190</v>
      </c>
    </row>
    <row r="3928" spans="1:12" ht="9.1999999999999993" customHeight="1">
      <c r="A3928" s="712">
        <v>2</v>
      </c>
      <c r="B3928" s="713" t="s">
        <v>658</v>
      </c>
      <c r="C3928" s="714"/>
      <c r="D3928" s="717"/>
      <c r="E3928" s="710">
        <v>1</v>
      </c>
      <c r="F3928" s="718" t="s">
        <v>659</v>
      </c>
      <c r="G3928" s="718"/>
      <c r="H3928" s="710" t="s">
        <v>660</v>
      </c>
      <c r="I3928" s="727">
        <f>VLOOKUP(C3923,'Luong VP'!$B$10:$AP$189,22,0)</f>
        <v>26</v>
      </c>
      <c r="J3928" s="728">
        <f>J3927/'Cham cong'!$AS$3*I3928</f>
        <v>7190</v>
      </c>
    </row>
    <row r="3929" spans="1:12" ht="9.1999999999999993" customHeight="1">
      <c r="A3929" s="712">
        <v>3</v>
      </c>
      <c r="B3929" s="713" t="s">
        <v>661</v>
      </c>
      <c r="C3929" s="714">
        <f>VLOOKUP(C3923,'Luong VP'!$B$10:$AP$189,10,0)</f>
        <v>0</v>
      </c>
      <c r="D3929" s="717"/>
      <c r="E3929" s="710">
        <v>2</v>
      </c>
      <c r="F3929" s="718" t="s">
        <v>662</v>
      </c>
      <c r="G3929" s="718"/>
      <c r="H3929" s="710" t="s">
        <v>660</v>
      </c>
      <c r="I3929" s="727">
        <f>VLOOKUP(C3923,'Luong VP'!$B$10:$AP$189,27,0)</f>
        <v>0</v>
      </c>
      <c r="J3929" s="728">
        <f>J3927/'Cham cong'!$AS$3*I3929*3</f>
        <v>0</v>
      </c>
    </row>
    <row r="3930" spans="1:12" ht="9.1999999999999993" customHeight="1">
      <c r="A3930" s="712">
        <v>4</v>
      </c>
      <c r="B3930" s="713" t="s">
        <v>666</v>
      </c>
      <c r="C3930" s="714">
        <f>VLOOKUP(C3923,'Luong VP'!$B$10:$AP$189,11,0)</f>
        <v>0</v>
      </c>
      <c r="D3930" s="717"/>
      <c r="E3930" s="710">
        <v>3</v>
      </c>
      <c r="F3930" s="718" t="s">
        <v>667</v>
      </c>
      <c r="G3930" s="718"/>
      <c r="H3930" s="710" t="s">
        <v>668</v>
      </c>
      <c r="I3930" s="727">
        <f>VLOOKUP(C3923,'Luong VP'!$B$10:$AP$189,26,0)</f>
        <v>0</v>
      </c>
      <c r="J3930" s="728">
        <f>J3927/'Cham cong'!$AS$3*I3930/8*1.5</f>
        <v>0</v>
      </c>
    </row>
    <row r="3931" spans="1:12" ht="9.1999999999999993" customHeight="1">
      <c r="A3931" s="712">
        <v>5</v>
      </c>
      <c r="B3931" s="713" t="s">
        <v>670</v>
      </c>
      <c r="C3931" s="714">
        <f>VLOOKUP(C3923,'Luong VP'!$B$10:$AP$189,12,0)</f>
        <v>0</v>
      </c>
      <c r="D3931" s="717"/>
      <c r="E3931" s="710">
        <v>4</v>
      </c>
      <c r="F3931" s="718" t="s">
        <v>671</v>
      </c>
      <c r="G3931" s="718"/>
      <c r="H3931" s="710" t="s">
        <v>668</v>
      </c>
      <c r="I3931" s="727">
        <f>VLOOKUP(C3923,'Luong VP'!$B$10:$AP$189,25,0)</f>
        <v>0</v>
      </c>
      <c r="J3931" s="728">
        <f>J3927/'Cham cong'!$AS$3*I3931/8*2</f>
        <v>0</v>
      </c>
    </row>
    <row r="3932" spans="1:12" ht="9.1999999999999993" customHeight="1">
      <c r="A3932" s="712">
        <v>6</v>
      </c>
      <c r="B3932" s="713" t="s">
        <v>673</v>
      </c>
      <c r="C3932" s="714">
        <f>VLOOKUP(C3923,'Luong VP'!$B$10:$AP$189,13,0)</f>
        <v>0</v>
      </c>
      <c r="D3932" s="717"/>
      <c r="E3932" s="710">
        <v>5</v>
      </c>
      <c r="F3932" s="718" t="s">
        <v>674</v>
      </c>
      <c r="G3932" s="718"/>
      <c r="H3932" s="710" t="s">
        <v>660</v>
      </c>
      <c r="I3932" s="727">
        <f>VLOOKUP(C3923,'Luong VP'!$B$10:$AP$189,23,0)</f>
        <v>0</v>
      </c>
      <c r="J3932" s="728">
        <f>C3927/'Cham cong'!$AS$3*I3932</f>
        <v>0</v>
      </c>
      <c r="L3932" s="694" t="str">
        <f>G3923</f>
        <v>Nguyễn Quốc Tâm</v>
      </c>
    </row>
    <row r="3933" spans="1:12" ht="9.1999999999999993" customHeight="1">
      <c r="A3933" s="712">
        <v>7</v>
      </c>
      <c r="B3933" s="713" t="s">
        <v>676</v>
      </c>
      <c r="C3933" s="714"/>
      <c r="D3933" s="717"/>
      <c r="E3933" s="710">
        <v>6</v>
      </c>
      <c r="F3933" s="718" t="s">
        <v>677</v>
      </c>
      <c r="G3933" s="718"/>
      <c r="H3933" s="710" t="s">
        <v>660</v>
      </c>
      <c r="I3933" s="727">
        <f>VLOOKUP(C3923,'Luong VP'!$B$10:$AP$189,24,0)</f>
        <v>1</v>
      </c>
      <c r="J3933" s="714">
        <f>C3927/'Cham cong'!$AS$3*I3933</f>
        <v>238.07692307692307</v>
      </c>
    </row>
    <row r="3934" spans="1:12" ht="9.1999999999999993" customHeight="1">
      <c r="A3934" s="712">
        <v>8</v>
      </c>
      <c r="B3934" s="713" t="s">
        <v>679</v>
      </c>
      <c r="C3934" s="714">
        <f>VLOOKUP(C3923,'Luong VP'!$B$10:$AP$189,14,0)</f>
        <v>500</v>
      </c>
      <c r="D3934" s="717"/>
      <c r="E3934" s="710">
        <v>7</v>
      </c>
      <c r="F3934" s="718" t="s">
        <v>680</v>
      </c>
      <c r="G3934" s="718"/>
      <c r="H3934" s="718"/>
      <c r="I3934" s="729"/>
      <c r="J3934" s="714">
        <f>VLOOKUP(C3923,'Luong VP'!$B$10:$AP$189,28,0)</f>
        <v>0</v>
      </c>
    </row>
    <row r="3935" spans="1:12" ht="9.1999999999999993" customHeight="1">
      <c r="A3935" s="712">
        <v>9</v>
      </c>
      <c r="B3935" s="713" t="s">
        <v>683</v>
      </c>
      <c r="C3935" s="714">
        <f>VLOOKUP(C3923,'Luong VP'!$B$10:$AP$189,15,0)</f>
        <v>200</v>
      </c>
      <c r="D3935" s="717"/>
      <c r="E3935" s="710">
        <v>8</v>
      </c>
      <c r="F3935" s="718" t="s">
        <v>238</v>
      </c>
      <c r="G3935" s="718"/>
      <c r="H3935" s="710" t="s">
        <v>660</v>
      </c>
      <c r="I3935" s="729"/>
      <c r="J3935" s="714">
        <v>0</v>
      </c>
    </row>
    <row r="3936" spans="1:12" ht="9.1999999999999993" customHeight="1">
      <c r="A3936" s="712">
        <v>10</v>
      </c>
      <c r="B3936" s="713" t="s">
        <v>685</v>
      </c>
      <c r="C3936" s="714">
        <f>VLOOKUP(C3923,'Luong VP'!$B$10:$AP$189,16,0)</f>
        <v>500</v>
      </c>
      <c r="D3936" s="717"/>
      <c r="E3936" s="710" t="s">
        <v>686</v>
      </c>
      <c r="F3936" s="716" t="s">
        <v>687</v>
      </c>
      <c r="G3936" s="719"/>
      <c r="H3936" s="719"/>
      <c r="I3936" s="729"/>
      <c r="J3936" s="730"/>
    </row>
    <row r="3937" spans="1:12" ht="9.1999999999999993" customHeight="1">
      <c r="A3937" s="712">
        <v>11</v>
      </c>
      <c r="B3937" s="713" t="s">
        <v>688</v>
      </c>
      <c r="C3937" s="714">
        <f>VLOOKUP(C3923,'Luong VP'!$B$10:$AP$189,17,0)</f>
        <v>0</v>
      </c>
      <c r="D3937" s="717"/>
      <c r="E3937" s="710">
        <v>1</v>
      </c>
      <c r="F3937" s="716" t="s">
        <v>689</v>
      </c>
      <c r="G3937" s="719"/>
      <c r="H3937" s="719"/>
      <c r="I3937" s="714">
        <f>VLOOKUP(C3923,'Luong VP'!$B$10:$AP$189,29,0)</f>
        <v>0</v>
      </c>
      <c r="J3937" s="714">
        <f>VLOOKUP(C3923,'Luong VP'!$B$10:$AP$189,30,0)</f>
        <v>4000</v>
      </c>
    </row>
    <row r="3938" spans="1:12" ht="9.1999999999999993" customHeight="1">
      <c r="A3938" s="712">
        <v>12</v>
      </c>
      <c r="B3938" s="713" t="s">
        <v>691</v>
      </c>
      <c r="C3938" s="714">
        <f>VLOOKUP(C3923,'Luong VP'!$B$10:$AP$189,18,0)</f>
        <v>0</v>
      </c>
      <c r="D3938" s="717"/>
      <c r="E3938" s="710">
        <v>2</v>
      </c>
      <c r="F3938" s="718" t="s">
        <v>239</v>
      </c>
      <c r="G3938" s="718"/>
      <c r="H3938" s="718"/>
      <c r="I3938" s="727"/>
      <c r="J3938" s="728">
        <f>VLOOKUP(C3923,'Luong VP'!$B$10:$AP$189,34,0)</f>
        <v>0</v>
      </c>
      <c r="K3938" s="731"/>
      <c r="L3938" s="715"/>
    </row>
    <row r="3939" spans="1:12" ht="9.1999999999999993" customHeight="1">
      <c r="A3939" s="712">
        <v>13</v>
      </c>
      <c r="B3939" s="713" t="s">
        <v>692</v>
      </c>
      <c r="C3939" s="714">
        <f>VLOOKUP(C3923,'Luong VP'!$B$10:$AP$189,19,0)</f>
        <v>0</v>
      </c>
      <c r="D3939" s="717"/>
      <c r="E3939" s="710">
        <v>3</v>
      </c>
      <c r="F3939" s="716" t="s">
        <v>693</v>
      </c>
      <c r="G3939" s="719"/>
      <c r="H3939" s="719"/>
      <c r="I3939" s="729"/>
      <c r="J3939" s="714">
        <f>VLOOKUP(C3923,'Luong VP'!$B$10:$AP$189,40,0)</f>
        <v>0</v>
      </c>
      <c r="K3939" s="731"/>
      <c r="L3939" s="715"/>
    </row>
    <row r="3940" spans="1:12" ht="9.1999999999999993" customHeight="1">
      <c r="A3940" s="712">
        <v>14</v>
      </c>
      <c r="B3940" s="713" t="s">
        <v>694</v>
      </c>
      <c r="C3940" s="714">
        <f>VLOOKUP(C3923,'Luong VP'!$B$10:$AP$189,20,0)</f>
        <v>0</v>
      </c>
      <c r="D3940" s="717"/>
      <c r="E3940" s="710">
        <v>4</v>
      </c>
      <c r="F3940" s="718" t="s">
        <v>695</v>
      </c>
      <c r="G3940" s="719"/>
      <c r="H3940" s="719"/>
      <c r="I3940" s="729"/>
      <c r="J3940" s="714">
        <f>VLOOKUP(C3923,'Luong VP'!$B$10:$AP$189,35,0)</f>
        <v>0</v>
      </c>
      <c r="K3940" s="732"/>
      <c r="L3940" s="715"/>
    </row>
    <row r="3941" spans="1:12" ht="9.1999999999999993" customHeight="1">
      <c r="A3941" s="712"/>
      <c r="B3941" s="707" t="s">
        <v>656</v>
      </c>
      <c r="C3941" s="714">
        <f>SUM(C3927:C3940)</f>
        <v>7390</v>
      </c>
      <c r="D3941" s="717"/>
      <c r="E3941" s="710"/>
      <c r="F3941" s="716" t="s">
        <v>241</v>
      </c>
      <c r="G3941" s="719"/>
      <c r="H3941" s="719"/>
      <c r="I3941" s="729"/>
      <c r="J3941" s="730">
        <f>SUM(J3928:J3940)+C3935</f>
        <v>11628.076923076922</v>
      </c>
      <c r="K3941" s="731"/>
      <c r="L3941" s="715"/>
    </row>
    <row r="3942" spans="1:12" ht="9.1999999999999993" customHeight="1">
      <c r="B3942" s="720"/>
      <c r="C3942" s="717"/>
      <c r="D3942" s="717"/>
      <c r="E3942" s="710" t="s">
        <v>696</v>
      </c>
      <c r="F3942" s="711" t="s">
        <v>697</v>
      </c>
      <c r="G3942" s="710"/>
      <c r="H3942" s="710"/>
      <c r="I3942" s="729"/>
      <c r="J3942" s="730">
        <f>SUM(J3943:J3945)</f>
        <v>504</v>
      </c>
      <c r="K3942" s="732"/>
      <c r="L3942" s="715"/>
    </row>
    <row r="3943" spans="1:12" ht="9.1999999999999993" customHeight="1">
      <c r="B3943" s="720"/>
      <c r="C3943" s="717"/>
      <c r="D3943" s="717"/>
      <c r="E3943" s="710">
        <v>1</v>
      </c>
      <c r="F3943" s="718" t="s">
        <v>698</v>
      </c>
      <c r="G3943" s="718"/>
      <c r="H3943" s="718"/>
      <c r="I3943" s="733"/>
      <c r="J3943" s="714">
        <f>VLOOKUP(C3923,'Luong VP'!$B$10:$AP$189,37,0)</f>
        <v>504</v>
      </c>
      <c r="K3943" s="732"/>
      <c r="L3943" s="715"/>
    </row>
    <row r="3944" spans="1:12" ht="9.1999999999999993" customHeight="1">
      <c r="B3944" s="720"/>
      <c r="C3944" s="717"/>
      <c r="D3944" s="717"/>
      <c r="E3944" s="710">
        <v>2</v>
      </c>
      <c r="F3944" s="718" t="s">
        <v>244</v>
      </c>
      <c r="G3944" s="718"/>
      <c r="H3944" s="718"/>
      <c r="I3944" s="729"/>
      <c r="J3944" s="714">
        <f>VLOOKUP(C3923,'Luong VP'!$B$10:$AP$189,39,0)</f>
        <v>0</v>
      </c>
      <c r="K3944" s="734"/>
      <c r="L3944" s="735"/>
    </row>
    <row r="3945" spans="1:12" ht="9.1999999999999993" customHeight="1">
      <c r="B3945" s="720"/>
      <c r="C3945" s="717"/>
      <c r="D3945" s="717"/>
      <c r="E3945" s="710"/>
      <c r="F3945" s="718" t="s">
        <v>699</v>
      </c>
      <c r="G3945" s="718"/>
      <c r="H3945" s="718"/>
      <c r="I3945" s="729"/>
      <c r="J3945" s="714"/>
      <c r="K3945" s="714"/>
      <c r="L3945" s="736"/>
    </row>
    <row r="3946" spans="1:12" ht="9.1999999999999993" customHeight="1">
      <c r="B3946" s="720"/>
      <c r="C3946" s="717"/>
      <c r="D3946" s="717"/>
      <c r="E3946" s="710" t="s">
        <v>700</v>
      </c>
      <c r="F3946" s="710" t="s">
        <v>246</v>
      </c>
      <c r="G3946" s="710"/>
      <c r="H3946" s="710"/>
      <c r="I3946" s="729"/>
      <c r="J3946" s="728">
        <f>J3941-J3942</f>
        <v>11124.076923076922</v>
      </c>
      <c r="K3946" s="728">
        <f>ROUND(J3946,-1)</f>
        <v>11120</v>
      </c>
      <c r="L3946" s="710"/>
    </row>
    <row r="3947" spans="1:12" ht="9.1999999999999993" customHeight="1">
      <c r="B3947" s="720"/>
      <c r="C3947" s="717"/>
      <c r="D3947" s="717"/>
      <c r="E3947" s="715"/>
      <c r="F3947" s="715"/>
      <c r="G3947" s="715"/>
      <c r="I3947" s="715" t="s">
        <v>701</v>
      </c>
      <c r="J3947" s="737"/>
      <c r="K3947" s="737"/>
      <c r="L3947" s="715"/>
    </row>
    <row r="3948" spans="1:12" ht="9.1999999999999993" customHeight="1">
      <c r="B3948" s="720"/>
      <c r="C3948" s="717"/>
      <c r="D3948" s="717"/>
      <c r="E3948" s="715"/>
      <c r="F3948" s="715"/>
      <c r="G3948" s="715"/>
      <c r="I3948" s="715"/>
      <c r="J3948" s="737"/>
      <c r="K3948" s="737"/>
      <c r="L3948" s="715"/>
    </row>
    <row r="3949" spans="1:12" ht="9.1999999999999993" customHeight="1">
      <c r="B3949" s="720"/>
      <c r="C3949" s="717"/>
      <c r="D3949" s="717"/>
      <c r="E3949" s="715"/>
      <c r="F3949" s="715"/>
      <c r="G3949" s="715"/>
      <c r="I3949" s="715"/>
      <c r="J3949" s="737"/>
      <c r="K3949" s="737"/>
      <c r="L3949" s="715"/>
    </row>
    <row r="3950" spans="1:12" ht="9.1999999999999993" customHeight="1">
      <c r="B3950" s="720"/>
      <c r="C3950" s="717"/>
      <c r="D3950" s="717"/>
      <c r="E3950" s="715"/>
      <c r="F3950" s="715"/>
      <c r="G3950" s="715"/>
      <c r="I3950" s="715"/>
      <c r="J3950" s="737"/>
      <c r="K3950" s="737"/>
      <c r="L3950" s="715"/>
    </row>
    <row r="3951" spans="1:12" ht="9.1999999999999993" customHeight="1">
      <c r="B3951" s="720"/>
      <c r="C3951" s="717"/>
      <c r="D3951" s="717"/>
      <c r="E3951" s="715"/>
      <c r="F3951" s="715"/>
      <c r="G3951" s="715"/>
      <c r="I3951" s="715"/>
      <c r="J3951" s="737"/>
      <c r="K3951" s="737"/>
      <c r="L3951" s="715"/>
    </row>
    <row r="3952" spans="1:12" ht="9.1999999999999993" customHeight="1">
      <c r="C3952" s="696"/>
      <c r="D3952" s="696"/>
      <c r="E3952" s="697" t="str">
        <f>$E$2</f>
        <v>THẺ LƯƠNG THÁNG 08/2019</v>
      </c>
      <c r="F3952" s="698"/>
      <c r="G3952" s="698"/>
      <c r="H3952" s="698"/>
    </row>
    <row r="3953" spans="1:12" ht="9.1999999999999993" customHeight="1">
      <c r="B3953" s="699" t="s">
        <v>644</v>
      </c>
      <c r="C3953" s="700" t="s">
        <v>543</v>
      </c>
      <c r="D3953" s="701"/>
      <c r="F3953" s="702" t="s">
        <v>645</v>
      </c>
      <c r="G3953" s="689" t="str">
        <f>VLOOKUP(C3953,'Luong VP'!$B$10:$AP$189,2,0)</f>
        <v>Nguyễn Hoàng Khang</v>
      </c>
    </row>
    <row r="3954" spans="1:12" ht="9.1999999999999993" customHeight="1">
      <c r="B3954" s="699" t="s">
        <v>646</v>
      </c>
      <c r="C3954" s="689" t="str">
        <f>VLOOKUP(C3953,'Luong VP'!$B$10:$AP$189,3,0)</f>
        <v>NV sale</v>
      </c>
      <c r="F3954" s="702" t="s">
        <v>647</v>
      </c>
      <c r="G3954" s="689">
        <f>VLOOKUP(C3953,'Luong VP'!$B$10:$AP$189,5,0)</f>
        <v>2</v>
      </c>
    </row>
    <row r="3955" spans="1:12" ht="9.1999999999999993" customHeight="1">
      <c r="B3955" s="703"/>
      <c r="C3955" s="704"/>
      <c r="D3955" s="705"/>
      <c r="F3955" s="706" t="s">
        <v>648</v>
      </c>
      <c r="G3955" s="706"/>
      <c r="H3955" s="706"/>
      <c r="I3955" s="725"/>
      <c r="J3955" s="726"/>
    </row>
    <row r="3956" spans="1:12" ht="9.1999999999999993" customHeight="1">
      <c r="A3956" s="707" t="s">
        <v>216</v>
      </c>
      <c r="B3956" s="707" t="s">
        <v>649</v>
      </c>
      <c r="C3956" s="708" t="s">
        <v>650</v>
      </c>
      <c r="D3956" s="709"/>
      <c r="E3956" s="710" t="s">
        <v>216</v>
      </c>
      <c r="F3956" s="711" t="s">
        <v>649</v>
      </c>
      <c r="G3956" s="710"/>
      <c r="H3956" s="710" t="s">
        <v>651</v>
      </c>
      <c r="I3956" s="727" t="s">
        <v>652</v>
      </c>
      <c r="J3956" s="714"/>
      <c r="L3956" s="694" t="s">
        <v>653</v>
      </c>
    </row>
    <row r="3957" spans="1:12" ht="9.1999999999999993" customHeight="1">
      <c r="A3957" s="712">
        <v>1</v>
      </c>
      <c r="B3957" s="713" t="s">
        <v>654</v>
      </c>
      <c r="C3957" s="714">
        <f>VLOOKUP(C3953,'Luong VP'!$B$10:$AP$189,9,0)</f>
        <v>6190</v>
      </c>
      <c r="D3957" s="715"/>
      <c r="E3957" s="710" t="s">
        <v>655</v>
      </c>
      <c r="F3957" s="716" t="s">
        <v>656</v>
      </c>
      <c r="G3957" s="710"/>
      <c r="H3957" s="710"/>
      <c r="I3957" s="727"/>
      <c r="J3957" s="714">
        <f>VLOOKUP(C3953,'Luong VP'!$B$10:$AP$189,21,0)</f>
        <v>7190</v>
      </c>
    </row>
    <row r="3958" spans="1:12" ht="9.1999999999999993" customHeight="1">
      <c r="A3958" s="712">
        <v>2</v>
      </c>
      <c r="B3958" s="713" t="s">
        <v>658</v>
      </c>
      <c r="C3958" s="714"/>
      <c r="D3958" s="717"/>
      <c r="E3958" s="710">
        <v>1</v>
      </c>
      <c r="F3958" s="718" t="s">
        <v>659</v>
      </c>
      <c r="G3958" s="718"/>
      <c r="H3958" s="710" t="s">
        <v>660</v>
      </c>
      <c r="I3958" s="727">
        <f>VLOOKUP(C3953,'Luong VP'!$B$10:$AP$189,22,0)</f>
        <v>26</v>
      </c>
      <c r="J3958" s="728">
        <f>J3957/'Cham cong'!$AS$3*I3958</f>
        <v>7190</v>
      </c>
    </row>
    <row r="3959" spans="1:12" ht="9.1999999999999993" customHeight="1">
      <c r="A3959" s="712">
        <v>3</v>
      </c>
      <c r="B3959" s="713" t="s">
        <v>661</v>
      </c>
      <c r="C3959" s="714">
        <f>VLOOKUP(C3953,'Luong VP'!$B$10:$AP$189,10,0)</f>
        <v>0</v>
      </c>
      <c r="D3959" s="717"/>
      <c r="E3959" s="710">
        <v>2</v>
      </c>
      <c r="F3959" s="718" t="s">
        <v>662</v>
      </c>
      <c r="G3959" s="718"/>
      <c r="H3959" s="710" t="s">
        <v>660</v>
      </c>
      <c r="I3959" s="727">
        <f>VLOOKUP(C3953,'Luong VP'!$B$10:$AP$189,27,0)</f>
        <v>0</v>
      </c>
      <c r="J3959" s="728">
        <f>J3957/'Cham cong'!$AS$3*I3959*3</f>
        <v>0</v>
      </c>
    </row>
    <row r="3960" spans="1:12" ht="9.1999999999999993" customHeight="1">
      <c r="A3960" s="712">
        <v>4</v>
      </c>
      <c r="B3960" s="713" t="s">
        <v>666</v>
      </c>
      <c r="C3960" s="714">
        <f>VLOOKUP(C3953,'Luong VP'!$B$10:$AP$189,11,0)</f>
        <v>0</v>
      </c>
      <c r="D3960" s="717"/>
      <c r="E3960" s="710">
        <v>3</v>
      </c>
      <c r="F3960" s="718" t="s">
        <v>667</v>
      </c>
      <c r="G3960" s="718"/>
      <c r="H3960" s="710" t="s">
        <v>668</v>
      </c>
      <c r="I3960" s="727">
        <f>VLOOKUP(C3953,'Luong VP'!$B$10:$AP$189,26,0)</f>
        <v>0</v>
      </c>
      <c r="J3960" s="728">
        <f>J3957/'Cham cong'!$AS$3*I3960/8*1.5</f>
        <v>0</v>
      </c>
    </row>
    <row r="3961" spans="1:12" ht="9.1999999999999993" customHeight="1">
      <c r="A3961" s="712">
        <v>5</v>
      </c>
      <c r="B3961" s="713" t="s">
        <v>670</v>
      </c>
      <c r="C3961" s="714">
        <f>VLOOKUP(C3953,'Luong VP'!$B$10:$AP$189,12,0)</f>
        <v>0</v>
      </c>
      <c r="D3961" s="717"/>
      <c r="E3961" s="710">
        <v>4</v>
      </c>
      <c r="F3961" s="718" t="s">
        <v>671</v>
      </c>
      <c r="G3961" s="718"/>
      <c r="H3961" s="710" t="s">
        <v>668</v>
      </c>
      <c r="I3961" s="727">
        <f>VLOOKUP(C3953,'Luong VP'!$B$10:$AP$189,25,0)</f>
        <v>0</v>
      </c>
      <c r="J3961" s="728">
        <f>J3957/'Cham cong'!$AS$3*I3961/8*2</f>
        <v>0</v>
      </c>
    </row>
    <row r="3962" spans="1:12" ht="9.1999999999999993" customHeight="1">
      <c r="A3962" s="712">
        <v>6</v>
      </c>
      <c r="B3962" s="713" t="s">
        <v>673</v>
      </c>
      <c r="C3962" s="714">
        <f>VLOOKUP(C3953,'Luong VP'!$B$10:$AP$189,13,0)</f>
        <v>0</v>
      </c>
      <c r="D3962" s="717"/>
      <c r="E3962" s="710">
        <v>5</v>
      </c>
      <c r="F3962" s="718" t="s">
        <v>674</v>
      </c>
      <c r="G3962" s="718"/>
      <c r="H3962" s="710" t="s">
        <v>660</v>
      </c>
      <c r="I3962" s="727">
        <f>VLOOKUP(C3953,'Luong VP'!$B$10:$AP$189,23,0)</f>
        <v>0</v>
      </c>
      <c r="J3962" s="728">
        <f>C3957/'Cham cong'!$AS$3*I3962</f>
        <v>0</v>
      </c>
      <c r="L3962" s="694" t="str">
        <f>G3953</f>
        <v>Nguyễn Hoàng Khang</v>
      </c>
    </row>
    <row r="3963" spans="1:12" ht="9.1999999999999993" customHeight="1">
      <c r="A3963" s="712">
        <v>7</v>
      </c>
      <c r="B3963" s="713" t="s">
        <v>676</v>
      </c>
      <c r="C3963" s="714"/>
      <c r="D3963" s="717"/>
      <c r="E3963" s="710">
        <v>6</v>
      </c>
      <c r="F3963" s="718" t="s">
        <v>677</v>
      </c>
      <c r="G3963" s="718"/>
      <c r="H3963" s="710" t="s">
        <v>660</v>
      </c>
      <c r="I3963" s="727">
        <f>VLOOKUP(C3953,'Luong VP'!$B$10:$AP$189,24,0)</f>
        <v>1</v>
      </c>
      <c r="J3963" s="714">
        <f>C3957/'Cham cong'!$AS$3*I3963</f>
        <v>238.07692307692307</v>
      </c>
    </row>
    <row r="3964" spans="1:12" ht="9.1999999999999993" customHeight="1">
      <c r="A3964" s="712">
        <v>8</v>
      </c>
      <c r="B3964" s="713" t="s">
        <v>679</v>
      </c>
      <c r="C3964" s="714">
        <f>VLOOKUP(C3953,'Luong VP'!$B$10:$AP$189,14,0)</f>
        <v>500</v>
      </c>
      <c r="D3964" s="717"/>
      <c r="E3964" s="710">
        <v>7</v>
      </c>
      <c r="F3964" s="718" t="s">
        <v>680</v>
      </c>
      <c r="G3964" s="718"/>
      <c r="H3964" s="718"/>
      <c r="I3964" s="729"/>
      <c r="J3964" s="714">
        <f>VLOOKUP(C3953,'Luong VP'!$B$10:$AP$189,28,0)</f>
        <v>0</v>
      </c>
    </row>
    <row r="3965" spans="1:12" ht="9.1999999999999993" customHeight="1">
      <c r="A3965" s="712">
        <v>9</v>
      </c>
      <c r="B3965" s="713" t="s">
        <v>683</v>
      </c>
      <c r="C3965" s="714">
        <f>VLOOKUP(C3953,'Luong VP'!$B$10:$AP$189,15,0)</f>
        <v>200</v>
      </c>
      <c r="D3965" s="717"/>
      <c r="E3965" s="710">
        <v>8</v>
      </c>
      <c r="F3965" s="718" t="s">
        <v>238</v>
      </c>
      <c r="G3965" s="718"/>
      <c r="H3965" s="718"/>
      <c r="I3965" s="729"/>
      <c r="J3965" s="714">
        <f>VLOOKUP(C3953,'Luong VP'!$B$10:$AP$189,33,0)</f>
        <v>0</v>
      </c>
    </row>
    <row r="3966" spans="1:12" ht="9.1999999999999993" customHeight="1">
      <c r="A3966" s="712">
        <v>10</v>
      </c>
      <c r="B3966" s="713" t="s">
        <v>685</v>
      </c>
      <c r="C3966" s="714">
        <f>VLOOKUP(C3953,'Luong VP'!$B$10:$AP$189,16,0)</f>
        <v>500</v>
      </c>
      <c r="D3966" s="717"/>
      <c r="E3966" s="710" t="s">
        <v>686</v>
      </c>
      <c r="F3966" s="716" t="s">
        <v>687</v>
      </c>
      <c r="G3966" s="719"/>
      <c r="H3966" s="719"/>
      <c r="I3966" s="729"/>
      <c r="J3966" s="730"/>
    </row>
    <row r="3967" spans="1:12" ht="9.1999999999999993" customHeight="1">
      <c r="A3967" s="712">
        <v>11</v>
      </c>
      <c r="B3967" s="713" t="s">
        <v>688</v>
      </c>
      <c r="C3967" s="714">
        <f>VLOOKUP(C3953,'Luong VP'!$B$10:$AP$189,17,0)</f>
        <v>0</v>
      </c>
      <c r="D3967" s="717"/>
      <c r="E3967" s="710">
        <v>1</v>
      </c>
      <c r="F3967" s="716" t="s">
        <v>689</v>
      </c>
      <c r="G3967" s="719"/>
      <c r="H3967" s="719"/>
      <c r="I3967" s="714">
        <f>VLOOKUP(C3953,'Luong VP'!$B$10:$AP$189,29,0)</f>
        <v>0</v>
      </c>
      <c r="J3967" s="714">
        <f>VLOOKUP(C3953,'Luong VP'!$B$10:$AP$189,30,0)</f>
        <v>6000</v>
      </c>
    </row>
    <row r="3968" spans="1:12" ht="9.1999999999999993" customHeight="1">
      <c r="A3968" s="712">
        <v>12</v>
      </c>
      <c r="B3968" s="713" t="s">
        <v>691</v>
      </c>
      <c r="C3968" s="714">
        <f>VLOOKUP(C3953,'Luong VP'!$B$10:$AP$189,18,0)</f>
        <v>0</v>
      </c>
      <c r="D3968" s="717"/>
      <c r="E3968" s="710">
        <v>2</v>
      </c>
      <c r="F3968" s="718" t="s">
        <v>239</v>
      </c>
      <c r="G3968" s="718"/>
      <c r="H3968" s="718"/>
      <c r="I3968" s="727"/>
      <c r="J3968" s="728">
        <f>VLOOKUP(C3953,'Luong VP'!$B$10:$AP$189,34,0)</f>
        <v>0</v>
      </c>
      <c r="K3968" s="731"/>
      <c r="L3968" s="715"/>
    </row>
    <row r="3969" spans="1:12" ht="9.1999999999999993" customHeight="1">
      <c r="A3969" s="712">
        <v>13</v>
      </c>
      <c r="B3969" s="713" t="s">
        <v>692</v>
      </c>
      <c r="C3969" s="714">
        <f>VLOOKUP(C3953,'Luong VP'!$B$10:$AP$189,19,0)</f>
        <v>0</v>
      </c>
      <c r="D3969" s="717"/>
      <c r="E3969" s="710">
        <v>3</v>
      </c>
      <c r="F3969" s="716" t="s">
        <v>693</v>
      </c>
      <c r="G3969" s="719"/>
      <c r="H3969" s="719"/>
      <c r="I3969" s="729"/>
      <c r="J3969" s="714">
        <f>VLOOKUP(C3953,'Luong VP'!$B$10:$AP$189,40,0)</f>
        <v>0</v>
      </c>
      <c r="K3969" s="731"/>
      <c r="L3969" s="715"/>
    </row>
    <row r="3970" spans="1:12" ht="9.1999999999999993" customHeight="1">
      <c r="A3970" s="712">
        <v>14</v>
      </c>
      <c r="B3970" s="713" t="s">
        <v>694</v>
      </c>
      <c r="C3970" s="714">
        <f>VLOOKUP(C3953,'Luong VP'!$B$10:$AP$189,20,0)</f>
        <v>0</v>
      </c>
      <c r="D3970" s="717"/>
      <c r="E3970" s="710">
        <v>4</v>
      </c>
      <c r="F3970" s="718" t="s">
        <v>695</v>
      </c>
      <c r="G3970" s="719"/>
      <c r="H3970" s="719"/>
      <c r="I3970" s="729"/>
      <c r="J3970" s="714">
        <f>VLOOKUP(C3953,'Luong VP'!$B$10:$AP$189,35,0)</f>
        <v>0</v>
      </c>
      <c r="K3970" s="732"/>
      <c r="L3970" s="715"/>
    </row>
    <row r="3971" spans="1:12" ht="9.1999999999999993" customHeight="1">
      <c r="A3971" s="712"/>
      <c r="B3971" s="707" t="s">
        <v>656</v>
      </c>
      <c r="C3971" s="714">
        <f>SUM(C3957:C3970)</f>
        <v>7390</v>
      </c>
      <c r="D3971" s="717"/>
      <c r="E3971" s="710"/>
      <c r="F3971" s="716" t="s">
        <v>241</v>
      </c>
      <c r="G3971" s="719"/>
      <c r="H3971" s="719"/>
      <c r="I3971" s="729"/>
      <c r="J3971" s="730">
        <f>SUM(J3958:J3970)+C3965</f>
        <v>13628.076923076922</v>
      </c>
      <c r="K3971" s="731"/>
      <c r="L3971" s="715"/>
    </row>
    <row r="3972" spans="1:12" ht="9.1999999999999993" customHeight="1">
      <c r="B3972" s="720"/>
      <c r="C3972" s="717"/>
      <c r="D3972" s="717"/>
      <c r="E3972" s="710" t="s">
        <v>696</v>
      </c>
      <c r="F3972" s="711" t="s">
        <v>697</v>
      </c>
      <c r="G3972" s="710"/>
      <c r="H3972" s="710"/>
      <c r="I3972" s="729"/>
      <c r="J3972" s="730">
        <f>SUM(J3973:J3975)</f>
        <v>504</v>
      </c>
      <c r="K3972" s="732"/>
      <c r="L3972" s="715"/>
    </row>
    <row r="3973" spans="1:12" ht="9.1999999999999993" customHeight="1">
      <c r="B3973" s="720"/>
      <c r="C3973" s="717"/>
      <c r="D3973" s="717"/>
      <c r="E3973" s="710">
        <v>1</v>
      </c>
      <c r="F3973" s="718" t="s">
        <v>698</v>
      </c>
      <c r="G3973" s="718"/>
      <c r="H3973" s="718"/>
      <c r="I3973" s="733"/>
      <c r="J3973" s="714">
        <f>VLOOKUP(C3953,'Luong VP'!$B$10:$AP$189,37,0)</f>
        <v>504</v>
      </c>
      <c r="K3973" s="732"/>
      <c r="L3973" s="715"/>
    </row>
    <row r="3974" spans="1:12" ht="9.1999999999999993" customHeight="1">
      <c r="B3974" s="720"/>
      <c r="C3974" s="717"/>
      <c r="D3974" s="717"/>
      <c r="E3974" s="710">
        <v>2</v>
      </c>
      <c r="F3974" s="718" t="s">
        <v>244</v>
      </c>
      <c r="G3974" s="718"/>
      <c r="H3974" s="718"/>
      <c r="I3974" s="729"/>
      <c r="J3974" s="714">
        <f>VLOOKUP(C3953,'Luong VP'!$B$10:$AP$189,39,0)</f>
        <v>0</v>
      </c>
      <c r="K3974" s="734"/>
      <c r="L3974" s="735"/>
    </row>
    <row r="3975" spans="1:12" ht="9.1999999999999993" customHeight="1">
      <c r="B3975" s="720"/>
      <c r="C3975" s="717"/>
      <c r="D3975" s="717"/>
      <c r="E3975" s="710"/>
      <c r="F3975" s="718" t="s">
        <v>699</v>
      </c>
      <c r="G3975" s="718"/>
      <c r="H3975" s="718"/>
      <c r="I3975" s="729"/>
      <c r="J3975" s="714"/>
      <c r="K3975" s="714"/>
      <c r="L3975" s="736"/>
    </row>
    <row r="3976" spans="1:12" ht="9.1999999999999993" customHeight="1">
      <c r="B3976" s="720"/>
      <c r="C3976" s="717"/>
      <c r="D3976" s="717"/>
      <c r="E3976" s="710" t="s">
        <v>700</v>
      </c>
      <c r="F3976" s="710" t="s">
        <v>246</v>
      </c>
      <c r="G3976" s="710"/>
      <c r="H3976" s="710"/>
      <c r="I3976" s="729"/>
      <c r="J3976" s="728">
        <f>J3971-J3972</f>
        <v>13124.076923076922</v>
      </c>
      <c r="K3976" s="728">
        <f>ROUND(J3976,-1)</f>
        <v>13120</v>
      </c>
      <c r="L3976" s="710"/>
    </row>
    <row r="3977" spans="1:12" ht="9.1999999999999993" customHeight="1">
      <c r="B3977" s="720"/>
      <c r="C3977" s="717"/>
      <c r="D3977" s="717"/>
      <c r="E3977" s="715"/>
      <c r="F3977" s="715"/>
      <c r="G3977" s="715"/>
      <c r="I3977" s="715" t="s">
        <v>701</v>
      </c>
      <c r="J3977" s="737"/>
      <c r="K3977" s="737"/>
      <c r="L3977" s="715"/>
    </row>
    <row r="3978" spans="1:12" ht="9.1999999999999993" customHeight="1">
      <c r="B3978" s="720"/>
      <c r="C3978" s="717"/>
      <c r="D3978" s="717"/>
      <c r="E3978" s="715"/>
      <c r="F3978" s="715"/>
      <c r="G3978" s="715"/>
      <c r="I3978" s="715"/>
      <c r="J3978" s="737"/>
      <c r="K3978" s="737"/>
      <c r="L3978" s="715"/>
    </row>
    <row r="3979" spans="1:12" ht="9.1999999999999993" customHeight="1">
      <c r="B3979" s="720"/>
      <c r="C3979" s="717"/>
      <c r="D3979" s="717"/>
      <c r="E3979" s="715"/>
      <c r="F3979" s="715"/>
      <c r="G3979" s="715"/>
      <c r="I3979" s="715"/>
      <c r="J3979" s="737"/>
      <c r="K3979" s="737"/>
      <c r="L3979" s="715"/>
    </row>
    <row r="3980" spans="1:12" ht="9.1999999999999993" customHeight="1">
      <c r="B3980" s="720"/>
      <c r="C3980" s="717"/>
      <c r="D3980" s="717"/>
      <c r="E3980" s="715"/>
      <c r="F3980" s="715"/>
      <c r="G3980" s="715"/>
      <c r="I3980" s="715"/>
      <c r="J3980" s="737"/>
      <c r="K3980" s="737"/>
      <c r="L3980" s="715"/>
    </row>
    <row r="3981" spans="1:12" ht="9.1999999999999993" customHeight="1">
      <c r="C3981" s="696"/>
      <c r="D3981" s="696"/>
      <c r="E3981" s="697" t="str">
        <f>$E$2</f>
        <v>THẺ LƯƠNG THÁNG 08/2019</v>
      </c>
      <c r="F3981" s="698"/>
      <c r="G3981" s="698"/>
      <c r="H3981" s="698"/>
    </row>
    <row r="3982" spans="1:12" ht="9.1999999999999993" customHeight="1">
      <c r="B3982" s="699" t="s">
        <v>644</v>
      </c>
      <c r="C3982" s="700" t="s">
        <v>545</v>
      </c>
      <c r="D3982" s="701"/>
      <c r="F3982" s="702" t="s">
        <v>645</v>
      </c>
      <c r="G3982" s="689" t="str">
        <f>VLOOKUP(C3982,'Luong VP'!$B$10:$AP$189,2,0)</f>
        <v>Nguyễn Huy Cường</v>
      </c>
    </row>
    <row r="3983" spans="1:12" ht="9.1999999999999993" customHeight="1">
      <c r="B3983" s="699" t="s">
        <v>646</v>
      </c>
      <c r="C3983" s="689" t="str">
        <f>VLOOKUP(C3982,'Luong VP'!$B$10:$AP$189,3,0)</f>
        <v>NV sale</v>
      </c>
      <c r="F3983" s="702" t="s">
        <v>647</v>
      </c>
      <c r="G3983" s="689">
        <f>VLOOKUP(C3982,'Luong VP'!$B$10:$AP$189,5,0)</f>
        <v>2</v>
      </c>
    </row>
    <row r="3984" spans="1:12" ht="9.1999999999999993" customHeight="1">
      <c r="B3984" s="703"/>
      <c r="C3984" s="704"/>
      <c r="D3984" s="705"/>
      <c r="F3984" s="706" t="s">
        <v>648</v>
      </c>
      <c r="G3984" s="706"/>
      <c r="H3984" s="706"/>
      <c r="I3984" s="725"/>
      <c r="J3984" s="726"/>
    </row>
    <row r="3985" spans="1:12" ht="9.1999999999999993" customHeight="1">
      <c r="A3985" s="707" t="s">
        <v>216</v>
      </c>
      <c r="B3985" s="707" t="s">
        <v>649</v>
      </c>
      <c r="C3985" s="708" t="s">
        <v>650</v>
      </c>
      <c r="D3985" s="709"/>
      <c r="E3985" s="710" t="s">
        <v>216</v>
      </c>
      <c r="F3985" s="711" t="s">
        <v>649</v>
      </c>
      <c r="G3985" s="710"/>
      <c r="H3985" s="710" t="s">
        <v>651</v>
      </c>
      <c r="I3985" s="727" t="s">
        <v>652</v>
      </c>
      <c r="J3985" s="714"/>
      <c r="L3985" s="694" t="s">
        <v>653</v>
      </c>
    </row>
    <row r="3986" spans="1:12" ht="9.1999999999999993" customHeight="1">
      <c r="A3986" s="712">
        <v>1</v>
      </c>
      <c r="B3986" s="713" t="s">
        <v>654</v>
      </c>
      <c r="C3986" s="714">
        <f>VLOOKUP(C3982,'Luong VP'!$B$10:$AP$189,9,0)</f>
        <v>6190</v>
      </c>
      <c r="D3986" s="715"/>
      <c r="E3986" s="710" t="s">
        <v>655</v>
      </c>
      <c r="F3986" s="716" t="s">
        <v>656</v>
      </c>
      <c r="G3986" s="710"/>
      <c r="H3986" s="710"/>
      <c r="I3986" s="727"/>
      <c r="J3986" s="714">
        <f>VLOOKUP(C3982,'Luong VP'!$B$10:$AP$189,21,0)</f>
        <v>7190</v>
      </c>
    </row>
    <row r="3987" spans="1:12" ht="9.1999999999999993" customHeight="1">
      <c r="A3987" s="712">
        <v>2</v>
      </c>
      <c r="B3987" s="713" t="s">
        <v>658</v>
      </c>
      <c r="C3987" s="714"/>
      <c r="D3987" s="717"/>
      <c r="E3987" s="710">
        <v>1</v>
      </c>
      <c r="F3987" s="718" t="s">
        <v>659</v>
      </c>
      <c r="G3987" s="718"/>
      <c r="H3987" s="710" t="s">
        <v>660</v>
      </c>
      <c r="I3987" s="727">
        <f>VLOOKUP(C3982,'Luong VP'!$B$10:$AP$189,22,0)</f>
        <v>26</v>
      </c>
      <c r="J3987" s="728">
        <f>J3986/'Cham cong'!$AS$3*I3987</f>
        <v>7190</v>
      </c>
    </row>
    <row r="3988" spans="1:12" ht="9.1999999999999993" customHeight="1">
      <c r="A3988" s="712">
        <v>3</v>
      </c>
      <c r="B3988" s="713" t="s">
        <v>661</v>
      </c>
      <c r="C3988" s="714">
        <f>VLOOKUP(C3982,'Luong VP'!$B$10:$AP$189,10,0)</f>
        <v>0</v>
      </c>
      <c r="D3988" s="717"/>
      <c r="E3988" s="710">
        <v>2</v>
      </c>
      <c r="F3988" s="718" t="s">
        <v>662</v>
      </c>
      <c r="G3988" s="718"/>
      <c r="H3988" s="710" t="s">
        <v>660</v>
      </c>
      <c r="I3988" s="727">
        <f>VLOOKUP(C3982,'Luong VP'!$B$10:$AP$189,27,0)</f>
        <v>0</v>
      </c>
      <c r="J3988" s="728">
        <f>J3986/'Cham cong'!$AS$3*I3988*3</f>
        <v>0</v>
      </c>
    </row>
    <row r="3989" spans="1:12" ht="9.1999999999999993" customHeight="1">
      <c r="A3989" s="712">
        <v>4</v>
      </c>
      <c r="B3989" s="713" t="s">
        <v>666</v>
      </c>
      <c r="C3989" s="714">
        <f>VLOOKUP(C3982,'Luong VP'!$B$10:$AP$189,11,0)</f>
        <v>0</v>
      </c>
      <c r="D3989" s="717"/>
      <c r="E3989" s="710">
        <v>3</v>
      </c>
      <c r="F3989" s="718" t="s">
        <v>667</v>
      </c>
      <c r="G3989" s="718"/>
      <c r="H3989" s="710" t="s">
        <v>668</v>
      </c>
      <c r="I3989" s="727">
        <f>VLOOKUP(C3982,'Luong VP'!$B$10:$AP$189,26,0)</f>
        <v>0</v>
      </c>
      <c r="J3989" s="728">
        <f>J3986/'Cham cong'!$AS$3*I3989/8*1.5</f>
        <v>0</v>
      </c>
    </row>
    <row r="3990" spans="1:12" ht="9.1999999999999993" customHeight="1">
      <c r="A3990" s="712">
        <v>5</v>
      </c>
      <c r="B3990" s="713" t="s">
        <v>670</v>
      </c>
      <c r="C3990" s="714">
        <f>VLOOKUP(C3982,'Luong VP'!$B$10:$AP$189,12,0)</f>
        <v>0</v>
      </c>
      <c r="D3990" s="717"/>
      <c r="E3990" s="710">
        <v>4</v>
      </c>
      <c r="F3990" s="718" t="s">
        <v>671</v>
      </c>
      <c r="G3990" s="718"/>
      <c r="H3990" s="710" t="s">
        <v>668</v>
      </c>
      <c r="I3990" s="727">
        <f>VLOOKUP(C3982,'Luong VP'!$B$10:$AP$189,25,0)</f>
        <v>0</v>
      </c>
      <c r="J3990" s="728">
        <f>J3986/'Cham cong'!$AS$3*I3990/8*2</f>
        <v>0</v>
      </c>
    </row>
    <row r="3991" spans="1:12" ht="9.1999999999999993" customHeight="1">
      <c r="A3991" s="712">
        <v>6</v>
      </c>
      <c r="B3991" s="713" t="s">
        <v>673</v>
      </c>
      <c r="C3991" s="714">
        <f>VLOOKUP(C3982,'Luong VP'!$B$10:$AP$189,13,0)</f>
        <v>0</v>
      </c>
      <c r="D3991" s="717"/>
      <c r="E3991" s="710">
        <v>5</v>
      </c>
      <c r="F3991" s="718" t="s">
        <v>674</v>
      </c>
      <c r="G3991" s="718"/>
      <c r="H3991" s="710" t="s">
        <v>660</v>
      </c>
      <c r="I3991" s="727">
        <f>VLOOKUP(C3982,'Luong VP'!$B$10:$AP$189,23,0)</f>
        <v>0</v>
      </c>
      <c r="J3991" s="728">
        <f>C3986/'Cham cong'!$AS$3*I3991</f>
        <v>0</v>
      </c>
      <c r="L3991" s="694" t="str">
        <f>G3982</f>
        <v>Nguyễn Huy Cường</v>
      </c>
    </row>
    <row r="3992" spans="1:12" ht="9.1999999999999993" customHeight="1">
      <c r="A3992" s="712">
        <v>7</v>
      </c>
      <c r="B3992" s="713" t="s">
        <v>676</v>
      </c>
      <c r="C3992" s="714"/>
      <c r="D3992" s="717"/>
      <c r="E3992" s="710">
        <v>6</v>
      </c>
      <c r="F3992" s="718" t="s">
        <v>677</v>
      </c>
      <c r="G3992" s="718"/>
      <c r="H3992" s="710" t="s">
        <v>660</v>
      </c>
      <c r="I3992" s="727">
        <f>VLOOKUP(C3982,'Luong VP'!$B$10:$AP$189,24,0)</f>
        <v>1</v>
      </c>
      <c r="J3992" s="714">
        <f>C3986/'Cham cong'!$AS$3*I3992</f>
        <v>238.07692307692307</v>
      </c>
    </row>
    <row r="3993" spans="1:12" ht="9.1999999999999993" customHeight="1">
      <c r="A3993" s="712">
        <v>8</v>
      </c>
      <c r="B3993" s="713" t="s">
        <v>679</v>
      </c>
      <c r="C3993" s="714">
        <f>VLOOKUP(C3982,'Luong VP'!$B$10:$AP$189,14,0)</f>
        <v>500</v>
      </c>
      <c r="D3993" s="717"/>
      <c r="E3993" s="710">
        <v>7</v>
      </c>
      <c r="F3993" s="718" t="s">
        <v>680</v>
      </c>
      <c r="G3993" s="718"/>
      <c r="H3993" s="718"/>
      <c r="I3993" s="729"/>
      <c r="J3993" s="714">
        <f>VLOOKUP(C3982,'Luong VP'!$B$10:$AP$189,28,0)</f>
        <v>0</v>
      </c>
    </row>
    <row r="3994" spans="1:12" ht="9.1999999999999993" customHeight="1">
      <c r="A3994" s="712">
        <v>9</v>
      </c>
      <c r="B3994" s="713" t="s">
        <v>683</v>
      </c>
      <c r="C3994" s="714">
        <f>VLOOKUP(C3982,'Luong VP'!$B$10:$AP$189,15,0)</f>
        <v>200</v>
      </c>
      <c r="D3994" s="717"/>
      <c r="E3994" s="710">
        <v>8</v>
      </c>
      <c r="F3994" s="718" t="s">
        <v>238</v>
      </c>
      <c r="G3994" s="718"/>
      <c r="H3994" s="771" t="s">
        <v>660</v>
      </c>
      <c r="I3994" s="787"/>
      <c r="J3994" s="775"/>
    </row>
    <row r="3995" spans="1:12" ht="9.1999999999999993" customHeight="1">
      <c r="A3995" s="712">
        <v>10</v>
      </c>
      <c r="B3995" s="713" t="s">
        <v>685</v>
      </c>
      <c r="C3995" s="714">
        <f>VLOOKUP(C3982,'Luong VP'!$B$10:$AP$189,16,0)</f>
        <v>500</v>
      </c>
      <c r="D3995" s="717"/>
      <c r="E3995" s="710" t="s">
        <v>686</v>
      </c>
      <c r="F3995" s="716" t="s">
        <v>687</v>
      </c>
      <c r="G3995" s="719"/>
      <c r="H3995" s="719"/>
      <c r="I3995" s="729"/>
      <c r="J3995" s="730"/>
    </row>
    <row r="3996" spans="1:12" ht="9.1999999999999993" customHeight="1">
      <c r="A3996" s="712">
        <v>11</v>
      </c>
      <c r="B3996" s="713" t="s">
        <v>688</v>
      </c>
      <c r="C3996" s="714">
        <f>VLOOKUP(C3982,'Luong VP'!$B$10:$AP$189,17,0)</f>
        <v>0</v>
      </c>
      <c r="D3996" s="717"/>
      <c r="E3996" s="710">
        <v>1</v>
      </c>
      <c r="F3996" s="716" t="s">
        <v>689</v>
      </c>
      <c r="G3996" s="719"/>
      <c r="H3996" s="719"/>
      <c r="I3996" s="714">
        <f>VLOOKUP(C3982,'Luong VP'!$B$10:$AP$189,29,0)</f>
        <v>0</v>
      </c>
      <c r="J3996" s="714">
        <f>VLOOKUP(C3982,'Luong VP'!$B$10:$AP$189,30,0)</f>
        <v>4000</v>
      </c>
    </row>
    <row r="3997" spans="1:12" ht="9.1999999999999993" customHeight="1">
      <c r="A3997" s="712">
        <v>12</v>
      </c>
      <c r="B3997" s="713" t="s">
        <v>691</v>
      </c>
      <c r="C3997" s="714">
        <f>VLOOKUP(C3982,'Luong VP'!$B$10:$AP$189,18,0)</f>
        <v>0</v>
      </c>
      <c r="D3997" s="717"/>
      <c r="E3997" s="710">
        <v>2</v>
      </c>
      <c r="F3997" s="718" t="s">
        <v>239</v>
      </c>
      <c r="G3997" s="718"/>
      <c r="H3997" s="718"/>
      <c r="I3997" s="727"/>
      <c r="J3997" s="728">
        <f>VLOOKUP(C3982,'Luong VP'!$B$10:$AP$189,34,0)</f>
        <v>0</v>
      </c>
      <c r="K3997" s="731"/>
      <c r="L3997" s="715"/>
    </row>
    <row r="3998" spans="1:12" ht="9.1999999999999993" customHeight="1">
      <c r="A3998" s="712">
        <v>13</v>
      </c>
      <c r="B3998" s="713" t="s">
        <v>692</v>
      </c>
      <c r="C3998" s="714">
        <f>VLOOKUP(C3982,'Luong VP'!$B$10:$AP$189,19,0)</f>
        <v>0</v>
      </c>
      <c r="D3998" s="717"/>
      <c r="E3998" s="710">
        <v>3</v>
      </c>
      <c r="F3998" s="716" t="s">
        <v>693</v>
      </c>
      <c r="G3998" s="719"/>
      <c r="H3998" s="719"/>
      <c r="I3998" s="729"/>
      <c r="J3998" s="714">
        <f>VLOOKUP(C3982,'Luong VP'!$B$10:$AP$189,40,0)</f>
        <v>0</v>
      </c>
      <c r="K3998" s="731"/>
      <c r="L3998" s="715"/>
    </row>
    <row r="3999" spans="1:12" ht="9.1999999999999993" customHeight="1">
      <c r="A3999" s="712">
        <v>14</v>
      </c>
      <c r="B3999" s="713" t="s">
        <v>694</v>
      </c>
      <c r="C3999" s="714">
        <f>VLOOKUP(C3982,'Luong VP'!$B$10:$AP$189,20,0)</f>
        <v>0</v>
      </c>
      <c r="D3999" s="717"/>
      <c r="E3999" s="710">
        <v>4</v>
      </c>
      <c r="F3999" s="718" t="s">
        <v>695</v>
      </c>
      <c r="G3999" s="719"/>
      <c r="H3999" s="719"/>
      <c r="I3999" s="729"/>
      <c r="J3999" s="714">
        <f>VLOOKUP(C3982,'Luong VP'!$B$10:$AP$189,35,0)</f>
        <v>0</v>
      </c>
      <c r="K3999" s="732"/>
      <c r="L3999" s="715"/>
    </row>
    <row r="4000" spans="1:12" ht="9.1999999999999993" customHeight="1">
      <c r="A4000" s="712"/>
      <c r="B4000" s="707" t="s">
        <v>656</v>
      </c>
      <c r="C4000" s="714">
        <f>SUM(C3986:C3999)</f>
        <v>7390</v>
      </c>
      <c r="D4000" s="717"/>
      <c r="E4000" s="710"/>
      <c r="F4000" s="716" t="s">
        <v>241</v>
      </c>
      <c r="G4000" s="719"/>
      <c r="H4000" s="719"/>
      <c r="I4000" s="729"/>
      <c r="J4000" s="730">
        <f>SUM(J3987:J3999)+C3994</f>
        <v>11628.076923076922</v>
      </c>
      <c r="K4000" s="731"/>
      <c r="L4000" s="715"/>
    </row>
    <row r="4001" spans="1:12" ht="9.1999999999999993" customHeight="1">
      <c r="B4001" s="720"/>
      <c r="C4001" s="717"/>
      <c r="D4001" s="717"/>
      <c r="E4001" s="710" t="s">
        <v>696</v>
      </c>
      <c r="F4001" s="711" t="s">
        <v>697</v>
      </c>
      <c r="G4001" s="710"/>
      <c r="H4001" s="710"/>
      <c r="I4001" s="729"/>
      <c r="J4001" s="730">
        <f>SUM(J4002:J4004)</f>
        <v>504</v>
      </c>
      <c r="K4001" s="732"/>
      <c r="L4001" s="715"/>
    </row>
    <row r="4002" spans="1:12" ht="9.1999999999999993" customHeight="1">
      <c r="B4002" s="720"/>
      <c r="C4002" s="717"/>
      <c r="D4002" s="717"/>
      <c r="E4002" s="710">
        <v>1</v>
      </c>
      <c r="F4002" s="718" t="s">
        <v>698</v>
      </c>
      <c r="G4002" s="718"/>
      <c r="H4002" s="718"/>
      <c r="I4002" s="733"/>
      <c r="J4002" s="714">
        <f>VLOOKUP(C3982,'Luong VP'!$B$10:$AP$189,37,0)</f>
        <v>504</v>
      </c>
      <c r="K4002" s="732"/>
      <c r="L4002" s="715"/>
    </row>
    <row r="4003" spans="1:12" ht="9.1999999999999993" customHeight="1">
      <c r="B4003" s="720"/>
      <c r="C4003" s="717"/>
      <c r="D4003" s="717"/>
      <c r="E4003" s="710">
        <v>2</v>
      </c>
      <c r="F4003" s="718" t="s">
        <v>244</v>
      </c>
      <c r="G4003" s="718"/>
      <c r="H4003" s="718"/>
      <c r="I4003" s="729"/>
      <c r="J4003" s="714">
        <f>VLOOKUP(C3982,'Luong VP'!$B$10:$AP$189,39,0)</f>
        <v>0</v>
      </c>
      <c r="K4003" s="734"/>
      <c r="L4003" s="735"/>
    </row>
    <row r="4004" spans="1:12" ht="9.1999999999999993" customHeight="1">
      <c r="B4004" s="720"/>
      <c r="C4004" s="717"/>
      <c r="D4004" s="717"/>
      <c r="E4004" s="710"/>
      <c r="F4004" s="718" t="s">
        <v>699</v>
      </c>
      <c r="G4004" s="718"/>
      <c r="H4004" s="718"/>
      <c r="I4004" s="729"/>
      <c r="J4004" s="714"/>
      <c r="K4004" s="714"/>
      <c r="L4004" s="736"/>
    </row>
    <row r="4005" spans="1:12" ht="9.1999999999999993" customHeight="1">
      <c r="B4005" s="720"/>
      <c r="C4005" s="717"/>
      <c r="D4005" s="717"/>
      <c r="E4005" s="710" t="s">
        <v>700</v>
      </c>
      <c r="F4005" s="710" t="s">
        <v>246</v>
      </c>
      <c r="G4005" s="710"/>
      <c r="H4005" s="710"/>
      <c r="I4005" s="729"/>
      <c r="J4005" s="728">
        <f>J4000-J4001</f>
        <v>11124.076923076922</v>
      </c>
      <c r="K4005" s="728">
        <f>ROUND(J4005,-1)</f>
        <v>11120</v>
      </c>
      <c r="L4005" s="710"/>
    </row>
    <row r="4006" spans="1:12" ht="9.1999999999999993" customHeight="1">
      <c r="B4006" s="720"/>
      <c r="C4006" s="717"/>
      <c r="D4006" s="717"/>
      <c r="E4006" s="715"/>
      <c r="F4006" s="715"/>
      <c r="G4006" s="715"/>
      <c r="I4006" s="715" t="s">
        <v>701</v>
      </c>
      <c r="J4006" s="737"/>
      <c r="K4006" s="737"/>
      <c r="L4006" s="715"/>
    </row>
    <row r="4007" spans="1:12" ht="9.1999999999999993" customHeight="1">
      <c r="B4007" s="720"/>
      <c r="C4007" s="717"/>
      <c r="D4007" s="717"/>
      <c r="E4007" s="715"/>
      <c r="F4007" s="715"/>
      <c r="G4007" s="715"/>
      <c r="I4007" s="715"/>
      <c r="J4007" s="737"/>
      <c r="K4007" s="737"/>
      <c r="L4007" s="715"/>
    </row>
    <row r="4008" spans="1:12" ht="9.1999999999999993" customHeight="1">
      <c r="B4008" s="720"/>
      <c r="C4008" s="717"/>
      <c r="D4008" s="717"/>
      <c r="E4008" s="715"/>
      <c r="F4008" s="715"/>
      <c r="G4008" s="715"/>
      <c r="I4008" s="715"/>
      <c r="J4008" s="737"/>
      <c r="K4008" s="737"/>
      <c r="L4008" s="715"/>
    </row>
    <row r="4009" spans="1:12" ht="9.1999999999999993" customHeight="1">
      <c r="B4009" s="720"/>
      <c r="C4009" s="717"/>
      <c r="D4009" s="717"/>
      <c r="E4009" s="715"/>
      <c r="F4009" s="715"/>
      <c r="G4009" s="715"/>
      <c r="I4009" s="715"/>
      <c r="J4009" s="737"/>
      <c r="K4009" s="737"/>
      <c r="L4009" s="715"/>
    </row>
    <row r="4010" spans="1:12" ht="9.1999999999999993" customHeight="1">
      <c r="C4010" s="696"/>
      <c r="D4010" s="696"/>
      <c r="E4010" s="697" t="str">
        <f>$E$2</f>
        <v>THẺ LƯƠNG THÁNG 08/2019</v>
      </c>
      <c r="F4010" s="698"/>
      <c r="G4010" s="698"/>
      <c r="H4010" s="698"/>
    </row>
    <row r="4011" spans="1:12" ht="9.1999999999999993" customHeight="1">
      <c r="B4011" s="699" t="s">
        <v>644</v>
      </c>
      <c r="C4011" s="700" t="s">
        <v>547</v>
      </c>
      <c r="D4011" s="701"/>
      <c r="F4011" s="702" t="s">
        <v>645</v>
      </c>
      <c r="G4011" s="689" t="str">
        <f>VLOOKUP(C4011,'Luong VP'!$B$10:$AP$189,2,0)</f>
        <v>Nguyễn Hóa Giàu</v>
      </c>
    </row>
    <row r="4012" spans="1:12" ht="9.1999999999999993" customHeight="1">
      <c r="B4012" s="699" t="s">
        <v>646</v>
      </c>
      <c r="C4012" s="689" t="str">
        <f>VLOOKUP(C4011,'Luong VP'!$B$10:$AP$189,3,0)</f>
        <v>NV sale</v>
      </c>
      <c r="F4012" s="702" t="s">
        <v>647</v>
      </c>
      <c r="G4012" s="689">
        <f>VLOOKUP(C4011,'Luong VP'!$B$10:$AP$189,5,0)</f>
        <v>2</v>
      </c>
    </row>
    <row r="4013" spans="1:12" ht="9.1999999999999993" customHeight="1">
      <c r="B4013" s="703"/>
      <c r="C4013" s="704"/>
      <c r="D4013" s="705"/>
      <c r="F4013" s="706" t="s">
        <v>648</v>
      </c>
      <c r="G4013" s="706"/>
      <c r="H4013" s="706"/>
      <c r="I4013" s="725"/>
      <c r="J4013" s="726"/>
    </row>
    <row r="4014" spans="1:12" ht="9.1999999999999993" customHeight="1">
      <c r="A4014" s="707" t="s">
        <v>216</v>
      </c>
      <c r="B4014" s="707" t="s">
        <v>649</v>
      </c>
      <c r="C4014" s="708" t="s">
        <v>650</v>
      </c>
      <c r="D4014" s="709"/>
      <c r="E4014" s="710" t="s">
        <v>216</v>
      </c>
      <c r="F4014" s="711" t="s">
        <v>649</v>
      </c>
      <c r="G4014" s="710"/>
      <c r="H4014" s="710" t="s">
        <v>651</v>
      </c>
      <c r="I4014" s="727" t="s">
        <v>652</v>
      </c>
      <c r="J4014" s="714"/>
      <c r="L4014" s="694" t="s">
        <v>653</v>
      </c>
    </row>
    <row r="4015" spans="1:12" ht="9.1999999999999993" customHeight="1">
      <c r="A4015" s="712">
        <v>1</v>
      </c>
      <c r="B4015" s="713" t="s">
        <v>654</v>
      </c>
      <c r="C4015" s="714">
        <f>VLOOKUP(C4011,'Luong VP'!$B$10:$AP$189,9,0)</f>
        <v>6190</v>
      </c>
      <c r="D4015" s="715"/>
      <c r="E4015" s="710" t="s">
        <v>655</v>
      </c>
      <c r="F4015" s="716" t="s">
        <v>656</v>
      </c>
      <c r="G4015" s="710"/>
      <c r="H4015" s="710"/>
      <c r="I4015" s="727"/>
      <c r="J4015" s="714">
        <f>VLOOKUP(C4011,'Luong VP'!$B$10:$AP$189,21,0)</f>
        <v>7190</v>
      </c>
    </row>
    <row r="4016" spans="1:12" ht="9.1999999999999993" customHeight="1">
      <c r="A4016" s="712">
        <v>2</v>
      </c>
      <c r="B4016" s="713" t="s">
        <v>658</v>
      </c>
      <c r="C4016" s="714"/>
      <c r="D4016" s="717"/>
      <c r="E4016" s="710">
        <v>1</v>
      </c>
      <c r="F4016" s="718" t="s">
        <v>659</v>
      </c>
      <c r="G4016" s="718"/>
      <c r="H4016" s="710" t="s">
        <v>660</v>
      </c>
      <c r="I4016" s="727">
        <f>VLOOKUP(C4011,'Luong VP'!$B$10:$AP$189,22,0)</f>
        <v>26</v>
      </c>
      <c r="J4016" s="728">
        <f>J4015/'Cham cong'!$AS$3*I4016</f>
        <v>7190</v>
      </c>
    </row>
    <row r="4017" spans="1:12" ht="9.1999999999999993" customHeight="1">
      <c r="A4017" s="712">
        <v>3</v>
      </c>
      <c r="B4017" s="713" t="s">
        <v>661</v>
      </c>
      <c r="C4017" s="714">
        <f>VLOOKUP(C4011,'Luong VP'!$B$10:$AP$189,10,0)</f>
        <v>0</v>
      </c>
      <c r="D4017" s="717"/>
      <c r="E4017" s="710">
        <v>2</v>
      </c>
      <c r="F4017" s="718" t="s">
        <v>662</v>
      </c>
      <c r="G4017" s="718"/>
      <c r="H4017" s="710" t="s">
        <v>660</v>
      </c>
      <c r="I4017" s="727">
        <f>VLOOKUP(C4011,'Luong VP'!$B$10:$AP$189,27,0)</f>
        <v>0</v>
      </c>
      <c r="J4017" s="728">
        <f>J4015/'Cham cong'!$AS$3*I4017*3</f>
        <v>0</v>
      </c>
    </row>
    <row r="4018" spans="1:12" ht="9.1999999999999993" customHeight="1">
      <c r="A4018" s="712">
        <v>4</v>
      </c>
      <c r="B4018" s="713" t="s">
        <v>666</v>
      </c>
      <c r="C4018" s="714">
        <f>VLOOKUP(C4011,'Luong VP'!$B$10:$AP$189,11,0)</f>
        <v>0</v>
      </c>
      <c r="D4018" s="717"/>
      <c r="E4018" s="710">
        <v>3</v>
      </c>
      <c r="F4018" s="718" t="s">
        <v>667</v>
      </c>
      <c r="G4018" s="718"/>
      <c r="H4018" s="710" t="s">
        <v>668</v>
      </c>
      <c r="I4018" s="727">
        <f>VLOOKUP(C4011,'Luong VP'!$B$10:$AP$189,26,0)</f>
        <v>0</v>
      </c>
      <c r="J4018" s="728">
        <f>J4015/'Cham cong'!$AS$3*I4018/8*1.5</f>
        <v>0</v>
      </c>
    </row>
    <row r="4019" spans="1:12" ht="9.1999999999999993" customHeight="1">
      <c r="A4019" s="712">
        <v>5</v>
      </c>
      <c r="B4019" s="713" t="s">
        <v>670</v>
      </c>
      <c r="C4019" s="714">
        <f>VLOOKUP(C4011,'Luong VP'!$B$10:$AP$189,12,0)</f>
        <v>0</v>
      </c>
      <c r="D4019" s="717"/>
      <c r="E4019" s="710">
        <v>4</v>
      </c>
      <c r="F4019" s="718" t="s">
        <v>671</v>
      </c>
      <c r="G4019" s="718"/>
      <c r="H4019" s="710" t="s">
        <v>668</v>
      </c>
      <c r="I4019" s="727">
        <f>VLOOKUP(C4011,'Luong VP'!$B$10:$AP$189,25,0)</f>
        <v>0</v>
      </c>
      <c r="J4019" s="728">
        <f>J4015/'Cham cong'!$AS$3*I4019/8*2</f>
        <v>0</v>
      </c>
    </row>
    <row r="4020" spans="1:12" ht="9.1999999999999993" customHeight="1">
      <c r="A4020" s="712">
        <v>6</v>
      </c>
      <c r="B4020" s="713" t="s">
        <v>673</v>
      </c>
      <c r="C4020" s="714">
        <f>VLOOKUP(C4011,'Luong VP'!$B$10:$AP$189,13,0)</f>
        <v>0</v>
      </c>
      <c r="D4020" s="717"/>
      <c r="E4020" s="710">
        <v>5</v>
      </c>
      <c r="F4020" s="718" t="s">
        <v>674</v>
      </c>
      <c r="G4020" s="718"/>
      <c r="H4020" s="710" t="s">
        <v>660</v>
      </c>
      <c r="I4020" s="727">
        <f>VLOOKUP(C4011,'Luong VP'!$B$10:$AP$189,23,0)</f>
        <v>0</v>
      </c>
      <c r="J4020" s="728">
        <f>C4015/'Cham cong'!$AS$3*I4020</f>
        <v>0</v>
      </c>
      <c r="L4020" s="694" t="str">
        <f>G4011</f>
        <v>Nguyễn Hóa Giàu</v>
      </c>
    </row>
    <row r="4021" spans="1:12" ht="9.1999999999999993" customHeight="1">
      <c r="A4021" s="712">
        <v>7</v>
      </c>
      <c r="B4021" s="713" t="s">
        <v>676</v>
      </c>
      <c r="C4021" s="714"/>
      <c r="D4021" s="717"/>
      <c r="E4021" s="710">
        <v>6</v>
      </c>
      <c r="F4021" s="718" t="s">
        <v>677</v>
      </c>
      <c r="G4021" s="718"/>
      <c r="H4021" s="710" t="s">
        <v>660</v>
      </c>
      <c r="I4021" s="727">
        <f>VLOOKUP(C4011,'Luong VP'!$B$10:$AP$189,24,0)</f>
        <v>1</v>
      </c>
      <c r="J4021" s="714">
        <f>C4015/'Cham cong'!$AS$3*I4021</f>
        <v>238.07692307692307</v>
      </c>
    </row>
    <row r="4022" spans="1:12" ht="9.1999999999999993" customHeight="1">
      <c r="A4022" s="712">
        <v>8</v>
      </c>
      <c r="B4022" s="713" t="s">
        <v>679</v>
      </c>
      <c r="C4022" s="714">
        <f>VLOOKUP(C4011,'Luong VP'!$B$10:$AP$189,14,0)</f>
        <v>500</v>
      </c>
      <c r="D4022" s="717"/>
      <c r="E4022" s="710">
        <v>7</v>
      </c>
      <c r="F4022" s="718" t="s">
        <v>680</v>
      </c>
      <c r="G4022" s="718"/>
      <c r="H4022" s="718"/>
      <c r="I4022" s="729"/>
      <c r="J4022" s="714">
        <f>VLOOKUP(C4011,'Luong VP'!$B$10:$AP$189,28,0)</f>
        <v>0</v>
      </c>
    </row>
    <row r="4023" spans="1:12" ht="9.1999999999999993" customHeight="1">
      <c r="A4023" s="712">
        <v>9</v>
      </c>
      <c r="B4023" s="713" t="s">
        <v>683</v>
      </c>
      <c r="C4023" s="714">
        <f>VLOOKUP(C4011,'Luong VP'!$B$10:$AP$189,15,0)</f>
        <v>200</v>
      </c>
      <c r="D4023" s="717"/>
      <c r="E4023" s="710">
        <v>8</v>
      </c>
      <c r="F4023" s="718" t="s">
        <v>238</v>
      </c>
      <c r="G4023" s="718"/>
      <c r="H4023" s="779" t="s">
        <v>660</v>
      </c>
      <c r="I4023" s="787"/>
      <c r="J4023" s="775"/>
    </row>
    <row r="4024" spans="1:12" ht="9.1999999999999993" customHeight="1">
      <c r="A4024" s="712">
        <v>10</v>
      </c>
      <c r="B4024" s="713" t="s">
        <v>685</v>
      </c>
      <c r="C4024" s="714">
        <f>VLOOKUP(C4011,'Luong VP'!$B$10:$AP$189,16,0)</f>
        <v>500</v>
      </c>
      <c r="D4024" s="717"/>
      <c r="E4024" s="710" t="s">
        <v>686</v>
      </c>
      <c r="F4024" s="716" t="s">
        <v>687</v>
      </c>
      <c r="G4024" s="719"/>
      <c r="H4024" s="719"/>
      <c r="I4024" s="729"/>
      <c r="J4024" s="730"/>
    </row>
    <row r="4025" spans="1:12" ht="9.1999999999999993" customHeight="1">
      <c r="A4025" s="712">
        <v>11</v>
      </c>
      <c r="B4025" s="713" t="s">
        <v>688</v>
      </c>
      <c r="C4025" s="714">
        <f>VLOOKUP(C4011,'Luong VP'!$B$10:$AP$189,17,0)</f>
        <v>0</v>
      </c>
      <c r="D4025" s="717"/>
      <c r="E4025" s="710">
        <v>1</v>
      </c>
      <c r="F4025" s="716" t="s">
        <v>689</v>
      </c>
      <c r="G4025" s="719"/>
      <c r="H4025" s="719"/>
      <c r="I4025" s="714">
        <f>VLOOKUP(C4011,'Luong VP'!$B$10:$AP$189,29,0)</f>
        <v>0</v>
      </c>
      <c r="J4025" s="714">
        <f>VLOOKUP(C4011,'Luong VP'!$B$10:$AP$189,30,0)</f>
        <v>4000</v>
      </c>
    </row>
    <row r="4026" spans="1:12" ht="9.1999999999999993" customHeight="1">
      <c r="A4026" s="712">
        <v>12</v>
      </c>
      <c r="B4026" s="713" t="s">
        <v>691</v>
      </c>
      <c r="C4026" s="714">
        <f>VLOOKUP(C4011,'Luong VP'!$B$10:$AP$189,18,0)</f>
        <v>0</v>
      </c>
      <c r="D4026" s="717"/>
      <c r="E4026" s="710">
        <v>2</v>
      </c>
      <c r="F4026" s="718" t="s">
        <v>239</v>
      </c>
      <c r="G4026" s="718"/>
      <c r="H4026" s="718"/>
      <c r="I4026" s="727"/>
      <c r="J4026" s="728">
        <f>VLOOKUP(C4011,'Luong VP'!$B$10:$AP$189,34,0)</f>
        <v>0</v>
      </c>
      <c r="K4026" s="731"/>
      <c r="L4026" s="715"/>
    </row>
    <row r="4027" spans="1:12" ht="9.1999999999999993" customHeight="1">
      <c r="A4027" s="712">
        <v>13</v>
      </c>
      <c r="B4027" s="713" t="s">
        <v>692</v>
      </c>
      <c r="C4027" s="714">
        <f>VLOOKUP(C4011,'Luong VP'!$B$10:$AP$189,19,0)</f>
        <v>0</v>
      </c>
      <c r="D4027" s="717"/>
      <c r="E4027" s="710">
        <v>3</v>
      </c>
      <c r="F4027" s="716" t="s">
        <v>693</v>
      </c>
      <c r="G4027" s="719"/>
      <c r="H4027" s="719"/>
      <c r="I4027" s="729"/>
      <c r="J4027" s="714">
        <f>VLOOKUP(C4011,'Luong VP'!$B$10:$AP$189,40,0)</f>
        <v>0</v>
      </c>
      <c r="K4027" s="731"/>
      <c r="L4027" s="715"/>
    </row>
    <row r="4028" spans="1:12" ht="9.1999999999999993" customHeight="1">
      <c r="A4028" s="712">
        <v>14</v>
      </c>
      <c r="B4028" s="713" t="s">
        <v>694</v>
      </c>
      <c r="C4028" s="714">
        <f>VLOOKUP(C4011,'Luong VP'!$B$10:$AP$189,20,0)</f>
        <v>0</v>
      </c>
      <c r="D4028" s="717"/>
      <c r="E4028" s="710">
        <v>4</v>
      </c>
      <c r="F4028" s="718" t="s">
        <v>695</v>
      </c>
      <c r="G4028" s="719"/>
      <c r="H4028" s="719"/>
      <c r="I4028" s="729"/>
      <c r="J4028" s="714">
        <f>VLOOKUP(C4011,'Luong VP'!$B$10:$AP$189,35,0)</f>
        <v>0</v>
      </c>
      <c r="K4028" s="732"/>
      <c r="L4028" s="715"/>
    </row>
    <row r="4029" spans="1:12" ht="9.1999999999999993" customHeight="1">
      <c r="A4029" s="712"/>
      <c r="B4029" s="707" t="s">
        <v>656</v>
      </c>
      <c r="C4029" s="714">
        <f>SUM(C4015:C4028)</f>
        <v>7390</v>
      </c>
      <c r="D4029" s="717"/>
      <c r="E4029" s="710"/>
      <c r="F4029" s="716" t="s">
        <v>241</v>
      </c>
      <c r="G4029" s="719"/>
      <c r="H4029" s="719"/>
      <c r="I4029" s="729"/>
      <c r="J4029" s="730">
        <f>SUM(J4016:J4028)+C4023</f>
        <v>11628.076923076922</v>
      </c>
      <c r="K4029" s="731"/>
      <c r="L4029" s="715"/>
    </row>
    <row r="4030" spans="1:12" ht="9.1999999999999993" customHeight="1">
      <c r="B4030" s="720"/>
      <c r="C4030" s="717"/>
      <c r="D4030" s="717"/>
      <c r="E4030" s="710" t="s">
        <v>696</v>
      </c>
      <c r="F4030" s="711" t="s">
        <v>697</v>
      </c>
      <c r="G4030" s="710"/>
      <c r="H4030" s="710"/>
      <c r="I4030" s="729"/>
      <c r="J4030" s="730">
        <f>SUM(J4031:J4033)</f>
        <v>504</v>
      </c>
      <c r="K4030" s="732"/>
      <c r="L4030" s="715"/>
    </row>
    <row r="4031" spans="1:12" ht="9.1999999999999993" customHeight="1">
      <c r="B4031" s="720"/>
      <c r="C4031" s="717"/>
      <c r="D4031" s="717"/>
      <c r="E4031" s="710">
        <v>1</v>
      </c>
      <c r="F4031" s="718" t="s">
        <v>698</v>
      </c>
      <c r="G4031" s="718"/>
      <c r="H4031" s="718"/>
      <c r="I4031" s="733"/>
      <c r="J4031" s="714">
        <f>VLOOKUP(C4011,'Luong VP'!$B$10:$AP$189,37,0)</f>
        <v>504</v>
      </c>
      <c r="K4031" s="732"/>
      <c r="L4031" s="715"/>
    </row>
    <row r="4032" spans="1:12" ht="9.1999999999999993" customHeight="1">
      <c r="B4032" s="720"/>
      <c r="C4032" s="717"/>
      <c r="D4032" s="717"/>
      <c r="E4032" s="710">
        <v>2</v>
      </c>
      <c r="F4032" s="718" t="s">
        <v>244</v>
      </c>
      <c r="G4032" s="718"/>
      <c r="H4032" s="718"/>
      <c r="I4032" s="729"/>
      <c r="J4032" s="714">
        <f>VLOOKUP(C4011,'Luong VP'!$B$10:$AP$189,39,0)</f>
        <v>0</v>
      </c>
      <c r="K4032" s="734"/>
      <c r="L4032" s="735"/>
    </row>
    <row r="4033" spans="1:12" ht="9.1999999999999993" customHeight="1">
      <c r="B4033" s="720"/>
      <c r="C4033" s="717"/>
      <c r="D4033" s="717"/>
      <c r="E4033" s="710"/>
      <c r="F4033" s="718" t="s">
        <v>699</v>
      </c>
      <c r="G4033" s="718"/>
      <c r="H4033" s="718"/>
      <c r="I4033" s="729"/>
      <c r="J4033" s="714"/>
      <c r="K4033" s="714"/>
      <c r="L4033" s="736"/>
    </row>
    <row r="4034" spans="1:12" ht="9.1999999999999993" customHeight="1">
      <c r="B4034" s="720"/>
      <c r="C4034" s="717"/>
      <c r="D4034" s="717"/>
      <c r="E4034" s="710" t="s">
        <v>700</v>
      </c>
      <c r="F4034" s="710" t="s">
        <v>246</v>
      </c>
      <c r="G4034" s="710"/>
      <c r="H4034" s="710"/>
      <c r="I4034" s="729"/>
      <c r="J4034" s="728">
        <f>J4029-J4030</f>
        <v>11124.076923076922</v>
      </c>
      <c r="K4034" s="728">
        <f>ROUND(J4034,-1)</f>
        <v>11120</v>
      </c>
      <c r="L4034" s="710"/>
    </row>
    <row r="4035" spans="1:12" ht="9.1999999999999993" customHeight="1">
      <c r="B4035" s="720"/>
      <c r="C4035" s="717"/>
      <c r="D4035" s="717"/>
      <c r="E4035" s="715"/>
      <c r="F4035" s="715"/>
      <c r="G4035" s="715"/>
      <c r="I4035" s="715" t="s">
        <v>701</v>
      </c>
      <c r="J4035" s="737"/>
      <c r="K4035" s="737"/>
      <c r="L4035" s="715"/>
    </row>
    <row r="4036" spans="1:12" ht="9.1999999999999993" customHeight="1">
      <c r="B4036" s="720"/>
      <c r="C4036" s="717"/>
      <c r="D4036" s="717"/>
      <c r="E4036" s="715"/>
      <c r="F4036" s="715"/>
      <c r="G4036" s="715"/>
      <c r="I4036" s="715"/>
      <c r="J4036" s="737"/>
      <c r="K4036" s="737"/>
      <c r="L4036" s="715"/>
    </row>
    <row r="4037" spans="1:12" ht="9.1999999999999993" customHeight="1">
      <c r="B4037" s="720"/>
      <c r="C4037" s="717"/>
      <c r="D4037" s="717"/>
      <c r="E4037" s="715"/>
      <c r="F4037" s="715"/>
      <c r="G4037" s="715"/>
      <c r="I4037" s="715"/>
      <c r="J4037" s="737"/>
      <c r="K4037" s="737"/>
      <c r="L4037" s="715"/>
    </row>
    <row r="4038" spans="1:12" ht="9.1999999999999993" customHeight="1">
      <c r="B4038" s="720"/>
      <c r="C4038" s="717"/>
      <c r="D4038" s="717"/>
      <c r="E4038" s="715"/>
      <c r="F4038" s="715"/>
      <c r="G4038" s="715"/>
      <c r="I4038" s="715"/>
      <c r="J4038" s="737"/>
      <c r="K4038" s="737"/>
      <c r="L4038" s="715"/>
    </row>
    <row r="4039" spans="1:12" ht="9.1999999999999993" customHeight="1">
      <c r="B4039" s="720"/>
      <c r="C4039" s="717"/>
      <c r="D4039" s="717"/>
      <c r="E4039" s="715"/>
      <c r="F4039" s="715"/>
      <c r="G4039" s="715"/>
      <c r="I4039" s="715"/>
      <c r="J4039" s="737"/>
      <c r="K4039" s="737"/>
      <c r="L4039" s="715"/>
    </row>
    <row r="4040" spans="1:12" ht="9.1999999999999993" customHeight="1">
      <c r="B4040" s="720"/>
      <c r="C4040" s="717"/>
      <c r="D4040" s="717"/>
      <c r="E4040" s="715"/>
      <c r="F4040" s="715"/>
      <c r="G4040" s="715"/>
      <c r="I4040" s="715"/>
      <c r="J4040" s="737"/>
      <c r="K4040" s="737"/>
      <c r="L4040" s="715"/>
    </row>
    <row r="4041" spans="1:12" ht="9.1999999999999993" customHeight="1">
      <c r="C4041" s="696"/>
      <c r="D4041" s="696"/>
      <c r="E4041" s="697" t="str">
        <f>$E$2</f>
        <v>THẺ LƯƠNG THÁNG 08/2019</v>
      </c>
      <c r="F4041" s="698"/>
      <c r="G4041" s="698"/>
      <c r="H4041" s="698"/>
    </row>
    <row r="4042" spans="1:12" ht="9.1999999999999993" customHeight="1">
      <c r="B4042" s="699" t="s">
        <v>644</v>
      </c>
      <c r="C4042" s="700" t="s">
        <v>549</v>
      </c>
      <c r="D4042" s="701"/>
      <c r="F4042" s="702" t="s">
        <v>645</v>
      </c>
      <c r="G4042" s="689" t="str">
        <f>VLOOKUP(C4042,'Luong VP'!$B$10:$AP$189,2,0)</f>
        <v>Trần Chí Minh</v>
      </c>
    </row>
    <row r="4043" spans="1:12" ht="9.1999999999999993" customHeight="1">
      <c r="B4043" s="699" t="s">
        <v>646</v>
      </c>
      <c r="C4043" s="689" t="str">
        <f>VLOOKUP(C4042,'Luong VP'!$B$10:$AP$189,3,0)</f>
        <v>Trưởng Trade Marketing</v>
      </c>
      <c r="F4043" s="702" t="s">
        <v>647</v>
      </c>
      <c r="G4043" s="689">
        <f>VLOOKUP(C4042,'Luong VP'!$B$10:$AP$189,5,0)</f>
        <v>4</v>
      </c>
    </row>
    <row r="4044" spans="1:12" ht="9.1999999999999993" customHeight="1">
      <c r="B4044" s="703"/>
      <c r="C4044" s="704"/>
      <c r="D4044" s="705"/>
      <c r="F4044" s="706" t="s">
        <v>648</v>
      </c>
      <c r="G4044" s="706"/>
      <c r="H4044" s="706"/>
      <c r="I4044" s="725"/>
      <c r="J4044" s="726"/>
    </row>
    <row r="4045" spans="1:12" ht="9.1999999999999993" customHeight="1">
      <c r="A4045" s="707" t="s">
        <v>216</v>
      </c>
      <c r="B4045" s="707" t="s">
        <v>649</v>
      </c>
      <c r="C4045" s="708" t="s">
        <v>650</v>
      </c>
      <c r="D4045" s="709"/>
      <c r="E4045" s="710" t="s">
        <v>216</v>
      </c>
      <c r="F4045" s="711" t="s">
        <v>649</v>
      </c>
      <c r="G4045" s="710"/>
      <c r="H4045" s="710" t="s">
        <v>651</v>
      </c>
      <c r="I4045" s="727" t="s">
        <v>652</v>
      </c>
      <c r="J4045" s="714"/>
      <c r="L4045" s="694" t="s">
        <v>653</v>
      </c>
    </row>
    <row r="4046" spans="1:12" ht="9.1999999999999993" customHeight="1">
      <c r="A4046" s="712">
        <v>1</v>
      </c>
      <c r="B4046" s="713" t="s">
        <v>654</v>
      </c>
      <c r="C4046" s="714">
        <f>VLOOKUP(C4042,'Luong VP'!$B$10:$AP$189,9,0)</f>
        <v>12420</v>
      </c>
      <c r="D4046" s="715"/>
      <c r="E4046" s="710" t="s">
        <v>655</v>
      </c>
      <c r="F4046" s="716" t="s">
        <v>656</v>
      </c>
      <c r="G4046" s="710"/>
      <c r="H4046" s="710"/>
      <c r="I4046" s="727"/>
      <c r="J4046" s="714">
        <f>VLOOKUP(C4042,'Luong VP'!$B$10:$AP$189,21,0)</f>
        <v>13420</v>
      </c>
    </row>
    <row r="4047" spans="1:12" ht="9.1999999999999993" customHeight="1">
      <c r="A4047" s="712">
        <v>2</v>
      </c>
      <c r="B4047" s="713" t="s">
        <v>658</v>
      </c>
      <c r="C4047" s="714"/>
      <c r="D4047" s="717"/>
      <c r="E4047" s="710">
        <v>1</v>
      </c>
      <c r="F4047" s="718" t="s">
        <v>659</v>
      </c>
      <c r="G4047" s="718"/>
      <c r="H4047" s="710" t="s">
        <v>660</v>
      </c>
      <c r="I4047" s="727">
        <f>VLOOKUP(C4042,'Luong VP'!$B$10:$AP$189,22,0)</f>
        <v>26</v>
      </c>
      <c r="J4047" s="728">
        <f>J4046/'Cham cong'!$AS$3*I4047</f>
        <v>13420</v>
      </c>
    </row>
    <row r="4048" spans="1:12" ht="9.1999999999999993" customHeight="1">
      <c r="A4048" s="712">
        <v>3</v>
      </c>
      <c r="B4048" s="713" t="s">
        <v>661</v>
      </c>
      <c r="C4048" s="714">
        <f>VLOOKUP(C4042,'Luong VP'!$B$10:$AP$189,10,0)</f>
        <v>0</v>
      </c>
      <c r="D4048" s="717"/>
      <c r="E4048" s="710">
        <v>2</v>
      </c>
      <c r="F4048" s="718" t="s">
        <v>662</v>
      </c>
      <c r="G4048" s="718"/>
      <c r="H4048" s="710" t="s">
        <v>660</v>
      </c>
      <c r="I4048" s="727">
        <f>VLOOKUP(C4042,'Luong VP'!$B$10:$AP$189,27,0)</f>
        <v>0</v>
      </c>
      <c r="J4048" s="728">
        <f>J4046/'Cham cong'!$AS$3*I4048*3</f>
        <v>0</v>
      </c>
    </row>
    <row r="4049" spans="1:12" ht="9.1999999999999993" customHeight="1">
      <c r="A4049" s="712">
        <v>4</v>
      </c>
      <c r="B4049" s="713" t="s">
        <v>666</v>
      </c>
      <c r="C4049" s="714">
        <f>VLOOKUP(C4042,'Luong VP'!$B$10:$AP$189,11,0)</f>
        <v>0</v>
      </c>
      <c r="D4049" s="717"/>
      <c r="E4049" s="710">
        <v>3</v>
      </c>
      <c r="F4049" s="718" t="s">
        <v>667</v>
      </c>
      <c r="G4049" s="718"/>
      <c r="H4049" s="710" t="s">
        <v>668</v>
      </c>
      <c r="I4049" s="727">
        <f>VLOOKUP(C4042,'Luong VP'!$B$10:$AP$189,26,0)</f>
        <v>0</v>
      </c>
      <c r="J4049" s="728">
        <f>J4046/'Cham cong'!$AS$3*I4049/8*1.5</f>
        <v>0</v>
      </c>
    </row>
    <row r="4050" spans="1:12" ht="9.1999999999999993" customHeight="1">
      <c r="A4050" s="712">
        <v>5</v>
      </c>
      <c r="B4050" s="713" t="s">
        <v>670</v>
      </c>
      <c r="C4050" s="714">
        <f>VLOOKUP(C4042,'Luong VP'!$B$10:$AP$189,12,0)</f>
        <v>0</v>
      </c>
      <c r="D4050" s="717"/>
      <c r="E4050" s="710">
        <v>4</v>
      </c>
      <c r="F4050" s="718" t="s">
        <v>671</v>
      </c>
      <c r="G4050" s="718"/>
      <c r="H4050" s="710" t="s">
        <v>668</v>
      </c>
      <c r="I4050" s="727">
        <f>VLOOKUP(C4042,'Luong VP'!$B$10:$AP$189,25,0)</f>
        <v>0</v>
      </c>
      <c r="J4050" s="728">
        <f>J4046/'Cham cong'!$AS$3*I4050/8*2</f>
        <v>0</v>
      </c>
    </row>
    <row r="4051" spans="1:12" ht="9.1999999999999993" customHeight="1">
      <c r="A4051" s="712">
        <v>6</v>
      </c>
      <c r="B4051" s="713" t="s">
        <v>673</v>
      </c>
      <c r="C4051" s="714">
        <f>VLOOKUP(C4042,'Luong VP'!$B$10:$AP$189,13,0)</f>
        <v>0</v>
      </c>
      <c r="D4051" s="717"/>
      <c r="E4051" s="710">
        <v>5</v>
      </c>
      <c r="F4051" s="718" t="s">
        <v>674</v>
      </c>
      <c r="G4051" s="718"/>
      <c r="H4051" s="710" t="s">
        <v>660</v>
      </c>
      <c r="I4051" s="727">
        <f>VLOOKUP(C4042,'Luong VP'!$B$10:$AP$189,23,0)</f>
        <v>0</v>
      </c>
      <c r="J4051" s="728">
        <f>C4046/'Cham cong'!$AS$3*I4051</f>
        <v>0</v>
      </c>
      <c r="L4051" s="694" t="str">
        <f>G4042</f>
        <v>Trần Chí Minh</v>
      </c>
    </row>
    <row r="4052" spans="1:12" ht="9.1999999999999993" customHeight="1">
      <c r="A4052" s="712">
        <v>7</v>
      </c>
      <c r="B4052" s="713" t="s">
        <v>676</v>
      </c>
      <c r="C4052" s="714"/>
      <c r="D4052" s="717"/>
      <c r="E4052" s="710">
        <v>6</v>
      </c>
      <c r="F4052" s="718" t="s">
        <v>677</v>
      </c>
      <c r="G4052" s="718"/>
      <c r="H4052" s="710" t="s">
        <v>660</v>
      </c>
      <c r="I4052" s="727">
        <f>VLOOKUP(C4042,'Luong VP'!$B$10:$AP$189,24,0)</f>
        <v>0</v>
      </c>
      <c r="J4052" s="714">
        <f>C4046/'Cham cong'!$AS$3*I4052</f>
        <v>0</v>
      </c>
    </row>
    <row r="4053" spans="1:12" ht="9.1999999999999993" customHeight="1">
      <c r="A4053" s="712">
        <v>8</v>
      </c>
      <c r="B4053" s="713" t="s">
        <v>679</v>
      </c>
      <c r="C4053" s="714">
        <f>VLOOKUP(C4042,'Luong VP'!$B$10:$AP$189,14,0)</f>
        <v>500</v>
      </c>
      <c r="D4053" s="717"/>
      <c r="E4053" s="710">
        <v>7</v>
      </c>
      <c r="F4053" s="718" t="s">
        <v>680</v>
      </c>
      <c r="G4053" s="718"/>
      <c r="H4053" s="718"/>
      <c r="I4053" s="729"/>
      <c r="J4053" s="714">
        <f>VLOOKUP(C4042,'Luong VP'!$B$10:$AP$189,28,0)</f>
        <v>0</v>
      </c>
    </row>
    <row r="4054" spans="1:12" ht="9.1999999999999993" customHeight="1">
      <c r="A4054" s="712">
        <v>9</v>
      </c>
      <c r="B4054" s="713" t="s">
        <v>683</v>
      </c>
      <c r="C4054" s="714">
        <f>VLOOKUP(C4042,'Luong VP'!$B$10:$AP$189,15,0)</f>
        <v>300</v>
      </c>
      <c r="D4054" s="717"/>
      <c r="E4054" s="710">
        <v>8</v>
      </c>
      <c r="F4054" s="718" t="s">
        <v>238</v>
      </c>
      <c r="G4054" s="718"/>
      <c r="H4054" s="779" t="s">
        <v>660</v>
      </c>
      <c r="I4054" s="787"/>
      <c r="J4054" s="775"/>
    </row>
    <row r="4055" spans="1:12" ht="9.1999999999999993" customHeight="1">
      <c r="A4055" s="712">
        <v>10</v>
      </c>
      <c r="B4055" s="713" t="s">
        <v>685</v>
      </c>
      <c r="C4055" s="714">
        <f>VLOOKUP(C4042,'Luong VP'!$B$10:$AP$189,16,0)</f>
        <v>500</v>
      </c>
      <c r="D4055" s="717"/>
      <c r="E4055" s="710" t="s">
        <v>686</v>
      </c>
      <c r="F4055" s="716" t="s">
        <v>687</v>
      </c>
      <c r="G4055" s="719"/>
      <c r="H4055" s="719"/>
      <c r="I4055" s="729"/>
      <c r="J4055" s="730"/>
    </row>
    <row r="4056" spans="1:12" ht="9.1999999999999993" customHeight="1">
      <c r="A4056" s="712">
        <v>11</v>
      </c>
      <c r="B4056" s="713" t="s">
        <v>688</v>
      </c>
      <c r="C4056" s="714">
        <f>VLOOKUP(C4042,'Luong VP'!$B$10:$AP$189,17,0)</f>
        <v>0</v>
      </c>
      <c r="D4056" s="717"/>
      <c r="E4056" s="710">
        <v>1</v>
      </c>
      <c r="F4056" s="716" t="s">
        <v>689</v>
      </c>
      <c r="G4056" s="719"/>
      <c r="H4056" s="719"/>
      <c r="I4056" s="714">
        <f>VLOOKUP(C4042,'Luong VP'!$B$10:$AP$189,29,0)</f>
        <v>0</v>
      </c>
      <c r="J4056" s="714">
        <f>VLOOKUP(C4042,'Luong VP'!$B$10:$AP$189,30,0)</f>
        <v>7500</v>
      </c>
    </row>
    <row r="4057" spans="1:12" ht="9.1999999999999993" customHeight="1">
      <c r="A4057" s="712">
        <v>12</v>
      </c>
      <c r="B4057" s="713" t="s">
        <v>691</v>
      </c>
      <c r="C4057" s="714">
        <f>VLOOKUP(C4042,'Luong VP'!$B$10:$AP$189,18,0)</f>
        <v>0</v>
      </c>
      <c r="D4057" s="717"/>
      <c r="E4057" s="710">
        <v>2</v>
      </c>
      <c r="F4057" s="718" t="s">
        <v>239</v>
      </c>
      <c r="G4057" s="718"/>
      <c r="H4057" s="718"/>
      <c r="I4057" s="727"/>
      <c r="J4057" s="728">
        <f>VLOOKUP(C4042,'Luong VP'!$B$10:$AP$189,34,0)</f>
        <v>0</v>
      </c>
      <c r="K4057" s="731"/>
      <c r="L4057" s="715"/>
    </row>
    <row r="4058" spans="1:12" ht="9.1999999999999993" customHeight="1">
      <c r="A4058" s="712">
        <v>13</v>
      </c>
      <c r="B4058" s="713" t="s">
        <v>692</v>
      </c>
      <c r="C4058" s="714">
        <f>VLOOKUP(C4042,'Luong VP'!$B$10:$AP$189,19,0)</f>
        <v>0</v>
      </c>
      <c r="D4058" s="717"/>
      <c r="E4058" s="710">
        <v>3</v>
      </c>
      <c r="F4058" s="716" t="s">
        <v>693</v>
      </c>
      <c r="G4058" s="719"/>
      <c r="H4058" s="719"/>
      <c r="I4058" s="729"/>
      <c r="J4058" s="714">
        <f>VLOOKUP(C4042,'Luong VP'!$B$10:$AP$189,40,0)</f>
        <v>0</v>
      </c>
      <c r="K4058" s="731"/>
      <c r="L4058" s="715"/>
    </row>
    <row r="4059" spans="1:12" ht="9.1999999999999993" customHeight="1">
      <c r="A4059" s="712">
        <v>14</v>
      </c>
      <c r="B4059" s="713" t="s">
        <v>694</v>
      </c>
      <c r="C4059" s="714">
        <f>VLOOKUP(C4042,'Luong VP'!$B$10:$AP$189,20,0)</f>
        <v>0</v>
      </c>
      <c r="D4059" s="717"/>
      <c r="E4059" s="710">
        <v>4</v>
      </c>
      <c r="F4059" s="718" t="s">
        <v>695</v>
      </c>
      <c r="G4059" s="719"/>
      <c r="H4059" s="719"/>
      <c r="I4059" s="729"/>
      <c r="J4059" s="714">
        <f>VLOOKUP(C4042,'Luong VP'!$B$10:$AP$189,35,0)</f>
        <v>0</v>
      </c>
      <c r="K4059" s="732"/>
      <c r="L4059" s="715"/>
    </row>
    <row r="4060" spans="1:12" ht="9.1999999999999993" customHeight="1">
      <c r="A4060" s="712"/>
      <c r="B4060" s="707" t="s">
        <v>656</v>
      </c>
      <c r="C4060" s="714">
        <f>SUM(C4046:C4059)</f>
        <v>13720</v>
      </c>
      <c r="D4060" s="717"/>
      <c r="E4060" s="710"/>
      <c r="F4060" s="716" t="s">
        <v>241</v>
      </c>
      <c r="G4060" s="719"/>
      <c r="H4060" s="719"/>
      <c r="I4060" s="729"/>
      <c r="J4060" s="730">
        <f>SUM(J4047:J4059)+C4054</f>
        <v>21220</v>
      </c>
      <c r="K4060" s="731"/>
      <c r="L4060" s="715"/>
    </row>
    <row r="4061" spans="1:12" ht="9.1999999999999993" customHeight="1">
      <c r="B4061" s="720"/>
      <c r="C4061" s="717"/>
      <c r="D4061" s="717"/>
      <c r="E4061" s="710" t="s">
        <v>696</v>
      </c>
      <c r="F4061" s="711" t="s">
        <v>697</v>
      </c>
      <c r="G4061" s="710"/>
      <c r="H4061" s="710"/>
      <c r="I4061" s="729"/>
      <c r="J4061" s="730">
        <f>SUM(J4062:J4064)</f>
        <v>0</v>
      </c>
      <c r="K4061" s="732"/>
      <c r="L4061" s="715"/>
    </row>
    <row r="4062" spans="1:12" ht="9.1999999999999993" customHeight="1">
      <c r="B4062" s="720"/>
      <c r="C4062" s="717"/>
      <c r="D4062" s="717"/>
      <c r="E4062" s="710">
        <v>1</v>
      </c>
      <c r="F4062" s="718" t="s">
        <v>698</v>
      </c>
      <c r="G4062" s="718"/>
      <c r="H4062" s="718"/>
      <c r="I4062" s="733"/>
      <c r="J4062" s="714">
        <f>VLOOKUP(C4042,'Luong VP'!$B$10:$AP$189,37,0)</f>
        <v>0</v>
      </c>
      <c r="K4062" s="732"/>
      <c r="L4062" s="715"/>
    </row>
    <row r="4063" spans="1:12" ht="9.1999999999999993" customHeight="1">
      <c r="B4063" s="720"/>
      <c r="C4063" s="717"/>
      <c r="D4063" s="717"/>
      <c r="E4063" s="710">
        <v>2</v>
      </c>
      <c r="F4063" s="718" t="s">
        <v>244</v>
      </c>
      <c r="G4063" s="718"/>
      <c r="H4063" s="718"/>
      <c r="I4063" s="729"/>
      <c r="J4063" s="714">
        <f>VLOOKUP(C4042,'Luong VP'!$B$10:$AP$189,39,0)</f>
        <v>0</v>
      </c>
      <c r="K4063" s="734"/>
      <c r="L4063" s="735"/>
    </row>
    <row r="4064" spans="1:12" ht="9.1999999999999993" customHeight="1">
      <c r="B4064" s="720"/>
      <c r="C4064" s="717"/>
      <c r="D4064" s="717"/>
      <c r="E4064" s="710"/>
      <c r="F4064" s="718" t="s">
        <v>699</v>
      </c>
      <c r="G4064" s="718"/>
      <c r="H4064" s="718"/>
      <c r="I4064" s="729"/>
      <c r="J4064" s="714"/>
      <c r="K4064" s="714"/>
      <c r="L4064" s="736"/>
    </row>
    <row r="4065" spans="1:12" ht="9.1999999999999993" customHeight="1">
      <c r="B4065" s="720"/>
      <c r="C4065" s="717"/>
      <c r="D4065" s="717"/>
      <c r="E4065" s="710" t="s">
        <v>700</v>
      </c>
      <c r="F4065" s="710" t="s">
        <v>246</v>
      </c>
      <c r="G4065" s="710"/>
      <c r="H4065" s="710"/>
      <c r="I4065" s="729"/>
      <c r="J4065" s="728">
        <f>J4060-J4061</f>
        <v>21220</v>
      </c>
      <c r="K4065" s="728">
        <f>ROUND(J4065,-1)</f>
        <v>21220</v>
      </c>
      <c r="L4065" s="710"/>
    </row>
    <row r="4066" spans="1:12" ht="9.1999999999999993" customHeight="1">
      <c r="B4066" s="720"/>
      <c r="C4066" s="717"/>
      <c r="D4066" s="717"/>
      <c r="E4066" s="715"/>
      <c r="F4066" s="715"/>
      <c r="G4066" s="715"/>
      <c r="I4066" s="715" t="s">
        <v>701</v>
      </c>
      <c r="J4066" s="737"/>
      <c r="K4066" s="737"/>
      <c r="L4066" s="715"/>
    </row>
    <row r="4067" spans="1:12" ht="9">
      <c r="B4067" s="720"/>
      <c r="C4067" s="717"/>
      <c r="D4067" s="717"/>
      <c r="E4067" s="715"/>
      <c r="F4067" s="715"/>
      <c r="G4067" s="715"/>
      <c r="I4067" s="715"/>
      <c r="J4067" s="737"/>
      <c r="K4067" s="737"/>
      <c r="L4067" s="715"/>
    </row>
    <row r="4068" spans="1:12" ht="9.1999999999999993" customHeight="1">
      <c r="B4068" s="720"/>
      <c r="C4068" s="717"/>
      <c r="D4068" s="717"/>
      <c r="E4068" s="715"/>
      <c r="F4068" s="715"/>
      <c r="G4068" s="715"/>
      <c r="I4068" s="715"/>
      <c r="J4068" s="737"/>
      <c r="K4068" s="737"/>
      <c r="L4068" s="715"/>
    </row>
    <row r="4069" spans="1:12" ht="9.1999999999999993" customHeight="1">
      <c r="B4069" s="720"/>
      <c r="C4069" s="717"/>
      <c r="D4069" s="717"/>
      <c r="E4069" s="715"/>
      <c r="F4069" s="715"/>
      <c r="G4069" s="715"/>
      <c r="I4069" s="715"/>
      <c r="J4069" s="737"/>
      <c r="K4069" s="737"/>
      <c r="L4069" s="715"/>
    </row>
    <row r="4070" spans="1:12" ht="9.1999999999999993" customHeight="1">
      <c r="B4070" s="720"/>
      <c r="C4070" s="717"/>
      <c r="D4070" s="717"/>
      <c r="E4070" s="715"/>
      <c r="F4070" s="715"/>
      <c r="G4070" s="715"/>
      <c r="I4070" s="715"/>
      <c r="J4070" s="737"/>
      <c r="K4070" s="737"/>
      <c r="L4070" s="715"/>
    </row>
    <row r="4071" spans="1:12" ht="9.1999999999999993" customHeight="1">
      <c r="B4071" s="720"/>
      <c r="C4071" s="717"/>
      <c r="D4071" s="717"/>
      <c r="E4071" s="715"/>
      <c r="F4071" s="715"/>
      <c r="G4071" s="715"/>
      <c r="I4071" s="715"/>
      <c r="J4071" s="737"/>
      <c r="K4071" s="737"/>
      <c r="L4071" s="715"/>
    </row>
    <row r="4072" spans="1:12" ht="9.1999999999999993" customHeight="1">
      <c r="C4072" s="696"/>
      <c r="D4072" s="696"/>
      <c r="E4072" s="697" t="str">
        <f>$E$2</f>
        <v>THẺ LƯƠNG THÁNG 08/2019</v>
      </c>
      <c r="F4072" s="698"/>
      <c r="G4072" s="698"/>
      <c r="H4072" s="698"/>
    </row>
    <row r="4073" spans="1:12" ht="9.1999999999999993" customHeight="1">
      <c r="B4073" s="699" t="s">
        <v>644</v>
      </c>
      <c r="C4073" s="700" t="s">
        <v>553</v>
      </c>
      <c r="D4073" s="701"/>
      <c r="F4073" s="702" t="s">
        <v>645</v>
      </c>
      <c r="G4073" s="689" t="str">
        <f>VLOOKUP(C4073,'Luong VP'!$B$10:$AP$189,2,0)</f>
        <v xml:space="preserve"> Ngô Mạnh Linh trưởng bộ phận </v>
      </c>
    </row>
    <row r="4074" spans="1:12" ht="9.1999999999999993" customHeight="1">
      <c r="B4074" s="699" t="s">
        <v>646</v>
      </c>
      <c r="C4074" s="689" t="str">
        <f>VLOOKUP(C4073,'Luong VP'!$B$10:$AP$189,3,0)</f>
        <v>Trưởng đội vận chuyển</v>
      </c>
      <c r="F4074" s="702" t="s">
        <v>647</v>
      </c>
      <c r="G4074" s="689">
        <f>VLOOKUP(C4073,'Luong VP'!$B$10:$AP$189,5,0)</f>
        <v>1</v>
      </c>
    </row>
    <row r="4075" spans="1:12" ht="9.1999999999999993" customHeight="1">
      <c r="B4075" s="703"/>
      <c r="C4075" s="704"/>
      <c r="D4075" s="705"/>
      <c r="F4075" s="706" t="s">
        <v>648</v>
      </c>
      <c r="G4075" s="706"/>
      <c r="H4075" s="706"/>
      <c r="I4075" s="725"/>
      <c r="J4075" s="726"/>
    </row>
    <row r="4076" spans="1:12" ht="9.1999999999999993" customHeight="1">
      <c r="A4076" s="707" t="s">
        <v>216</v>
      </c>
      <c r="B4076" s="707" t="s">
        <v>649</v>
      </c>
      <c r="C4076" s="708" t="s">
        <v>650</v>
      </c>
      <c r="D4076" s="709"/>
      <c r="E4076" s="710" t="s">
        <v>216</v>
      </c>
      <c r="F4076" s="711" t="s">
        <v>649</v>
      </c>
      <c r="G4076" s="710"/>
      <c r="H4076" s="710" t="s">
        <v>651</v>
      </c>
      <c r="I4076" s="727" t="s">
        <v>652</v>
      </c>
      <c r="J4076" s="714"/>
      <c r="L4076" s="694" t="s">
        <v>653</v>
      </c>
    </row>
    <row r="4077" spans="1:12" ht="9.1999999999999993" customHeight="1">
      <c r="A4077" s="712">
        <v>1</v>
      </c>
      <c r="B4077" s="713" t="s">
        <v>654</v>
      </c>
      <c r="C4077" s="714">
        <f>VLOOKUP(C4073,'Luong VP'!$B$10:$AP$189,9,0)</f>
        <v>7770</v>
      </c>
      <c r="D4077" s="715"/>
      <c r="E4077" s="710" t="s">
        <v>655</v>
      </c>
      <c r="F4077" s="716" t="s">
        <v>656</v>
      </c>
      <c r="G4077" s="710"/>
      <c r="H4077" s="710"/>
      <c r="I4077" s="727"/>
      <c r="J4077" s="714">
        <f>VLOOKUP(C4073,'Luong VP'!$B$10:$AP$189,21,0)</f>
        <v>15824.7</v>
      </c>
    </row>
    <row r="4078" spans="1:12" ht="9.1999999999999993" customHeight="1">
      <c r="A4078" s="712">
        <v>2</v>
      </c>
      <c r="B4078" s="713" t="s">
        <v>658</v>
      </c>
      <c r="C4078" s="714"/>
      <c r="D4078" s="717"/>
      <c r="E4078" s="710">
        <v>1</v>
      </c>
      <c r="F4078" s="718" t="s">
        <v>659</v>
      </c>
      <c r="G4078" s="718"/>
      <c r="H4078" s="710" t="s">
        <v>660</v>
      </c>
      <c r="I4078" s="727">
        <f>VLOOKUP(C4073,'Luong VP'!$B$10:$AP$189,22,0)</f>
        <v>26</v>
      </c>
      <c r="J4078" s="728">
        <f>J4077/'Cham cong'!$AS$3*I4078</f>
        <v>15824.699999999999</v>
      </c>
    </row>
    <row r="4079" spans="1:12" ht="9.1999999999999993" customHeight="1">
      <c r="A4079" s="712">
        <v>3</v>
      </c>
      <c r="B4079" s="713" t="s">
        <v>661</v>
      </c>
      <c r="C4079" s="714">
        <f>VLOOKUP(C4073,'Luong VP'!$B$10:$AP$189,10,0)</f>
        <v>0</v>
      </c>
      <c r="D4079" s="717"/>
      <c r="E4079" s="710">
        <v>2</v>
      </c>
      <c r="F4079" s="718" t="s">
        <v>662</v>
      </c>
      <c r="G4079" s="718"/>
      <c r="H4079" s="710" t="s">
        <v>660</v>
      </c>
      <c r="I4079" s="727">
        <f>VLOOKUP(C4073,'Luong VP'!$B$10:$AP$189,27,0)</f>
        <v>0</v>
      </c>
      <c r="J4079" s="728">
        <f>J4077/'Cham cong'!$AS$3*I4079*3</f>
        <v>0</v>
      </c>
    </row>
    <row r="4080" spans="1:12" ht="9.1999999999999993" customHeight="1">
      <c r="A4080" s="712">
        <v>4</v>
      </c>
      <c r="B4080" s="713" t="s">
        <v>666</v>
      </c>
      <c r="C4080" s="714">
        <f>VLOOKUP(C4073,'Luong VP'!$B$10:$AP$189,11,0)</f>
        <v>500</v>
      </c>
      <c r="D4080" s="717"/>
      <c r="E4080" s="710">
        <v>3</v>
      </c>
      <c r="F4080" s="718" t="s">
        <v>667</v>
      </c>
      <c r="G4080" s="718"/>
      <c r="H4080" s="710" t="s">
        <v>668</v>
      </c>
      <c r="I4080" s="727">
        <f>VLOOKUP(C4073,'Luong VP'!$B$10:$AP$189,26,0)</f>
        <v>0</v>
      </c>
      <c r="J4080" s="728">
        <f>J4077/'Cham cong'!$AS$3*I4080/8*1.5</f>
        <v>0</v>
      </c>
    </row>
    <row r="4081" spans="1:12" ht="9.1999999999999993" customHeight="1">
      <c r="A4081" s="712">
        <v>5</v>
      </c>
      <c r="B4081" s="713" t="s">
        <v>670</v>
      </c>
      <c r="C4081" s="714">
        <f>VLOOKUP(C4073,'Luong VP'!$B$10:$AP$189,12,0)</f>
        <v>854.7</v>
      </c>
      <c r="D4081" s="717"/>
      <c r="E4081" s="710">
        <v>4</v>
      </c>
      <c r="F4081" s="718" t="s">
        <v>671</v>
      </c>
      <c r="G4081" s="718"/>
      <c r="H4081" s="710" t="s">
        <v>668</v>
      </c>
      <c r="I4081" s="727">
        <f>VLOOKUP(C4073,'Luong VP'!$B$10:$AP$189,25,0)</f>
        <v>0</v>
      </c>
      <c r="J4081" s="728">
        <f>J4077/'Cham cong'!$AS$3*I4081/8*2</f>
        <v>0</v>
      </c>
    </row>
    <row r="4082" spans="1:12" ht="9.1999999999999993" customHeight="1">
      <c r="A4082" s="712">
        <v>6</v>
      </c>
      <c r="B4082" s="713" t="s">
        <v>673</v>
      </c>
      <c r="C4082" s="714">
        <f>VLOOKUP(C4073,'Luong VP'!$B$10:$AP$189,13,0)</f>
        <v>0</v>
      </c>
      <c r="D4082" s="717"/>
      <c r="E4082" s="710">
        <v>5</v>
      </c>
      <c r="F4082" s="718" t="s">
        <v>674</v>
      </c>
      <c r="G4082" s="718"/>
      <c r="H4082" s="710" t="s">
        <v>660</v>
      </c>
      <c r="I4082" s="727">
        <f>VLOOKUP(C4073,'Luong VP'!$B$10:$AP$189,23,0)</f>
        <v>0</v>
      </c>
      <c r="J4082" s="728">
        <f>C4077/'Cham cong'!$AS$3*I4082</f>
        <v>0</v>
      </c>
      <c r="L4082" s="694" t="str">
        <f>G4073</f>
        <v xml:space="preserve"> Ngô Mạnh Linh trưởng bộ phận </v>
      </c>
    </row>
    <row r="4083" spans="1:12" ht="9.1999999999999993" customHeight="1">
      <c r="A4083" s="712">
        <v>7</v>
      </c>
      <c r="B4083" s="713" t="s">
        <v>676</v>
      </c>
      <c r="C4083" s="714"/>
      <c r="D4083" s="717"/>
      <c r="E4083" s="710">
        <v>6</v>
      </c>
      <c r="F4083" s="718" t="s">
        <v>677</v>
      </c>
      <c r="G4083" s="718"/>
      <c r="H4083" s="710" t="s">
        <v>660</v>
      </c>
      <c r="I4083" s="727">
        <f>VLOOKUP(C4073,'Luong VP'!$B$10:$AP$189,24,0)</f>
        <v>1</v>
      </c>
      <c r="J4083" s="714">
        <f>C4077/'Cham cong'!$AS$3*I4083</f>
        <v>298.84615384615387</v>
      </c>
    </row>
    <row r="4084" spans="1:12" ht="9.1999999999999993" customHeight="1">
      <c r="A4084" s="712">
        <v>8</v>
      </c>
      <c r="B4084" s="713" t="s">
        <v>679</v>
      </c>
      <c r="C4084" s="714">
        <f>VLOOKUP(C4073,'Luong VP'!$B$10:$AP$189,14,0)</f>
        <v>200</v>
      </c>
      <c r="D4084" s="717"/>
      <c r="E4084" s="710">
        <v>7</v>
      </c>
      <c r="F4084" s="718" t="s">
        <v>680</v>
      </c>
      <c r="G4084" s="718"/>
      <c r="H4084" s="718"/>
      <c r="I4084" s="729"/>
      <c r="J4084" s="714">
        <f>VLOOKUP(C4073,'Luong VP'!$B$10:$AP$189,28,0)</f>
        <v>0</v>
      </c>
    </row>
    <row r="4085" spans="1:12" ht="9.1999999999999993" customHeight="1">
      <c r="A4085" s="712">
        <v>9</v>
      </c>
      <c r="B4085" s="713" t="s">
        <v>683</v>
      </c>
      <c r="C4085" s="714">
        <f>VLOOKUP(C4073,'Luong VP'!$B$10:$AP$189,15,0)</f>
        <v>300</v>
      </c>
      <c r="D4085" s="717"/>
      <c r="E4085" s="710" t="s">
        <v>686</v>
      </c>
      <c r="F4085" s="716" t="s">
        <v>687</v>
      </c>
      <c r="G4085" s="719"/>
      <c r="H4085" s="719"/>
      <c r="I4085" s="729"/>
      <c r="J4085" s="730"/>
    </row>
    <row r="4086" spans="1:12" ht="9.1999999999999993" customHeight="1">
      <c r="A4086" s="712">
        <v>10</v>
      </c>
      <c r="B4086" s="713" t="s">
        <v>685</v>
      </c>
      <c r="C4086" s="714">
        <f>VLOOKUP(C4073,'Luong VP'!$B$10:$AP$189,16,0)</f>
        <v>0</v>
      </c>
      <c r="D4086" s="717"/>
      <c r="E4086" s="710">
        <v>1</v>
      </c>
      <c r="F4086" s="716" t="s">
        <v>689</v>
      </c>
      <c r="G4086" s="719"/>
      <c r="H4086" s="719"/>
      <c r="I4086" s="714">
        <f>VLOOKUP(C4073,'Luong VP'!$B$10:$AP$189,29,0)</f>
        <v>0</v>
      </c>
      <c r="J4086" s="714">
        <f>VLOOKUP(C4073,'Luong VP'!$B$10:$AP$189,30,0)</f>
        <v>0</v>
      </c>
    </row>
    <row r="4087" spans="1:12" ht="9.1999999999999993" customHeight="1">
      <c r="A4087" s="712">
        <v>11</v>
      </c>
      <c r="B4087" s="713" t="s">
        <v>688</v>
      </c>
      <c r="C4087" s="714">
        <f>VLOOKUP(C4073,'Luong VP'!$B$10:$AP$189,17,0)</f>
        <v>0</v>
      </c>
      <c r="D4087" s="717"/>
      <c r="E4087" s="710">
        <v>2</v>
      </c>
      <c r="F4087" s="716" t="s">
        <v>702</v>
      </c>
      <c r="G4087" s="719"/>
      <c r="H4087" s="719"/>
      <c r="I4087" s="729"/>
      <c r="J4087" s="714">
        <f>VLOOKUP(C4073,'Luong VP'!$B$10:$AP$189,32,0)</f>
        <v>0</v>
      </c>
      <c r="K4087" s="731"/>
      <c r="L4087" s="715"/>
    </row>
    <row r="4088" spans="1:12" ht="9.1999999999999993" customHeight="1">
      <c r="A4088" s="712">
        <v>12</v>
      </c>
      <c r="B4088" s="713" t="s">
        <v>691</v>
      </c>
      <c r="C4088" s="714">
        <f>VLOOKUP(C4073,'Luong VP'!$B$10:$AP$189,18,0)</f>
        <v>0</v>
      </c>
      <c r="D4088" s="717"/>
      <c r="E4088" s="710">
        <v>3</v>
      </c>
      <c r="F4088" s="718" t="s">
        <v>238</v>
      </c>
      <c r="G4088" s="718"/>
      <c r="H4088" s="718"/>
      <c r="I4088" s="729"/>
      <c r="J4088" s="714">
        <f>VLOOKUP(C4073,'Luong VP'!$B$10:$AP$189,33,0)</f>
        <v>0</v>
      </c>
      <c r="K4088" s="731"/>
      <c r="L4088" s="715"/>
    </row>
    <row r="4089" spans="1:12" ht="9.1999999999999993" customHeight="1">
      <c r="A4089" s="712">
        <v>13</v>
      </c>
      <c r="B4089" s="713" t="s">
        <v>692</v>
      </c>
      <c r="C4089" s="714">
        <f>VLOOKUP(C4073,'Luong VP'!$B$10:$AP$189,19,0)</f>
        <v>6500</v>
      </c>
      <c r="D4089" s="717"/>
      <c r="E4089" s="710">
        <v>4</v>
      </c>
      <c r="F4089" s="718" t="s">
        <v>239</v>
      </c>
      <c r="G4089" s="718"/>
      <c r="H4089" s="718"/>
      <c r="I4089" s="727"/>
      <c r="J4089" s="728">
        <f>VLOOKUP(C4073,'Luong VP'!$B$10:$AP$189,34,0)</f>
        <v>0</v>
      </c>
      <c r="K4089" s="732"/>
      <c r="L4089" s="715"/>
    </row>
    <row r="4090" spans="1:12" ht="9.1999999999999993" customHeight="1">
      <c r="A4090" s="712">
        <v>14</v>
      </c>
      <c r="B4090" s="713" t="s">
        <v>694</v>
      </c>
      <c r="C4090" s="714">
        <f>VLOOKUP(C4073,'Luong VP'!$B$10:$AP$189,20,0)</f>
        <v>0</v>
      </c>
      <c r="D4090" s="717"/>
      <c r="E4090" s="710">
        <v>5</v>
      </c>
      <c r="F4090" s="718" t="s">
        <v>695</v>
      </c>
      <c r="G4090" s="719"/>
      <c r="H4090" s="719"/>
      <c r="I4090" s="729"/>
      <c r="J4090" s="714">
        <f>VLOOKUP(C4073,'Luong VP'!$B$10:$AP$189,35,0)</f>
        <v>0</v>
      </c>
      <c r="K4090" s="732"/>
      <c r="L4090" s="715"/>
    </row>
    <row r="4091" spans="1:12" ht="9.1999999999999993" customHeight="1">
      <c r="A4091" s="712"/>
      <c r="B4091" s="707" t="s">
        <v>656</v>
      </c>
      <c r="C4091" s="714">
        <f>SUM(C4077:C4090)-C4085</f>
        <v>15824.7</v>
      </c>
      <c r="D4091" s="717"/>
      <c r="E4091" s="710">
        <v>6</v>
      </c>
      <c r="F4091" s="716" t="s">
        <v>693</v>
      </c>
      <c r="G4091" s="719"/>
      <c r="H4091" s="719"/>
      <c r="I4091" s="729"/>
      <c r="J4091" s="714">
        <f>VLOOKUP(C4073,'Luong VP'!$B$10:$AP$189,40,0)</f>
        <v>0</v>
      </c>
      <c r="K4091" s="731"/>
      <c r="L4091" s="715"/>
    </row>
    <row r="4092" spans="1:12" ht="9.1999999999999993" customHeight="1">
      <c r="B4092" s="720"/>
      <c r="C4092" s="717"/>
      <c r="D4092" s="717"/>
      <c r="E4092" s="710"/>
      <c r="F4092" s="716" t="s">
        <v>241</v>
      </c>
      <c r="G4092" s="719"/>
      <c r="H4092" s="719"/>
      <c r="I4092" s="729"/>
      <c r="J4092" s="730">
        <f>SUM(J4078:J4091)+C4085</f>
        <v>16423.546153846153</v>
      </c>
      <c r="K4092" s="732"/>
      <c r="L4092" s="715"/>
    </row>
    <row r="4093" spans="1:12" ht="9.1999999999999993" customHeight="1">
      <c r="B4093" s="720"/>
      <c r="C4093" s="717"/>
      <c r="D4093" s="717"/>
      <c r="E4093" s="710" t="s">
        <v>696</v>
      </c>
      <c r="F4093" s="711" t="s">
        <v>697</v>
      </c>
      <c r="G4093" s="710"/>
      <c r="H4093" s="710"/>
      <c r="I4093" s="729"/>
      <c r="J4093" s="730">
        <f>SUM(J4094:J4096)</f>
        <v>5035.5</v>
      </c>
      <c r="K4093" s="734"/>
      <c r="L4093" s="735"/>
    </row>
    <row r="4094" spans="1:12" ht="9.1999999999999993" customHeight="1">
      <c r="B4094" s="720"/>
      <c r="C4094" s="717"/>
      <c r="D4094" s="717"/>
      <c r="E4094" s="710">
        <v>1</v>
      </c>
      <c r="F4094" s="718" t="s">
        <v>698</v>
      </c>
      <c r="G4094" s="718"/>
      <c r="H4094" s="718"/>
      <c r="I4094" s="733"/>
      <c r="J4094" s="714">
        <f>VLOOKUP(C4073,'Luong VP'!$B$10:$AP$189,37,0)</f>
        <v>535.5</v>
      </c>
    </row>
    <row r="4095" spans="1:12" ht="9.1999999999999993" customHeight="1">
      <c r="B4095" s="720"/>
      <c r="C4095" s="717"/>
      <c r="D4095" s="717"/>
      <c r="E4095" s="710">
        <v>2</v>
      </c>
      <c r="F4095" s="718" t="s">
        <v>244</v>
      </c>
      <c r="G4095" s="718"/>
      <c r="H4095" s="718"/>
      <c r="I4095" s="729"/>
      <c r="J4095" s="714">
        <f>VLOOKUP(C4073,'Luong VP'!$B$10:$AP$189,39,0)</f>
        <v>4500</v>
      </c>
    </row>
    <row r="4096" spans="1:12" ht="9.1999999999999993" customHeight="1">
      <c r="B4096" s="720"/>
      <c r="C4096" s="717"/>
      <c r="D4096" s="717"/>
      <c r="E4096" s="710"/>
      <c r="F4096" s="718" t="s">
        <v>699</v>
      </c>
      <c r="G4096" s="718"/>
      <c r="H4096" s="718"/>
      <c r="I4096" s="729"/>
      <c r="J4096" s="714"/>
      <c r="K4096" s="714"/>
      <c r="L4096" s="736"/>
    </row>
    <row r="4097" spans="1:12" ht="9.1999999999999993" customHeight="1">
      <c r="B4097" s="720"/>
      <c r="C4097" s="717"/>
      <c r="D4097" s="717"/>
      <c r="E4097" s="710" t="s">
        <v>700</v>
      </c>
      <c r="F4097" s="710" t="s">
        <v>246</v>
      </c>
      <c r="G4097" s="710"/>
      <c r="H4097" s="710"/>
      <c r="I4097" s="729"/>
      <c r="J4097" s="728">
        <f>J4092-J4093</f>
        <v>11388.046153846153</v>
      </c>
      <c r="K4097" s="728">
        <f>ROUND(J4097,-1)</f>
        <v>11390</v>
      </c>
      <c r="L4097" s="710"/>
    </row>
    <row r="4098" spans="1:12" ht="9.1999999999999993" customHeight="1">
      <c r="E4098" s="715"/>
      <c r="F4098" s="715"/>
      <c r="G4098" s="715"/>
      <c r="I4098" s="715" t="s">
        <v>701</v>
      </c>
      <c r="J4098" s="737"/>
    </row>
    <row r="4099" spans="1:12" ht="9.1999999999999993" customHeight="1">
      <c r="E4099" s="715"/>
      <c r="F4099" s="715"/>
      <c r="G4099" s="715"/>
      <c r="I4099" s="715"/>
      <c r="J4099" s="737"/>
    </row>
    <row r="4102" spans="1:12" ht="9.1999999999999993" customHeight="1">
      <c r="C4102" s="696"/>
      <c r="D4102" s="696"/>
      <c r="E4102" s="697" t="str">
        <f>$E$2</f>
        <v>THẺ LƯƠNG THÁNG 08/2019</v>
      </c>
      <c r="F4102" s="698"/>
      <c r="G4102" s="698"/>
      <c r="H4102" s="698"/>
    </row>
    <row r="4103" spans="1:12" ht="9.1999999999999993" customHeight="1">
      <c r="B4103" s="699" t="s">
        <v>644</v>
      </c>
      <c r="C4103" s="700" t="s">
        <v>555</v>
      </c>
      <c r="D4103" s="701"/>
      <c r="F4103" s="702" t="s">
        <v>645</v>
      </c>
      <c r="G4103" s="689" t="str">
        <f>VLOOKUP(C4103,'Luong VP'!$B$10:$AP$189,2,0)</f>
        <v xml:space="preserve"> Nguyễn Cường  </v>
      </c>
    </row>
    <row r="4104" spans="1:12" ht="9.1999999999999993" customHeight="1">
      <c r="B4104" s="699" t="s">
        <v>646</v>
      </c>
      <c r="C4104" s="689" t="str">
        <f>VLOOKUP(C4103,'Luong VP'!$B$10:$AP$189,3,0)</f>
        <v>Tài xế</v>
      </c>
      <c r="F4104" s="702" t="s">
        <v>647</v>
      </c>
      <c r="G4104" s="689">
        <f>VLOOKUP(C4103,'Luong VP'!$B$10:$AP$189,5,0)</f>
        <v>2</v>
      </c>
    </row>
    <row r="4105" spans="1:12" ht="9.1999999999999993" customHeight="1">
      <c r="B4105" s="703"/>
      <c r="C4105" s="704"/>
      <c r="D4105" s="705"/>
      <c r="F4105" s="706" t="s">
        <v>648</v>
      </c>
      <c r="G4105" s="706"/>
      <c r="H4105" s="706"/>
      <c r="I4105" s="725"/>
      <c r="J4105" s="726"/>
    </row>
    <row r="4106" spans="1:12" ht="9.1999999999999993" customHeight="1">
      <c r="A4106" s="707" t="s">
        <v>216</v>
      </c>
      <c r="B4106" s="707" t="s">
        <v>649</v>
      </c>
      <c r="C4106" s="708" t="s">
        <v>650</v>
      </c>
      <c r="D4106" s="709"/>
      <c r="E4106" s="710" t="s">
        <v>216</v>
      </c>
      <c r="F4106" s="711" t="s">
        <v>649</v>
      </c>
      <c r="G4106" s="710"/>
      <c r="H4106" s="710" t="s">
        <v>651</v>
      </c>
      <c r="I4106" s="727" t="s">
        <v>652</v>
      </c>
      <c r="J4106" s="714"/>
      <c r="L4106" s="694" t="s">
        <v>653</v>
      </c>
    </row>
    <row r="4107" spans="1:12" ht="9.1999999999999993" customHeight="1">
      <c r="A4107" s="712">
        <v>1</v>
      </c>
      <c r="B4107" s="713" t="s">
        <v>654</v>
      </c>
      <c r="C4107" s="714">
        <f>VLOOKUP(C4103,'Luong VP'!$B$10:$AP$189,9,0)</f>
        <v>5480</v>
      </c>
      <c r="D4107" s="715"/>
      <c r="E4107" s="710" t="s">
        <v>655</v>
      </c>
      <c r="F4107" s="716" t="s">
        <v>656</v>
      </c>
      <c r="G4107" s="710"/>
      <c r="H4107" s="710"/>
      <c r="I4107" s="727"/>
      <c r="J4107" s="714">
        <f>VLOOKUP(C4103,'Luong VP'!$B$10:$AP$189,21,0)</f>
        <v>6118.4</v>
      </c>
    </row>
    <row r="4108" spans="1:12" ht="9.1999999999999993" customHeight="1">
      <c r="A4108" s="712">
        <v>2</v>
      </c>
      <c r="B4108" s="713" t="s">
        <v>658</v>
      </c>
      <c r="C4108" s="714"/>
      <c r="D4108" s="717"/>
      <c r="E4108" s="710">
        <v>1</v>
      </c>
      <c r="F4108" s="718" t="s">
        <v>659</v>
      </c>
      <c r="G4108" s="718"/>
      <c r="H4108" s="710" t="s">
        <v>660</v>
      </c>
      <c r="I4108" s="727">
        <f>VLOOKUP(C4103,'Luong VP'!$B$10:$AP$189,22,0)</f>
        <v>26</v>
      </c>
      <c r="J4108" s="728">
        <f>J4107/'Cham cong'!$AS$3*I4108</f>
        <v>6118.4</v>
      </c>
    </row>
    <row r="4109" spans="1:12" ht="9.1999999999999993" customHeight="1">
      <c r="A4109" s="712">
        <v>3</v>
      </c>
      <c r="B4109" s="713" t="s">
        <v>661</v>
      </c>
      <c r="C4109" s="714">
        <f>VLOOKUP(C4103,'Luong VP'!$B$10:$AP$189,10,0)</f>
        <v>0</v>
      </c>
      <c r="D4109" s="717"/>
      <c r="E4109" s="710">
        <v>2</v>
      </c>
      <c r="F4109" s="718" t="s">
        <v>662</v>
      </c>
      <c r="G4109" s="718"/>
      <c r="H4109" s="710" t="s">
        <v>660</v>
      </c>
      <c r="I4109" s="727">
        <f>VLOOKUP(C4103,'Luong VP'!$B$10:$AP$189,27,0)</f>
        <v>0</v>
      </c>
      <c r="J4109" s="728">
        <f>J4107/'Cham cong'!$AS$3*I4109*3</f>
        <v>0</v>
      </c>
    </row>
    <row r="4110" spans="1:12" ht="9.1999999999999993" customHeight="1">
      <c r="A4110" s="712">
        <v>4</v>
      </c>
      <c r="B4110" s="713" t="s">
        <v>666</v>
      </c>
      <c r="C4110" s="714">
        <f>VLOOKUP(C4103,'Luong VP'!$B$10:$AP$189,11,0)</f>
        <v>200</v>
      </c>
      <c r="D4110" s="717"/>
      <c r="E4110" s="710">
        <v>3</v>
      </c>
      <c r="F4110" s="718" t="s">
        <v>667</v>
      </c>
      <c r="G4110" s="718"/>
      <c r="H4110" s="710" t="s">
        <v>668</v>
      </c>
      <c r="I4110" s="727">
        <f>VLOOKUP(C4103,'Luong VP'!$B$10:$AP$189,26,0)</f>
        <v>0</v>
      </c>
      <c r="J4110" s="728">
        <f>J4107/'Cham cong'!$AS$3*I4110/8*1.5</f>
        <v>0</v>
      </c>
    </row>
    <row r="4111" spans="1:12" ht="9.1999999999999993" customHeight="1">
      <c r="A4111" s="712">
        <v>5</v>
      </c>
      <c r="B4111" s="713" t="s">
        <v>670</v>
      </c>
      <c r="C4111" s="714">
        <f>VLOOKUP(C4103,'Luong VP'!$B$10:$AP$189,12,0)</f>
        <v>438.40000000000003</v>
      </c>
      <c r="D4111" s="717"/>
      <c r="E4111" s="710">
        <v>4</v>
      </c>
      <c r="F4111" s="718" t="s">
        <v>671</v>
      </c>
      <c r="G4111" s="718"/>
      <c r="H4111" s="710" t="s">
        <v>668</v>
      </c>
      <c r="I4111" s="727">
        <f>VLOOKUP(C4103,'Luong VP'!$B$10:$AP$189,25,0)</f>
        <v>0</v>
      </c>
      <c r="J4111" s="728">
        <f>J4107/'Cham cong'!$AS$3*I4111/8*2</f>
        <v>0</v>
      </c>
    </row>
    <row r="4112" spans="1:12" ht="9.1999999999999993" customHeight="1">
      <c r="A4112" s="712">
        <v>6</v>
      </c>
      <c r="B4112" s="713" t="s">
        <v>673</v>
      </c>
      <c r="C4112" s="714">
        <f>VLOOKUP(C4103,'Luong VP'!$B$10:$AP$189,13,0)</f>
        <v>0</v>
      </c>
      <c r="D4112" s="717"/>
      <c r="E4112" s="710">
        <v>5</v>
      </c>
      <c r="F4112" s="718" t="s">
        <v>674</v>
      </c>
      <c r="G4112" s="718"/>
      <c r="H4112" s="710" t="s">
        <v>660</v>
      </c>
      <c r="I4112" s="727">
        <f>VLOOKUP(C4103,'Luong VP'!$B$10:$AP$189,23,0)</f>
        <v>0</v>
      </c>
      <c r="J4112" s="728">
        <f>C4107/'Cham cong'!$AS$3*I4112</f>
        <v>0</v>
      </c>
      <c r="L4112" s="694" t="str">
        <f>G4103</f>
        <v xml:space="preserve"> Nguyễn Cường  </v>
      </c>
    </row>
    <row r="4113" spans="1:12" ht="9.1999999999999993" customHeight="1">
      <c r="A4113" s="712">
        <v>7</v>
      </c>
      <c r="B4113" s="713" t="s">
        <v>676</v>
      </c>
      <c r="C4113" s="714"/>
      <c r="D4113" s="717"/>
      <c r="E4113" s="710">
        <v>6</v>
      </c>
      <c r="F4113" s="718" t="s">
        <v>677</v>
      </c>
      <c r="G4113" s="718"/>
      <c r="H4113" s="710" t="s">
        <v>660</v>
      </c>
      <c r="I4113" s="727">
        <f>VLOOKUP(C4103,'Luong VP'!$B$10:$AP$189,24,0)</f>
        <v>1</v>
      </c>
      <c r="J4113" s="714">
        <f>C4107/'Cham cong'!$AS$3*I4113</f>
        <v>210.76923076923077</v>
      </c>
    </row>
    <row r="4114" spans="1:12" ht="9.1999999999999993" customHeight="1">
      <c r="A4114" s="712">
        <v>8</v>
      </c>
      <c r="B4114" s="713" t="s">
        <v>679</v>
      </c>
      <c r="C4114" s="714">
        <f>VLOOKUP(C4103,'Luong VP'!$B$10:$AP$189,14,0)</f>
        <v>0</v>
      </c>
      <c r="D4114" s="717"/>
      <c r="E4114" s="710">
        <v>7</v>
      </c>
      <c r="F4114" s="718" t="s">
        <v>680</v>
      </c>
      <c r="G4114" s="718"/>
      <c r="H4114" s="718"/>
      <c r="I4114" s="729"/>
      <c r="J4114" s="714">
        <f>VLOOKUP(C4103,'Luong VP'!$B$10:$AP$189,28,0)</f>
        <v>840</v>
      </c>
    </row>
    <row r="4115" spans="1:12" ht="9.1999999999999993" customHeight="1">
      <c r="A4115" s="712">
        <v>9</v>
      </c>
      <c r="B4115" s="713" t="s">
        <v>683</v>
      </c>
      <c r="C4115" s="714">
        <f>VLOOKUP(C4103,'Luong VP'!$B$10:$AP$189,15,0)</f>
        <v>0</v>
      </c>
      <c r="D4115" s="717"/>
      <c r="E4115" s="710" t="s">
        <v>686</v>
      </c>
      <c r="F4115" s="716" t="s">
        <v>687</v>
      </c>
      <c r="G4115" s="719"/>
      <c r="H4115" s="719"/>
      <c r="I4115" s="729"/>
      <c r="J4115" s="730"/>
    </row>
    <row r="4116" spans="1:12" ht="9.1999999999999993" customHeight="1">
      <c r="A4116" s="712">
        <v>10</v>
      </c>
      <c r="B4116" s="713" t="s">
        <v>685</v>
      </c>
      <c r="C4116" s="714">
        <f>VLOOKUP(C4103,'Luong VP'!$B$10:$AP$189,16,0)</f>
        <v>0</v>
      </c>
      <c r="D4116" s="717"/>
      <c r="E4116" s="710">
        <v>1</v>
      </c>
      <c r="F4116" s="716" t="s">
        <v>689</v>
      </c>
      <c r="G4116" s="719"/>
      <c r="H4116" s="719"/>
      <c r="I4116" s="714">
        <f>VLOOKUP(C4103,'Luong VP'!$B$10:$AP$189,29,0)</f>
        <v>61</v>
      </c>
      <c r="J4116" s="714">
        <f>VLOOKUP(C4103,'Luong VP'!$B$10:$AP$189,30,0)</f>
        <v>6421.5087692307725</v>
      </c>
    </row>
    <row r="4117" spans="1:12" ht="9.1999999999999993" customHeight="1">
      <c r="A4117" s="712">
        <v>11</v>
      </c>
      <c r="B4117" s="713" t="s">
        <v>688</v>
      </c>
      <c r="C4117" s="714">
        <f>VLOOKUP(C4103,'Luong VP'!$B$10:$AP$189,17,0)</f>
        <v>0</v>
      </c>
      <c r="D4117" s="717"/>
      <c r="E4117" s="710">
        <v>2</v>
      </c>
      <c r="F4117" s="716" t="s">
        <v>702</v>
      </c>
      <c r="G4117" s="719"/>
      <c r="H4117" s="719"/>
      <c r="I4117" s="729"/>
      <c r="J4117" s="714">
        <f>VLOOKUP(C4103,'Luong VP'!$B$10:$AP$189,32,0)</f>
        <v>0</v>
      </c>
      <c r="K4117" s="731"/>
      <c r="L4117" s="715"/>
    </row>
    <row r="4118" spans="1:12" ht="9.1999999999999993" customHeight="1">
      <c r="A4118" s="712">
        <v>12</v>
      </c>
      <c r="B4118" s="713" t="s">
        <v>691</v>
      </c>
      <c r="C4118" s="714">
        <f>VLOOKUP(C4103,'Luong VP'!$B$10:$AP$189,18,0)</f>
        <v>0</v>
      </c>
      <c r="D4118" s="717"/>
      <c r="E4118" s="710">
        <v>3</v>
      </c>
      <c r="F4118" s="718" t="s">
        <v>238</v>
      </c>
      <c r="G4118" s="718"/>
      <c r="H4118" s="718"/>
      <c r="I4118" s="729"/>
      <c r="J4118" s="714">
        <f>VLOOKUP(C4103,'Luong VP'!$B$10:$AP$189,33,0)</f>
        <v>0</v>
      </c>
      <c r="K4118" s="731"/>
      <c r="L4118" s="715"/>
    </row>
    <row r="4119" spans="1:12" ht="9.1999999999999993" customHeight="1">
      <c r="A4119" s="712">
        <v>13</v>
      </c>
      <c r="B4119" s="713" t="s">
        <v>692</v>
      </c>
      <c r="C4119" s="714">
        <f>VLOOKUP(C4103,'Luong VP'!$B$10:$AP$189,19,0)</f>
        <v>0</v>
      </c>
      <c r="D4119" s="717"/>
      <c r="E4119" s="710">
        <v>4</v>
      </c>
      <c r="F4119" s="718" t="s">
        <v>239</v>
      </c>
      <c r="G4119" s="718"/>
      <c r="H4119" s="718"/>
      <c r="I4119" s="727"/>
      <c r="J4119" s="728">
        <f>VLOOKUP(C4103,'Luong VP'!$B$10:$AP$189,34,0)</f>
        <v>1000</v>
      </c>
      <c r="K4119" s="732"/>
      <c r="L4119" s="715"/>
    </row>
    <row r="4120" spans="1:12" ht="9.1999999999999993" customHeight="1">
      <c r="A4120" s="712">
        <v>14</v>
      </c>
      <c r="B4120" s="713" t="s">
        <v>694</v>
      </c>
      <c r="C4120" s="714">
        <f>VLOOKUP(C4103,'Luong VP'!$B$10:$AP$189,20,0)</f>
        <v>0</v>
      </c>
      <c r="D4120" s="717"/>
      <c r="E4120" s="710">
        <v>5</v>
      </c>
      <c r="F4120" s="718" t="s">
        <v>695</v>
      </c>
      <c r="G4120" s="719"/>
      <c r="H4120" s="719"/>
      <c r="I4120" s="729"/>
      <c r="J4120" s="714">
        <f>VLOOKUP(C4103,'Luong VP'!$B$10:$AP$189,35,0)</f>
        <v>0</v>
      </c>
      <c r="K4120" s="732"/>
      <c r="L4120" s="715"/>
    </row>
    <row r="4121" spans="1:12" ht="9.1999999999999993" customHeight="1">
      <c r="A4121" s="712"/>
      <c r="B4121" s="707" t="s">
        <v>656</v>
      </c>
      <c r="C4121" s="714">
        <f>SUM(C4107:C4120)-C4115</f>
        <v>6118.4</v>
      </c>
      <c r="D4121" s="717"/>
      <c r="E4121" s="710">
        <v>6</v>
      </c>
      <c r="F4121" s="716" t="s">
        <v>693</v>
      </c>
      <c r="G4121" s="719"/>
      <c r="H4121" s="719"/>
      <c r="I4121" s="729"/>
      <c r="J4121" s="714">
        <f>VLOOKUP(C4103,'Luong VP'!$B$10:$AP$189,40,0)</f>
        <v>0</v>
      </c>
      <c r="K4121" s="731"/>
      <c r="L4121" s="715"/>
    </row>
    <row r="4122" spans="1:12" ht="9.1999999999999993" customHeight="1">
      <c r="B4122" s="720"/>
      <c r="C4122" s="717"/>
      <c r="D4122" s="717"/>
      <c r="E4122" s="710"/>
      <c r="F4122" s="716" t="s">
        <v>241</v>
      </c>
      <c r="G4122" s="719"/>
      <c r="H4122" s="719"/>
      <c r="I4122" s="729"/>
      <c r="J4122" s="730">
        <f>SUM(J4108:J4121)+C4115</f>
        <v>14590.678000000004</v>
      </c>
      <c r="K4122" s="732"/>
      <c r="L4122" s="715"/>
    </row>
    <row r="4123" spans="1:12" ht="9.1999999999999993" customHeight="1">
      <c r="B4123" s="720"/>
      <c r="C4123" s="717"/>
      <c r="D4123" s="717"/>
      <c r="E4123" s="710" t="s">
        <v>696</v>
      </c>
      <c r="F4123" s="711" t="s">
        <v>697</v>
      </c>
      <c r="G4123" s="710"/>
      <c r="H4123" s="710"/>
      <c r="I4123" s="729"/>
      <c r="J4123" s="730">
        <f>SUM(J4124:J4126)</f>
        <v>4504</v>
      </c>
      <c r="K4123" s="734"/>
      <c r="L4123" s="735"/>
    </row>
    <row r="4124" spans="1:12" ht="9.1999999999999993" customHeight="1">
      <c r="B4124" s="720"/>
      <c r="C4124" s="717"/>
      <c r="D4124" s="717"/>
      <c r="E4124" s="710">
        <v>1</v>
      </c>
      <c r="F4124" s="718" t="s">
        <v>698</v>
      </c>
      <c r="G4124" s="718"/>
      <c r="H4124" s="718"/>
      <c r="I4124" s="733"/>
      <c r="J4124" s="714">
        <f>VLOOKUP(C4103,'Luong VP'!$B$10:$AP$189,37,0)</f>
        <v>504</v>
      </c>
    </row>
    <row r="4125" spans="1:12" ht="9.1999999999999993" customHeight="1">
      <c r="B4125" s="720"/>
      <c r="C4125" s="717"/>
      <c r="D4125" s="717"/>
      <c r="E4125" s="710">
        <v>2</v>
      </c>
      <c r="F4125" s="718" t="s">
        <v>244</v>
      </c>
      <c r="G4125" s="718"/>
      <c r="H4125" s="718"/>
      <c r="I4125" s="729"/>
      <c r="J4125" s="714">
        <f>VLOOKUP(C4103,'Luong VP'!$B$10:$AP$189,39,0)</f>
        <v>4000</v>
      </c>
    </row>
    <row r="4126" spans="1:12" ht="9.1999999999999993" customHeight="1">
      <c r="B4126" s="720"/>
      <c r="C4126" s="717"/>
      <c r="D4126" s="717"/>
      <c r="E4126" s="710"/>
      <c r="F4126" s="718" t="s">
        <v>699</v>
      </c>
      <c r="G4126" s="718"/>
      <c r="H4126" s="718"/>
      <c r="I4126" s="729"/>
      <c r="J4126" s="714"/>
      <c r="K4126" s="714"/>
      <c r="L4126" s="736"/>
    </row>
    <row r="4127" spans="1:12" ht="9.1999999999999993" customHeight="1">
      <c r="B4127" s="720"/>
      <c r="C4127" s="717"/>
      <c r="D4127" s="717"/>
      <c r="E4127" s="710" t="s">
        <v>700</v>
      </c>
      <c r="F4127" s="710" t="s">
        <v>246</v>
      </c>
      <c r="G4127" s="710"/>
      <c r="H4127" s="710"/>
      <c r="I4127" s="729"/>
      <c r="J4127" s="728">
        <f>J4122-J4123</f>
        <v>10086.678000000004</v>
      </c>
      <c r="K4127" s="728">
        <f>ROUND(J4127,-1)</f>
        <v>10090</v>
      </c>
      <c r="L4127" s="710"/>
    </row>
    <row r="4128" spans="1:12" ht="9.1999999999999993" customHeight="1">
      <c r="E4128" s="715"/>
      <c r="F4128" s="715"/>
      <c r="G4128" s="715"/>
      <c r="I4128" s="715" t="s">
        <v>701</v>
      </c>
      <c r="J4128" s="737"/>
    </row>
    <row r="4132" spans="1:12" ht="9.1999999999999993" customHeight="1">
      <c r="C4132" s="696"/>
      <c r="D4132" s="696"/>
      <c r="E4132" s="697" t="str">
        <f>$E$2</f>
        <v>THẺ LƯƠNG THÁNG 08/2019</v>
      </c>
      <c r="F4132" s="698"/>
      <c r="G4132" s="698"/>
      <c r="H4132" s="698"/>
    </row>
    <row r="4133" spans="1:12" ht="9.1999999999999993" customHeight="1">
      <c r="B4133" s="699" t="s">
        <v>644</v>
      </c>
      <c r="C4133" s="700" t="s">
        <v>557</v>
      </c>
      <c r="D4133" s="701"/>
      <c r="F4133" s="702" t="s">
        <v>645</v>
      </c>
      <c r="G4133" s="689" t="str">
        <f>VLOOKUP(C4133,'Luong VP'!$B$10:$AP$189,2,0)</f>
        <v xml:space="preserve"> Nguyễn Văn Chung </v>
      </c>
    </row>
    <row r="4134" spans="1:12" ht="9.1999999999999993" customHeight="1">
      <c r="B4134" s="699" t="s">
        <v>646</v>
      </c>
      <c r="C4134" s="689" t="str">
        <f>VLOOKUP(C4133,'Luong VP'!$B$10:$AP$189,3,0)</f>
        <v>Admin điều vận</v>
      </c>
      <c r="F4134" s="702" t="s">
        <v>647</v>
      </c>
      <c r="G4134" s="689">
        <f>VLOOKUP(C4133,'Luong VP'!$B$10:$AP$189,5,0)</f>
        <v>1</v>
      </c>
    </row>
    <row r="4135" spans="1:12" ht="9.1999999999999993" customHeight="1">
      <c r="B4135" s="703"/>
      <c r="C4135" s="704"/>
      <c r="D4135" s="705"/>
      <c r="F4135" s="706" t="s">
        <v>648</v>
      </c>
      <c r="G4135" s="706"/>
      <c r="H4135" s="706"/>
      <c r="I4135" s="725"/>
      <c r="J4135" s="726"/>
    </row>
    <row r="4136" spans="1:12" ht="9.1999999999999993" customHeight="1">
      <c r="A4136" s="707" t="s">
        <v>216</v>
      </c>
      <c r="B4136" s="707" t="s">
        <v>649</v>
      </c>
      <c r="C4136" s="708" t="s">
        <v>650</v>
      </c>
      <c r="D4136" s="709"/>
      <c r="E4136" s="710" t="s">
        <v>216</v>
      </c>
      <c r="F4136" s="711" t="s">
        <v>649</v>
      </c>
      <c r="G4136" s="710"/>
      <c r="H4136" s="710" t="s">
        <v>651</v>
      </c>
      <c r="I4136" s="727" t="s">
        <v>652</v>
      </c>
      <c r="J4136" s="714"/>
      <c r="L4136" s="694" t="s">
        <v>653</v>
      </c>
    </row>
    <row r="4137" spans="1:12" ht="9.1999999999999993" customHeight="1">
      <c r="A4137" s="712">
        <v>1</v>
      </c>
      <c r="B4137" s="713" t="s">
        <v>654</v>
      </c>
      <c r="C4137" s="714">
        <f>VLOOKUP(C4133,'Luong VP'!$B$10:$AP$189,9,0)</f>
        <v>7010</v>
      </c>
      <c r="D4137" s="715"/>
      <c r="E4137" s="710" t="s">
        <v>655</v>
      </c>
      <c r="F4137" s="716" t="s">
        <v>656</v>
      </c>
      <c r="G4137" s="710"/>
      <c r="H4137" s="710"/>
      <c r="I4137" s="727"/>
      <c r="J4137" s="714">
        <f>VLOOKUP(C4133,'Luong VP'!$B$10:$AP$189,21,0)</f>
        <v>10160.5</v>
      </c>
    </row>
    <row r="4138" spans="1:12" ht="9.1999999999999993" customHeight="1">
      <c r="A4138" s="712">
        <v>2</v>
      </c>
      <c r="B4138" s="713" t="s">
        <v>658</v>
      </c>
      <c r="C4138" s="714"/>
      <c r="D4138" s="717"/>
      <c r="E4138" s="710">
        <v>1</v>
      </c>
      <c r="F4138" s="718" t="s">
        <v>659</v>
      </c>
      <c r="G4138" s="718"/>
      <c r="H4138" s="710" t="s">
        <v>660</v>
      </c>
      <c r="I4138" s="727">
        <f>VLOOKUP(C4133,'Luong VP'!$B$10:$AP$189,22,0)</f>
        <v>26</v>
      </c>
      <c r="J4138" s="728">
        <f>J4137/'Cham cong'!$AS$3*I4138</f>
        <v>10160.5</v>
      </c>
    </row>
    <row r="4139" spans="1:12" ht="9.1999999999999993" customHeight="1">
      <c r="A4139" s="712">
        <v>3</v>
      </c>
      <c r="B4139" s="713" t="s">
        <v>661</v>
      </c>
      <c r="C4139" s="714">
        <f>VLOOKUP(C4133,'Luong VP'!$B$10:$AP$189,10,0)</f>
        <v>0</v>
      </c>
      <c r="D4139" s="717"/>
      <c r="E4139" s="710">
        <v>2</v>
      </c>
      <c r="F4139" s="718" t="s">
        <v>662</v>
      </c>
      <c r="G4139" s="718"/>
      <c r="H4139" s="710" t="s">
        <v>660</v>
      </c>
      <c r="I4139" s="727">
        <f>VLOOKUP(C4133,'Luong VP'!$B$10:$AP$189,27,0)</f>
        <v>0</v>
      </c>
      <c r="J4139" s="728">
        <f>J4137/'Cham cong'!$AS$3*I4139*3</f>
        <v>0</v>
      </c>
    </row>
    <row r="4140" spans="1:12" ht="9.1999999999999993" customHeight="1">
      <c r="A4140" s="712">
        <v>4</v>
      </c>
      <c r="B4140" s="713" t="s">
        <v>666</v>
      </c>
      <c r="C4140" s="714">
        <f>VLOOKUP(C4133,'Luong VP'!$B$10:$AP$189,11,0)</f>
        <v>200</v>
      </c>
      <c r="D4140" s="717"/>
      <c r="E4140" s="710">
        <v>3</v>
      </c>
      <c r="F4140" s="718" t="s">
        <v>667</v>
      </c>
      <c r="G4140" s="718"/>
      <c r="H4140" s="710" t="s">
        <v>668</v>
      </c>
      <c r="I4140" s="727">
        <f>VLOOKUP(C4133,'Luong VP'!$B$10:$AP$189,26,0)</f>
        <v>0</v>
      </c>
      <c r="J4140" s="728">
        <f>J4137/'Cham cong'!$AS$3*I4140/8*1.5</f>
        <v>0</v>
      </c>
    </row>
    <row r="4141" spans="1:12" ht="9.1999999999999993" customHeight="1">
      <c r="A4141" s="712">
        <v>5</v>
      </c>
      <c r="B4141" s="713" t="s">
        <v>670</v>
      </c>
      <c r="C4141" s="714">
        <f>VLOOKUP(C4133,'Luong VP'!$B$10:$AP$189,12,0)</f>
        <v>350.5</v>
      </c>
      <c r="D4141" s="717"/>
      <c r="E4141" s="710">
        <v>4</v>
      </c>
      <c r="F4141" s="718" t="s">
        <v>671</v>
      </c>
      <c r="G4141" s="718"/>
      <c r="H4141" s="710" t="s">
        <v>668</v>
      </c>
      <c r="I4141" s="727">
        <f>VLOOKUP(C4133,'Luong VP'!$B$10:$AP$189,25,0)</f>
        <v>0</v>
      </c>
      <c r="J4141" s="728">
        <f>J4137/'Cham cong'!$AS$3*I4141/8*2</f>
        <v>0</v>
      </c>
    </row>
    <row r="4142" spans="1:12" ht="9.1999999999999993" customHeight="1">
      <c r="A4142" s="712">
        <v>6</v>
      </c>
      <c r="B4142" s="713" t="s">
        <v>673</v>
      </c>
      <c r="C4142" s="714">
        <f>VLOOKUP(C4133,'Luong VP'!$B$10:$AP$189,13,0)</f>
        <v>0</v>
      </c>
      <c r="D4142" s="717"/>
      <c r="E4142" s="710">
        <v>5</v>
      </c>
      <c r="F4142" s="718" t="s">
        <v>674</v>
      </c>
      <c r="G4142" s="718"/>
      <c r="H4142" s="710" t="s">
        <v>660</v>
      </c>
      <c r="I4142" s="727">
        <f>VLOOKUP(C4133,'Luong VP'!$B$10:$AP$189,23,0)</f>
        <v>0</v>
      </c>
      <c r="J4142" s="728">
        <f>C4137/'Cham cong'!$AS$3*I4142</f>
        <v>0</v>
      </c>
      <c r="L4142" s="694" t="str">
        <f>G4133</f>
        <v xml:space="preserve"> Nguyễn Văn Chung </v>
      </c>
    </row>
    <row r="4143" spans="1:12" ht="9.1999999999999993" customHeight="1">
      <c r="A4143" s="712">
        <v>7</v>
      </c>
      <c r="B4143" s="713" t="s">
        <v>676</v>
      </c>
      <c r="C4143" s="714"/>
      <c r="D4143" s="717"/>
      <c r="E4143" s="710">
        <v>6</v>
      </c>
      <c r="F4143" s="718" t="s">
        <v>677</v>
      </c>
      <c r="G4143" s="718"/>
      <c r="H4143" s="710" t="s">
        <v>660</v>
      </c>
      <c r="I4143" s="727">
        <f>VLOOKUP(C4133,'Luong VP'!$B$10:$AP$189,24,0)</f>
        <v>1</v>
      </c>
      <c r="J4143" s="714">
        <f>C4137/'Cham cong'!$AS$3*I4143</f>
        <v>269.61538461538464</v>
      </c>
    </row>
    <row r="4144" spans="1:12" ht="9.1999999999999993" customHeight="1">
      <c r="A4144" s="712">
        <v>8</v>
      </c>
      <c r="B4144" s="713" t="s">
        <v>679</v>
      </c>
      <c r="C4144" s="714">
        <f>VLOOKUP(C4133,'Luong VP'!$B$10:$AP$189,14,0)</f>
        <v>0</v>
      </c>
      <c r="D4144" s="717"/>
      <c r="E4144" s="710">
        <v>7</v>
      </c>
      <c r="F4144" s="718" t="s">
        <v>680</v>
      </c>
      <c r="G4144" s="718"/>
      <c r="H4144" s="718"/>
      <c r="I4144" s="729"/>
      <c r="J4144" s="714">
        <f>VLOOKUP(C4133,'Luong VP'!$B$10:$AP$189,28,0)</f>
        <v>0</v>
      </c>
    </row>
    <row r="4145" spans="1:12" ht="9.1999999999999993" customHeight="1">
      <c r="A4145" s="712">
        <v>9</v>
      </c>
      <c r="B4145" s="713" t="s">
        <v>683</v>
      </c>
      <c r="C4145" s="714">
        <f>VLOOKUP(C4133,'Luong VP'!$B$10:$AP$189,15,0)</f>
        <v>0</v>
      </c>
      <c r="D4145" s="717"/>
      <c r="E4145" s="710" t="s">
        <v>686</v>
      </c>
      <c r="F4145" s="716" t="s">
        <v>687</v>
      </c>
      <c r="G4145" s="719"/>
      <c r="H4145" s="719"/>
      <c r="I4145" s="729"/>
      <c r="J4145" s="730"/>
    </row>
    <row r="4146" spans="1:12" ht="9.1999999999999993" customHeight="1">
      <c r="A4146" s="712">
        <v>10</v>
      </c>
      <c r="B4146" s="713" t="s">
        <v>685</v>
      </c>
      <c r="C4146" s="714">
        <f>VLOOKUP(C4133,'Luong VP'!$B$10:$AP$189,16,0)</f>
        <v>0</v>
      </c>
      <c r="D4146" s="717"/>
      <c r="E4146" s="710">
        <v>1</v>
      </c>
      <c r="F4146" s="716" t="s">
        <v>689</v>
      </c>
      <c r="G4146" s="719"/>
      <c r="H4146" s="719"/>
      <c r="I4146" s="714">
        <f>VLOOKUP(C4133,'Luong VP'!$B$10:$AP$189,29,0)</f>
        <v>6</v>
      </c>
      <c r="J4146" s="714">
        <f>VLOOKUP(C4133,'Luong VP'!$B$10:$AP$189,30,0)</f>
        <v>508.76307692307688</v>
      </c>
    </row>
    <row r="4147" spans="1:12" ht="9.1999999999999993" customHeight="1">
      <c r="A4147" s="712">
        <v>11</v>
      </c>
      <c r="B4147" s="713" t="s">
        <v>688</v>
      </c>
      <c r="C4147" s="714">
        <f>VLOOKUP(C4133,'Luong VP'!$B$10:$AP$189,17,0)</f>
        <v>0</v>
      </c>
      <c r="D4147" s="717"/>
      <c r="E4147" s="710">
        <v>2</v>
      </c>
      <c r="F4147" s="716" t="s">
        <v>702</v>
      </c>
      <c r="G4147" s="719"/>
      <c r="H4147" s="719"/>
      <c r="I4147" s="729"/>
      <c r="J4147" s="714">
        <f>VLOOKUP(C4133,'Luong VP'!$B$10:$AP$189,32,0)</f>
        <v>0</v>
      </c>
      <c r="K4147" s="731"/>
      <c r="L4147" s="715"/>
    </row>
    <row r="4148" spans="1:12" ht="9.1999999999999993" customHeight="1">
      <c r="A4148" s="712">
        <v>12</v>
      </c>
      <c r="B4148" s="713" t="s">
        <v>691</v>
      </c>
      <c r="C4148" s="714">
        <f>VLOOKUP(C4133,'Luong VP'!$B$10:$AP$189,18,0)</f>
        <v>0</v>
      </c>
      <c r="D4148" s="717"/>
      <c r="E4148" s="710">
        <v>3</v>
      </c>
      <c r="F4148" s="718" t="s">
        <v>238</v>
      </c>
      <c r="G4148" s="718"/>
      <c r="H4148" s="718"/>
      <c r="I4148" s="729"/>
      <c r="J4148" s="714">
        <f>VLOOKUP(C4133,'Luong VP'!$B$10:$AP$189,33,0)</f>
        <v>0</v>
      </c>
      <c r="K4148" s="731"/>
      <c r="L4148" s="715"/>
    </row>
    <row r="4149" spans="1:12" ht="9.1999999999999993" customHeight="1">
      <c r="A4149" s="712">
        <v>13</v>
      </c>
      <c r="B4149" s="713" t="s">
        <v>692</v>
      </c>
      <c r="C4149" s="714">
        <f>VLOOKUP(C4133,'Luong VP'!$B$10:$AP$189,19,0)</f>
        <v>2600</v>
      </c>
      <c r="D4149" s="717"/>
      <c r="E4149" s="710">
        <v>4</v>
      </c>
      <c r="F4149" s="718" t="s">
        <v>239</v>
      </c>
      <c r="G4149" s="718"/>
      <c r="H4149" s="718"/>
      <c r="I4149" s="727"/>
      <c r="J4149" s="728">
        <f>VLOOKUP(C4133,'Luong VP'!$B$10:$AP$189,34,0)</f>
        <v>0</v>
      </c>
      <c r="K4149" s="732"/>
      <c r="L4149" s="715"/>
    </row>
    <row r="4150" spans="1:12" ht="9.1999999999999993" customHeight="1">
      <c r="A4150" s="712">
        <v>14</v>
      </c>
      <c r="B4150" s="713" t="s">
        <v>694</v>
      </c>
      <c r="C4150" s="714">
        <f>VLOOKUP(C4133,'Luong VP'!$B$10:$AP$189,20,0)</f>
        <v>0</v>
      </c>
      <c r="D4150" s="717"/>
      <c r="E4150" s="710">
        <v>5</v>
      </c>
      <c r="F4150" s="718" t="s">
        <v>695</v>
      </c>
      <c r="G4150" s="719"/>
      <c r="H4150" s="719"/>
      <c r="I4150" s="729"/>
      <c r="J4150" s="714">
        <f>VLOOKUP(C4133,'Luong VP'!$B$10:$AP$189,35,0)</f>
        <v>0</v>
      </c>
      <c r="K4150" s="732"/>
      <c r="L4150" s="715"/>
    </row>
    <row r="4151" spans="1:12" ht="9.1999999999999993" customHeight="1">
      <c r="A4151" s="712"/>
      <c r="B4151" s="707" t="s">
        <v>656</v>
      </c>
      <c r="C4151" s="714">
        <f>SUM(C4137:C4150)-C4145</f>
        <v>10160.5</v>
      </c>
      <c r="D4151" s="717"/>
      <c r="E4151" s="710">
        <v>6</v>
      </c>
      <c r="F4151" s="716" t="s">
        <v>693</v>
      </c>
      <c r="G4151" s="719"/>
      <c r="H4151" s="719"/>
      <c r="I4151" s="729"/>
      <c r="J4151" s="714">
        <f>VLOOKUP(C4133,'Luong VP'!$B$10:$AP$189,40,0)</f>
        <v>0</v>
      </c>
      <c r="K4151" s="731"/>
      <c r="L4151" s="715"/>
    </row>
    <row r="4152" spans="1:12" ht="9.1999999999999993" customHeight="1">
      <c r="B4152" s="720"/>
      <c r="C4152" s="717"/>
      <c r="D4152" s="717"/>
      <c r="E4152" s="710"/>
      <c r="F4152" s="716" t="s">
        <v>241</v>
      </c>
      <c r="G4152" s="719"/>
      <c r="H4152" s="719"/>
      <c r="I4152" s="729"/>
      <c r="J4152" s="730">
        <f>SUM(J4138:J4151)+C4145</f>
        <v>10938.878461538461</v>
      </c>
      <c r="K4152" s="732"/>
      <c r="L4152" s="715"/>
    </row>
    <row r="4153" spans="1:12" ht="9.1999999999999993" customHeight="1">
      <c r="B4153" s="720"/>
      <c r="C4153" s="717"/>
      <c r="D4153" s="717"/>
      <c r="E4153" s="710" t="s">
        <v>696</v>
      </c>
      <c r="F4153" s="711" t="s">
        <v>697</v>
      </c>
      <c r="G4153" s="710"/>
      <c r="H4153" s="710"/>
      <c r="I4153" s="729"/>
      <c r="J4153" s="730">
        <f>SUM(J4154:J4156)</f>
        <v>6504</v>
      </c>
      <c r="K4153" s="734"/>
      <c r="L4153" s="735"/>
    </row>
    <row r="4154" spans="1:12" ht="9.1999999999999993" customHeight="1">
      <c r="B4154" s="720"/>
      <c r="C4154" s="717"/>
      <c r="D4154" s="717"/>
      <c r="E4154" s="710">
        <v>1</v>
      </c>
      <c r="F4154" s="718" t="s">
        <v>698</v>
      </c>
      <c r="G4154" s="718"/>
      <c r="H4154" s="718"/>
      <c r="I4154" s="733"/>
      <c r="J4154" s="714">
        <f>VLOOKUP(C4133,'Luong VP'!$B$10:$AP$189,37,0)</f>
        <v>504</v>
      </c>
    </row>
    <row r="4155" spans="1:12" ht="9.1999999999999993" customHeight="1">
      <c r="B4155" s="720"/>
      <c r="C4155" s="717"/>
      <c r="D4155" s="717"/>
      <c r="E4155" s="710">
        <v>2</v>
      </c>
      <c r="F4155" s="718" t="s">
        <v>244</v>
      </c>
      <c r="G4155" s="718"/>
      <c r="H4155" s="718"/>
      <c r="I4155" s="729"/>
      <c r="J4155" s="714">
        <f>VLOOKUP(C4133,'Luong VP'!$B$10:$AP$189,39,0)</f>
        <v>6000</v>
      </c>
    </row>
    <row r="4156" spans="1:12" ht="9.1999999999999993" customHeight="1">
      <c r="B4156" s="720"/>
      <c r="C4156" s="717"/>
      <c r="D4156" s="717"/>
      <c r="E4156" s="710"/>
      <c r="F4156" s="718" t="s">
        <v>699</v>
      </c>
      <c r="G4156" s="718"/>
      <c r="H4156" s="718"/>
      <c r="I4156" s="729"/>
      <c r="J4156" s="714"/>
      <c r="K4156" s="714"/>
      <c r="L4156" s="736"/>
    </row>
    <row r="4157" spans="1:12" ht="9.1999999999999993" customHeight="1">
      <c r="B4157" s="720"/>
      <c r="C4157" s="717"/>
      <c r="D4157" s="717"/>
      <c r="E4157" s="710" t="s">
        <v>700</v>
      </c>
      <c r="F4157" s="710" t="s">
        <v>246</v>
      </c>
      <c r="G4157" s="710"/>
      <c r="H4157" s="710"/>
      <c r="I4157" s="729"/>
      <c r="J4157" s="728">
        <f>J4152-J4153</f>
        <v>4434.8784615384611</v>
      </c>
      <c r="K4157" s="728">
        <f>ROUND(J4157,-1)</f>
        <v>4430</v>
      </c>
      <c r="L4157" s="710"/>
    </row>
    <row r="4158" spans="1:12" ht="9.1999999999999993" customHeight="1">
      <c r="E4158" s="715"/>
      <c r="F4158" s="715"/>
      <c r="G4158" s="715"/>
      <c r="I4158" s="715" t="s">
        <v>701</v>
      </c>
      <c r="J4158" s="737"/>
    </row>
    <row r="4162" spans="1:12" ht="9.1999999999999993" customHeight="1">
      <c r="C4162" s="696"/>
      <c r="D4162" s="696"/>
      <c r="E4162" s="697" t="str">
        <f>$E$2</f>
        <v>THẺ LƯƠNG THÁNG 08/2019</v>
      </c>
      <c r="F4162" s="698"/>
      <c r="G4162" s="698"/>
      <c r="H4162" s="698"/>
    </row>
    <row r="4163" spans="1:12" ht="9.1999999999999993" customHeight="1">
      <c r="B4163" s="699" t="s">
        <v>644</v>
      </c>
      <c r="C4163" s="700" t="s">
        <v>559</v>
      </c>
      <c r="D4163" s="701"/>
      <c r="F4163" s="702" t="s">
        <v>645</v>
      </c>
      <c r="G4163" s="689" t="str">
        <f>VLOOKUP(C4163,'Luong VP'!$B$10:$AP$189,2,0)</f>
        <v xml:space="preserve"> Nguyễn Hoài Thanh </v>
      </c>
    </row>
    <row r="4164" spans="1:12" ht="9.1999999999999993" customHeight="1">
      <c r="B4164" s="699" t="s">
        <v>646</v>
      </c>
      <c r="C4164" s="689" t="str">
        <f>VLOOKUP(C4163,'Luong VP'!$B$10:$AP$189,3,0)</f>
        <v>Tài xế</v>
      </c>
      <c r="F4164" s="702" t="s">
        <v>647</v>
      </c>
      <c r="G4164" s="689">
        <f>VLOOKUP(C4163,'Luong VP'!$B$10:$AP$189,5,0)</f>
        <v>1</v>
      </c>
    </row>
    <row r="4165" spans="1:12" ht="9.1999999999999993" customHeight="1">
      <c r="B4165" s="703"/>
      <c r="C4165" s="704"/>
      <c r="D4165" s="705"/>
      <c r="F4165" s="706" t="s">
        <v>648</v>
      </c>
      <c r="G4165" s="706"/>
      <c r="H4165" s="706"/>
      <c r="I4165" s="725"/>
      <c r="J4165" s="726"/>
    </row>
    <row r="4166" spans="1:12" ht="9.1999999999999993" customHeight="1">
      <c r="A4166" s="707" t="s">
        <v>216</v>
      </c>
      <c r="B4166" s="707" t="s">
        <v>649</v>
      </c>
      <c r="C4166" s="708" t="s">
        <v>650</v>
      </c>
      <c r="D4166" s="709"/>
      <c r="E4166" s="710" t="s">
        <v>216</v>
      </c>
      <c r="F4166" s="711" t="s">
        <v>649</v>
      </c>
      <c r="G4166" s="710"/>
      <c r="H4166" s="710" t="s">
        <v>651</v>
      </c>
      <c r="I4166" s="727" t="s">
        <v>652</v>
      </c>
      <c r="J4166" s="714"/>
      <c r="L4166" s="694" t="s">
        <v>653</v>
      </c>
    </row>
    <row r="4167" spans="1:12" ht="9.1999999999999993" customHeight="1">
      <c r="A4167" s="712">
        <v>1</v>
      </c>
      <c r="B4167" s="713" t="s">
        <v>654</v>
      </c>
      <c r="C4167" s="714">
        <f>VLOOKUP(C4163,'Luong VP'!$B$10:$AP$189,9,0)</f>
        <v>5220</v>
      </c>
      <c r="D4167" s="715"/>
      <c r="E4167" s="710" t="s">
        <v>655</v>
      </c>
      <c r="F4167" s="716" t="s">
        <v>656</v>
      </c>
      <c r="G4167" s="710"/>
      <c r="H4167" s="710"/>
      <c r="I4167" s="727"/>
      <c r="J4167" s="714">
        <f>VLOOKUP(C4163,'Luong VP'!$B$10:$AP$189,21,0)</f>
        <v>5576.6</v>
      </c>
    </row>
    <row r="4168" spans="1:12" ht="9.1999999999999993" customHeight="1">
      <c r="A4168" s="712">
        <v>2</v>
      </c>
      <c r="B4168" s="713" t="s">
        <v>658</v>
      </c>
      <c r="C4168" s="714"/>
      <c r="D4168" s="717"/>
      <c r="E4168" s="710">
        <v>1</v>
      </c>
      <c r="F4168" s="718" t="s">
        <v>659</v>
      </c>
      <c r="G4168" s="718"/>
      <c r="H4168" s="710" t="s">
        <v>660</v>
      </c>
      <c r="I4168" s="727">
        <f>VLOOKUP(C4163,'Luong VP'!$B$10:$AP$189,22,0)</f>
        <v>26</v>
      </c>
      <c r="J4168" s="728">
        <f>J4167/'Cham cong'!$AS$3*I4168</f>
        <v>5576.6</v>
      </c>
    </row>
    <row r="4169" spans="1:12" ht="9.1999999999999993" customHeight="1">
      <c r="A4169" s="712">
        <v>3</v>
      </c>
      <c r="B4169" s="713" t="s">
        <v>661</v>
      </c>
      <c r="C4169" s="714">
        <f>VLOOKUP(C4163,'Luong VP'!$B$10:$AP$189,10,0)</f>
        <v>0</v>
      </c>
      <c r="D4169" s="717"/>
      <c r="E4169" s="710">
        <v>2</v>
      </c>
      <c r="F4169" s="718" t="s">
        <v>662</v>
      </c>
      <c r="G4169" s="718"/>
      <c r="H4169" s="710" t="s">
        <v>660</v>
      </c>
      <c r="I4169" s="727">
        <f>VLOOKUP(C4163,'Luong VP'!$B$10:$AP$189,27,0)</f>
        <v>0</v>
      </c>
      <c r="J4169" s="728">
        <f>J4167/'Cham cong'!$AS$3*I4169*3</f>
        <v>0</v>
      </c>
    </row>
    <row r="4170" spans="1:12" ht="9.1999999999999993" customHeight="1">
      <c r="A4170" s="712">
        <v>4</v>
      </c>
      <c r="B4170" s="713" t="s">
        <v>666</v>
      </c>
      <c r="C4170" s="714">
        <f>VLOOKUP(C4163,'Luong VP'!$B$10:$AP$189,11,0)</f>
        <v>200</v>
      </c>
      <c r="D4170" s="717"/>
      <c r="E4170" s="710">
        <v>3</v>
      </c>
      <c r="F4170" s="718" t="s">
        <v>667</v>
      </c>
      <c r="G4170" s="718"/>
      <c r="H4170" s="710" t="s">
        <v>668</v>
      </c>
      <c r="I4170" s="727">
        <f>VLOOKUP(C4163,'Luong VP'!$B$10:$AP$189,26,0)</f>
        <v>0</v>
      </c>
      <c r="J4170" s="728">
        <f>J4167/'Cham cong'!$AS$3*I4170/8*1.5</f>
        <v>0</v>
      </c>
    </row>
    <row r="4171" spans="1:12" ht="9.1999999999999993" customHeight="1">
      <c r="A4171" s="712">
        <v>5</v>
      </c>
      <c r="B4171" s="713" t="s">
        <v>670</v>
      </c>
      <c r="C4171" s="714">
        <f>VLOOKUP(C4163,'Luong VP'!$B$10:$AP$189,12,0)</f>
        <v>156.6</v>
      </c>
      <c r="D4171" s="717"/>
      <c r="E4171" s="710">
        <v>4</v>
      </c>
      <c r="F4171" s="718" t="s">
        <v>671</v>
      </c>
      <c r="G4171" s="718"/>
      <c r="H4171" s="710" t="s">
        <v>668</v>
      </c>
      <c r="I4171" s="727">
        <f>VLOOKUP(C4163,'Luong VP'!$B$10:$AP$189,25,0)</f>
        <v>0</v>
      </c>
      <c r="J4171" s="728">
        <f>J4167/'Cham cong'!$AS$3*I4171/8*2</f>
        <v>0</v>
      </c>
    </row>
    <row r="4172" spans="1:12" ht="9.1999999999999993" customHeight="1">
      <c r="A4172" s="712">
        <v>6</v>
      </c>
      <c r="B4172" s="713" t="s">
        <v>673</v>
      </c>
      <c r="C4172" s="714">
        <f>VLOOKUP(C4163,'Luong VP'!$B$10:$AP$189,13,0)</f>
        <v>0</v>
      </c>
      <c r="D4172" s="717"/>
      <c r="E4172" s="710">
        <v>5</v>
      </c>
      <c r="F4172" s="718" t="s">
        <v>674</v>
      </c>
      <c r="G4172" s="718"/>
      <c r="H4172" s="710" t="s">
        <v>660</v>
      </c>
      <c r="I4172" s="727">
        <f>VLOOKUP(C4163,'Luong VP'!$B$10:$AP$189,23,0)</f>
        <v>0</v>
      </c>
      <c r="J4172" s="728">
        <f>C4167/'Cham cong'!$AS$3*I4172</f>
        <v>0</v>
      </c>
      <c r="L4172" s="694" t="str">
        <f>G4163</f>
        <v xml:space="preserve"> Nguyễn Hoài Thanh </v>
      </c>
    </row>
    <row r="4173" spans="1:12" ht="9.1999999999999993" customHeight="1">
      <c r="A4173" s="712">
        <v>7</v>
      </c>
      <c r="B4173" s="713" t="s">
        <v>676</v>
      </c>
      <c r="C4173" s="714"/>
      <c r="D4173" s="717"/>
      <c r="E4173" s="710">
        <v>6</v>
      </c>
      <c r="F4173" s="718" t="s">
        <v>677</v>
      </c>
      <c r="G4173" s="718"/>
      <c r="H4173" s="710" t="s">
        <v>660</v>
      </c>
      <c r="I4173" s="727">
        <f>VLOOKUP(C4163,'Luong VP'!$B$10:$AP$189,24,0)</f>
        <v>1</v>
      </c>
      <c r="J4173" s="714">
        <f>C4167/'Cham cong'!$AS$3*I4173</f>
        <v>200.76923076923077</v>
      </c>
    </row>
    <row r="4174" spans="1:12" ht="9.1999999999999993" customHeight="1">
      <c r="A4174" s="712">
        <v>8</v>
      </c>
      <c r="B4174" s="713" t="s">
        <v>679</v>
      </c>
      <c r="C4174" s="714">
        <f>VLOOKUP(C4163,'Luong VP'!$B$10:$AP$189,14,0)</f>
        <v>0</v>
      </c>
      <c r="D4174" s="717"/>
      <c r="E4174" s="710">
        <v>7</v>
      </c>
      <c r="F4174" s="718" t="s">
        <v>680</v>
      </c>
      <c r="G4174" s="718"/>
      <c r="H4174" s="718"/>
      <c r="I4174" s="729"/>
      <c r="J4174" s="714">
        <f>VLOOKUP(C4163,'Luong VP'!$B$10:$AP$189,28,0)</f>
        <v>600</v>
      </c>
    </row>
    <row r="4175" spans="1:12" ht="9.1999999999999993" customHeight="1">
      <c r="A4175" s="712">
        <v>9</v>
      </c>
      <c r="B4175" s="713" t="s">
        <v>683</v>
      </c>
      <c r="C4175" s="714">
        <f>VLOOKUP(C4163,'Luong VP'!$B$10:$AP$189,15,0)</f>
        <v>0</v>
      </c>
      <c r="D4175" s="717"/>
      <c r="E4175" s="710" t="s">
        <v>686</v>
      </c>
      <c r="F4175" s="716" t="s">
        <v>687</v>
      </c>
      <c r="G4175" s="719"/>
      <c r="H4175" s="719"/>
      <c r="I4175" s="729"/>
      <c r="J4175" s="730"/>
    </row>
    <row r="4176" spans="1:12" ht="9.1999999999999993" customHeight="1">
      <c r="A4176" s="712">
        <v>10</v>
      </c>
      <c r="B4176" s="713" t="s">
        <v>685</v>
      </c>
      <c r="C4176" s="714">
        <f>VLOOKUP(C4163,'Luong VP'!$B$10:$AP$189,16,0)</f>
        <v>0</v>
      </c>
      <c r="D4176" s="717"/>
      <c r="E4176" s="710">
        <v>1</v>
      </c>
      <c r="F4176" s="716" t="s">
        <v>689</v>
      </c>
      <c r="G4176" s="719"/>
      <c r="H4176" s="719"/>
      <c r="I4176" s="714">
        <f>VLOOKUP(C4163,'Luong VP'!$B$10:$AP$189,29,0)</f>
        <v>60</v>
      </c>
      <c r="J4176" s="714">
        <f>VLOOKUP(C4163,'Luong VP'!$B$10:$AP$189,30,0)</f>
        <v>5313.7438461538495</v>
      </c>
    </row>
    <row r="4177" spans="1:12" ht="9.1999999999999993" customHeight="1">
      <c r="A4177" s="712">
        <v>11</v>
      </c>
      <c r="B4177" s="713" t="s">
        <v>688</v>
      </c>
      <c r="C4177" s="714">
        <f>VLOOKUP(C4163,'Luong VP'!$B$10:$AP$189,17,0)</f>
        <v>0</v>
      </c>
      <c r="D4177" s="717"/>
      <c r="E4177" s="710">
        <v>2</v>
      </c>
      <c r="F4177" s="716" t="s">
        <v>702</v>
      </c>
      <c r="G4177" s="719"/>
      <c r="H4177" s="719"/>
      <c r="I4177" s="729"/>
      <c r="J4177" s="714">
        <f>VLOOKUP(C4163,'Luong VP'!$B$10:$AP$189,32,0)</f>
        <v>0</v>
      </c>
      <c r="K4177" s="731"/>
      <c r="L4177" s="715"/>
    </row>
    <row r="4178" spans="1:12" ht="9.1999999999999993" customHeight="1">
      <c r="A4178" s="712">
        <v>12</v>
      </c>
      <c r="B4178" s="713" t="s">
        <v>691</v>
      </c>
      <c r="C4178" s="714">
        <f>VLOOKUP(C4163,'Luong VP'!$B$10:$AP$189,18,0)</f>
        <v>0</v>
      </c>
      <c r="D4178" s="717"/>
      <c r="E4178" s="710">
        <v>3</v>
      </c>
      <c r="F4178" s="718" t="s">
        <v>238</v>
      </c>
      <c r="G4178" s="718"/>
      <c r="H4178" s="718"/>
      <c r="I4178" s="729"/>
      <c r="J4178" s="714">
        <f>VLOOKUP(C4163,'Luong VP'!$B$10:$AP$189,33,0)</f>
        <v>0</v>
      </c>
      <c r="K4178" s="731"/>
      <c r="L4178" s="715"/>
    </row>
    <row r="4179" spans="1:12" ht="9.1999999999999993" customHeight="1">
      <c r="A4179" s="712">
        <v>13</v>
      </c>
      <c r="B4179" s="713" t="s">
        <v>692</v>
      </c>
      <c r="C4179" s="714">
        <f>VLOOKUP(C4163,'Luong VP'!$B$10:$AP$189,19,0)</f>
        <v>0</v>
      </c>
      <c r="D4179" s="717"/>
      <c r="E4179" s="710">
        <v>4</v>
      </c>
      <c r="F4179" s="718" t="s">
        <v>239</v>
      </c>
      <c r="G4179" s="718"/>
      <c r="H4179" s="718"/>
      <c r="I4179" s="727"/>
      <c r="J4179" s="728">
        <f>VLOOKUP(C4163,'Luong VP'!$B$10:$AP$189,34,0)</f>
        <v>0</v>
      </c>
      <c r="K4179" s="732"/>
      <c r="L4179" s="715"/>
    </row>
    <row r="4180" spans="1:12" ht="9.1999999999999993" customHeight="1">
      <c r="A4180" s="712">
        <v>14</v>
      </c>
      <c r="B4180" s="713" t="s">
        <v>694</v>
      </c>
      <c r="C4180" s="714">
        <f>VLOOKUP(C4163,'Luong VP'!$B$10:$AP$189,20,0)</f>
        <v>0</v>
      </c>
      <c r="D4180" s="717"/>
      <c r="E4180" s="710">
        <v>5</v>
      </c>
      <c r="F4180" s="718" t="s">
        <v>695</v>
      </c>
      <c r="G4180" s="719"/>
      <c r="H4180" s="719"/>
      <c r="I4180" s="729"/>
      <c r="J4180" s="714">
        <f>VLOOKUP(C4163,'Luong VP'!$B$10:$AP$189,35,0)</f>
        <v>0</v>
      </c>
      <c r="K4180" s="732"/>
      <c r="L4180" s="715"/>
    </row>
    <row r="4181" spans="1:12" ht="9.1999999999999993" customHeight="1">
      <c r="A4181" s="712"/>
      <c r="B4181" s="707" t="s">
        <v>656</v>
      </c>
      <c r="C4181" s="714">
        <f>SUM(C4167:C4180)-C4175</f>
        <v>5576.6</v>
      </c>
      <c r="D4181" s="717"/>
      <c r="E4181" s="710">
        <v>6</v>
      </c>
      <c r="F4181" s="716" t="s">
        <v>693</v>
      </c>
      <c r="G4181" s="719"/>
      <c r="H4181" s="719"/>
      <c r="I4181" s="729"/>
      <c r="J4181" s="714">
        <f>VLOOKUP(C4163,'Luong VP'!$B$10:$AP$189,40,0)</f>
        <v>0</v>
      </c>
      <c r="K4181" s="731"/>
      <c r="L4181" s="715"/>
    </row>
    <row r="4182" spans="1:12" ht="9.1999999999999993" customHeight="1">
      <c r="B4182" s="720"/>
      <c r="C4182" s="717"/>
      <c r="D4182" s="717"/>
      <c r="E4182" s="710"/>
      <c r="F4182" s="716" t="s">
        <v>241</v>
      </c>
      <c r="G4182" s="719"/>
      <c r="H4182" s="719"/>
      <c r="I4182" s="729"/>
      <c r="J4182" s="730">
        <f>SUM(J4168:J4181)+C4175</f>
        <v>11691.11307692308</v>
      </c>
      <c r="K4182" s="732"/>
      <c r="L4182" s="715"/>
    </row>
    <row r="4183" spans="1:12" ht="9.1999999999999993" customHeight="1">
      <c r="B4183" s="720"/>
      <c r="C4183" s="717"/>
      <c r="D4183" s="717"/>
      <c r="E4183" s="710" t="s">
        <v>696</v>
      </c>
      <c r="F4183" s="711" t="s">
        <v>697</v>
      </c>
      <c r="G4183" s="710"/>
      <c r="H4183" s="710"/>
      <c r="I4183" s="729"/>
      <c r="J4183" s="730">
        <f>SUM(J4184:J4186)</f>
        <v>4504</v>
      </c>
      <c r="K4183" s="734"/>
      <c r="L4183" s="735"/>
    </row>
    <row r="4184" spans="1:12" ht="9.1999999999999993" customHeight="1">
      <c r="B4184" s="720"/>
      <c r="C4184" s="717"/>
      <c r="D4184" s="717"/>
      <c r="E4184" s="710">
        <v>1</v>
      </c>
      <c r="F4184" s="718" t="s">
        <v>698</v>
      </c>
      <c r="G4184" s="718"/>
      <c r="H4184" s="718"/>
      <c r="I4184" s="733"/>
      <c r="J4184" s="714">
        <f>VLOOKUP(C4163,'Luong VP'!$B$10:$AP$189,37,0)</f>
        <v>504</v>
      </c>
    </row>
    <row r="4185" spans="1:12" ht="9.1999999999999993" customHeight="1">
      <c r="B4185" s="720"/>
      <c r="C4185" s="717"/>
      <c r="D4185" s="717"/>
      <c r="E4185" s="710">
        <v>2</v>
      </c>
      <c r="F4185" s="718" t="s">
        <v>244</v>
      </c>
      <c r="G4185" s="718"/>
      <c r="H4185" s="718"/>
      <c r="I4185" s="729"/>
      <c r="J4185" s="714">
        <f>VLOOKUP(C4163,'Luong VP'!$B$10:$AP$189,39,0)</f>
        <v>4000</v>
      </c>
    </row>
    <row r="4186" spans="1:12" ht="9.1999999999999993" customHeight="1">
      <c r="B4186" s="720"/>
      <c r="C4186" s="717"/>
      <c r="D4186" s="717"/>
      <c r="E4186" s="710"/>
      <c r="F4186" s="718" t="s">
        <v>699</v>
      </c>
      <c r="G4186" s="718"/>
      <c r="H4186" s="718"/>
      <c r="I4186" s="729"/>
      <c r="J4186" s="714"/>
      <c r="K4186" s="714"/>
      <c r="L4186" s="736"/>
    </row>
    <row r="4187" spans="1:12" ht="9.1999999999999993" customHeight="1">
      <c r="B4187" s="720"/>
      <c r="C4187" s="717"/>
      <c r="D4187" s="717"/>
      <c r="E4187" s="710" t="s">
        <v>700</v>
      </c>
      <c r="F4187" s="710" t="s">
        <v>246</v>
      </c>
      <c r="G4187" s="710"/>
      <c r="H4187" s="710"/>
      <c r="I4187" s="729"/>
      <c r="J4187" s="728">
        <f>J4182-J4183</f>
        <v>7187.1130769230804</v>
      </c>
      <c r="K4187" s="728">
        <f>ROUND(J4187,-1)</f>
        <v>7190</v>
      </c>
      <c r="L4187" s="710"/>
    </row>
    <row r="4188" spans="1:12" ht="9.1999999999999993" customHeight="1">
      <c r="E4188" s="715"/>
      <c r="F4188" s="715"/>
      <c r="G4188" s="715"/>
      <c r="I4188" s="715" t="s">
        <v>701</v>
      </c>
      <c r="J4188" s="737"/>
    </row>
    <row r="4189" spans="1:12" ht="9.1999999999999993" customHeight="1">
      <c r="E4189" s="715"/>
      <c r="F4189" s="715"/>
      <c r="G4189" s="715"/>
      <c r="I4189" s="715"/>
      <c r="J4189" s="737"/>
    </row>
    <row r="4190" spans="1:12" ht="9.1999999999999993" customHeight="1">
      <c r="E4190" s="715"/>
      <c r="F4190" s="715"/>
      <c r="G4190" s="715"/>
      <c r="I4190" s="715"/>
      <c r="J4190" s="737"/>
    </row>
    <row r="4193" spans="1:12" ht="9.1999999999999993" customHeight="1">
      <c r="C4193" s="696"/>
      <c r="D4193" s="696"/>
      <c r="E4193" s="697" t="str">
        <f>$E$2</f>
        <v>THẺ LƯƠNG THÁNG 08/2019</v>
      </c>
      <c r="F4193" s="698"/>
      <c r="G4193" s="698"/>
      <c r="H4193" s="698"/>
    </row>
    <row r="4194" spans="1:12" ht="9.1999999999999993" customHeight="1">
      <c r="B4194" s="699" t="s">
        <v>644</v>
      </c>
      <c r="C4194" s="700" t="s">
        <v>561</v>
      </c>
      <c r="D4194" s="701"/>
      <c r="F4194" s="702" t="s">
        <v>645</v>
      </c>
      <c r="G4194" s="689" t="str">
        <f>VLOOKUP(C4194,'Luong VP'!$B$10:$AP$189,2,0)</f>
        <v xml:space="preserve"> Nguyễn Đình Hướng </v>
      </c>
    </row>
    <row r="4195" spans="1:12" ht="9.1999999999999993" customHeight="1">
      <c r="B4195" s="699" t="s">
        <v>646</v>
      </c>
      <c r="C4195" s="689" t="str">
        <f>VLOOKUP(C4194,'Luong VP'!$B$10:$AP$189,3,0)</f>
        <v>Tài xế</v>
      </c>
      <c r="F4195" s="702" t="s">
        <v>647</v>
      </c>
      <c r="G4195" s="689">
        <f>VLOOKUP(C4194,'Luong VP'!$B$10:$AP$189,5,0)</f>
        <v>1</v>
      </c>
    </row>
    <row r="4196" spans="1:12" ht="9.1999999999999993" customHeight="1">
      <c r="B4196" s="703"/>
      <c r="C4196" s="704"/>
      <c r="D4196" s="705"/>
      <c r="F4196" s="706" t="s">
        <v>648</v>
      </c>
      <c r="G4196" s="706"/>
      <c r="H4196" s="706"/>
      <c r="I4196" s="725"/>
      <c r="J4196" s="726"/>
    </row>
    <row r="4197" spans="1:12" ht="9.1999999999999993" customHeight="1">
      <c r="A4197" s="707" t="s">
        <v>216</v>
      </c>
      <c r="B4197" s="707" t="s">
        <v>649</v>
      </c>
      <c r="C4197" s="708" t="s">
        <v>650</v>
      </c>
      <c r="D4197" s="709"/>
      <c r="E4197" s="710" t="s">
        <v>216</v>
      </c>
      <c r="F4197" s="711" t="s">
        <v>649</v>
      </c>
      <c r="G4197" s="710"/>
      <c r="H4197" s="710" t="s">
        <v>651</v>
      </c>
      <c r="I4197" s="727" t="s">
        <v>652</v>
      </c>
      <c r="J4197" s="714"/>
      <c r="L4197" s="694" t="s">
        <v>653</v>
      </c>
    </row>
    <row r="4198" spans="1:12" ht="9.1999999999999993" customHeight="1">
      <c r="A4198" s="712">
        <v>1</v>
      </c>
      <c r="B4198" s="713" t="s">
        <v>654</v>
      </c>
      <c r="C4198" s="714">
        <f>VLOOKUP(C4194,'Luong VP'!$B$10:$AP$189,9,0)</f>
        <v>5220</v>
      </c>
      <c r="D4198" s="715"/>
      <c r="E4198" s="710" t="s">
        <v>655</v>
      </c>
      <c r="F4198" s="716" t="s">
        <v>656</v>
      </c>
      <c r="G4198" s="710"/>
      <c r="H4198" s="710"/>
      <c r="I4198" s="727"/>
      <c r="J4198" s="714">
        <f>VLOOKUP(C4194,'Luong VP'!$B$10:$AP$189,21,0)</f>
        <v>5576.6</v>
      </c>
    </row>
    <row r="4199" spans="1:12" ht="9.1999999999999993" customHeight="1">
      <c r="A4199" s="712">
        <v>2</v>
      </c>
      <c r="B4199" s="713" t="s">
        <v>658</v>
      </c>
      <c r="C4199" s="714"/>
      <c r="D4199" s="717"/>
      <c r="E4199" s="710">
        <v>1</v>
      </c>
      <c r="F4199" s="718" t="s">
        <v>659</v>
      </c>
      <c r="G4199" s="718"/>
      <c r="H4199" s="710" t="s">
        <v>660</v>
      </c>
      <c r="I4199" s="727">
        <f>VLOOKUP(C4194,'Luong VP'!$B$10:$AP$189,22,0)</f>
        <v>26</v>
      </c>
      <c r="J4199" s="728">
        <f>J4198/'Cham cong'!$AS$3*I4199</f>
        <v>5576.6</v>
      </c>
    </row>
    <row r="4200" spans="1:12" ht="9.1999999999999993" customHeight="1">
      <c r="A4200" s="712">
        <v>3</v>
      </c>
      <c r="B4200" s="713" t="s">
        <v>661</v>
      </c>
      <c r="C4200" s="714">
        <f>VLOOKUP(C4194,'Luong VP'!$B$10:$AP$189,10,0)</f>
        <v>0</v>
      </c>
      <c r="D4200" s="717"/>
      <c r="E4200" s="710">
        <v>2</v>
      </c>
      <c r="F4200" s="718" t="s">
        <v>662</v>
      </c>
      <c r="G4200" s="718"/>
      <c r="H4200" s="710" t="s">
        <v>660</v>
      </c>
      <c r="I4200" s="727">
        <f>VLOOKUP(C4194,'Luong VP'!$B$10:$AP$189,27,0)</f>
        <v>0</v>
      </c>
      <c r="J4200" s="728">
        <f>J4198/'Cham cong'!$AS$3*I4200*3</f>
        <v>0</v>
      </c>
    </row>
    <row r="4201" spans="1:12" ht="9.1999999999999993" customHeight="1">
      <c r="A4201" s="712">
        <v>4</v>
      </c>
      <c r="B4201" s="713" t="s">
        <v>666</v>
      </c>
      <c r="C4201" s="714">
        <f>VLOOKUP(C4194,'Luong VP'!$B$10:$AP$189,11,0)</f>
        <v>200</v>
      </c>
      <c r="D4201" s="717"/>
      <c r="E4201" s="710">
        <v>3</v>
      </c>
      <c r="F4201" s="718" t="s">
        <v>667</v>
      </c>
      <c r="G4201" s="718"/>
      <c r="H4201" s="710" t="s">
        <v>668</v>
      </c>
      <c r="I4201" s="727">
        <f>VLOOKUP(C4194,'Luong VP'!$B$10:$AP$189,26,0)</f>
        <v>0</v>
      </c>
      <c r="J4201" s="728">
        <f>J4198/'Cham cong'!$AS$3*I4201/8*1.5</f>
        <v>0</v>
      </c>
    </row>
    <row r="4202" spans="1:12" ht="9.1999999999999993" customHeight="1">
      <c r="A4202" s="712">
        <v>5</v>
      </c>
      <c r="B4202" s="713" t="s">
        <v>670</v>
      </c>
      <c r="C4202" s="714">
        <f>VLOOKUP(C4194,'Luong VP'!$B$10:$AP$189,12,0)</f>
        <v>156.6</v>
      </c>
      <c r="D4202" s="717"/>
      <c r="E4202" s="710">
        <v>4</v>
      </c>
      <c r="F4202" s="718" t="s">
        <v>671</v>
      </c>
      <c r="G4202" s="718"/>
      <c r="H4202" s="710" t="s">
        <v>668</v>
      </c>
      <c r="I4202" s="727">
        <f>VLOOKUP(C4194,'Luong VP'!$B$10:$AP$189,25,0)</f>
        <v>0</v>
      </c>
      <c r="J4202" s="728">
        <f>J4198/'Cham cong'!$AS$3*I4202/8*2</f>
        <v>0</v>
      </c>
    </row>
    <row r="4203" spans="1:12" ht="9.1999999999999993" customHeight="1">
      <c r="A4203" s="712">
        <v>6</v>
      </c>
      <c r="B4203" s="713" t="s">
        <v>673</v>
      </c>
      <c r="C4203" s="714">
        <f>VLOOKUP(C4194,'Luong VP'!$B$10:$AP$189,13,0)</f>
        <v>0</v>
      </c>
      <c r="D4203" s="717"/>
      <c r="E4203" s="710">
        <v>5</v>
      </c>
      <c r="F4203" s="718" t="s">
        <v>674</v>
      </c>
      <c r="G4203" s="718"/>
      <c r="H4203" s="710" t="s">
        <v>660</v>
      </c>
      <c r="I4203" s="727">
        <f>VLOOKUP(C4194,'Luong VP'!$B$10:$AP$189,23,0)</f>
        <v>0</v>
      </c>
      <c r="J4203" s="728">
        <f>C4198/'Cham cong'!$AS$3*I4203</f>
        <v>0</v>
      </c>
      <c r="L4203" s="694" t="str">
        <f>G4194</f>
        <v xml:space="preserve"> Nguyễn Đình Hướng </v>
      </c>
    </row>
    <row r="4204" spans="1:12" ht="9.1999999999999993" customHeight="1">
      <c r="A4204" s="712">
        <v>7</v>
      </c>
      <c r="B4204" s="713" t="s">
        <v>676</v>
      </c>
      <c r="C4204" s="714"/>
      <c r="D4204" s="717"/>
      <c r="E4204" s="710">
        <v>6</v>
      </c>
      <c r="F4204" s="718" t="s">
        <v>677</v>
      </c>
      <c r="G4204" s="718"/>
      <c r="H4204" s="710" t="s">
        <v>660</v>
      </c>
      <c r="I4204" s="727">
        <f>VLOOKUP(C4194,'Luong VP'!$B$10:$AP$189,24,0)</f>
        <v>1</v>
      </c>
      <c r="J4204" s="714">
        <f>C4198/'Cham cong'!$AS$3*I4204</f>
        <v>200.76923076923077</v>
      </c>
    </row>
    <row r="4205" spans="1:12" ht="9.1999999999999993" customHeight="1">
      <c r="A4205" s="712">
        <v>8</v>
      </c>
      <c r="B4205" s="713" t="s">
        <v>679</v>
      </c>
      <c r="C4205" s="714">
        <f>VLOOKUP(C4194,'Luong VP'!$B$10:$AP$189,14,0)</f>
        <v>0</v>
      </c>
      <c r="D4205" s="717"/>
      <c r="E4205" s="710">
        <v>7</v>
      </c>
      <c r="F4205" s="718" t="s">
        <v>680</v>
      </c>
      <c r="G4205" s="718"/>
      <c r="H4205" s="718"/>
      <c r="I4205" s="729"/>
      <c r="J4205" s="714">
        <f>VLOOKUP(C4194,'Luong VP'!$B$10:$AP$189,28,0)</f>
        <v>540</v>
      </c>
    </row>
    <row r="4206" spans="1:12" ht="9.1999999999999993" customHeight="1">
      <c r="A4206" s="712">
        <v>9</v>
      </c>
      <c r="B4206" s="713" t="s">
        <v>683</v>
      </c>
      <c r="C4206" s="714">
        <f>VLOOKUP(C4194,'Luong VP'!$B$10:$AP$189,15,0)</f>
        <v>0</v>
      </c>
      <c r="D4206" s="717"/>
      <c r="E4206" s="710" t="s">
        <v>686</v>
      </c>
      <c r="F4206" s="716" t="s">
        <v>687</v>
      </c>
      <c r="G4206" s="719"/>
      <c r="H4206" s="719"/>
      <c r="I4206" s="729"/>
      <c r="J4206" s="730"/>
    </row>
    <row r="4207" spans="1:12" ht="9.1999999999999993" customHeight="1">
      <c r="A4207" s="712">
        <v>10</v>
      </c>
      <c r="B4207" s="713" t="s">
        <v>685</v>
      </c>
      <c r="C4207" s="714">
        <f>VLOOKUP(C4194,'Luong VP'!$B$10:$AP$189,16,0)</f>
        <v>0</v>
      </c>
      <c r="D4207" s="717"/>
      <c r="E4207" s="710">
        <v>1</v>
      </c>
      <c r="F4207" s="716" t="s">
        <v>689</v>
      </c>
      <c r="G4207" s="719"/>
      <c r="H4207" s="719"/>
      <c r="I4207" s="714">
        <f>VLOOKUP(C4194,'Luong VP'!$B$10:$AP$189,29,0)</f>
        <v>55</v>
      </c>
      <c r="J4207" s="714">
        <f>VLOOKUP(C4194,'Luong VP'!$B$10:$AP$189,30,0)</f>
        <v>5130.2694615384635</v>
      </c>
    </row>
    <row r="4208" spans="1:12" ht="9.1999999999999993" customHeight="1">
      <c r="A4208" s="712">
        <v>11</v>
      </c>
      <c r="B4208" s="713" t="s">
        <v>688</v>
      </c>
      <c r="C4208" s="714">
        <f>VLOOKUP(C4194,'Luong VP'!$B$10:$AP$189,17,0)</f>
        <v>0</v>
      </c>
      <c r="D4208" s="717"/>
      <c r="E4208" s="710">
        <v>2</v>
      </c>
      <c r="F4208" s="716" t="s">
        <v>702</v>
      </c>
      <c r="G4208" s="719"/>
      <c r="H4208" s="719"/>
      <c r="I4208" s="729"/>
      <c r="J4208" s="714">
        <f>VLOOKUP(C4194,'Luong VP'!$B$10:$AP$189,32,0)</f>
        <v>0</v>
      </c>
      <c r="K4208" s="731"/>
      <c r="L4208" s="715"/>
    </row>
    <row r="4209" spans="1:12" ht="9.1999999999999993" customHeight="1">
      <c r="A4209" s="712">
        <v>12</v>
      </c>
      <c r="B4209" s="713" t="s">
        <v>691</v>
      </c>
      <c r="C4209" s="714">
        <f>VLOOKUP(C4194,'Luong VP'!$B$10:$AP$189,18,0)</f>
        <v>0</v>
      </c>
      <c r="D4209" s="717"/>
      <c r="E4209" s="710">
        <v>3</v>
      </c>
      <c r="F4209" s="718" t="s">
        <v>238</v>
      </c>
      <c r="G4209" s="718"/>
      <c r="H4209" s="718"/>
      <c r="I4209" s="729"/>
      <c r="J4209" s="714">
        <f>VLOOKUP(C4194,'Luong VP'!$B$10:$AP$189,33,0)</f>
        <v>0</v>
      </c>
      <c r="K4209" s="731"/>
      <c r="L4209" s="715"/>
    </row>
    <row r="4210" spans="1:12" ht="9.1999999999999993" customHeight="1">
      <c r="A4210" s="712">
        <v>13</v>
      </c>
      <c r="B4210" s="713" t="s">
        <v>692</v>
      </c>
      <c r="C4210" s="714">
        <f>VLOOKUP(C4194,'Luong VP'!$B$10:$AP$189,19,0)</f>
        <v>0</v>
      </c>
      <c r="D4210" s="717"/>
      <c r="E4210" s="710">
        <v>4</v>
      </c>
      <c r="F4210" s="718" t="s">
        <v>239</v>
      </c>
      <c r="G4210" s="718"/>
      <c r="H4210" s="718"/>
      <c r="I4210" s="727"/>
      <c r="J4210" s="728">
        <f>VLOOKUP(C4194,'Luong VP'!$B$10:$AP$189,34,0)</f>
        <v>0</v>
      </c>
      <c r="K4210" s="732"/>
      <c r="L4210" s="715"/>
    </row>
    <row r="4211" spans="1:12" ht="9.1999999999999993" customHeight="1">
      <c r="A4211" s="712">
        <v>14</v>
      </c>
      <c r="B4211" s="713" t="s">
        <v>694</v>
      </c>
      <c r="C4211" s="714">
        <f>VLOOKUP(C4194,'Luong VP'!$B$10:$AP$189,20,0)</f>
        <v>0</v>
      </c>
      <c r="D4211" s="717"/>
      <c r="E4211" s="710">
        <v>5</v>
      </c>
      <c r="F4211" s="718" t="s">
        <v>695</v>
      </c>
      <c r="G4211" s="719"/>
      <c r="H4211" s="719"/>
      <c r="I4211" s="729"/>
      <c r="J4211" s="714">
        <f>VLOOKUP(C4194,'Luong VP'!$B$10:$AP$189,35,0)</f>
        <v>0</v>
      </c>
      <c r="K4211" s="732"/>
      <c r="L4211" s="715"/>
    </row>
    <row r="4212" spans="1:12" ht="9.1999999999999993" customHeight="1">
      <c r="A4212" s="712"/>
      <c r="B4212" s="707" t="s">
        <v>656</v>
      </c>
      <c r="C4212" s="714">
        <f>SUM(C4198:C4211)-C4206</f>
        <v>5576.6</v>
      </c>
      <c r="D4212" s="717"/>
      <c r="E4212" s="710">
        <v>6</v>
      </c>
      <c r="F4212" s="716" t="s">
        <v>693</v>
      </c>
      <c r="G4212" s="719"/>
      <c r="H4212" s="719"/>
      <c r="I4212" s="729"/>
      <c r="J4212" s="714">
        <f>VLOOKUP(C4194,'Luong VP'!$B$10:$AP$189,40,0)</f>
        <v>0</v>
      </c>
      <c r="K4212" s="731"/>
      <c r="L4212" s="715"/>
    </row>
    <row r="4213" spans="1:12" ht="9.1999999999999993" customHeight="1">
      <c r="B4213" s="720"/>
      <c r="C4213" s="717"/>
      <c r="D4213" s="717"/>
      <c r="E4213" s="710"/>
      <c r="F4213" s="716" t="s">
        <v>241</v>
      </c>
      <c r="G4213" s="719"/>
      <c r="H4213" s="719"/>
      <c r="I4213" s="729"/>
      <c r="J4213" s="730">
        <f>SUM(J4199:J4212)+C4206</f>
        <v>11447.638692307693</v>
      </c>
      <c r="K4213" s="732"/>
      <c r="L4213" s="715"/>
    </row>
    <row r="4214" spans="1:12" ht="9.1999999999999993" customHeight="1">
      <c r="B4214" s="720"/>
      <c r="C4214" s="717"/>
      <c r="D4214" s="717"/>
      <c r="E4214" s="710" t="s">
        <v>696</v>
      </c>
      <c r="F4214" s="711" t="s">
        <v>697</v>
      </c>
      <c r="G4214" s="710"/>
      <c r="H4214" s="710"/>
      <c r="I4214" s="729"/>
      <c r="J4214" s="730">
        <f>SUM(J4215:J4217)</f>
        <v>6504</v>
      </c>
      <c r="K4214" s="734"/>
      <c r="L4214" s="735"/>
    </row>
    <row r="4215" spans="1:12" ht="9.1999999999999993" customHeight="1">
      <c r="B4215" s="720"/>
      <c r="C4215" s="717"/>
      <c r="D4215" s="717"/>
      <c r="E4215" s="710">
        <v>1</v>
      </c>
      <c r="F4215" s="718" t="s">
        <v>698</v>
      </c>
      <c r="G4215" s="718"/>
      <c r="H4215" s="718"/>
      <c r="I4215" s="733"/>
      <c r="J4215" s="714">
        <f>VLOOKUP(C4194,'Luong VP'!$B$10:$AP$189,37,0)</f>
        <v>504</v>
      </c>
    </row>
    <row r="4216" spans="1:12" ht="9.1999999999999993" customHeight="1">
      <c r="B4216" s="720"/>
      <c r="C4216" s="717"/>
      <c r="D4216" s="717"/>
      <c r="E4216" s="710">
        <v>2</v>
      </c>
      <c r="F4216" s="718" t="s">
        <v>244</v>
      </c>
      <c r="G4216" s="718"/>
      <c r="H4216" s="718"/>
      <c r="I4216" s="729"/>
      <c r="J4216" s="714">
        <f>VLOOKUP(C4194,'Luong VP'!$B$10:$AP$189,39,0)</f>
        <v>6000</v>
      </c>
    </row>
    <row r="4217" spans="1:12" ht="9.1999999999999993" customHeight="1">
      <c r="B4217" s="720"/>
      <c r="C4217" s="717"/>
      <c r="D4217" s="717"/>
      <c r="E4217" s="710"/>
      <c r="F4217" s="718" t="s">
        <v>699</v>
      </c>
      <c r="G4217" s="718"/>
      <c r="H4217" s="718"/>
      <c r="I4217" s="729"/>
      <c r="J4217" s="714"/>
      <c r="K4217" s="714"/>
      <c r="L4217" s="736"/>
    </row>
    <row r="4218" spans="1:12" ht="9.1999999999999993" customHeight="1">
      <c r="B4218" s="720"/>
      <c r="C4218" s="717"/>
      <c r="D4218" s="717"/>
      <c r="E4218" s="710" t="s">
        <v>700</v>
      </c>
      <c r="F4218" s="710" t="s">
        <v>246</v>
      </c>
      <c r="G4218" s="710"/>
      <c r="H4218" s="710"/>
      <c r="I4218" s="729"/>
      <c r="J4218" s="728">
        <f>J4213-J4214</f>
        <v>4943.6386923076934</v>
      </c>
      <c r="K4218" s="728">
        <f>ROUND(J4218,-1)</f>
        <v>4940</v>
      </c>
      <c r="L4218" s="710"/>
    </row>
    <row r="4219" spans="1:12" ht="9.1999999999999993" customHeight="1">
      <c r="E4219" s="715"/>
      <c r="F4219" s="715"/>
      <c r="G4219" s="715"/>
      <c r="I4219" s="715" t="s">
        <v>701</v>
      </c>
      <c r="J4219" s="737"/>
    </row>
    <row r="4220" spans="1:12" ht="9.1999999999999993" customHeight="1">
      <c r="E4220" s="715"/>
      <c r="F4220" s="715"/>
      <c r="G4220" s="715"/>
      <c r="I4220" s="715"/>
      <c r="J4220" s="737"/>
    </row>
    <row r="4221" spans="1:12" ht="9.1999999999999993" customHeight="1">
      <c r="E4221" s="715"/>
      <c r="F4221" s="715"/>
      <c r="G4221" s="715"/>
      <c r="I4221" s="715"/>
      <c r="J4221" s="737"/>
    </row>
    <row r="4224" spans="1:12" ht="9.1999999999999993" customHeight="1">
      <c r="A4224" s="805"/>
      <c r="B4224" s="805"/>
      <c r="C4224" s="806"/>
      <c r="D4224" s="806"/>
      <c r="E4224" s="807" t="str">
        <f>$E$2</f>
        <v>THẺ LƯƠNG THÁNG 08/2019</v>
      </c>
      <c r="F4224" s="808"/>
      <c r="G4224" s="808"/>
      <c r="H4224" s="808"/>
      <c r="I4224" s="812"/>
      <c r="J4224" s="812"/>
      <c r="K4224" s="812"/>
      <c r="L4224" s="831"/>
    </row>
    <row r="4225" spans="1:12" ht="9.1999999999999993" customHeight="1">
      <c r="A4225" s="805"/>
      <c r="B4225" s="809" t="s">
        <v>644</v>
      </c>
      <c r="C4225" s="810" t="s">
        <v>563</v>
      </c>
      <c r="D4225" s="811"/>
      <c r="E4225" s="812"/>
      <c r="F4225" s="813" t="s">
        <v>645</v>
      </c>
      <c r="G4225" s="812" t="str">
        <f>VLOOKUP(C4225,'Luong VP'!$B$10:$AP$189,2,0)</f>
        <v xml:space="preserve"> Đặng Quốc Cọp </v>
      </c>
      <c r="H4225" s="812"/>
      <c r="I4225" s="812"/>
      <c r="J4225" s="812"/>
      <c r="K4225" s="812"/>
      <c r="L4225" s="831"/>
    </row>
    <row r="4226" spans="1:12" ht="9.1999999999999993" customHeight="1">
      <c r="A4226" s="805"/>
      <c r="B4226" s="809" t="s">
        <v>646</v>
      </c>
      <c r="C4226" s="812" t="str">
        <f>VLOOKUP(C4225,'Luong VP'!$B$10:$AP$189,3,0)</f>
        <v>Tài xế</v>
      </c>
      <c r="D4226" s="812"/>
      <c r="E4226" s="812"/>
      <c r="F4226" s="813" t="s">
        <v>647</v>
      </c>
      <c r="G4226" s="812">
        <f>VLOOKUP(C4225,'Luong VP'!$B$10:$AP$189,5,0)</f>
        <v>0</v>
      </c>
      <c r="H4226" s="812"/>
      <c r="I4226" s="812"/>
      <c r="J4226" s="812"/>
      <c r="K4226" s="812"/>
      <c r="L4226" s="831"/>
    </row>
    <row r="4227" spans="1:12" ht="9.1999999999999993" customHeight="1">
      <c r="A4227" s="805"/>
      <c r="B4227" s="814"/>
      <c r="C4227" s="815"/>
      <c r="D4227" s="816"/>
      <c r="E4227" s="812"/>
      <c r="F4227" s="817" t="s">
        <v>648</v>
      </c>
      <c r="G4227" s="817"/>
      <c r="H4227" s="817"/>
      <c r="I4227" s="832"/>
      <c r="J4227" s="833"/>
      <c r="K4227" s="812"/>
      <c r="L4227" s="831"/>
    </row>
    <row r="4228" spans="1:12" ht="9.1999999999999993" customHeight="1">
      <c r="A4228" s="818" t="s">
        <v>216</v>
      </c>
      <c r="B4228" s="818" t="s">
        <v>649</v>
      </c>
      <c r="C4228" s="819" t="s">
        <v>650</v>
      </c>
      <c r="D4228" s="820"/>
      <c r="E4228" s="821" t="s">
        <v>216</v>
      </c>
      <c r="F4228" s="822" t="s">
        <v>649</v>
      </c>
      <c r="G4228" s="821"/>
      <c r="H4228" s="821" t="s">
        <v>651</v>
      </c>
      <c r="I4228" s="834" t="s">
        <v>652</v>
      </c>
      <c r="J4228" s="825"/>
      <c r="K4228" s="835"/>
      <c r="L4228" s="831" t="s">
        <v>653</v>
      </c>
    </row>
    <row r="4229" spans="1:12" ht="9.1999999999999993" customHeight="1">
      <c r="A4229" s="823">
        <v>1</v>
      </c>
      <c r="B4229" s="824" t="s">
        <v>654</v>
      </c>
      <c r="C4229" s="825">
        <f>VLOOKUP(C4225,'Luong VP'!$B$10:$AP$189,9,0)</f>
        <v>10300</v>
      </c>
      <c r="D4229" s="826"/>
      <c r="E4229" s="821" t="s">
        <v>655</v>
      </c>
      <c r="F4229" s="822" t="s">
        <v>656</v>
      </c>
      <c r="G4229" s="821"/>
      <c r="H4229" s="821"/>
      <c r="I4229" s="834"/>
      <c r="J4229" s="825">
        <f>VLOOKUP(C4225,'Luong VP'!$B$10:$AP$189,21,0)</f>
        <v>10809</v>
      </c>
      <c r="K4229" s="835"/>
      <c r="L4229" s="831"/>
    </row>
    <row r="4230" spans="1:12" ht="9.1999999999999993" customHeight="1">
      <c r="A4230" s="823">
        <v>2</v>
      </c>
      <c r="B4230" s="824" t="s">
        <v>658</v>
      </c>
      <c r="C4230" s="825"/>
      <c r="D4230" s="827"/>
      <c r="E4230" s="821">
        <v>1</v>
      </c>
      <c r="F4230" s="828" t="s">
        <v>659</v>
      </c>
      <c r="G4230" s="828"/>
      <c r="H4230" s="821" t="s">
        <v>660</v>
      </c>
      <c r="I4230" s="834">
        <f>VLOOKUP(C4225,'Luong VP'!$B$10:$AP$189,22,0)</f>
        <v>26</v>
      </c>
      <c r="J4230" s="836">
        <f>J4229/'Cham cong'!$AS$3*I4230</f>
        <v>10809</v>
      </c>
      <c r="K4230" s="835"/>
      <c r="L4230" s="831"/>
    </row>
    <row r="4231" spans="1:12" ht="9.1999999999999993" customHeight="1">
      <c r="A4231" s="823">
        <v>3</v>
      </c>
      <c r="B4231" s="824" t="s">
        <v>661</v>
      </c>
      <c r="C4231" s="825">
        <f>VLOOKUP(C4225,'Luong VP'!$B$10:$AP$189,10,0)</f>
        <v>0</v>
      </c>
      <c r="D4231" s="827"/>
      <c r="E4231" s="821">
        <v>2</v>
      </c>
      <c r="F4231" s="828" t="s">
        <v>662</v>
      </c>
      <c r="G4231" s="828"/>
      <c r="H4231" s="821" t="s">
        <v>660</v>
      </c>
      <c r="I4231" s="834">
        <f>VLOOKUP(C4225,'Luong VP'!$B$10:$AP$189,27,0)</f>
        <v>0</v>
      </c>
      <c r="J4231" s="836">
        <f>J4229/'Cham cong'!$AS$3*I4231*3</f>
        <v>0</v>
      </c>
      <c r="K4231" s="835"/>
      <c r="L4231" s="831"/>
    </row>
    <row r="4232" spans="1:12" ht="9.1999999999999993" customHeight="1">
      <c r="A4232" s="823">
        <v>4</v>
      </c>
      <c r="B4232" s="824" t="s">
        <v>666</v>
      </c>
      <c r="C4232" s="825">
        <f>VLOOKUP(C4225,'Luong VP'!$B$10:$AP$189,11,0)</f>
        <v>200</v>
      </c>
      <c r="D4232" s="827"/>
      <c r="E4232" s="821">
        <v>3</v>
      </c>
      <c r="F4232" s="828" t="s">
        <v>667</v>
      </c>
      <c r="G4232" s="828"/>
      <c r="H4232" s="821" t="s">
        <v>668</v>
      </c>
      <c r="I4232" s="834">
        <f>VLOOKUP(C4225,'Luong VP'!$B$10:$AP$189,26,0)</f>
        <v>0</v>
      </c>
      <c r="J4232" s="836">
        <f>J4229/'Cham cong'!$AS$3*I4232/8*1.5</f>
        <v>0</v>
      </c>
      <c r="K4232" s="835"/>
      <c r="L4232" s="831"/>
    </row>
    <row r="4233" spans="1:12" ht="9.1999999999999993" customHeight="1">
      <c r="A4233" s="823">
        <v>5</v>
      </c>
      <c r="B4233" s="824" t="s">
        <v>670</v>
      </c>
      <c r="C4233" s="825">
        <f>VLOOKUP(C4225,'Luong VP'!$B$10:$AP$189,12,0)</f>
        <v>309</v>
      </c>
      <c r="D4233" s="827"/>
      <c r="E4233" s="821">
        <v>4</v>
      </c>
      <c r="F4233" s="828" t="s">
        <v>671</v>
      </c>
      <c r="G4233" s="828"/>
      <c r="H4233" s="821" t="s">
        <v>668</v>
      </c>
      <c r="I4233" s="834">
        <f>VLOOKUP(C4225,'Luong VP'!$B$10:$AP$189,25,0)</f>
        <v>0</v>
      </c>
      <c r="J4233" s="836">
        <f>J4229/'Cham cong'!$AS$3*I4233/8*2</f>
        <v>0</v>
      </c>
      <c r="K4233" s="835"/>
      <c r="L4233" s="831"/>
    </row>
    <row r="4234" spans="1:12" ht="9.1999999999999993" customHeight="1">
      <c r="A4234" s="823">
        <v>6</v>
      </c>
      <c r="B4234" s="824" t="s">
        <v>673</v>
      </c>
      <c r="C4234" s="825">
        <f>VLOOKUP(C4225,'Luong VP'!$B$10:$AP$189,13,0)</f>
        <v>0</v>
      </c>
      <c r="D4234" s="827"/>
      <c r="E4234" s="821">
        <v>5</v>
      </c>
      <c r="F4234" s="828" t="s">
        <v>674</v>
      </c>
      <c r="G4234" s="828"/>
      <c r="H4234" s="821" t="s">
        <v>660</v>
      </c>
      <c r="I4234" s="834">
        <f>VLOOKUP(C4225,'Luong VP'!$B$10:$AP$189,23,0)</f>
        <v>0</v>
      </c>
      <c r="J4234" s="836">
        <f>C4229/'Cham cong'!$AS$3*I4234</f>
        <v>0</v>
      </c>
      <c r="K4234" s="835"/>
      <c r="L4234" s="831" t="str">
        <f>G4225</f>
        <v xml:space="preserve"> Đặng Quốc Cọp </v>
      </c>
    </row>
    <row r="4235" spans="1:12" ht="9.1999999999999993" customHeight="1">
      <c r="A4235" s="823">
        <v>7</v>
      </c>
      <c r="B4235" s="824" t="s">
        <v>676</v>
      </c>
      <c r="C4235" s="825"/>
      <c r="D4235" s="827"/>
      <c r="E4235" s="821">
        <v>6</v>
      </c>
      <c r="F4235" s="828" t="s">
        <v>677</v>
      </c>
      <c r="G4235" s="828"/>
      <c r="H4235" s="821" t="s">
        <v>660</v>
      </c>
      <c r="I4235" s="834">
        <f>VLOOKUP(C4225,'Luong VP'!$B$10:$AP$189,24,0)</f>
        <v>1</v>
      </c>
      <c r="J4235" s="825">
        <f>C4229/'Cham cong'!$AS$3*I4235</f>
        <v>396.15384615384613</v>
      </c>
      <c r="K4235" s="835"/>
      <c r="L4235" s="831"/>
    </row>
    <row r="4236" spans="1:12" ht="9.1999999999999993" customHeight="1">
      <c r="A4236" s="823">
        <v>8</v>
      </c>
      <c r="B4236" s="824" t="s">
        <v>679</v>
      </c>
      <c r="C4236" s="825">
        <f>VLOOKUP(C4225,'Luong VP'!$B$10:$AP$189,14,0)</f>
        <v>0</v>
      </c>
      <c r="D4236" s="827"/>
      <c r="E4236" s="821">
        <v>7</v>
      </c>
      <c r="F4236" s="828" t="s">
        <v>680</v>
      </c>
      <c r="G4236" s="828"/>
      <c r="H4236" s="828"/>
      <c r="I4236" s="837"/>
      <c r="J4236" s="825">
        <f>VLOOKUP(C4225,'Luong VP'!$B$10:$AP$189,28,0)</f>
        <v>0</v>
      </c>
      <c r="K4236" s="835"/>
      <c r="L4236" s="831"/>
    </row>
    <row r="4237" spans="1:12" ht="9.1999999999999993" customHeight="1">
      <c r="A4237" s="823">
        <v>9</v>
      </c>
      <c r="B4237" s="824" t="s">
        <v>683</v>
      </c>
      <c r="C4237" s="825">
        <f>VLOOKUP(C4225,'Luong VP'!$B$10:$AP$189,15,0)</f>
        <v>0</v>
      </c>
      <c r="D4237" s="827"/>
      <c r="E4237" s="821" t="s">
        <v>686</v>
      </c>
      <c r="F4237" s="822" t="s">
        <v>687</v>
      </c>
      <c r="G4237" s="821"/>
      <c r="H4237" s="821"/>
      <c r="I4237" s="837"/>
      <c r="J4237" s="838"/>
      <c r="K4237" s="835"/>
      <c r="L4237" s="831"/>
    </row>
    <row r="4238" spans="1:12" ht="9.1999999999999993" customHeight="1">
      <c r="A4238" s="823">
        <v>10</v>
      </c>
      <c r="B4238" s="824" t="s">
        <v>685</v>
      </c>
      <c r="C4238" s="825">
        <f>VLOOKUP(C4225,'Luong VP'!$B$10:$AP$189,16,0)</f>
        <v>0</v>
      </c>
      <c r="D4238" s="827"/>
      <c r="E4238" s="821">
        <v>1</v>
      </c>
      <c r="F4238" s="822" t="s">
        <v>689</v>
      </c>
      <c r="G4238" s="821"/>
      <c r="H4238" s="821"/>
      <c r="I4238" s="825">
        <f>VLOOKUP(C4225,'Luong VP'!$B$10:$AP$189,29,0)</f>
        <v>6</v>
      </c>
      <c r="J4238" s="825">
        <f>VLOOKUP(C4225,'Luong VP'!$B$10:$AP$189,30,0)</f>
        <v>546.44923076923112</v>
      </c>
      <c r="K4238" s="835"/>
      <c r="L4238" s="831"/>
    </row>
    <row r="4239" spans="1:12" ht="9.1999999999999993" customHeight="1">
      <c r="A4239" s="823">
        <v>11</v>
      </c>
      <c r="B4239" s="824" t="s">
        <v>688</v>
      </c>
      <c r="C4239" s="825">
        <f>VLOOKUP(C4225,'Luong VP'!$B$10:$AP$189,17,0)</f>
        <v>0</v>
      </c>
      <c r="D4239" s="827"/>
      <c r="E4239" s="821">
        <v>2</v>
      </c>
      <c r="F4239" s="822" t="s">
        <v>702</v>
      </c>
      <c r="G4239" s="821"/>
      <c r="H4239" s="821"/>
      <c r="I4239" s="837"/>
      <c r="J4239" s="825">
        <f>VLOOKUP(C4225,'Luong VP'!$B$10:$AP$189,32,0)</f>
        <v>0</v>
      </c>
      <c r="K4239" s="839"/>
      <c r="L4239" s="840"/>
    </row>
    <row r="4240" spans="1:12" ht="9.1999999999999993" customHeight="1">
      <c r="A4240" s="823">
        <v>12</v>
      </c>
      <c r="B4240" s="824" t="s">
        <v>691</v>
      </c>
      <c r="C4240" s="825">
        <f>VLOOKUP(C4225,'Luong VP'!$B$10:$AP$189,18,0)</f>
        <v>0</v>
      </c>
      <c r="D4240" s="827"/>
      <c r="E4240" s="821">
        <v>3</v>
      </c>
      <c r="F4240" s="828" t="s">
        <v>238</v>
      </c>
      <c r="G4240" s="828"/>
      <c r="H4240" s="828"/>
      <c r="I4240" s="837"/>
      <c r="J4240" s="825">
        <f>VLOOKUP(C4225,'Luong VP'!$B$10:$AP$189,33,0)</f>
        <v>0</v>
      </c>
      <c r="K4240" s="839"/>
      <c r="L4240" s="840"/>
    </row>
    <row r="4241" spans="1:12" ht="9.1999999999999993" customHeight="1">
      <c r="A4241" s="823">
        <v>13</v>
      </c>
      <c r="B4241" s="824" t="s">
        <v>692</v>
      </c>
      <c r="C4241" s="825">
        <f>VLOOKUP(C4225,'Luong VP'!$B$10:$AP$189,19,0)</f>
        <v>0</v>
      </c>
      <c r="D4241" s="827"/>
      <c r="E4241" s="821">
        <v>4</v>
      </c>
      <c r="F4241" s="828" t="s">
        <v>239</v>
      </c>
      <c r="G4241" s="828"/>
      <c r="H4241" s="828"/>
      <c r="I4241" s="834"/>
      <c r="J4241" s="836">
        <f>VLOOKUP(C4225,'Luong VP'!$B$10:$AP$189,34,0)</f>
        <v>0</v>
      </c>
      <c r="K4241" s="841"/>
      <c r="L4241" s="840"/>
    </row>
    <row r="4242" spans="1:12" ht="9.1999999999999993" customHeight="1">
      <c r="A4242" s="823">
        <v>14</v>
      </c>
      <c r="B4242" s="824" t="s">
        <v>694</v>
      </c>
      <c r="C4242" s="825">
        <f>VLOOKUP(C4225,'Luong VP'!$B$10:$AP$189,20,0)</f>
        <v>0</v>
      </c>
      <c r="D4242" s="827"/>
      <c r="E4242" s="821">
        <v>5</v>
      </c>
      <c r="F4242" s="828" t="s">
        <v>695</v>
      </c>
      <c r="G4242" s="821"/>
      <c r="H4242" s="821"/>
      <c r="I4242" s="837"/>
      <c r="J4242" s="825">
        <f>VLOOKUP(C4225,'Luong VP'!$B$10:$AP$189,35,0)</f>
        <v>0</v>
      </c>
      <c r="K4242" s="841"/>
      <c r="L4242" s="840"/>
    </row>
    <row r="4243" spans="1:12" ht="9.1999999999999993" customHeight="1">
      <c r="A4243" s="823"/>
      <c r="B4243" s="818" t="s">
        <v>656</v>
      </c>
      <c r="C4243" s="825">
        <f>SUM(C4229:C4242)-C4237</f>
        <v>10809</v>
      </c>
      <c r="D4243" s="827"/>
      <c r="E4243" s="821">
        <v>6</v>
      </c>
      <c r="F4243" s="822" t="s">
        <v>693</v>
      </c>
      <c r="G4243" s="821"/>
      <c r="H4243" s="821"/>
      <c r="I4243" s="837"/>
      <c r="J4243" s="825">
        <f>VLOOKUP(C4225,'Luong VP'!$B$10:$AP$189,40,0)</f>
        <v>0</v>
      </c>
      <c r="K4243" s="839"/>
      <c r="L4243" s="840"/>
    </row>
    <row r="4244" spans="1:12" ht="9.1999999999999993" customHeight="1">
      <c r="A4244" s="829"/>
      <c r="B4244" s="830"/>
      <c r="C4244" s="827"/>
      <c r="D4244" s="827"/>
      <c r="E4244" s="821"/>
      <c r="F4244" s="822" t="s">
        <v>241</v>
      </c>
      <c r="G4244" s="821"/>
      <c r="H4244" s="821"/>
      <c r="I4244" s="837"/>
      <c r="J4244" s="838">
        <f>SUM(J4230:J4243)+C4237</f>
        <v>11751.603076923077</v>
      </c>
      <c r="K4244" s="841"/>
      <c r="L4244" s="840"/>
    </row>
    <row r="4245" spans="1:12" ht="9.1999999999999993" customHeight="1">
      <c r="A4245" s="829"/>
      <c r="B4245" s="830"/>
      <c r="C4245" s="827"/>
      <c r="D4245" s="827"/>
      <c r="E4245" s="821" t="s">
        <v>696</v>
      </c>
      <c r="F4245" s="822" t="s">
        <v>697</v>
      </c>
      <c r="G4245" s="821"/>
      <c r="H4245" s="821"/>
      <c r="I4245" s="837"/>
      <c r="J4245" s="838">
        <f>SUM(J4246:J4248)</f>
        <v>4504</v>
      </c>
      <c r="K4245" s="842"/>
      <c r="L4245" s="843"/>
    </row>
    <row r="4246" spans="1:12" ht="9.1999999999999993" customHeight="1">
      <c r="A4246" s="829"/>
      <c r="B4246" s="830"/>
      <c r="C4246" s="827"/>
      <c r="D4246" s="827"/>
      <c r="E4246" s="821">
        <v>1</v>
      </c>
      <c r="F4246" s="828" t="s">
        <v>698</v>
      </c>
      <c r="G4246" s="828"/>
      <c r="H4246" s="828"/>
      <c r="I4246" s="844"/>
      <c r="J4246" s="825">
        <f>VLOOKUP(C4225,'Luong VP'!$B$10:$AP$189,37,0)</f>
        <v>504</v>
      </c>
      <c r="K4246" s="835"/>
      <c r="L4246" s="831"/>
    </row>
    <row r="4247" spans="1:12" ht="9.1999999999999993" customHeight="1">
      <c r="A4247" s="829"/>
      <c r="B4247" s="830"/>
      <c r="C4247" s="827"/>
      <c r="D4247" s="827"/>
      <c r="E4247" s="821">
        <v>2</v>
      </c>
      <c r="F4247" s="828" t="s">
        <v>244</v>
      </c>
      <c r="G4247" s="828"/>
      <c r="H4247" s="828"/>
      <c r="I4247" s="837"/>
      <c r="J4247" s="825">
        <f>VLOOKUP(C4225,'Luong VP'!$B$10:$AP$189,39,0)</f>
        <v>4000</v>
      </c>
      <c r="K4247" s="835"/>
      <c r="L4247" s="831"/>
    </row>
    <row r="4248" spans="1:12" ht="9.1999999999999993" customHeight="1">
      <c r="A4248" s="829"/>
      <c r="B4248" s="830"/>
      <c r="C4248" s="827"/>
      <c r="D4248" s="827"/>
      <c r="E4248" s="821"/>
      <c r="F4248" s="828" t="s">
        <v>699</v>
      </c>
      <c r="G4248" s="828"/>
      <c r="H4248" s="828"/>
      <c r="I4248" s="837"/>
      <c r="J4248" s="825"/>
      <c r="K4248" s="825"/>
      <c r="L4248" s="845"/>
    </row>
    <row r="4249" spans="1:12" ht="9.1999999999999993" customHeight="1">
      <c r="A4249" s="829"/>
      <c r="B4249" s="830"/>
      <c r="C4249" s="827"/>
      <c r="D4249" s="827"/>
      <c r="E4249" s="821" t="s">
        <v>700</v>
      </c>
      <c r="F4249" s="821" t="s">
        <v>246</v>
      </c>
      <c r="G4249" s="821"/>
      <c r="H4249" s="821"/>
      <c r="I4249" s="837"/>
      <c r="J4249" s="836">
        <f>J4244-J4245</f>
        <v>7247.6030769230765</v>
      </c>
      <c r="K4249" s="836">
        <f>ROUND(J4249,-1)</f>
        <v>7250</v>
      </c>
      <c r="L4249" s="846"/>
    </row>
    <row r="4250" spans="1:12" ht="9.1999999999999993" customHeight="1">
      <c r="E4250" s="715"/>
      <c r="F4250" s="715"/>
      <c r="G4250" s="715"/>
      <c r="I4250" s="715"/>
      <c r="J4250" s="1596"/>
      <c r="K4250" s="1596"/>
    </row>
    <row r="4251" spans="1:12" ht="9.1999999999999993" customHeight="1">
      <c r="L4251" s="724"/>
    </row>
    <row r="4252" spans="1:12" ht="9.1999999999999993" customHeight="1">
      <c r="L4252" s="724"/>
    </row>
    <row r="4253" spans="1:12" ht="9.1999999999999993" customHeight="1">
      <c r="L4253" s="724"/>
    </row>
    <row r="4255" spans="1:12" ht="9.1999999999999993" customHeight="1">
      <c r="C4255" s="696"/>
      <c r="D4255" s="696"/>
      <c r="E4255" s="697" t="str">
        <f>$E$2</f>
        <v>THẺ LƯƠNG THÁNG 08/2019</v>
      </c>
      <c r="F4255" s="698"/>
      <c r="G4255" s="698"/>
      <c r="H4255" s="698"/>
    </row>
    <row r="4256" spans="1:12" ht="9.1999999999999993" customHeight="1">
      <c r="B4256" s="699" t="s">
        <v>644</v>
      </c>
      <c r="C4256" s="700" t="s">
        <v>565</v>
      </c>
      <c r="D4256" s="701"/>
      <c r="F4256" s="702" t="s">
        <v>645</v>
      </c>
      <c r="G4256" s="689" t="str">
        <f>VLOOKUP(C4256,'Luong VP'!$B$10:$AP$189,2,0)</f>
        <v xml:space="preserve"> Châu Kim Lượng </v>
      </c>
    </row>
    <row r="4257" spans="1:12" ht="9.1999999999999993" customHeight="1">
      <c r="B4257" s="699" t="s">
        <v>646</v>
      </c>
      <c r="C4257" s="689" t="str">
        <f>VLOOKUP(C4256,'Luong VP'!$B$10:$AP$189,3,0)</f>
        <v>Tài xế</v>
      </c>
      <c r="F4257" s="702" t="s">
        <v>647</v>
      </c>
      <c r="G4257" s="689">
        <f>VLOOKUP(C4256,'Luong VP'!$B$10:$AP$189,5,0)</f>
        <v>0</v>
      </c>
    </row>
    <row r="4258" spans="1:12" ht="9.1999999999999993" customHeight="1">
      <c r="B4258" s="703"/>
      <c r="C4258" s="704"/>
      <c r="D4258" s="705"/>
      <c r="F4258" s="706" t="s">
        <v>648</v>
      </c>
      <c r="G4258" s="706"/>
      <c r="H4258" s="706"/>
      <c r="I4258" s="725"/>
      <c r="J4258" s="726"/>
    </row>
    <row r="4259" spans="1:12" ht="9.1999999999999993" customHeight="1">
      <c r="A4259" s="707" t="s">
        <v>216</v>
      </c>
      <c r="B4259" s="707" t="s">
        <v>649</v>
      </c>
      <c r="C4259" s="708" t="s">
        <v>650</v>
      </c>
      <c r="D4259" s="709"/>
      <c r="E4259" s="710" t="s">
        <v>216</v>
      </c>
      <c r="F4259" s="711" t="s">
        <v>649</v>
      </c>
      <c r="G4259" s="710"/>
      <c r="H4259" s="710" t="s">
        <v>651</v>
      </c>
      <c r="I4259" s="727" t="s">
        <v>652</v>
      </c>
      <c r="J4259" s="714"/>
      <c r="L4259" s="694" t="s">
        <v>653</v>
      </c>
    </row>
    <row r="4260" spans="1:12" ht="9.1999999999999993" customHeight="1">
      <c r="A4260" s="712">
        <v>1</v>
      </c>
      <c r="B4260" s="713" t="s">
        <v>654</v>
      </c>
      <c r="C4260" s="714">
        <f>VLOOKUP(C4256,'Luong VP'!$B$10:$AP$189,9,0)</f>
        <v>10300</v>
      </c>
      <c r="D4260" s="715"/>
      <c r="E4260" s="710" t="s">
        <v>655</v>
      </c>
      <c r="F4260" s="716" t="s">
        <v>656</v>
      </c>
      <c r="G4260" s="710"/>
      <c r="H4260" s="710"/>
      <c r="I4260" s="727"/>
      <c r="J4260" s="714">
        <f>VLOOKUP(C4256,'Luong VP'!$B$10:$AP$189,21,0)</f>
        <v>10500</v>
      </c>
    </row>
    <row r="4261" spans="1:12" ht="9.1999999999999993" customHeight="1">
      <c r="A4261" s="712">
        <v>2</v>
      </c>
      <c r="B4261" s="713" t="s">
        <v>658</v>
      </c>
      <c r="C4261" s="714"/>
      <c r="D4261" s="717"/>
      <c r="E4261" s="710">
        <v>1</v>
      </c>
      <c r="F4261" s="718" t="s">
        <v>659</v>
      </c>
      <c r="G4261" s="718"/>
      <c r="H4261" s="710" t="s">
        <v>660</v>
      </c>
      <c r="I4261" s="727">
        <f>VLOOKUP(C4256,'Luong VP'!$B$10:$AP$189,22,0)</f>
        <v>26</v>
      </c>
      <c r="J4261" s="728">
        <f>J4260/'Cham cong'!$AS$3*I4261</f>
        <v>10500</v>
      </c>
    </row>
    <row r="4262" spans="1:12" ht="9.1999999999999993" customHeight="1">
      <c r="A4262" s="712">
        <v>3</v>
      </c>
      <c r="B4262" s="713" t="s">
        <v>661</v>
      </c>
      <c r="C4262" s="714">
        <f>VLOOKUP(C4256,'Luong VP'!$B$10:$AP$189,10,0)</f>
        <v>0</v>
      </c>
      <c r="D4262" s="717"/>
      <c r="E4262" s="710">
        <v>2</v>
      </c>
      <c r="F4262" s="718" t="s">
        <v>662</v>
      </c>
      <c r="G4262" s="718"/>
      <c r="H4262" s="710" t="s">
        <v>660</v>
      </c>
      <c r="I4262" s="727">
        <f>VLOOKUP(C4256,'Luong VP'!$B$10:$AP$189,27,0)</f>
        <v>0</v>
      </c>
      <c r="J4262" s="728">
        <f>J4260/'Cham cong'!$AS$3*I4262*3</f>
        <v>0</v>
      </c>
    </row>
    <row r="4263" spans="1:12" ht="9.1999999999999993" customHeight="1">
      <c r="A4263" s="712">
        <v>4</v>
      </c>
      <c r="B4263" s="713" t="s">
        <v>666</v>
      </c>
      <c r="C4263" s="714">
        <f>VLOOKUP(C4256,'Luong VP'!$B$10:$AP$189,11,0)</f>
        <v>200</v>
      </c>
      <c r="D4263" s="717"/>
      <c r="E4263" s="710">
        <v>3</v>
      </c>
      <c r="F4263" s="718" t="s">
        <v>667</v>
      </c>
      <c r="G4263" s="718"/>
      <c r="H4263" s="710" t="s">
        <v>668</v>
      </c>
      <c r="I4263" s="727">
        <f>VLOOKUP(C4256,'Luong VP'!$B$10:$AP$189,26,0)</f>
        <v>0</v>
      </c>
      <c r="J4263" s="728">
        <f>J4260/'Cham cong'!$AS$3*I4263/8*1.5</f>
        <v>0</v>
      </c>
    </row>
    <row r="4264" spans="1:12" ht="9.1999999999999993" customHeight="1">
      <c r="A4264" s="712">
        <v>5</v>
      </c>
      <c r="B4264" s="713" t="s">
        <v>670</v>
      </c>
      <c r="C4264" s="714">
        <f>VLOOKUP(C4256,'Luong VP'!$B$10:$AP$189,12,0)</f>
        <v>0</v>
      </c>
      <c r="D4264" s="717"/>
      <c r="E4264" s="710">
        <v>4</v>
      </c>
      <c r="F4264" s="718" t="s">
        <v>671</v>
      </c>
      <c r="G4264" s="718"/>
      <c r="H4264" s="710" t="s">
        <v>668</v>
      </c>
      <c r="I4264" s="727">
        <f>VLOOKUP(C4256,'Luong VP'!$B$10:$AP$189,25,0)</f>
        <v>0</v>
      </c>
      <c r="J4264" s="728">
        <f>J4260/'Cham cong'!$AS$3*I4264/8*2</f>
        <v>0</v>
      </c>
    </row>
    <row r="4265" spans="1:12" ht="9.1999999999999993" customHeight="1">
      <c r="A4265" s="712">
        <v>6</v>
      </c>
      <c r="B4265" s="713" t="s">
        <v>673</v>
      </c>
      <c r="C4265" s="714">
        <f>VLOOKUP(C4256,'Luong VP'!$B$10:$AP$189,13,0)</f>
        <v>0</v>
      </c>
      <c r="D4265" s="717"/>
      <c r="E4265" s="710">
        <v>5</v>
      </c>
      <c r="F4265" s="718" t="s">
        <v>674</v>
      </c>
      <c r="G4265" s="718"/>
      <c r="H4265" s="710" t="s">
        <v>660</v>
      </c>
      <c r="I4265" s="727">
        <f>VLOOKUP(C4256,'Luong VP'!$B$10:$AP$189,23,0)</f>
        <v>0</v>
      </c>
      <c r="J4265" s="728">
        <f>C4260/'Cham cong'!$AS$3*I4265</f>
        <v>0</v>
      </c>
      <c r="L4265" s="694" t="str">
        <f>G4256</f>
        <v xml:space="preserve"> Châu Kim Lượng </v>
      </c>
    </row>
    <row r="4266" spans="1:12" ht="9.1999999999999993" customHeight="1">
      <c r="A4266" s="712">
        <v>7</v>
      </c>
      <c r="B4266" s="713" t="s">
        <v>676</v>
      </c>
      <c r="C4266" s="714"/>
      <c r="D4266" s="717"/>
      <c r="E4266" s="710">
        <v>6</v>
      </c>
      <c r="F4266" s="718" t="s">
        <v>677</v>
      </c>
      <c r="G4266" s="718"/>
      <c r="H4266" s="710" t="s">
        <v>660</v>
      </c>
      <c r="I4266" s="727">
        <f>VLOOKUP(C4256,'Luong VP'!$B$10:$AP$189,24,0)</f>
        <v>1</v>
      </c>
      <c r="J4266" s="714">
        <f>C4260/'Cham cong'!$AS$3*I4266</f>
        <v>396.15384615384613</v>
      </c>
    </row>
    <row r="4267" spans="1:12" ht="9.1999999999999993" customHeight="1">
      <c r="A4267" s="712">
        <v>8</v>
      </c>
      <c r="B4267" s="713" t="s">
        <v>679</v>
      </c>
      <c r="C4267" s="714">
        <f>VLOOKUP(C4256,'Luong VP'!$B$10:$AP$189,14,0)</f>
        <v>0</v>
      </c>
      <c r="D4267" s="717"/>
      <c r="E4267" s="710">
        <v>7</v>
      </c>
      <c r="F4267" s="718" t="s">
        <v>680</v>
      </c>
      <c r="G4267" s="718"/>
      <c r="H4267" s="718"/>
      <c r="I4267" s="729"/>
      <c r="J4267" s="714">
        <f>VLOOKUP(C4256,'Luong VP'!$B$10:$AP$189,28,0)</f>
        <v>0</v>
      </c>
    </row>
    <row r="4268" spans="1:12" ht="9.1999999999999993" customHeight="1">
      <c r="A4268" s="712">
        <v>9</v>
      </c>
      <c r="B4268" s="713" t="s">
        <v>683</v>
      </c>
      <c r="C4268" s="714">
        <f>VLOOKUP(C4256,'Luong VP'!$B$10:$AP$189,15,0)</f>
        <v>0</v>
      </c>
      <c r="D4268" s="717"/>
      <c r="E4268" s="710" t="s">
        <v>686</v>
      </c>
      <c r="F4268" s="716" t="s">
        <v>687</v>
      </c>
      <c r="G4268" s="719"/>
      <c r="H4268" s="719"/>
      <c r="I4268" s="729"/>
      <c r="J4268" s="730"/>
    </row>
    <row r="4269" spans="1:12" ht="9.1999999999999993" customHeight="1">
      <c r="A4269" s="712">
        <v>10</v>
      </c>
      <c r="B4269" s="713" t="s">
        <v>685</v>
      </c>
      <c r="C4269" s="714">
        <f>VLOOKUP(C4256,'Luong VP'!$B$10:$AP$189,16,0)</f>
        <v>0</v>
      </c>
      <c r="D4269" s="717"/>
      <c r="E4269" s="710">
        <v>1</v>
      </c>
      <c r="F4269" s="716" t="s">
        <v>689</v>
      </c>
      <c r="G4269" s="719"/>
      <c r="H4269" s="719"/>
      <c r="I4269" s="714">
        <f>VLOOKUP(C4256,'Luong VP'!$B$10:$AP$189,29,0)</f>
        <v>7</v>
      </c>
      <c r="J4269" s="714">
        <f>VLOOKUP(C4256,'Luong VP'!$B$10:$AP$189,30,0)</f>
        <v>584.13538461538451</v>
      </c>
    </row>
    <row r="4270" spans="1:12" ht="9.1999999999999993" customHeight="1">
      <c r="A4270" s="712">
        <v>11</v>
      </c>
      <c r="B4270" s="713" t="s">
        <v>688</v>
      </c>
      <c r="C4270" s="714">
        <f>VLOOKUP(C4256,'Luong VP'!$B$10:$AP$189,17,0)</f>
        <v>0</v>
      </c>
      <c r="D4270" s="717"/>
      <c r="E4270" s="710">
        <v>2</v>
      </c>
      <c r="F4270" s="716" t="s">
        <v>702</v>
      </c>
      <c r="G4270" s="719"/>
      <c r="H4270" s="719"/>
      <c r="I4270" s="729"/>
      <c r="J4270" s="714">
        <f>VLOOKUP(C4256,'Luong VP'!$B$10:$AP$189,32,0)</f>
        <v>0</v>
      </c>
      <c r="K4270" s="731"/>
      <c r="L4270" s="715"/>
    </row>
    <row r="4271" spans="1:12" ht="9.1999999999999993" customHeight="1">
      <c r="A4271" s="712">
        <v>12</v>
      </c>
      <c r="B4271" s="713" t="s">
        <v>691</v>
      </c>
      <c r="C4271" s="714">
        <f>VLOOKUP(C4256,'Luong VP'!$B$10:$AP$189,18,0)</f>
        <v>0</v>
      </c>
      <c r="D4271" s="717"/>
      <c r="E4271" s="710">
        <v>3</v>
      </c>
      <c r="F4271" s="718" t="s">
        <v>238</v>
      </c>
      <c r="G4271" s="718"/>
      <c r="H4271" s="718"/>
      <c r="I4271" s="729"/>
      <c r="J4271" s="714">
        <f>VLOOKUP(C4256,'Luong VP'!$B$10:$AP$189,33,0)</f>
        <v>0</v>
      </c>
      <c r="K4271" s="731"/>
      <c r="L4271" s="715"/>
    </row>
    <row r="4272" spans="1:12" ht="9.1999999999999993" customHeight="1">
      <c r="A4272" s="712">
        <v>13</v>
      </c>
      <c r="B4272" s="713" t="s">
        <v>692</v>
      </c>
      <c r="C4272" s="714">
        <f>VLOOKUP(C4256,'Luong VP'!$B$10:$AP$189,19,0)</f>
        <v>0</v>
      </c>
      <c r="D4272" s="717"/>
      <c r="E4272" s="710">
        <v>4</v>
      </c>
      <c r="F4272" s="718" t="s">
        <v>239</v>
      </c>
      <c r="G4272" s="718"/>
      <c r="H4272" s="718"/>
      <c r="I4272" s="727"/>
      <c r="J4272" s="728">
        <f>VLOOKUP(C4256,'Luong VP'!$B$10:$AP$189,34,0)</f>
        <v>0</v>
      </c>
      <c r="K4272" s="732"/>
      <c r="L4272" s="715"/>
    </row>
    <row r="4273" spans="1:12" ht="9.1999999999999993" customHeight="1">
      <c r="A4273" s="712">
        <v>14</v>
      </c>
      <c r="B4273" s="713" t="s">
        <v>694</v>
      </c>
      <c r="C4273" s="714">
        <f>VLOOKUP(C4256,'Luong VP'!$B$10:$AP$189,20,0)</f>
        <v>0</v>
      </c>
      <c r="D4273" s="717"/>
      <c r="E4273" s="710">
        <v>5</v>
      </c>
      <c r="F4273" s="718" t="s">
        <v>695</v>
      </c>
      <c r="G4273" s="719"/>
      <c r="H4273" s="719"/>
      <c r="I4273" s="729"/>
      <c r="J4273" s="714">
        <f>VLOOKUP(C4256,'Luong VP'!$B$10:$AP$189,35,0)</f>
        <v>0</v>
      </c>
      <c r="K4273" s="732"/>
      <c r="L4273" s="715"/>
    </row>
    <row r="4274" spans="1:12" ht="9.1999999999999993" customHeight="1">
      <c r="A4274" s="712"/>
      <c r="B4274" s="707" t="s">
        <v>656</v>
      </c>
      <c r="C4274" s="714">
        <f>SUM(C4260:C4273)-C4268</f>
        <v>10500</v>
      </c>
      <c r="D4274" s="717"/>
      <c r="E4274" s="710">
        <v>6</v>
      </c>
      <c r="F4274" s="716" t="s">
        <v>693</v>
      </c>
      <c r="G4274" s="719"/>
      <c r="H4274" s="719"/>
      <c r="I4274" s="729"/>
      <c r="J4274" s="714">
        <f>VLOOKUP(C4256,'Luong VP'!$B$10:$AP$189,40,0)</f>
        <v>0</v>
      </c>
      <c r="K4274" s="731"/>
      <c r="L4274" s="715"/>
    </row>
    <row r="4275" spans="1:12" ht="9.1999999999999993" customHeight="1">
      <c r="B4275" s="720"/>
      <c r="C4275" s="717"/>
      <c r="D4275" s="717"/>
      <c r="E4275" s="710"/>
      <c r="F4275" s="716" t="s">
        <v>241</v>
      </c>
      <c r="G4275" s="719"/>
      <c r="H4275" s="719"/>
      <c r="I4275" s="729"/>
      <c r="J4275" s="730">
        <f>SUM(J4261:J4274)+C4268</f>
        <v>11480.289230769231</v>
      </c>
      <c r="K4275" s="732"/>
      <c r="L4275" s="715"/>
    </row>
    <row r="4276" spans="1:12" ht="9.1999999999999993" customHeight="1">
      <c r="B4276" s="720"/>
      <c r="C4276" s="717"/>
      <c r="D4276" s="717"/>
      <c r="E4276" s="710" t="s">
        <v>696</v>
      </c>
      <c r="F4276" s="711" t="s">
        <v>697</v>
      </c>
      <c r="G4276" s="710"/>
      <c r="H4276" s="710"/>
      <c r="I4276" s="729"/>
      <c r="J4276" s="730">
        <f>SUM(J4277:J4279)</f>
        <v>4504</v>
      </c>
      <c r="K4276" s="734"/>
      <c r="L4276" s="735"/>
    </row>
    <row r="4277" spans="1:12" ht="9.1999999999999993" customHeight="1">
      <c r="B4277" s="720"/>
      <c r="C4277" s="717"/>
      <c r="D4277" s="717"/>
      <c r="E4277" s="710">
        <v>1</v>
      </c>
      <c r="F4277" s="718" t="s">
        <v>698</v>
      </c>
      <c r="G4277" s="718"/>
      <c r="H4277" s="718"/>
      <c r="I4277" s="733"/>
      <c r="J4277" s="714">
        <f>VLOOKUP(C4256,'Luong VP'!$B$10:$AP$189,37,0)</f>
        <v>504</v>
      </c>
    </row>
    <row r="4278" spans="1:12" ht="9.1999999999999993" customHeight="1">
      <c r="B4278" s="720"/>
      <c r="C4278" s="717"/>
      <c r="D4278" s="717"/>
      <c r="E4278" s="710">
        <v>2</v>
      </c>
      <c r="F4278" s="718" t="s">
        <v>244</v>
      </c>
      <c r="G4278" s="718"/>
      <c r="H4278" s="718"/>
      <c r="I4278" s="729"/>
      <c r="J4278" s="714">
        <f>VLOOKUP(C4256,'Luong VP'!$B$10:$AP$189,39,0)</f>
        <v>4000</v>
      </c>
    </row>
    <row r="4279" spans="1:12" ht="9.1999999999999993" customHeight="1">
      <c r="B4279" s="720"/>
      <c r="C4279" s="717"/>
      <c r="D4279" s="717"/>
      <c r="E4279" s="710"/>
      <c r="F4279" s="718" t="s">
        <v>699</v>
      </c>
      <c r="G4279" s="718"/>
      <c r="H4279" s="718"/>
      <c r="I4279" s="729"/>
      <c r="J4279" s="714"/>
      <c r="K4279" s="714"/>
      <c r="L4279" s="736"/>
    </row>
    <row r="4280" spans="1:12" ht="9.1999999999999993" customHeight="1">
      <c r="B4280" s="720"/>
      <c r="C4280" s="717"/>
      <c r="D4280" s="717"/>
      <c r="E4280" s="710" t="s">
        <v>700</v>
      </c>
      <c r="F4280" s="710" t="s">
        <v>246</v>
      </c>
      <c r="G4280" s="710"/>
      <c r="H4280" s="710"/>
      <c r="I4280" s="729"/>
      <c r="J4280" s="728">
        <f>J4275-J4276</f>
        <v>6976.2892307692309</v>
      </c>
      <c r="K4280" s="728">
        <f>ROUND(J4280,-1)</f>
        <v>6980</v>
      </c>
      <c r="L4280" s="710"/>
    </row>
    <row r="4281" spans="1:12" ht="9.1999999999999993" customHeight="1">
      <c r="E4281" s="715"/>
      <c r="F4281" s="715"/>
      <c r="G4281" s="715"/>
      <c r="I4281" s="715" t="s">
        <v>701</v>
      </c>
      <c r="J4281" s="737"/>
    </row>
    <row r="4286" spans="1:12" ht="9.1999999999999993" customHeight="1">
      <c r="C4286" s="696"/>
      <c r="D4286" s="696"/>
      <c r="E4286" s="697" t="str">
        <f>$E$2</f>
        <v>THẺ LƯƠNG THÁNG 08/2019</v>
      </c>
      <c r="F4286" s="698"/>
      <c r="G4286" s="698"/>
      <c r="H4286" s="698"/>
    </row>
    <row r="4287" spans="1:12" ht="9.1999999999999993" customHeight="1">
      <c r="B4287" s="699" t="s">
        <v>644</v>
      </c>
      <c r="C4287" s="700" t="s">
        <v>567</v>
      </c>
      <c r="D4287" s="701"/>
      <c r="F4287" s="702" t="s">
        <v>645</v>
      </c>
      <c r="G4287" s="689" t="str">
        <f>VLOOKUP(C4287,'Luong VP'!$B$10:$AP$189,2,0)</f>
        <v xml:space="preserve"> Huỳnh Trọng Nghĩa </v>
      </c>
    </row>
    <row r="4288" spans="1:12" ht="9.1999999999999993" customHeight="1">
      <c r="B4288" s="699" t="s">
        <v>646</v>
      </c>
      <c r="C4288" s="689" t="str">
        <f>VLOOKUP(C4287,'Luong VP'!$B$10:$AP$189,3,0)</f>
        <v>Tài xế</v>
      </c>
      <c r="F4288" s="702" t="s">
        <v>647</v>
      </c>
      <c r="G4288" s="689">
        <f>VLOOKUP(C4287,'Luong VP'!$B$10:$AP$189,5,0)</f>
        <v>1</v>
      </c>
    </row>
    <row r="4289" spans="1:12" ht="9.1999999999999993" customHeight="1">
      <c r="B4289" s="703"/>
      <c r="C4289" s="704"/>
      <c r="D4289" s="705"/>
      <c r="F4289" s="706" t="s">
        <v>648</v>
      </c>
      <c r="G4289" s="706"/>
      <c r="H4289" s="706"/>
      <c r="I4289" s="725"/>
      <c r="J4289" s="726"/>
    </row>
    <row r="4290" spans="1:12" ht="9.1999999999999993" customHeight="1">
      <c r="A4290" s="707" t="s">
        <v>216</v>
      </c>
      <c r="B4290" s="707" t="s">
        <v>649</v>
      </c>
      <c r="C4290" s="708" t="s">
        <v>650</v>
      </c>
      <c r="D4290" s="709"/>
      <c r="E4290" s="710" t="s">
        <v>216</v>
      </c>
      <c r="F4290" s="711" t="s">
        <v>649</v>
      </c>
      <c r="G4290" s="710"/>
      <c r="H4290" s="710" t="s">
        <v>651</v>
      </c>
      <c r="I4290" s="727" t="s">
        <v>652</v>
      </c>
      <c r="J4290" s="714"/>
      <c r="L4290" s="694" t="s">
        <v>653</v>
      </c>
    </row>
    <row r="4291" spans="1:12" ht="9.1999999999999993" customHeight="1">
      <c r="A4291" s="712">
        <v>1</v>
      </c>
      <c r="B4291" s="713" t="s">
        <v>654</v>
      </c>
      <c r="C4291" s="714">
        <f>VLOOKUP(C4287,'Luong VP'!$B$10:$AP$189,9,0)</f>
        <v>5220</v>
      </c>
      <c r="D4291" s="715"/>
      <c r="E4291" s="710" t="s">
        <v>655</v>
      </c>
      <c r="F4291" s="716" t="s">
        <v>656</v>
      </c>
      <c r="G4291" s="710"/>
      <c r="H4291" s="710"/>
      <c r="I4291" s="727"/>
      <c r="J4291" s="714">
        <f>VLOOKUP(C4287,'Luong VP'!$B$10:$AP$189,21,0)</f>
        <v>5420</v>
      </c>
    </row>
    <row r="4292" spans="1:12" ht="9.1999999999999993" customHeight="1">
      <c r="A4292" s="712">
        <v>2</v>
      </c>
      <c r="B4292" s="713" t="s">
        <v>658</v>
      </c>
      <c r="C4292" s="714"/>
      <c r="D4292" s="717"/>
      <c r="E4292" s="710">
        <v>1</v>
      </c>
      <c r="F4292" s="718" t="s">
        <v>659</v>
      </c>
      <c r="G4292" s="718"/>
      <c r="H4292" s="710" t="s">
        <v>660</v>
      </c>
      <c r="I4292" s="727">
        <f>VLOOKUP(C4287,'Luong VP'!$B$10:$AP$189,22,0)</f>
        <v>26</v>
      </c>
      <c r="J4292" s="728">
        <f>J4291/'Cham cong'!$AS$3*I4292</f>
        <v>5420</v>
      </c>
    </row>
    <row r="4293" spans="1:12" ht="9.1999999999999993" customHeight="1">
      <c r="A4293" s="712">
        <v>3</v>
      </c>
      <c r="B4293" s="713" t="s">
        <v>661</v>
      </c>
      <c r="C4293" s="714">
        <f>VLOOKUP(C4287,'Luong VP'!$B$10:$AP$189,10,0)</f>
        <v>0</v>
      </c>
      <c r="D4293" s="717"/>
      <c r="E4293" s="710">
        <v>2</v>
      </c>
      <c r="F4293" s="718" t="s">
        <v>662</v>
      </c>
      <c r="G4293" s="718"/>
      <c r="H4293" s="710" t="s">
        <v>660</v>
      </c>
      <c r="I4293" s="727">
        <f>VLOOKUP(C4287,'Luong VP'!$B$10:$AP$189,27,0)</f>
        <v>0</v>
      </c>
      <c r="J4293" s="728">
        <f>J4291/'Cham cong'!$AS$3*I4293*3</f>
        <v>0</v>
      </c>
    </row>
    <row r="4294" spans="1:12" ht="9.1999999999999993" customHeight="1">
      <c r="A4294" s="712">
        <v>4</v>
      </c>
      <c r="B4294" s="713" t="s">
        <v>666</v>
      </c>
      <c r="C4294" s="714">
        <f>VLOOKUP(C4287,'Luong VP'!$B$10:$AP$189,11,0)</f>
        <v>200</v>
      </c>
      <c r="D4294" s="717"/>
      <c r="E4294" s="710">
        <v>3</v>
      </c>
      <c r="F4294" s="718" t="s">
        <v>667</v>
      </c>
      <c r="G4294" s="718"/>
      <c r="H4294" s="710" t="s">
        <v>668</v>
      </c>
      <c r="I4294" s="727">
        <f>VLOOKUP(C4287,'Luong VP'!$B$10:$AP$189,26,0)</f>
        <v>0</v>
      </c>
      <c r="J4294" s="728">
        <f>J4291/'Cham cong'!$AS$3*I4294/8*1.5</f>
        <v>0</v>
      </c>
    </row>
    <row r="4295" spans="1:12" ht="9.1999999999999993" customHeight="1">
      <c r="A4295" s="712">
        <v>5</v>
      </c>
      <c r="B4295" s="713" t="s">
        <v>670</v>
      </c>
      <c r="C4295" s="714">
        <f>VLOOKUP(C4287,'Luong VP'!$B$10:$AP$189,12,0)</f>
        <v>0</v>
      </c>
      <c r="D4295" s="717"/>
      <c r="E4295" s="710">
        <v>4</v>
      </c>
      <c r="F4295" s="718" t="s">
        <v>671</v>
      </c>
      <c r="G4295" s="718"/>
      <c r="H4295" s="710" t="s">
        <v>668</v>
      </c>
      <c r="I4295" s="727">
        <f>VLOOKUP(C4287,'Luong VP'!$B$10:$AP$189,25,0)</f>
        <v>0</v>
      </c>
      <c r="J4295" s="728">
        <f>J4291/'Cham cong'!$AS$3*I4295/8*2</f>
        <v>0</v>
      </c>
    </row>
    <row r="4296" spans="1:12" ht="9.1999999999999993" customHeight="1">
      <c r="A4296" s="712">
        <v>6</v>
      </c>
      <c r="B4296" s="713" t="s">
        <v>673</v>
      </c>
      <c r="C4296" s="714">
        <f>VLOOKUP(C4287,'Luong VP'!$B$10:$AP$189,13,0)</f>
        <v>0</v>
      </c>
      <c r="D4296" s="717"/>
      <c r="E4296" s="710">
        <v>5</v>
      </c>
      <c r="F4296" s="718" t="s">
        <v>674</v>
      </c>
      <c r="G4296" s="718"/>
      <c r="H4296" s="710" t="s">
        <v>660</v>
      </c>
      <c r="I4296" s="727">
        <f>VLOOKUP(C4287,'Luong VP'!$B$10:$AP$189,23,0)</f>
        <v>0</v>
      </c>
      <c r="J4296" s="728">
        <f>C4291/'Cham cong'!$AS$3*I4296</f>
        <v>0</v>
      </c>
      <c r="L4296" s="694" t="str">
        <f>G4287</f>
        <v xml:space="preserve"> Huỳnh Trọng Nghĩa </v>
      </c>
    </row>
    <row r="4297" spans="1:12" ht="9.1999999999999993" customHeight="1">
      <c r="A4297" s="712">
        <v>7</v>
      </c>
      <c r="B4297" s="713" t="s">
        <v>676</v>
      </c>
      <c r="C4297" s="714"/>
      <c r="D4297" s="717"/>
      <c r="E4297" s="710">
        <v>6</v>
      </c>
      <c r="F4297" s="718" t="s">
        <v>677</v>
      </c>
      <c r="G4297" s="718"/>
      <c r="H4297" s="710" t="s">
        <v>660</v>
      </c>
      <c r="I4297" s="727">
        <f>VLOOKUP(C4287,'Luong VP'!$B$10:$AP$189,24,0)</f>
        <v>1</v>
      </c>
      <c r="J4297" s="714">
        <f>C4291/'Cham cong'!$AS$3*I4297</f>
        <v>200.76923076923077</v>
      </c>
    </row>
    <row r="4298" spans="1:12" ht="9.1999999999999993" customHeight="1">
      <c r="A4298" s="712">
        <v>8</v>
      </c>
      <c r="B4298" s="713" t="s">
        <v>679</v>
      </c>
      <c r="C4298" s="714">
        <f>VLOOKUP(C4287,'Luong VP'!$B$10:$AP$189,14,0)</f>
        <v>0</v>
      </c>
      <c r="D4298" s="717"/>
      <c r="E4298" s="710">
        <v>7</v>
      </c>
      <c r="F4298" s="718" t="s">
        <v>680</v>
      </c>
      <c r="G4298" s="718"/>
      <c r="H4298" s="718"/>
      <c r="I4298" s="729"/>
      <c r="J4298" s="714">
        <f>VLOOKUP(C4287,'Luong VP'!$B$10:$AP$189,28,0)</f>
        <v>480</v>
      </c>
    </row>
    <row r="4299" spans="1:12" ht="9.1999999999999993" customHeight="1">
      <c r="A4299" s="712">
        <v>9</v>
      </c>
      <c r="B4299" s="713" t="s">
        <v>683</v>
      </c>
      <c r="C4299" s="714">
        <f>VLOOKUP(C4287,'Luong VP'!$B$10:$AP$189,15,0)</f>
        <v>0</v>
      </c>
      <c r="D4299" s="717"/>
      <c r="E4299" s="710" t="s">
        <v>686</v>
      </c>
      <c r="F4299" s="716" t="s">
        <v>687</v>
      </c>
      <c r="G4299" s="719"/>
      <c r="H4299" s="719"/>
      <c r="I4299" s="729"/>
      <c r="J4299" s="730"/>
    </row>
    <row r="4300" spans="1:12" ht="9.1999999999999993" customHeight="1">
      <c r="A4300" s="712">
        <v>10</v>
      </c>
      <c r="B4300" s="713" t="s">
        <v>685</v>
      </c>
      <c r="C4300" s="714">
        <f>VLOOKUP(C4287,'Luong VP'!$B$10:$AP$189,16,0)</f>
        <v>0</v>
      </c>
      <c r="D4300" s="717"/>
      <c r="E4300" s="710">
        <v>1</v>
      </c>
      <c r="F4300" s="716" t="s">
        <v>689</v>
      </c>
      <c r="G4300" s="719"/>
      <c r="H4300" s="719"/>
      <c r="I4300" s="714">
        <f>VLOOKUP(C4287,'Luong VP'!$B$10:$AP$189,29,0)</f>
        <v>55</v>
      </c>
      <c r="J4300" s="714">
        <f>VLOOKUP(C4287,'Luong VP'!$B$10:$AP$189,30,0)</f>
        <v>5167.9560000000029</v>
      </c>
    </row>
    <row r="4301" spans="1:12" ht="9.1999999999999993" customHeight="1">
      <c r="A4301" s="712">
        <v>11</v>
      </c>
      <c r="B4301" s="713" t="s">
        <v>688</v>
      </c>
      <c r="C4301" s="714">
        <f>VLOOKUP(C4287,'Luong VP'!$B$10:$AP$189,17,0)</f>
        <v>0</v>
      </c>
      <c r="D4301" s="717"/>
      <c r="E4301" s="710">
        <v>2</v>
      </c>
      <c r="F4301" s="716" t="s">
        <v>702</v>
      </c>
      <c r="G4301" s="719"/>
      <c r="H4301" s="719"/>
      <c r="I4301" s="729"/>
      <c r="J4301" s="714">
        <f>VLOOKUP(C4287,'Luong VP'!$B$10:$AP$189,32,0)</f>
        <v>0</v>
      </c>
      <c r="K4301" s="731"/>
      <c r="L4301" s="715"/>
    </row>
    <row r="4302" spans="1:12" ht="9.1999999999999993" customHeight="1">
      <c r="A4302" s="712">
        <v>12</v>
      </c>
      <c r="B4302" s="713" t="s">
        <v>691</v>
      </c>
      <c r="C4302" s="714">
        <f>VLOOKUP(C4287,'Luong VP'!$B$10:$AP$189,18,0)</f>
        <v>0</v>
      </c>
      <c r="D4302" s="717"/>
      <c r="E4302" s="710">
        <v>3</v>
      </c>
      <c r="F4302" s="718" t="s">
        <v>238</v>
      </c>
      <c r="G4302" s="718"/>
      <c r="H4302" s="718"/>
      <c r="I4302" s="729"/>
      <c r="J4302" s="714">
        <f>VLOOKUP(C4287,'Luong VP'!$B$10:$AP$189,33,0)</f>
        <v>0</v>
      </c>
      <c r="K4302" s="731"/>
      <c r="L4302" s="715"/>
    </row>
    <row r="4303" spans="1:12" ht="9.1999999999999993" customHeight="1">
      <c r="A4303" s="712">
        <v>13</v>
      </c>
      <c r="B4303" s="713" t="s">
        <v>692</v>
      </c>
      <c r="C4303" s="714">
        <f>VLOOKUP(C4287,'Luong VP'!$B$10:$AP$189,19,0)</f>
        <v>0</v>
      </c>
      <c r="D4303" s="717"/>
      <c r="E4303" s="710">
        <v>4</v>
      </c>
      <c r="F4303" s="718" t="s">
        <v>239</v>
      </c>
      <c r="G4303" s="718"/>
      <c r="H4303" s="718"/>
      <c r="I4303" s="727"/>
      <c r="J4303" s="728">
        <f>VLOOKUP(C4287,'Luong VP'!$B$10:$AP$189,34,0)</f>
        <v>0</v>
      </c>
      <c r="K4303" s="732"/>
      <c r="L4303" s="715"/>
    </row>
    <row r="4304" spans="1:12" ht="9.1999999999999993" customHeight="1">
      <c r="A4304" s="712">
        <v>14</v>
      </c>
      <c r="B4304" s="713" t="s">
        <v>694</v>
      </c>
      <c r="C4304" s="714">
        <f>VLOOKUP(C4287,'Luong VP'!$B$10:$AP$189,20,0)</f>
        <v>0</v>
      </c>
      <c r="D4304" s="717"/>
      <c r="E4304" s="710">
        <v>5</v>
      </c>
      <c r="F4304" s="718" t="s">
        <v>695</v>
      </c>
      <c r="G4304" s="719"/>
      <c r="H4304" s="719"/>
      <c r="I4304" s="729"/>
      <c r="J4304" s="714">
        <f>VLOOKUP(C4287,'Luong VP'!$B$10:$AP$189,35,0)</f>
        <v>0</v>
      </c>
      <c r="K4304" s="732"/>
      <c r="L4304" s="715"/>
    </row>
    <row r="4305" spans="1:12" ht="9.1999999999999993" customHeight="1">
      <c r="A4305" s="712"/>
      <c r="B4305" s="707" t="s">
        <v>656</v>
      </c>
      <c r="C4305" s="714">
        <f>SUM(C4291:C4304)-C4299</f>
        <v>5420</v>
      </c>
      <c r="D4305" s="717"/>
      <c r="E4305" s="710">
        <v>6</v>
      </c>
      <c r="F4305" s="716" t="s">
        <v>693</v>
      </c>
      <c r="G4305" s="719"/>
      <c r="H4305" s="719"/>
      <c r="I4305" s="729"/>
      <c r="J4305" s="714">
        <f>VLOOKUP(C4287,'Luong VP'!$B$10:$AP$189,40,0)</f>
        <v>0</v>
      </c>
      <c r="K4305" s="731"/>
      <c r="L4305" s="715"/>
    </row>
    <row r="4306" spans="1:12" ht="9.1999999999999993" customHeight="1">
      <c r="B4306" s="720"/>
      <c r="C4306" s="717"/>
      <c r="D4306" s="717"/>
      <c r="E4306" s="710"/>
      <c r="F4306" s="716" t="s">
        <v>241</v>
      </c>
      <c r="G4306" s="719"/>
      <c r="H4306" s="719"/>
      <c r="I4306" s="729"/>
      <c r="J4306" s="730">
        <f>SUM(J4292:J4305)+C4299</f>
        <v>11268.725230769232</v>
      </c>
      <c r="K4306" s="732"/>
      <c r="L4306" s="715"/>
    </row>
    <row r="4307" spans="1:12" ht="9.1999999999999993" customHeight="1">
      <c r="B4307" s="720"/>
      <c r="C4307" s="717"/>
      <c r="D4307" s="717"/>
      <c r="E4307" s="710" t="s">
        <v>696</v>
      </c>
      <c r="F4307" s="711" t="s">
        <v>697</v>
      </c>
      <c r="G4307" s="710"/>
      <c r="H4307" s="710"/>
      <c r="I4307" s="729"/>
      <c r="J4307" s="730">
        <f>SUM(J4308:J4310)</f>
        <v>4504</v>
      </c>
      <c r="K4307" s="734"/>
      <c r="L4307" s="735"/>
    </row>
    <row r="4308" spans="1:12" ht="9.1999999999999993" customHeight="1">
      <c r="B4308" s="720"/>
      <c r="C4308" s="717"/>
      <c r="D4308" s="717"/>
      <c r="E4308" s="710">
        <v>1</v>
      </c>
      <c r="F4308" s="718" t="s">
        <v>698</v>
      </c>
      <c r="G4308" s="718"/>
      <c r="H4308" s="718"/>
      <c r="I4308" s="733"/>
      <c r="J4308" s="714">
        <f>VLOOKUP(C4287,'Luong VP'!$B$10:$AP$189,37,0)</f>
        <v>504</v>
      </c>
    </row>
    <row r="4309" spans="1:12" ht="9.1999999999999993" customHeight="1">
      <c r="B4309" s="720"/>
      <c r="C4309" s="717"/>
      <c r="D4309" s="717"/>
      <c r="E4309" s="710">
        <v>2</v>
      </c>
      <c r="F4309" s="718" t="s">
        <v>244</v>
      </c>
      <c r="G4309" s="718"/>
      <c r="H4309" s="718"/>
      <c r="I4309" s="729"/>
      <c r="J4309" s="714">
        <f>VLOOKUP(C4287,'Luong VP'!$B$10:$AP$189,39,0)</f>
        <v>4000</v>
      </c>
    </row>
    <row r="4310" spans="1:12" ht="9.1999999999999993" customHeight="1">
      <c r="B4310" s="720"/>
      <c r="C4310" s="717"/>
      <c r="D4310" s="717"/>
      <c r="E4310" s="710"/>
      <c r="F4310" s="718" t="s">
        <v>699</v>
      </c>
      <c r="G4310" s="718"/>
      <c r="H4310" s="718"/>
      <c r="I4310" s="729"/>
      <c r="J4310" s="714"/>
      <c r="K4310" s="714"/>
      <c r="L4310" s="736"/>
    </row>
    <row r="4311" spans="1:12" ht="9.1999999999999993" customHeight="1">
      <c r="B4311" s="720"/>
      <c r="C4311" s="717"/>
      <c r="D4311" s="717"/>
      <c r="E4311" s="710" t="s">
        <v>700</v>
      </c>
      <c r="F4311" s="710" t="s">
        <v>246</v>
      </c>
      <c r="G4311" s="710"/>
      <c r="H4311" s="710"/>
      <c r="I4311" s="729"/>
      <c r="J4311" s="728">
        <f>J4306-J4307</f>
        <v>6764.7252307692324</v>
      </c>
      <c r="K4311" s="728">
        <f>ROUND(J4311,-1)</f>
        <v>6760</v>
      </c>
      <c r="L4311" s="710"/>
    </row>
    <row r="4312" spans="1:12" ht="9.1999999999999993" customHeight="1">
      <c r="E4312" s="715"/>
      <c r="F4312" s="715"/>
      <c r="G4312" s="715"/>
      <c r="I4312" s="715" t="s">
        <v>701</v>
      </c>
      <c r="J4312" s="737"/>
    </row>
    <row r="4317" spans="1:12" ht="9.1999999999999993" customHeight="1">
      <c r="C4317" s="696"/>
      <c r="D4317" s="696"/>
      <c r="E4317" s="697" t="str">
        <f>$E$2</f>
        <v>THẺ LƯƠNG THÁNG 08/2019</v>
      </c>
      <c r="F4317" s="698"/>
      <c r="G4317" s="698"/>
      <c r="H4317" s="698"/>
    </row>
    <row r="4318" spans="1:12" ht="9.1999999999999993" customHeight="1">
      <c r="B4318" s="699" t="s">
        <v>644</v>
      </c>
      <c r="C4318" s="700" t="s">
        <v>571</v>
      </c>
      <c r="D4318" s="701"/>
      <c r="F4318" s="702" t="s">
        <v>645</v>
      </c>
      <c r="G4318" s="689" t="str">
        <f>VLOOKUP(C4318,'Luong VP'!$B$10:$AP$189,2,0)</f>
        <v>Nguyễn Hoàng Sơn</v>
      </c>
    </row>
    <row r="4319" spans="1:12" ht="9.1999999999999993" customHeight="1">
      <c r="B4319" s="699" t="s">
        <v>646</v>
      </c>
      <c r="C4319" s="689" t="str">
        <f>VLOOKUP(C4318,'Luong VP'!$B$10:$AP$189,3,0)</f>
        <v>Tài xế</v>
      </c>
      <c r="F4319" s="702" t="s">
        <v>647</v>
      </c>
      <c r="G4319" s="689">
        <f>VLOOKUP(C4318,'Luong VP'!$B$10:$AP$189,5,0)</f>
        <v>1</v>
      </c>
    </row>
    <row r="4320" spans="1:12" ht="9.1999999999999993" customHeight="1">
      <c r="B4320" s="703"/>
      <c r="C4320" s="704"/>
      <c r="D4320" s="705"/>
      <c r="F4320" s="706" t="s">
        <v>648</v>
      </c>
      <c r="G4320" s="706"/>
      <c r="H4320" s="706"/>
      <c r="I4320" s="725"/>
      <c r="J4320" s="726"/>
    </row>
    <row r="4321" spans="1:12" ht="9.1999999999999993" customHeight="1">
      <c r="A4321" s="707" t="s">
        <v>216</v>
      </c>
      <c r="B4321" s="707" t="s">
        <v>649</v>
      </c>
      <c r="C4321" s="708" t="s">
        <v>650</v>
      </c>
      <c r="D4321" s="709"/>
      <c r="E4321" s="710" t="s">
        <v>216</v>
      </c>
      <c r="F4321" s="711" t="s">
        <v>649</v>
      </c>
      <c r="G4321" s="710"/>
      <c r="H4321" s="710" t="s">
        <v>651</v>
      </c>
      <c r="I4321" s="727" t="s">
        <v>652</v>
      </c>
      <c r="J4321" s="714"/>
      <c r="L4321" s="694" t="s">
        <v>653</v>
      </c>
    </row>
    <row r="4322" spans="1:12" ht="9.1999999999999993" customHeight="1">
      <c r="A4322" s="712">
        <v>1</v>
      </c>
      <c r="B4322" s="713" t="s">
        <v>654</v>
      </c>
      <c r="C4322" s="714">
        <f>VLOOKUP(C4318,'Luong VP'!$B$10:$AP$189,9,0)</f>
        <v>5220</v>
      </c>
      <c r="D4322" s="715"/>
      <c r="E4322" s="710" t="s">
        <v>655</v>
      </c>
      <c r="F4322" s="716" t="s">
        <v>656</v>
      </c>
      <c r="G4322" s="710"/>
      <c r="H4322" s="710"/>
      <c r="I4322" s="727"/>
      <c r="J4322" s="714">
        <f>VLOOKUP(C4318,'Luong VP'!$B$10:$AP$189,21,0)</f>
        <v>5420</v>
      </c>
    </row>
    <row r="4323" spans="1:12" ht="9.1999999999999993" customHeight="1">
      <c r="A4323" s="712">
        <v>2</v>
      </c>
      <c r="B4323" s="713" t="s">
        <v>658</v>
      </c>
      <c r="C4323" s="714"/>
      <c r="D4323" s="717"/>
      <c r="E4323" s="710">
        <v>1</v>
      </c>
      <c r="F4323" s="718" t="s">
        <v>659</v>
      </c>
      <c r="G4323" s="718"/>
      <c r="H4323" s="710" t="s">
        <v>660</v>
      </c>
      <c r="I4323" s="727">
        <f>VLOOKUP(C4318,'Luong VP'!$B$10:$AP$189,22,0)</f>
        <v>26</v>
      </c>
      <c r="J4323" s="728">
        <f>J4322/'Cham cong'!$AS$3*I4323</f>
        <v>5420</v>
      </c>
    </row>
    <row r="4324" spans="1:12" ht="9.1999999999999993" customHeight="1">
      <c r="A4324" s="712">
        <v>3</v>
      </c>
      <c r="B4324" s="713" t="s">
        <v>661</v>
      </c>
      <c r="C4324" s="714">
        <f>VLOOKUP(C4318,'Luong VP'!$B$10:$AP$189,10,0)</f>
        <v>0</v>
      </c>
      <c r="D4324" s="717"/>
      <c r="E4324" s="710">
        <v>2</v>
      </c>
      <c r="F4324" s="718" t="s">
        <v>662</v>
      </c>
      <c r="G4324" s="718"/>
      <c r="H4324" s="710" t="s">
        <v>660</v>
      </c>
      <c r="I4324" s="727">
        <f>VLOOKUP(C4318,'Luong VP'!$B$10:$AP$189,27,0)</f>
        <v>0</v>
      </c>
      <c r="J4324" s="728">
        <f>J4322/'Cham cong'!$AS$3*I4324*3</f>
        <v>0</v>
      </c>
    </row>
    <row r="4325" spans="1:12" ht="9.1999999999999993" customHeight="1">
      <c r="A4325" s="712">
        <v>4</v>
      </c>
      <c r="B4325" s="713" t="s">
        <v>666</v>
      </c>
      <c r="C4325" s="714">
        <f>VLOOKUP(C4318,'Luong VP'!$B$10:$AP$189,11,0)</f>
        <v>200</v>
      </c>
      <c r="D4325" s="717"/>
      <c r="E4325" s="710">
        <v>3</v>
      </c>
      <c r="F4325" s="718" t="s">
        <v>667</v>
      </c>
      <c r="G4325" s="718"/>
      <c r="H4325" s="710" t="s">
        <v>668</v>
      </c>
      <c r="I4325" s="727">
        <f>VLOOKUP(C4318,'Luong VP'!$B$10:$AP$189,26,0)</f>
        <v>0</v>
      </c>
      <c r="J4325" s="728">
        <f>J4322/'Cham cong'!$AS$3*I4325/8*1.5</f>
        <v>0</v>
      </c>
    </row>
    <row r="4326" spans="1:12" ht="9.1999999999999993" customHeight="1">
      <c r="A4326" s="712">
        <v>5</v>
      </c>
      <c r="B4326" s="713" t="s">
        <v>670</v>
      </c>
      <c r="C4326" s="714">
        <f>VLOOKUP(C4318,'Luong VP'!$B$10:$AP$189,12,0)</f>
        <v>0</v>
      </c>
      <c r="D4326" s="717"/>
      <c r="E4326" s="710">
        <v>4</v>
      </c>
      <c r="F4326" s="718" t="s">
        <v>671</v>
      </c>
      <c r="G4326" s="718"/>
      <c r="H4326" s="710" t="s">
        <v>668</v>
      </c>
      <c r="I4326" s="727">
        <f>VLOOKUP(C4318,'Luong VP'!$B$10:$AP$189,25,0)</f>
        <v>0</v>
      </c>
      <c r="J4326" s="728">
        <f>J4322/'Cham cong'!$AS$3*I4326/8*2</f>
        <v>0</v>
      </c>
    </row>
    <row r="4327" spans="1:12" ht="9.1999999999999993" customHeight="1">
      <c r="A4327" s="712">
        <v>6</v>
      </c>
      <c r="B4327" s="713" t="s">
        <v>673</v>
      </c>
      <c r="C4327" s="714">
        <f>VLOOKUP(C4318,'Luong VP'!$B$10:$AP$189,13,0)</f>
        <v>0</v>
      </c>
      <c r="D4327" s="717"/>
      <c r="E4327" s="710">
        <v>5</v>
      </c>
      <c r="F4327" s="718" t="s">
        <v>674</v>
      </c>
      <c r="G4327" s="718"/>
      <c r="H4327" s="710" t="s">
        <v>660</v>
      </c>
      <c r="I4327" s="727">
        <f>VLOOKUP(C4318,'Luong VP'!$B$10:$AP$189,23,0)</f>
        <v>0</v>
      </c>
      <c r="J4327" s="728">
        <f>C4322/'Cham cong'!$AS$3*I4327</f>
        <v>0</v>
      </c>
      <c r="L4327" s="694" t="str">
        <f>G4318</f>
        <v>Nguyễn Hoàng Sơn</v>
      </c>
    </row>
    <row r="4328" spans="1:12" ht="9.1999999999999993" customHeight="1">
      <c r="A4328" s="712">
        <v>7</v>
      </c>
      <c r="B4328" s="713" t="s">
        <v>676</v>
      </c>
      <c r="C4328" s="714"/>
      <c r="D4328" s="717"/>
      <c r="E4328" s="710">
        <v>6</v>
      </c>
      <c r="F4328" s="718" t="s">
        <v>677</v>
      </c>
      <c r="G4328" s="718"/>
      <c r="H4328" s="710" t="s">
        <v>660</v>
      </c>
      <c r="I4328" s="727">
        <f>VLOOKUP(C4318,'Luong VP'!$B$10:$AP$189,24,0)</f>
        <v>1</v>
      </c>
      <c r="J4328" s="714">
        <f>C4322/'Cham cong'!$AS$3*I4328</f>
        <v>200.76923076923077</v>
      </c>
    </row>
    <row r="4329" spans="1:12" ht="9.1999999999999993" customHeight="1">
      <c r="A4329" s="712">
        <v>8</v>
      </c>
      <c r="B4329" s="713" t="s">
        <v>679</v>
      </c>
      <c r="C4329" s="714">
        <f>VLOOKUP(C4318,'Luong VP'!$B$10:$AP$189,14,0)</f>
        <v>0</v>
      </c>
      <c r="D4329" s="717"/>
      <c r="E4329" s="710">
        <v>7</v>
      </c>
      <c r="F4329" s="718" t="s">
        <v>680</v>
      </c>
      <c r="G4329" s="718"/>
      <c r="H4329" s="718"/>
      <c r="I4329" s="729"/>
      <c r="J4329" s="714">
        <f>VLOOKUP(C4318,'Luong VP'!$B$10:$AP$189,28,0)</f>
        <v>540</v>
      </c>
    </row>
    <row r="4330" spans="1:12" ht="9.1999999999999993" customHeight="1">
      <c r="A4330" s="712">
        <v>9</v>
      </c>
      <c r="B4330" s="713" t="s">
        <v>683</v>
      </c>
      <c r="C4330" s="714">
        <f>VLOOKUP(C4318,'Luong VP'!$B$10:$AP$189,15,0)</f>
        <v>0</v>
      </c>
      <c r="D4330" s="717"/>
      <c r="E4330" s="710" t="s">
        <v>686</v>
      </c>
      <c r="F4330" s="716" t="s">
        <v>687</v>
      </c>
      <c r="G4330" s="719"/>
      <c r="H4330" s="719"/>
      <c r="I4330" s="729"/>
      <c r="J4330" s="730"/>
    </row>
    <row r="4331" spans="1:12" ht="9.1999999999999993" customHeight="1">
      <c r="A4331" s="712">
        <v>10</v>
      </c>
      <c r="B4331" s="713" t="s">
        <v>685</v>
      </c>
      <c r="C4331" s="714">
        <f>VLOOKUP(C4318,'Luong VP'!$B$10:$AP$189,16,0)</f>
        <v>0</v>
      </c>
      <c r="D4331" s="717"/>
      <c r="E4331" s="710">
        <v>1</v>
      </c>
      <c r="F4331" s="716" t="s">
        <v>689</v>
      </c>
      <c r="G4331" s="719"/>
      <c r="H4331" s="719"/>
      <c r="I4331" s="714">
        <f>VLOOKUP(C4318,'Luong VP'!$B$10:$AP$189,29,0)</f>
        <v>52</v>
      </c>
      <c r="J4331" s="714">
        <f>VLOOKUP(C4318,'Luong VP'!$B$10:$AP$189,30,0)</f>
        <v>4904.1525384615397</v>
      </c>
    </row>
    <row r="4332" spans="1:12" ht="9.1999999999999993" customHeight="1">
      <c r="A4332" s="712">
        <v>11</v>
      </c>
      <c r="B4332" s="713" t="s">
        <v>688</v>
      </c>
      <c r="C4332" s="714">
        <f>VLOOKUP(C4318,'Luong VP'!$B$10:$AP$189,17,0)</f>
        <v>0</v>
      </c>
      <c r="D4332" s="717"/>
      <c r="E4332" s="710">
        <v>2</v>
      </c>
      <c r="F4332" s="716" t="s">
        <v>702</v>
      </c>
      <c r="G4332" s="719"/>
      <c r="H4332" s="719"/>
      <c r="I4332" s="729"/>
      <c r="J4332" s="714">
        <f>VLOOKUP(C4318,'Luong VP'!$B$10:$AP$189,32,0)</f>
        <v>0</v>
      </c>
      <c r="K4332" s="731"/>
      <c r="L4332" s="715"/>
    </row>
    <row r="4333" spans="1:12" ht="9.1999999999999993" customHeight="1">
      <c r="A4333" s="712">
        <v>12</v>
      </c>
      <c r="B4333" s="713" t="s">
        <v>691</v>
      </c>
      <c r="C4333" s="714">
        <f>VLOOKUP(C4318,'Luong VP'!$B$10:$AP$189,18,0)</f>
        <v>0</v>
      </c>
      <c r="D4333" s="717"/>
      <c r="E4333" s="710">
        <v>3</v>
      </c>
      <c r="F4333" s="718" t="s">
        <v>238</v>
      </c>
      <c r="G4333" s="718"/>
      <c r="H4333" s="718"/>
      <c r="I4333" s="729"/>
      <c r="J4333" s="714">
        <f>VLOOKUP(C4318,'Luong VP'!$B$10:$AP$189,33,0)</f>
        <v>0</v>
      </c>
      <c r="K4333" s="731"/>
      <c r="L4333" s="715"/>
    </row>
    <row r="4334" spans="1:12" ht="9.1999999999999993" customHeight="1">
      <c r="A4334" s="712">
        <v>13</v>
      </c>
      <c r="B4334" s="713" t="s">
        <v>692</v>
      </c>
      <c r="C4334" s="714">
        <f>VLOOKUP(C4318,'Luong VP'!$B$10:$AP$189,19,0)</f>
        <v>0</v>
      </c>
      <c r="D4334" s="717"/>
      <c r="E4334" s="710">
        <v>4</v>
      </c>
      <c r="F4334" s="718" t="s">
        <v>239</v>
      </c>
      <c r="G4334" s="718"/>
      <c r="H4334" s="718"/>
      <c r="I4334" s="727"/>
      <c r="J4334" s="728">
        <f>VLOOKUP(C4318,'Luong VP'!$B$10:$AP$189,34,0)</f>
        <v>0</v>
      </c>
      <c r="K4334" s="732"/>
      <c r="L4334" s="715"/>
    </row>
    <row r="4335" spans="1:12" ht="9.1999999999999993" customHeight="1">
      <c r="A4335" s="712">
        <v>14</v>
      </c>
      <c r="B4335" s="713" t="s">
        <v>694</v>
      </c>
      <c r="C4335" s="714">
        <f>VLOOKUP(C4318,'Luong VP'!$B$10:$AP$189,20,0)</f>
        <v>0</v>
      </c>
      <c r="D4335" s="717"/>
      <c r="E4335" s="710">
        <v>5</v>
      </c>
      <c r="F4335" s="718" t="s">
        <v>695</v>
      </c>
      <c r="G4335" s="719"/>
      <c r="H4335" s="719"/>
      <c r="I4335" s="729"/>
      <c r="J4335" s="714">
        <f>VLOOKUP(C4318,'Luong VP'!$B$10:$AP$189,35,0)</f>
        <v>0</v>
      </c>
      <c r="K4335" s="732"/>
      <c r="L4335" s="715"/>
    </row>
    <row r="4336" spans="1:12" ht="9.1999999999999993" customHeight="1">
      <c r="A4336" s="712"/>
      <c r="B4336" s="707" t="s">
        <v>656</v>
      </c>
      <c r="C4336" s="714">
        <f>SUM(C4322:C4335)-C4330</f>
        <v>5420</v>
      </c>
      <c r="D4336" s="717"/>
      <c r="E4336" s="710">
        <v>6</v>
      </c>
      <c r="F4336" s="716" t="s">
        <v>693</v>
      </c>
      <c r="G4336" s="719"/>
      <c r="H4336" s="719"/>
      <c r="I4336" s="729"/>
      <c r="J4336" s="714">
        <f>VLOOKUP(C4318,'Luong VP'!$B$10:$AP$189,40,0)</f>
        <v>0</v>
      </c>
      <c r="K4336" s="731"/>
      <c r="L4336" s="715"/>
    </row>
    <row r="4337" spans="1:12" ht="9.1999999999999993" customHeight="1">
      <c r="B4337" s="720"/>
      <c r="C4337" s="717"/>
      <c r="D4337" s="717"/>
      <c r="E4337" s="710"/>
      <c r="F4337" s="716" t="s">
        <v>241</v>
      </c>
      <c r="G4337" s="719"/>
      <c r="H4337" s="719"/>
      <c r="I4337" s="729"/>
      <c r="J4337" s="730">
        <f>SUM(J4323:J4336)+C4330</f>
        <v>11064.92176923077</v>
      </c>
      <c r="K4337" s="732"/>
      <c r="L4337" s="715"/>
    </row>
    <row r="4338" spans="1:12" ht="9.1999999999999993" customHeight="1">
      <c r="B4338" s="720"/>
      <c r="C4338" s="717"/>
      <c r="D4338" s="717"/>
      <c r="E4338" s="710" t="s">
        <v>696</v>
      </c>
      <c r="F4338" s="711" t="s">
        <v>697</v>
      </c>
      <c r="G4338" s="710"/>
      <c r="H4338" s="710"/>
      <c r="I4338" s="729"/>
      <c r="J4338" s="730">
        <f>SUM(J4339:J4341)</f>
        <v>4504</v>
      </c>
      <c r="K4338" s="734"/>
      <c r="L4338" s="735"/>
    </row>
    <row r="4339" spans="1:12" ht="9.1999999999999993" customHeight="1">
      <c r="B4339" s="720"/>
      <c r="C4339" s="717"/>
      <c r="D4339" s="717"/>
      <c r="E4339" s="710">
        <v>1</v>
      </c>
      <c r="F4339" s="718" t="s">
        <v>698</v>
      </c>
      <c r="G4339" s="718"/>
      <c r="H4339" s="718"/>
      <c r="I4339" s="733"/>
      <c r="J4339" s="714">
        <f>VLOOKUP(C4318,'Luong VP'!$B$10:$AP$189,37,0)</f>
        <v>504</v>
      </c>
    </row>
    <row r="4340" spans="1:12" ht="9.1999999999999993" customHeight="1">
      <c r="B4340" s="720"/>
      <c r="C4340" s="717"/>
      <c r="D4340" s="717"/>
      <c r="E4340" s="710">
        <v>2</v>
      </c>
      <c r="F4340" s="718" t="s">
        <v>244</v>
      </c>
      <c r="G4340" s="718"/>
      <c r="H4340" s="718"/>
      <c r="I4340" s="729"/>
      <c r="J4340" s="714">
        <f>VLOOKUP(C4318,'Luong VP'!$B$10:$AP$189,39,0)</f>
        <v>4000</v>
      </c>
    </row>
    <row r="4341" spans="1:12" ht="9.1999999999999993" customHeight="1">
      <c r="B4341" s="720"/>
      <c r="C4341" s="717"/>
      <c r="D4341" s="717"/>
      <c r="E4341" s="710"/>
      <c r="F4341" s="718" t="s">
        <v>699</v>
      </c>
      <c r="G4341" s="718"/>
      <c r="H4341" s="718"/>
      <c r="I4341" s="729"/>
      <c r="J4341" s="714"/>
      <c r="K4341" s="714"/>
      <c r="L4341" s="736"/>
    </row>
    <row r="4342" spans="1:12" ht="9.1999999999999993" customHeight="1">
      <c r="B4342" s="720"/>
      <c r="C4342" s="717"/>
      <c r="D4342" s="717"/>
      <c r="E4342" s="710" t="s">
        <v>700</v>
      </c>
      <c r="F4342" s="710" t="s">
        <v>246</v>
      </c>
      <c r="G4342" s="710"/>
      <c r="H4342" s="710"/>
      <c r="I4342" s="729"/>
      <c r="J4342" s="728">
        <f>J4337-J4338</f>
        <v>6560.9217692307702</v>
      </c>
      <c r="K4342" s="728">
        <f>ROUND(J4342,-1)</f>
        <v>6560</v>
      </c>
      <c r="L4342" s="710"/>
    </row>
    <row r="4343" spans="1:12" ht="9.1999999999999993" customHeight="1">
      <c r="E4343" s="715"/>
      <c r="F4343" s="715"/>
      <c r="G4343" s="715"/>
      <c r="I4343" s="715" t="s">
        <v>701</v>
      </c>
      <c r="J4343" s="737"/>
    </row>
    <row r="4344" spans="1:12" ht="9.1999999999999993" customHeight="1">
      <c r="E4344" s="715"/>
      <c r="F4344" s="715"/>
      <c r="G4344" s="715"/>
      <c r="I4344" s="715"/>
      <c r="J4344" s="737"/>
    </row>
    <row r="4345" spans="1:12" ht="9.1999999999999993" customHeight="1">
      <c r="E4345" s="715"/>
      <c r="F4345" s="715"/>
      <c r="G4345" s="715"/>
      <c r="I4345" s="715"/>
      <c r="J4345" s="737"/>
    </row>
    <row r="4346" spans="1:12" ht="9.1999999999999993" customHeight="1">
      <c r="E4346" s="715"/>
      <c r="F4346" s="715"/>
      <c r="G4346" s="715"/>
      <c r="I4346" s="715"/>
      <c r="J4346" s="737"/>
    </row>
    <row r="4347" spans="1:12" ht="9.1999999999999993" customHeight="1">
      <c r="E4347" s="715"/>
      <c r="F4347" s="715"/>
      <c r="G4347" s="715"/>
      <c r="I4347" s="715"/>
      <c r="J4347" s="737"/>
    </row>
    <row r="4349" spans="1:12" ht="9.1999999999999993" customHeight="1">
      <c r="A4349" s="755"/>
      <c r="B4349" s="755"/>
      <c r="C4349" s="756"/>
      <c r="D4349" s="756"/>
      <c r="E4349" s="757" t="str">
        <f>$E$2</f>
        <v>THẺ LƯƠNG THÁNG 08/2019</v>
      </c>
      <c r="F4349" s="758"/>
      <c r="G4349" s="758"/>
      <c r="H4349" s="758"/>
      <c r="I4349" s="762"/>
      <c r="J4349" s="762"/>
      <c r="K4349" s="762"/>
      <c r="L4349" s="782"/>
    </row>
    <row r="4350" spans="1:12" ht="9.1999999999999993" customHeight="1">
      <c r="A4350" s="755"/>
      <c r="B4350" s="759" t="s">
        <v>644</v>
      </c>
      <c r="C4350" s="760" t="s">
        <v>573</v>
      </c>
      <c r="D4350" s="761"/>
      <c r="E4350" s="762"/>
      <c r="F4350" s="763" t="s">
        <v>645</v>
      </c>
      <c r="G4350" s="762" t="str">
        <f>VLOOKUP(C4350,'Luong VP'!$B$10:$AP$352,2,0)</f>
        <v>Thạch Ngọc Đăng</v>
      </c>
      <c r="H4350" s="762"/>
      <c r="I4350" s="762"/>
      <c r="J4350" s="762"/>
      <c r="K4350" s="762"/>
      <c r="L4350" s="782"/>
    </row>
    <row r="4351" spans="1:12" ht="9.1999999999999993" customHeight="1">
      <c r="A4351" s="755"/>
      <c r="B4351" s="759" t="s">
        <v>646</v>
      </c>
      <c r="C4351" s="762" t="str">
        <f>VLOOKUP(C4350,'Luong VP'!$B$10:$AP$352,3,0)</f>
        <v>Tài xế</v>
      </c>
      <c r="D4351" s="762"/>
      <c r="E4351" s="762"/>
      <c r="F4351" s="763" t="s">
        <v>647</v>
      </c>
      <c r="G4351" s="762">
        <f>VLOOKUP(C4350,'Luong VP'!$B$10:$AP$352,5,0)</f>
        <v>1</v>
      </c>
      <c r="H4351" s="762"/>
      <c r="I4351" s="762"/>
      <c r="J4351" s="762"/>
      <c r="K4351" s="762"/>
      <c r="L4351" s="782"/>
    </row>
    <row r="4352" spans="1:12" ht="9.1999999999999993" customHeight="1">
      <c r="A4352" s="755"/>
      <c r="B4352" s="764"/>
      <c r="C4352" s="765"/>
      <c r="D4352" s="766"/>
      <c r="E4352" s="762"/>
      <c r="F4352" s="767" t="s">
        <v>648</v>
      </c>
      <c r="G4352" s="767"/>
      <c r="H4352" s="767"/>
      <c r="I4352" s="783"/>
      <c r="J4352" s="784"/>
      <c r="K4352" s="762"/>
      <c r="L4352" s="782"/>
    </row>
    <row r="4353" spans="1:12" ht="9.1999999999999993" customHeight="1">
      <c r="A4353" s="768" t="s">
        <v>216</v>
      </c>
      <c r="B4353" s="768" t="s">
        <v>649</v>
      </c>
      <c r="C4353" s="769" t="s">
        <v>650</v>
      </c>
      <c r="D4353" s="770"/>
      <c r="E4353" s="771" t="s">
        <v>216</v>
      </c>
      <c r="F4353" s="772" t="s">
        <v>649</v>
      </c>
      <c r="G4353" s="771"/>
      <c r="H4353" s="771" t="s">
        <v>651</v>
      </c>
      <c r="I4353" s="785" t="s">
        <v>652</v>
      </c>
      <c r="J4353" s="775"/>
      <c r="K4353" s="762"/>
      <c r="L4353" s="782" t="s">
        <v>653</v>
      </c>
    </row>
    <row r="4354" spans="1:12" ht="9.1999999999999993" customHeight="1">
      <c r="A4354" s="773">
        <v>1</v>
      </c>
      <c r="B4354" s="774" t="s">
        <v>654</v>
      </c>
      <c r="C4354" s="775">
        <f>VLOOKUP(C4350,'Luong VP'!$B$10:$AP$352,9,0)</f>
        <v>5220</v>
      </c>
      <c r="D4354" s="776"/>
      <c r="E4354" s="771" t="s">
        <v>655</v>
      </c>
      <c r="F4354" s="777" t="s">
        <v>656</v>
      </c>
      <c r="G4354" s="771"/>
      <c r="H4354" s="771"/>
      <c r="I4354" s="785"/>
      <c r="J4354" s="775">
        <f>VLOOKUP(C4350,'Luong VP'!$B$10:$AP$352,21,0)</f>
        <v>5420</v>
      </c>
      <c r="K4354" s="762"/>
      <c r="L4354" s="782"/>
    </row>
    <row r="4355" spans="1:12" ht="9.1999999999999993" customHeight="1">
      <c r="A4355" s="773">
        <v>2</v>
      </c>
      <c r="B4355" s="774" t="s">
        <v>658</v>
      </c>
      <c r="C4355" s="775"/>
      <c r="D4355" s="778"/>
      <c r="E4355" s="771">
        <v>1</v>
      </c>
      <c r="F4355" s="779" t="s">
        <v>659</v>
      </c>
      <c r="G4355" s="779"/>
      <c r="H4355" s="771" t="s">
        <v>660</v>
      </c>
      <c r="I4355" s="785">
        <f>VLOOKUP(C4350,'Luong VP'!$B$10:$AP$352,22,0)</f>
        <v>26</v>
      </c>
      <c r="J4355" s="786">
        <f>J4354/'Cham cong'!$AS$3*I4355</f>
        <v>5420</v>
      </c>
      <c r="K4355" s="762"/>
      <c r="L4355" s="782"/>
    </row>
    <row r="4356" spans="1:12" ht="9.1999999999999993" customHeight="1">
      <c r="A4356" s="773">
        <v>3</v>
      </c>
      <c r="B4356" s="774" t="s">
        <v>661</v>
      </c>
      <c r="C4356" s="775">
        <f>VLOOKUP(C4350,'Luong VP'!$B$10:$AP$352,10,0)</f>
        <v>0</v>
      </c>
      <c r="D4356" s="778"/>
      <c r="E4356" s="771">
        <v>2</v>
      </c>
      <c r="F4356" s="779" t="s">
        <v>662</v>
      </c>
      <c r="G4356" s="779"/>
      <c r="H4356" s="771" t="s">
        <v>660</v>
      </c>
      <c r="I4356" s="785">
        <f>VLOOKUP(C4350,'Luong VP'!$B$10:$AP$352,27,0)</f>
        <v>0</v>
      </c>
      <c r="J4356" s="786">
        <f>J4354/'Cham cong'!$AS$3*I4356*3</f>
        <v>0</v>
      </c>
      <c r="K4356" s="762"/>
      <c r="L4356" s="782"/>
    </row>
    <row r="4357" spans="1:12" ht="9.1999999999999993" customHeight="1">
      <c r="A4357" s="773">
        <v>4</v>
      </c>
      <c r="B4357" s="774" t="s">
        <v>666</v>
      </c>
      <c r="C4357" s="775">
        <f>VLOOKUP(C4350,'Luong VP'!$B$10:$AP$352,11,0)</f>
        <v>200</v>
      </c>
      <c r="D4357" s="778"/>
      <c r="E4357" s="771">
        <v>3</v>
      </c>
      <c r="F4357" s="779" t="s">
        <v>667</v>
      </c>
      <c r="G4357" s="779"/>
      <c r="H4357" s="771" t="s">
        <v>668</v>
      </c>
      <c r="I4357" s="785">
        <f>VLOOKUP(C4350,'Luong VP'!$B$10:$AP$352,26,0)</f>
        <v>0</v>
      </c>
      <c r="J4357" s="786">
        <f>J4354/'Cham cong'!$AS$3*I4357/8*1.5</f>
        <v>0</v>
      </c>
      <c r="K4357" s="762"/>
      <c r="L4357" s="782"/>
    </row>
    <row r="4358" spans="1:12" ht="9.1999999999999993" customHeight="1">
      <c r="A4358" s="773">
        <v>5</v>
      </c>
      <c r="B4358" s="774" t="s">
        <v>670</v>
      </c>
      <c r="C4358" s="775">
        <f>VLOOKUP(C4350,'Luong VP'!$B$10:$AP$352,12,0)</f>
        <v>0</v>
      </c>
      <c r="D4358" s="778"/>
      <c r="E4358" s="771">
        <v>4</v>
      </c>
      <c r="F4358" s="779" t="s">
        <v>671</v>
      </c>
      <c r="G4358" s="779"/>
      <c r="H4358" s="771" t="s">
        <v>668</v>
      </c>
      <c r="I4358" s="785">
        <f>VLOOKUP(C4350,'Luong VP'!$B$10:$AP$352,25,0)</f>
        <v>0</v>
      </c>
      <c r="J4358" s="786">
        <f>J4354/'Cham cong'!$AS$3*I4358/8*2</f>
        <v>0</v>
      </c>
      <c r="K4358" s="762"/>
      <c r="L4358" s="782"/>
    </row>
    <row r="4359" spans="1:12" ht="9.1999999999999993" customHeight="1">
      <c r="A4359" s="773">
        <v>6</v>
      </c>
      <c r="B4359" s="774" t="s">
        <v>673</v>
      </c>
      <c r="C4359" s="775">
        <f>VLOOKUP(C4350,'Luong VP'!$B$10:$AP$352,13,0)</f>
        <v>0</v>
      </c>
      <c r="D4359" s="778"/>
      <c r="E4359" s="771">
        <v>5</v>
      </c>
      <c r="F4359" s="779" t="s">
        <v>674</v>
      </c>
      <c r="G4359" s="779"/>
      <c r="H4359" s="771" t="s">
        <v>660</v>
      </c>
      <c r="I4359" s="785">
        <f>VLOOKUP(C4350,'Luong VP'!$B$10:$AP$352,23,0)</f>
        <v>0</v>
      </c>
      <c r="J4359" s="786">
        <f>C4354/'Cham cong'!$AS$3*I4359</f>
        <v>0</v>
      </c>
      <c r="K4359" s="762"/>
      <c r="L4359" s="782" t="str">
        <f>G4350</f>
        <v>Thạch Ngọc Đăng</v>
      </c>
    </row>
    <row r="4360" spans="1:12" ht="9.1999999999999993" customHeight="1">
      <c r="A4360" s="773">
        <v>7</v>
      </c>
      <c r="B4360" s="774" t="s">
        <v>676</v>
      </c>
      <c r="C4360" s="775"/>
      <c r="D4360" s="778"/>
      <c r="E4360" s="771">
        <v>6</v>
      </c>
      <c r="F4360" s="779" t="s">
        <v>677</v>
      </c>
      <c r="G4360" s="779"/>
      <c r="H4360" s="771" t="s">
        <v>660</v>
      </c>
      <c r="I4360" s="785">
        <f>VLOOKUP(C4350,'Luong VP'!$B$10:$AP$352,24,0)</f>
        <v>1</v>
      </c>
      <c r="J4360" s="775">
        <f>C4354/'Cham cong'!$AS$3*I4360</f>
        <v>200.76923076923077</v>
      </c>
      <c r="K4360" s="762"/>
      <c r="L4360" s="782"/>
    </row>
    <row r="4361" spans="1:12" ht="9.1999999999999993" customHeight="1">
      <c r="A4361" s="773">
        <v>8</v>
      </c>
      <c r="B4361" s="774" t="s">
        <v>679</v>
      </c>
      <c r="C4361" s="775">
        <f>VLOOKUP(C4350,'Luong VP'!$B$10:$AP$352,14,0)</f>
        <v>0</v>
      </c>
      <c r="D4361" s="778"/>
      <c r="E4361" s="771">
        <v>7</v>
      </c>
      <c r="F4361" s="779" t="s">
        <v>680</v>
      </c>
      <c r="G4361" s="779"/>
      <c r="H4361" s="779"/>
      <c r="I4361" s="787"/>
      <c r="J4361" s="775">
        <f>VLOOKUP(C4350,'Luong VP'!$B$10:$AP$352,28,0)</f>
        <v>1840</v>
      </c>
      <c r="K4361" s="762"/>
      <c r="L4361" s="782"/>
    </row>
    <row r="4362" spans="1:12" ht="9.1999999999999993" customHeight="1">
      <c r="A4362" s="773">
        <v>9</v>
      </c>
      <c r="B4362" s="774" t="s">
        <v>683</v>
      </c>
      <c r="C4362" s="775">
        <f>VLOOKUP(C4350,'Luong VP'!$B$10:$AP$352,15,0)</f>
        <v>0</v>
      </c>
      <c r="D4362" s="778"/>
      <c r="E4362" s="771" t="s">
        <v>686</v>
      </c>
      <c r="F4362" s="777" t="s">
        <v>687</v>
      </c>
      <c r="G4362" s="780"/>
      <c r="H4362" s="780"/>
      <c r="I4362" s="787"/>
      <c r="J4362" s="788"/>
      <c r="K4362" s="762"/>
      <c r="L4362" s="782"/>
    </row>
    <row r="4363" spans="1:12" ht="9.1999999999999993" customHeight="1">
      <c r="A4363" s="773">
        <v>10</v>
      </c>
      <c r="B4363" s="774" t="s">
        <v>685</v>
      </c>
      <c r="C4363" s="775">
        <f>VLOOKUP(C4350,'Luong VP'!$B$10:$AP$352,16,0)</f>
        <v>0</v>
      </c>
      <c r="D4363" s="778"/>
      <c r="E4363" s="771">
        <v>1</v>
      </c>
      <c r="F4363" s="777" t="s">
        <v>689</v>
      </c>
      <c r="G4363" s="780"/>
      <c r="H4363" s="780"/>
      <c r="I4363" s="775">
        <f>VLOOKUP(C4350,'Luong VP'!$B$10:$AP$209,29,0)</f>
        <v>21</v>
      </c>
      <c r="J4363" s="775">
        <f>VLOOKUP(C4350,'Luong VP'!$B$10:$AP$352,30,0)</f>
        <v>4377.1481538461521</v>
      </c>
      <c r="K4363" s="762"/>
      <c r="L4363" s="782"/>
    </row>
    <row r="4364" spans="1:12" ht="9.1999999999999993" customHeight="1">
      <c r="A4364" s="773">
        <v>11</v>
      </c>
      <c r="B4364" s="774" t="s">
        <v>688</v>
      </c>
      <c r="C4364" s="775">
        <f>VLOOKUP(C4350,'Luong VP'!$B$10:$AP$352,17,0)</f>
        <v>0</v>
      </c>
      <c r="D4364" s="778"/>
      <c r="E4364" s="771">
        <v>2</v>
      </c>
      <c r="F4364" s="777" t="s">
        <v>702</v>
      </c>
      <c r="G4364" s="780"/>
      <c r="H4364" s="780"/>
      <c r="I4364" s="787"/>
      <c r="J4364" s="775">
        <v>0</v>
      </c>
      <c r="K4364" s="789"/>
      <c r="L4364" s="776"/>
    </row>
    <row r="4365" spans="1:12" ht="9.1999999999999993" customHeight="1">
      <c r="A4365" s="773">
        <v>12</v>
      </c>
      <c r="B4365" s="774" t="s">
        <v>691</v>
      </c>
      <c r="C4365" s="775">
        <f>VLOOKUP(C4350,'Luong VP'!$B$10:$AP$352,18,0)</f>
        <v>0</v>
      </c>
      <c r="D4365" s="778"/>
      <c r="E4365" s="771">
        <v>3</v>
      </c>
      <c r="F4365" s="779" t="s">
        <v>238</v>
      </c>
      <c r="G4365" s="779"/>
      <c r="H4365" s="779"/>
      <c r="I4365" s="787"/>
      <c r="J4365" s="775">
        <f>VLOOKUP(C4350,'Luong VP'!$B$10:$AP$352,33,0)</f>
        <v>0</v>
      </c>
      <c r="K4365" s="789"/>
      <c r="L4365" s="776"/>
    </row>
    <row r="4366" spans="1:12" ht="9.1999999999999993" customHeight="1">
      <c r="A4366" s="773">
        <v>13</v>
      </c>
      <c r="B4366" s="774" t="s">
        <v>692</v>
      </c>
      <c r="C4366" s="775">
        <f>VLOOKUP(C4350,'Luong VP'!$B$10:$AP$352,19,0)</f>
        <v>0</v>
      </c>
      <c r="D4366" s="778"/>
      <c r="E4366" s="771">
        <v>4</v>
      </c>
      <c r="F4366" s="779" t="s">
        <v>239</v>
      </c>
      <c r="G4366" s="779"/>
      <c r="H4366" s="779"/>
      <c r="I4366" s="785"/>
      <c r="J4366" s="786">
        <f>VLOOKUP(C4350,'Luong VP'!$B$10:$AP$352,34,0)</f>
        <v>0</v>
      </c>
      <c r="K4366" s="790"/>
      <c r="L4366" s="776"/>
    </row>
    <row r="4367" spans="1:12" ht="9.1999999999999993" customHeight="1">
      <c r="A4367" s="773">
        <v>14</v>
      </c>
      <c r="B4367" s="774" t="s">
        <v>694</v>
      </c>
      <c r="C4367" s="775">
        <f>VLOOKUP(C4350,'Luong VP'!$B$10:$AP$352,20,0)</f>
        <v>0</v>
      </c>
      <c r="D4367" s="778"/>
      <c r="E4367" s="771">
        <v>5</v>
      </c>
      <c r="F4367" s="779" t="s">
        <v>695</v>
      </c>
      <c r="G4367" s="780"/>
      <c r="H4367" s="780"/>
      <c r="I4367" s="787"/>
      <c r="J4367" s="775">
        <f>VLOOKUP(C4350,'Luong VP'!$B$10:$AP$352,35,0)</f>
        <v>0</v>
      </c>
      <c r="K4367" s="790"/>
      <c r="L4367" s="776"/>
    </row>
    <row r="4368" spans="1:12" ht="9.1999999999999993" customHeight="1">
      <c r="A4368" s="773"/>
      <c r="B4368" s="768" t="s">
        <v>656</v>
      </c>
      <c r="C4368" s="775">
        <f>SUM(C4354:C4367)-C4362</f>
        <v>5420</v>
      </c>
      <c r="D4368" s="778"/>
      <c r="E4368" s="771">
        <v>6</v>
      </c>
      <c r="F4368" s="777" t="s">
        <v>693</v>
      </c>
      <c r="G4368" s="780"/>
      <c r="H4368" s="780"/>
      <c r="I4368" s="787"/>
      <c r="J4368" s="775">
        <f>VLOOKUP(C4350,'Luong VP'!$B$10:$AP$352,40,0)</f>
        <v>0</v>
      </c>
      <c r="K4368" s="789"/>
      <c r="L4368" s="776"/>
    </row>
    <row r="4369" spans="1:12" ht="9.1999999999999993" customHeight="1">
      <c r="A4369" s="755"/>
      <c r="B4369" s="781"/>
      <c r="C4369" s="778"/>
      <c r="D4369" s="778"/>
      <c r="E4369" s="771"/>
      <c r="F4369" s="777" t="s">
        <v>241</v>
      </c>
      <c r="G4369" s="780"/>
      <c r="H4369" s="780"/>
      <c r="I4369" s="787"/>
      <c r="J4369" s="788">
        <f>SUM(J4355:J4368)+C4362</f>
        <v>11837.917384615383</v>
      </c>
      <c r="K4369" s="790"/>
      <c r="L4369" s="776"/>
    </row>
    <row r="4370" spans="1:12" ht="9.1999999999999993" customHeight="1">
      <c r="A4370" s="755"/>
      <c r="B4370" s="781"/>
      <c r="C4370" s="778"/>
      <c r="D4370" s="778"/>
      <c r="E4370" s="771" t="s">
        <v>696</v>
      </c>
      <c r="F4370" s="772" t="s">
        <v>697</v>
      </c>
      <c r="G4370" s="771"/>
      <c r="H4370" s="771"/>
      <c r="I4370" s="787"/>
      <c r="J4370" s="788">
        <f>SUM(J4371:J4373)</f>
        <v>4000</v>
      </c>
      <c r="K4370" s="792"/>
      <c r="L4370" s="793"/>
    </row>
    <row r="4371" spans="1:12" ht="9.1999999999999993" customHeight="1">
      <c r="A4371" s="755"/>
      <c r="B4371" s="781"/>
      <c r="C4371" s="778"/>
      <c r="D4371" s="778"/>
      <c r="E4371" s="771">
        <v>1</v>
      </c>
      <c r="F4371" s="779" t="s">
        <v>698</v>
      </c>
      <c r="G4371" s="779"/>
      <c r="H4371" s="779"/>
      <c r="I4371" s="791"/>
      <c r="J4371" s="775">
        <f>VLOOKUP(C4350,'Luong VP'!$B$10:$AP$352,37,0)</f>
        <v>0</v>
      </c>
      <c r="K4371" s="762"/>
      <c r="L4371" s="782"/>
    </row>
    <row r="4372" spans="1:12" ht="9.1999999999999993" customHeight="1">
      <c r="A4372" s="755"/>
      <c r="B4372" s="781"/>
      <c r="C4372" s="778"/>
      <c r="D4372" s="778"/>
      <c r="E4372" s="771">
        <v>2</v>
      </c>
      <c r="F4372" s="779" t="s">
        <v>244</v>
      </c>
      <c r="G4372" s="779"/>
      <c r="H4372" s="779"/>
      <c r="I4372" s="787"/>
      <c r="J4372" s="775">
        <f>VLOOKUP(C4350,'Luong VP'!$B$10:$AP$352,39,0)</f>
        <v>4000</v>
      </c>
      <c r="K4372" s="762"/>
      <c r="L4372" s="782"/>
    </row>
    <row r="4373" spans="1:12" ht="9.1999999999999993" customHeight="1">
      <c r="A4373" s="755"/>
      <c r="B4373" s="781"/>
      <c r="C4373" s="778"/>
      <c r="D4373" s="778"/>
      <c r="E4373" s="771"/>
      <c r="F4373" s="779" t="s">
        <v>699</v>
      </c>
      <c r="G4373" s="779"/>
      <c r="H4373" s="779"/>
      <c r="I4373" s="787"/>
      <c r="J4373" s="775"/>
      <c r="K4373" s="775"/>
      <c r="L4373" s="794"/>
    </row>
    <row r="4374" spans="1:12" ht="9.1999999999999993" customHeight="1">
      <c r="A4374" s="755"/>
      <c r="B4374" s="781"/>
      <c r="C4374" s="778"/>
      <c r="D4374" s="778"/>
      <c r="E4374" s="771" t="s">
        <v>700</v>
      </c>
      <c r="F4374" s="771" t="s">
        <v>246</v>
      </c>
      <c r="G4374" s="771"/>
      <c r="H4374" s="771"/>
      <c r="I4374" s="787"/>
      <c r="J4374" s="786">
        <f>J4369-J4370</f>
        <v>7837.9173846153826</v>
      </c>
      <c r="K4374" s="786">
        <f>ROUND(J4374,-1)</f>
        <v>7840</v>
      </c>
      <c r="L4374" s="771"/>
    </row>
    <row r="4375" spans="1:12" ht="9.1999999999999993" customHeight="1">
      <c r="A4375" s="755"/>
      <c r="B4375" s="781"/>
      <c r="C4375" s="778"/>
      <c r="D4375" s="778"/>
      <c r="E4375" s="776"/>
      <c r="F4375" s="1597"/>
      <c r="G4375" s="1597"/>
      <c r="H4375" s="1597"/>
      <c r="I4375" s="1597"/>
      <c r="J4375" s="1597"/>
      <c r="K4375" s="795"/>
      <c r="L4375" s="776"/>
    </row>
    <row r="4376" spans="1:12" ht="9.1999999999999993" customHeight="1">
      <c r="A4376" s="755"/>
      <c r="B4376" s="755"/>
      <c r="C4376" s="762"/>
      <c r="D4376" s="762"/>
      <c r="E4376" s="762"/>
      <c r="F4376" s="762"/>
      <c r="G4376" s="762"/>
      <c r="H4376" s="762"/>
      <c r="I4376" s="762"/>
      <c r="J4376" s="763"/>
      <c r="K4376" s="847"/>
      <c r="L4376" s="782"/>
    </row>
    <row r="4380" spans="1:12" ht="9.1999999999999993" customHeight="1">
      <c r="C4380" s="696"/>
      <c r="D4380" s="696"/>
      <c r="E4380" s="697" t="str">
        <f>$E$2</f>
        <v>THẺ LƯƠNG THÁNG 08/2019</v>
      </c>
      <c r="F4380" s="698"/>
      <c r="G4380" s="698"/>
      <c r="H4380" s="698"/>
    </row>
    <row r="4381" spans="1:12" ht="9.1999999999999993" customHeight="1">
      <c r="B4381" s="699" t="s">
        <v>644</v>
      </c>
      <c r="C4381" s="700" t="s">
        <v>569</v>
      </c>
      <c r="D4381" s="701"/>
      <c r="F4381" s="702" t="s">
        <v>645</v>
      </c>
      <c r="G4381" s="689" t="str">
        <f>VLOOKUP(C4381,'Luong VP'!$B$10:$AP$352,2,0)</f>
        <v xml:space="preserve">Lê Sỹ Ninh </v>
      </c>
    </row>
    <row r="4382" spans="1:12" ht="9.1999999999999993" customHeight="1">
      <c r="B4382" s="699" t="s">
        <v>646</v>
      </c>
      <c r="C4382" s="689" t="str">
        <f>VLOOKUP(C4381,'Luong VP'!$B$10:$AP$352,3,0)</f>
        <v>Tài xế</v>
      </c>
      <c r="F4382" s="702" t="s">
        <v>647</v>
      </c>
      <c r="G4382" s="689">
        <f>VLOOKUP(C4381,'Luong VP'!$B$10:$AP$352,5,0)</f>
        <v>1</v>
      </c>
    </row>
    <row r="4383" spans="1:12" ht="9.1999999999999993" customHeight="1">
      <c r="B4383" s="703"/>
      <c r="C4383" s="704"/>
      <c r="D4383" s="705"/>
      <c r="F4383" s="706" t="s">
        <v>648</v>
      </c>
      <c r="G4383" s="706"/>
      <c r="H4383" s="706"/>
      <c r="I4383" s="725"/>
      <c r="J4383" s="726"/>
    </row>
    <row r="4384" spans="1:12" ht="9.1999999999999993" customHeight="1">
      <c r="A4384" s="707" t="s">
        <v>216</v>
      </c>
      <c r="B4384" s="707" t="s">
        <v>649</v>
      </c>
      <c r="C4384" s="708" t="s">
        <v>650</v>
      </c>
      <c r="D4384" s="709"/>
      <c r="E4384" s="710" t="s">
        <v>216</v>
      </c>
      <c r="F4384" s="711" t="s">
        <v>649</v>
      </c>
      <c r="G4384" s="710"/>
      <c r="H4384" s="710" t="s">
        <v>651</v>
      </c>
      <c r="I4384" s="727" t="s">
        <v>652</v>
      </c>
      <c r="J4384" s="714"/>
      <c r="L4384" s="694" t="s">
        <v>653</v>
      </c>
    </row>
    <row r="4385" spans="1:12" ht="9.1999999999999993" customHeight="1">
      <c r="A4385" s="712">
        <v>1</v>
      </c>
      <c r="B4385" s="713" t="s">
        <v>654</v>
      </c>
      <c r="C4385" s="714">
        <f>VLOOKUP(C4381,'Luong VP'!$B$10:$AP$352,9,0)</f>
        <v>5220</v>
      </c>
      <c r="D4385" s="715"/>
      <c r="E4385" s="710" t="s">
        <v>655</v>
      </c>
      <c r="F4385" s="716" t="s">
        <v>656</v>
      </c>
      <c r="G4385" s="710"/>
      <c r="H4385" s="710"/>
      <c r="I4385" s="727"/>
      <c r="J4385" s="714">
        <f>VLOOKUP(C4381,'Luong VP'!$B$10:$AP$352,21,0)</f>
        <v>5420</v>
      </c>
    </row>
    <row r="4386" spans="1:12" ht="9.1999999999999993" customHeight="1">
      <c r="A4386" s="712">
        <v>2</v>
      </c>
      <c r="B4386" s="713" t="s">
        <v>658</v>
      </c>
      <c r="C4386" s="714"/>
      <c r="D4386" s="717"/>
      <c r="E4386" s="710">
        <v>1</v>
      </c>
      <c r="F4386" s="718" t="s">
        <v>659</v>
      </c>
      <c r="G4386" s="718"/>
      <c r="H4386" s="710" t="s">
        <v>660</v>
      </c>
      <c r="I4386" s="727">
        <f>VLOOKUP(C4381,'Luong VP'!$B$10:$AP$352,22,0)</f>
        <v>26</v>
      </c>
      <c r="J4386" s="728">
        <f>J4385/'Cham cong'!$AS$3*I4386</f>
        <v>5420</v>
      </c>
    </row>
    <row r="4387" spans="1:12" ht="9.1999999999999993" customHeight="1">
      <c r="A4387" s="712">
        <v>3</v>
      </c>
      <c r="B4387" s="713" t="s">
        <v>661</v>
      </c>
      <c r="C4387" s="714">
        <f>VLOOKUP(C4381,'Luong VP'!$B$10:$AP$352,10,0)</f>
        <v>0</v>
      </c>
      <c r="D4387" s="717"/>
      <c r="E4387" s="710">
        <v>2</v>
      </c>
      <c r="F4387" s="718" t="s">
        <v>662</v>
      </c>
      <c r="G4387" s="718"/>
      <c r="H4387" s="710" t="s">
        <v>660</v>
      </c>
      <c r="I4387" s="727">
        <f>VLOOKUP(C4381,'Luong VP'!$B$10:$AP$352,27,0)</f>
        <v>0</v>
      </c>
      <c r="J4387" s="728">
        <f>J4385/'Cham cong'!$AS$3*I4387*3</f>
        <v>0</v>
      </c>
    </row>
    <row r="4388" spans="1:12" ht="9.1999999999999993" customHeight="1">
      <c r="A4388" s="712">
        <v>4</v>
      </c>
      <c r="B4388" s="713" t="s">
        <v>666</v>
      </c>
      <c r="C4388" s="714">
        <f>VLOOKUP(C4381,'Luong VP'!$B$10:$AP$352,11,0)</f>
        <v>200</v>
      </c>
      <c r="D4388" s="717"/>
      <c r="E4388" s="710">
        <v>3</v>
      </c>
      <c r="F4388" s="718" t="s">
        <v>667</v>
      </c>
      <c r="G4388" s="718"/>
      <c r="H4388" s="710" t="s">
        <v>668</v>
      </c>
      <c r="I4388" s="727">
        <f>VLOOKUP(C4381,'Luong VP'!$B$10:$AP$352,26,0)</f>
        <v>0</v>
      </c>
      <c r="J4388" s="728">
        <f>J4385/'Cham cong'!$AS$3*I4388/8*1.5</f>
        <v>0</v>
      </c>
    </row>
    <row r="4389" spans="1:12" ht="9.1999999999999993" customHeight="1">
      <c r="A4389" s="712">
        <v>5</v>
      </c>
      <c r="B4389" s="713" t="s">
        <v>670</v>
      </c>
      <c r="C4389" s="714">
        <f>VLOOKUP(C4381,'Luong VP'!$B$10:$AP$352,12,0)</f>
        <v>0</v>
      </c>
      <c r="D4389" s="717"/>
      <c r="E4389" s="710">
        <v>4</v>
      </c>
      <c r="F4389" s="718" t="s">
        <v>671</v>
      </c>
      <c r="G4389" s="718"/>
      <c r="H4389" s="710" t="s">
        <v>668</v>
      </c>
      <c r="I4389" s="727">
        <f>VLOOKUP(C4381,'Luong VP'!$B$10:$AP$352,25,0)</f>
        <v>0</v>
      </c>
      <c r="J4389" s="728">
        <f>J4385/'Cham cong'!$AS$3*I4389/8*2</f>
        <v>0</v>
      </c>
    </row>
    <row r="4390" spans="1:12" ht="9.1999999999999993" customHeight="1">
      <c r="A4390" s="712">
        <v>6</v>
      </c>
      <c r="B4390" s="713" t="s">
        <v>673</v>
      </c>
      <c r="C4390" s="714">
        <f>VLOOKUP(C4381,'Luong VP'!$B$10:$AP$352,13,0)</f>
        <v>0</v>
      </c>
      <c r="D4390" s="717"/>
      <c r="E4390" s="710">
        <v>5</v>
      </c>
      <c r="F4390" s="718" t="s">
        <v>674</v>
      </c>
      <c r="G4390" s="718"/>
      <c r="H4390" s="710" t="s">
        <v>660</v>
      </c>
      <c r="I4390" s="727">
        <f>VLOOKUP(C4381,'Luong VP'!$B$10:$AP$352,23,0)</f>
        <v>0</v>
      </c>
      <c r="J4390" s="728">
        <f>C4385/'Cham cong'!$AS$3*I4390</f>
        <v>0</v>
      </c>
      <c r="L4390" s="694" t="str">
        <f>G4381</f>
        <v xml:space="preserve">Lê Sỹ Ninh </v>
      </c>
    </row>
    <row r="4391" spans="1:12" ht="9.1999999999999993" customHeight="1">
      <c r="A4391" s="712">
        <v>7</v>
      </c>
      <c r="B4391" s="713" t="s">
        <v>676</v>
      </c>
      <c r="C4391" s="714"/>
      <c r="D4391" s="717"/>
      <c r="E4391" s="710">
        <v>6</v>
      </c>
      <c r="F4391" s="718" t="s">
        <v>677</v>
      </c>
      <c r="G4391" s="718"/>
      <c r="H4391" s="710" t="s">
        <v>660</v>
      </c>
      <c r="I4391" s="727">
        <f>VLOOKUP(C4381,'Luong VP'!$B$10:$AP$352,24,0)</f>
        <v>1</v>
      </c>
      <c r="J4391" s="714">
        <f>C4385/'Cham cong'!$AS$3*I4391</f>
        <v>200.76923076923077</v>
      </c>
    </row>
    <row r="4392" spans="1:12" ht="9.1999999999999993" customHeight="1">
      <c r="A4392" s="712">
        <v>8</v>
      </c>
      <c r="B4392" s="713" t="s">
        <v>679</v>
      </c>
      <c r="C4392" s="714">
        <f>VLOOKUP(C4381,'Luong VP'!$B$10:$AP$352,14,0)</f>
        <v>0</v>
      </c>
      <c r="D4392" s="717"/>
      <c r="E4392" s="710">
        <v>7</v>
      </c>
      <c r="F4392" s="718" t="s">
        <v>680</v>
      </c>
      <c r="G4392" s="718"/>
      <c r="H4392" s="718"/>
      <c r="I4392" s="729"/>
      <c r="J4392" s="714">
        <f>VLOOKUP(C4381,'Luong VP'!$B$10:$AP$352,28,0)</f>
        <v>540</v>
      </c>
    </row>
    <row r="4393" spans="1:12" ht="9.1999999999999993" customHeight="1">
      <c r="A4393" s="712">
        <v>9</v>
      </c>
      <c r="B4393" s="713" t="s">
        <v>683</v>
      </c>
      <c r="C4393" s="714">
        <f>VLOOKUP(C4381,'Luong VP'!$B$10:$AP$352,15,0)</f>
        <v>0</v>
      </c>
      <c r="D4393" s="717"/>
      <c r="E4393" s="710" t="s">
        <v>686</v>
      </c>
      <c r="F4393" s="716" t="s">
        <v>687</v>
      </c>
      <c r="G4393" s="719"/>
      <c r="H4393" s="719"/>
      <c r="I4393" s="729"/>
      <c r="J4393" s="730"/>
    </row>
    <row r="4394" spans="1:12" ht="9.1999999999999993" customHeight="1">
      <c r="A4394" s="712">
        <v>10</v>
      </c>
      <c r="B4394" s="713" t="s">
        <v>685</v>
      </c>
      <c r="C4394" s="714">
        <f>VLOOKUP(C4381,'Luong VP'!$B$10:$AP$352,16,0)</f>
        <v>0</v>
      </c>
      <c r="D4394" s="717"/>
      <c r="E4394" s="710">
        <v>1</v>
      </c>
      <c r="F4394" s="716" t="s">
        <v>689</v>
      </c>
      <c r="G4394" s="719"/>
      <c r="H4394" s="719"/>
      <c r="I4394" s="714">
        <f>VLOOKUP(C4381,'Luong VP'!$B$10:$AP$209,29,0)</f>
        <v>59</v>
      </c>
      <c r="J4394" s="714">
        <f>VLOOKUP(C4381,'Luong VP'!$B$10:$AP$352,30,0)</f>
        <v>5162.9996153846159</v>
      </c>
    </row>
    <row r="4395" spans="1:12" ht="9.1999999999999993" customHeight="1">
      <c r="A4395" s="712">
        <v>11</v>
      </c>
      <c r="B4395" s="713" t="s">
        <v>688</v>
      </c>
      <c r="C4395" s="714">
        <f>VLOOKUP(C4381,'Luong VP'!$B$10:$AP$352,17,0)</f>
        <v>0</v>
      </c>
      <c r="D4395" s="717"/>
      <c r="E4395" s="710">
        <v>2</v>
      </c>
      <c r="F4395" s="716" t="s">
        <v>702</v>
      </c>
      <c r="G4395" s="719"/>
      <c r="H4395" s="719"/>
      <c r="I4395" s="729"/>
      <c r="J4395" s="714">
        <v>0</v>
      </c>
      <c r="K4395" s="731"/>
      <c r="L4395" s="715"/>
    </row>
    <row r="4396" spans="1:12" ht="9.1999999999999993" customHeight="1">
      <c r="A4396" s="712">
        <v>12</v>
      </c>
      <c r="B4396" s="713" t="s">
        <v>691</v>
      </c>
      <c r="C4396" s="714">
        <f>VLOOKUP(C4381,'Luong VP'!$B$10:$AP$352,18,0)</f>
        <v>0</v>
      </c>
      <c r="D4396" s="717"/>
      <c r="E4396" s="710">
        <v>3</v>
      </c>
      <c r="F4396" s="718" t="s">
        <v>238</v>
      </c>
      <c r="G4396" s="718"/>
      <c r="H4396" s="718"/>
      <c r="I4396" s="729"/>
      <c r="J4396" s="714">
        <f>VLOOKUP(C4381,'Luong VP'!$B$10:$AP$352,33,0)</f>
        <v>0</v>
      </c>
      <c r="K4396" s="731"/>
      <c r="L4396" s="715"/>
    </row>
    <row r="4397" spans="1:12" ht="9.1999999999999993" customHeight="1">
      <c r="A4397" s="712">
        <v>13</v>
      </c>
      <c r="B4397" s="713" t="s">
        <v>692</v>
      </c>
      <c r="C4397" s="714">
        <f>VLOOKUP(C4381,'Luong VP'!$B$10:$AP$352,19,0)</f>
        <v>0</v>
      </c>
      <c r="D4397" s="717"/>
      <c r="E4397" s="710">
        <v>4</v>
      </c>
      <c r="F4397" s="718" t="s">
        <v>239</v>
      </c>
      <c r="G4397" s="718"/>
      <c r="H4397" s="718"/>
      <c r="I4397" s="727"/>
      <c r="J4397" s="728">
        <f>VLOOKUP(C4381,'Luong VP'!$B$10:$AP$352,34,0)</f>
        <v>0</v>
      </c>
      <c r="K4397" s="732"/>
      <c r="L4397" s="715"/>
    </row>
    <row r="4398" spans="1:12" ht="9.1999999999999993" customHeight="1">
      <c r="A4398" s="712">
        <v>14</v>
      </c>
      <c r="B4398" s="713" t="s">
        <v>694</v>
      </c>
      <c r="C4398" s="714">
        <f>VLOOKUP(C4381,'Luong VP'!$B$10:$AP$352,20,0)</f>
        <v>0</v>
      </c>
      <c r="D4398" s="717"/>
      <c r="E4398" s="710">
        <v>5</v>
      </c>
      <c r="F4398" s="718" t="s">
        <v>695</v>
      </c>
      <c r="G4398" s="719"/>
      <c r="H4398" s="719"/>
      <c r="I4398" s="729"/>
      <c r="J4398" s="714">
        <f>VLOOKUP(C4381,'Luong VP'!$B$10:$AP$352,35,0)</f>
        <v>0</v>
      </c>
      <c r="K4398" s="732"/>
      <c r="L4398" s="715"/>
    </row>
    <row r="4399" spans="1:12" ht="9.1999999999999993" customHeight="1">
      <c r="A4399" s="712"/>
      <c r="B4399" s="707" t="s">
        <v>656</v>
      </c>
      <c r="C4399" s="714">
        <f>SUM(C4385:C4398)-C4393</f>
        <v>5420</v>
      </c>
      <c r="D4399" s="717"/>
      <c r="E4399" s="710">
        <v>6</v>
      </c>
      <c r="F4399" s="716" t="s">
        <v>693</v>
      </c>
      <c r="G4399" s="719"/>
      <c r="H4399" s="719"/>
      <c r="I4399" s="729"/>
      <c r="J4399" s="714">
        <f>VLOOKUP(C4381,'Luong VP'!$B$10:$AP$352,40,0)</f>
        <v>0</v>
      </c>
      <c r="K4399" s="731"/>
      <c r="L4399" s="715"/>
    </row>
    <row r="4400" spans="1:12" ht="9.1999999999999993" customHeight="1">
      <c r="B4400" s="720"/>
      <c r="C4400" s="717"/>
      <c r="D4400" s="717"/>
      <c r="E4400" s="710"/>
      <c r="F4400" s="716" t="s">
        <v>241</v>
      </c>
      <c r="G4400" s="719"/>
      <c r="H4400" s="719"/>
      <c r="I4400" s="729"/>
      <c r="J4400" s="730">
        <f>SUM(J4386:J4399)+C4393</f>
        <v>11323.768846153846</v>
      </c>
      <c r="K4400" s="732"/>
      <c r="L4400" s="715"/>
    </row>
    <row r="4401" spans="1:12" ht="9.1999999999999993" customHeight="1">
      <c r="B4401" s="720"/>
      <c r="C4401" s="717"/>
      <c r="D4401" s="717"/>
      <c r="E4401" s="710" t="s">
        <v>696</v>
      </c>
      <c r="F4401" s="711" t="s">
        <v>697</v>
      </c>
      <c r="G4401" s="710"/>
      <c r="H4401" s="710"/>
      <c r="I4401" s="729"/>
      <c r="J4401" s="730">
        <f>SUM(J4402:J4404)</f>
        <v>4504</v>
      </c>
      <c r="K4401" s="734"/>
      <c r="L4401" s="735"/>
    </row>
    <row r="4402" spans="1:12" ht="9.1999999999999993" customHeight="1">
      <c r="B4402" s="720"/>
      <c r="C4402" s="717"/>
      <c r="D4402" s="717"/>
      <c r="E4402" s="710">
        <v>1</v>
      </c>
      <c r="F4402" s="718" t="s">
        <v>698</v>
      </c>
      <c r="G4402" s="718"/>
      <c r="H4402" s="718"/>
      <c r="I4402" s="733"/>
      <c r="J4402" s="714">
        <f>VLOOKUP(C4381,'Luong VP'!$B$10:$AP$352,37,0)</f>
        <v>504</v>
      </c>
    </row>
    <row r="4403" spans="1:12" ht="9.1999999999999993" customHeight="1">
      <c r="B4403" s="720"/>
      <c r="C4403" s="717"/>
      <c r="D4403" s="717"/>
      <c r="E4403" s="710">
        <v>2</v>
      </c>
      <c r="F4403" s="718" t="s">
        <v>244</v>
      </c>
      <c r="G4403" s="718"/>
      <c r="H4403" s="718"/>
      <c r="I4403" s="729"/>
      <c r="J4403" s="714">
        <f>VLOOKUP(C4381,'Luong VP'!$B$10:$AP$352,39,0)</f>
        <v>4000</v>
      </c>
    </row>
    <row r="4404" spans="1:12" ht="9.1999999999999993" customHeight="1">
      <c r="B4404" s="720"/>
      <c r="C4404" s="717"/>
      <c r="D4404" s="717"/>
      <c r="E4404" s="710"/>
      <c r="F4404" s="718" t="s">
        <v>699</v>
      </c>
      <c r="G4404" s="718"/>
      <c r="H4404" s="718"/>
      <c r="I4404" s="729"/>
      <c r="J4404" s="714"/>
      <c r="K4404" s="714"/>
      <c r="L4404" s="736"/>
    </row>
    <row r="4405" spans="1:12" ht="9.1999999999999993" customHeight="1">
      <c r="B4405" s="720"/>
      <c r="C4405" s="717"/>
      <c r="D4405" s="717"/>
      <c r="E4405" s="710" t="s">
        <v>700</v>
      </c>
      <c r="F4405" s="710" t="s">
        <v>246</v>
      </c>
      <c r="G4405" s="710"/>
      <c r="H4405" s="710"/>
      <c r="I4405" s="729"/>
      <c r="J4405" s="728">
        <f>J4400-J4401</f>
        <v>6819.7688461538455</v>
      </c>
      <c r="K4405" s="728">
        <f>ROUND(J4405,-1)</f>
        <v>6820</v>
      </c>
      <c r="L4405" s="710"/>
    </row>
    <row r="4406" spans="1:12" ht="9.1999999999999993" customHeight="1">
      <c r="B4406" s="720"/>
      <c r="C4406" s="717"/>
      <c r="D4406" s="717"/>
      <c r="E4406" s="715"/>
      <c r="F4406" s="715"/>
      <c r="G4406" s="715"/>
      <c r="H4406" s="715"/>
      <c r="I4406" s="715" t="s">
        <v>701</v>
      </c>
      <c r="J4406" s="737"/>
      <c r="K4406" s="737"/>
      <c r="L4406" s="715"/>
    </row>
    <row r="4407" spans="1:12" ht="9.1999999999999993" customHeight="1">
      <c r="B4407" s="720"/>
      <c r="C4407" s="717"/>
      <c r="D4407" s="717"/>
      <c r="E4407" s="715"/>
      <c r="F4407" s="715"/>
      <c r="G4407" s="715"/>
      <c r="H4407" s="715"/>
      <c r="I4407" s="715"/>
      <c r="J4407" s="737"/>
      <c r="K4407" s="737"/>
      <c r="L4407" s="715"/>
    </row>
    <row r="4408" spans="1:12" ht="9.1999999999999993" customHeight="1">
      <c r="B4408" s="720"/>
      <c r="C4408" s="717"/>
      <c r="D4408" s="717"/>
      <c r="E4408" s="715"/>
      <c r="F4408" s="715"/>
      <c r="G4408" s="715"/>
      <c r="H4408" s="715"/>
      <c r="I4408" s="715"/>
      <c r="J4408" s="737"/>
      <c r="K4408" s="737"/>
      <c r="L4408" s="715"/>
    </row>
    <row r="4409" spans="1:12" ht="9.1999999999999993" customHeight="1">
      <c r="B4409" s="720"/>
      <c r="C4409" s="717"/>
      <c r="D4409" s="717"/>
      <c r="E4409" s="715"/>
      <c r="F4409" s="715"/>
      <c r="G4409" s="715"/>
      <c r="H4409" s="715"/>
      <c r="I4409" s="715"/>
      <c r="J4409" s="737"/>
      <c r="K4409" s="737"/>
      <c r="L4409" s="715"/>
    </row>
    <row r="4410" spans="1:12" ht="9.1999999999999993" customHeight="1">
      <c r="B4410" s="720"/>
      <c r="C4410" s="717"/>
      <c r="D4410" s="717"/>
      <c r="E4410" s="715"/>
      <c r="F4410" s="715"/>
      <c r="G4410" s="715"/>
      <c r="H4410" s="715"/>
      <c r="I4410" s="715"/>
      <c r="J4410" s="737"/>
      <c r="K4410" s="737"/>
      <c r="L4410" s="715"/>
    </row>
    <row r="4411" spans="1:12" ht="9.1999999999999993" customHeight="1">
      <c r="B4411" s="720"/>
      <c r="C4411" s="717"/>
      <c r="D4411" s="717"/>
      <c r="E4411" s="715"/>
      <c r="F4411" s="715"/>
      <c r="G4411" s="715"/>
      <c r="H4411" s="715"/>
      <c r="I4411" s="715"/>
      <c r="J4411" s="737"/>
      <c r="K4411" s="737"/>
      <c r="L4411" s="715"/>
    </row>
    <row r="4412" spans="1:12" ht="9.1999999999999993" customHeight="1">
      <c r="C4412" s="696"/>
      <c r="D4412" s="696"/>
      <c r="E4412" s="697" t="str">
        <f>$E$2</f>
        <v>THẺ LƯƠNG THÁNG 08/2019</v>
      </c>
      <c r="F4412" s="698"/>
      <c r="G4412" s="698"/>
      <c r="H4412" s="698"/>
    </row>
    <row r="4413" spans="1:12" ht="9.1999999999999993" customHeight="1">
      <c r="B4413" s="699" t="s">
        <v>644</v>
      </c>
      <c r="C4413" s="700" t="s">
        <v>575</v>
      </c>
      <c r="D4413" s="701"/>
      <c r="F4413" s="702" t="s">
        <v>645</v>
      </c>
      <c r="G4413" s="689" t="str">
        <f>VLOOKUP(C4413,'Luong VP'!$B$10:$AP$352,2,0)</f>
        <v>Nguyễn Thanh Thảo</v>
      </c>
    </row>
    <row r="4414" spans="1:12" ht="9.1999999999999993" customHeight="1">
      <c r="B4414" s="699" t="s">
        <v>646</v>
      </c>
      <c r="C4414" s="689" t="str">
        <f>VLOOKUP(C4413,'Luong VP'!$B$10:$AP$352,3,0)</f>
        <v>Tài xế</v>
      </c>
      <c r="F4414" s="702" t="s">
        <v>647</v>
      </c>
      <c r="G4414" s="689">
        <f>VLOOKUP(C4413,'Luong VP'!$B$10:$AP$352,5,0)</f>
        <v>1</v>
      </c>
    </row>
    <row r="4415" spans="1:12" ht="9.1999999999999993" customHeight="1">
      <c r="B4415" s="703"/>
      <c r="C4415" s="704"/>
      <c r="D4415" s="705"/>
      <c r="F4415" s="706" t="s">
        <v>648</v>
      </c>
      <c r="G4415" s="706"/>
      <c r="H4415" s="706"/>
      <c r="I4415" s="725"/>
      <c r="J4415" s="726"/>
    </row>
    <row r="4416" spans="1:12" ht="9.1999999999999993" customHeight="1">
      <c r="A4416" s="707" t="s">
        <v>216</v>
      </c>
      <c r="B4416" s="707" t="s">
        <v>649</v>
      </c>
      <c r="C4416" s="708" t="s">
        <v>650</v>
      </c>
      <c r="D4416" s="709"/>
      <c r="E4416" s="710" t="s">
        <v>216</v>
      </c>
      <c r="F4416" s="711" t="s">
        <v>649</v>
      </c>
      <c r="G4416" s="710"/>
      <c r="H4416" s="710" t="s">
        <v>651</v>
      </c>
      <c r="I4416" s="727" t="s">
        <v>652</v>
      </c>
      <c r="J4416" s="714"/>
      <c r="L4416" s="694" t="s">
        <v>653</v>
      </c>
    </row>
    <row r="4417" spans="1:12" ht="9.1999999999999993" customHeight="1">
      <c r="A4417" s="712">
        <v>1</v>
      </c>
      <c r="B4417" s="713" t="s">
        <v>654</v>
      </c>
      <c r="C4417" s="714">
        <f>VLOOKUP(C4413,'Luong VP'!$B$10:$AP$352,9,0)</f>
        <v>5220</v>
      </c>
      <c r="D4417" s="715"/>
      <c r="E4417" s="710" t="s">
        <v>655</v>
      </c>
      <c r="F4417" s="716" t="s">
        <v>656</v>
      </c>
      <c r="G4417" s="710"/>
      <c r="H4417" s="710"/>
      <c r="I4417" s="727"/>
      <c r="J4417" s="714">
        <f>VLOOKUP(C4413,'Luong VP'!$B$10:$AP$352,21,0)</f>
        <v>5420</v>
      </c>
    </row>
    <row r="4418" spans="1:12" ht="9.1999999999999993" customHeight="1">
      <c r="A4418" s="712">
        <v>2</v>
      </c>
      <c r="B4418" s="713" t="s">
        <v>658</v>
      </c>
      <c r="C4418" s="714"/>
      <c r="D4418" s="717"/>
      <c r="E4418" s="710">
        <v>1</v>
      </c>
      <c r="F4418" s="718" t="s">
        <v>659</v>
      </c>
      <c r="G4418" s="718"/>
      <c r="H4418" s="710" t="s">
        <v>660</v>
      </c>
      <c r="I4418" s="727">
        <f>VLOOKUP(C4413,'Luong VP'!$B$10:$AP$352,22,0)</f>
        <v>26</v>
      </c>
      <c r="J4418" s="728">
        <f>J4417/'Cham cong'!$AS$3*I4418</f>
        <v>5420</v>
      </c>
    </row>
    <row r="4419" spans="1:12" ht="9.1999999999999993" customHeight="1">
      <c r="A4419" s="712">
        <v>3</v>
      </c>
      <c r="B4419" s="713" t="s">
        <v>661</v>
      </c>
      <c r="C4419" s="714">
        <f>VLOOKUP(C4413,'Luong VP'!$B$10:$AP$352,10,0)</f>
        <v>0</v>
      </c>
      <c r="D4419" s="717"/>
      <c r="E4419" s="710">
        <v>2</v>
      </c>
      <c r="F4419" s="718" t="s">
        <v>662</v>
      </c>
      <c r="G4419" s="718"/>
      <c r="H4419" s="710" t="s">
        <v>660</v>
      </c>
      <c r="I4419" s="727">
        <f>VLOOKUP(C4413,'Luong VP'!$B$10:$AP$352,27,0)</f>
        <v>0</v>
      </c>
      <c r="J4419" s="728">
        <f>J4417/'Cham cong'!$AS$3*I4419*3</f>
        <v>0</v>
      </c>
    </row>
    <row r="4420" spans="1:12" ht="9.1999999999999993" customHeight="1">
      <c r="A4420" s="712">
        <v>4</v>
      </c>
      <c r="B4420" s="713" t="s">
        <v>666</v>
      </c>
      <c r="C4420" s="714">
        <f>VLOOKUP(C4413,'Luong VP'!$B$10:$AP$352,11,0)</f>
        <v>200</v>
      </c>
      <c r="D4420" s="717"/>
      <c r="E4420" s="710">
        <v>3</v>
      </c>
      <c r="F4420" s="718" t="s">
        <v>667</v>
      </c>
      <c r="G4420" s="718"/>
      <c r="H4420" s="710" t="s">
        <v>668</v>
      </c>
      <c r="I4420" s="727">
        <f>VLOOKUP(C4413,'Luong VP'!$B$10:$AP$352,26,0)</f>
        <v>0</v>
      </c>
      <c r="J4420" s="728">
        <f>J4417/'Cham cong'!$AS$3*I4420/8*1.5</f>
        <v>0</v>
      </c>
    </row>
    <row r="4421" spans="1:12" ht="9.1999999999999993" customHeight="1">
      <c r="A4421" s="712">
        <v>5</v>
      </c>
      <c r="B4421" s="713" t="s">
        <v>670</v>
      </c>
      <c r="C4421" s="714">
        <f>VLOOKUP(C4413,'Luong VP'!$B$10:$AP$352,12,0)</f>
        <v>0</v>
      </c>
      <c r="D4421" s="717"/>
      <c r="E4421" s="710">
        <v>4</v>
      </c>
      <c r="F4421" s="718" t="s">
        <v>671</v>
      </c>
      <c r="G4421" s="718"/>
      <c r="H4421" s="710" t="s">
        <v>668</v>
      </c>
      <c r="I4421" s="727">
        <f>VLOOKUP(C4413,'Luong VP'!$B$10:$AP$352,25,0)</f>
        <v>0</v>
      </c>
      <c r="J4421" s="728">
        <f>J4417/'Cham cong'!$AS$3*I4421/8*2</f>
        <v>0</v>
      </c>
    </row>
    <row r="4422" spans="1:12" ht="9.1999999999999993" customHeight="1">
      <c r="A4422" s="712">
        <v>6</v>
      </c>
      <c r="B4422" s="713" t="s">
        <v>673</v>
      </c>
      <c r="C4422" s="714">
        <f>VLOOKUP(C4413,'Luong VP'!$B$10:$AP$352,13,0)</f>
        <v>0</v>
      </c>
      <c r="D4422" s="717"/>
      <c r="E4422" s="710">
        <v>5</v>
      </c>
      <c r="F4422" s="718" t="s">
        <v>674</v>
      </c>
      <c r="G4422" s="718"/>
      <c r="H4422" s="710" t="s">
        <v>660</v>
      </c>
      <c r="I4422" s="727">
        <f>VLOOKUP(C4413,'Luong VP'!$B$10:$AP$352,23,0)</f>
        <v>0</v>
      </c>
      <c r="J4422" s="728">
        <f>C4417/'Cham cong'!$AS$3*I4422</f>
        <v>0</v>
      </c>
      <c r="L4422" s="694" t="str">
        <f>G4413</f>
        <v>Nguyễn Thanh Thảo</v>
      </c>
    </row>
    <row r="4423" spans="1:12" ht="9.1999999999999993" customHeight="1">
      <c r="A4423" s="712">
        <v>7</v>
      </c>
      <c r="B4423" s="713" t="s">
        <v>676</v>
      </c>
      <c r="C4423" s="714"/>
      <c r="D4423" s="717"/>
      <c r="E4423" s="710">
        <v>6</v>
      </c>
      <c r="F4423" s="718" t="s">
        <v>677</v>
      </c>
      <c r="G4423" s="718"/>
      <c r="H4423" s="710" t="s">
        <v>660</v>
      </c>
      <c r="I4423" s="727">
        <f>VLOOKUP(C4413,'Luong VP'!$B$10:$AP$352,24,0)</f>
        <v>1</v>
      </c>
      <c r="J4423" s="714">
        <f>C4417/'Cham cong'!$AS$3*I4423</f>
        <v>200.76923076923077</v>
      </c>
    </row>
    <row r="4424" spans="1:12" ht="9.1999999999999993" customHeight="1">
      <c r="A4424" s="712">
        <v>8</v>
      </c>
      <c r="B4424" s="713" t="s">
        <v>679</v>
      </c>
      <c r="C4424" s="714">
        <f>VLOOKUP(C4413,'Luong VP'!$B$10:$AP$352,14,0)</f>
        <v>0</v>
      </c>
      <c r="D4424" s="717"/>
      <c r="E4424" s="710">
        <v>7</v>
      </c>
      <c r="F4424" s="718" t="s">
        <v>680</v>
      </c>
      <c r="G4424" s="718"/>
      <c r="H4424" s="718"/>
      <c r="I4424" s="729"/>
      <c r="J4424" s="714">
        <f>VLOOKUP(C4413,'Luong VP'!$B$10:$AP$352,28,0)</f>
        <v>360</v>
      </c>
    </row>
    <row r="4425" spans="1:12" ht="9.1999999999999993" customHeight="1">
      <c r="A4425" s="712">
        <v>9</v>
      </c>
      <c r="B4425" s="713" t="s">
        <v>683</v>
      </c>
      <c r="C4425" s="714">
        <f>VLOOKUP(C4413,'Luong VP'!$B$10:$AP$352,15,0)</f>
        <v>0</v>
      </c>
      <c r="D4425" s="717"/>
      <c r="E4425" s="710" t="s">
        <v>686</v>
      </c>
      <c r="F4425" s="716" t="s">
        <v>687</v>
      </c>
      <c r="G4425" s="719"/>
      <c r="H4425" s="719"/>
      <c r="I4425" s="729"/>
      <c r="J4425" s="730"/>
    </row>
    <row r="4426" spans="1:12" ht="9.1999999999999993" customHeight="1">
      <c r="A4426" s="712">
        <v>10</v>
      </c>
      <c r="B4426" s="713" t="s">
        <v>685</v>
      </c>
      <c r="C4426" s="714">
        <f>VLOOKUP(C4413,'Luong VP'!$B$10:$AP$352,16,0)</f>
        <v>0</v>
      </c>
      <c r="D4426" s="717"/>
      <c r="E4426" s="710">
        <v>1</v>
      </c>
      <c r="F4426" s="716" t="s">
        <v>689</v>
      </c>
      <c r="G4426" s="719"/>
      <c r="H4426" s="719"/>
      <c r="I4426" s="714">
        <f>VLOOKUP(C4413,'Luong VP'!$B$10:$AP$209,29,0)</f>
        <v>59</v>
      </c>
      <c r="J4426" s="714">
        <f>VLOOKUP(C4413,'Luong VP'!$B$10:$AP$352,30,0)</f>
        <v>5144.1576923076918</v>
      </c>
    </row>
    <row r="4427" spans="1:12" ht="9.1999999999999993" customHeight="1">
      <c r="A4427" s="712">
        <v>11</v>
      </c>
      <c r="B4427" s="713" t="s">
        <v>688</v>
      </c>
      <c r="C4427" s="714">
        <f>VLOOKUP(C4413,'Luong VP'!$B$10:$AP$352,17,0)</f>
        <v>0</v>
      </c>
      <c r="D4427" s="717"/>
      <c r="E4427" s="710">
        <v>2</v>
      </c>
      <c r="F4427" s="716" t="s">
        <v>702</v>
      </c>
      <c r="G4427" s="719"/>
      <c r="H4427" s="719"/>
      <c r="I4427" s="729"/>
      <c r="J4427" s="714">
        <v>0</v>
      </c>
      <c r="K4427" s="731"/>
      <c r="L4427" s="715"/>
    </row>
    <row r="4428" spans="1:12" ht="9.1999999999999993" customHeight="1">
      <c r="A4428" s="712">
        <v>12</v>
      </c>
      <c r="B4428" s="713" t="s">
        <v>691</v>
      </c>
      <c r="C4428" s="714">
        <f>VLOOKUP(C4413,'Luong VP'!$B$10:$AP$352,18,0)</f>
        <v>0</v>
      </c>
      <c r="D4428" s="717"/>
      <c r="E4428" s="710">
        <v>3</v>
      </c>
      <c r="F4428" s="718" t="s">
        <v>238</v>
      </c>
      <c r="G4428" s="718"/>
      <c r="H4428" s="718"/>
      <c r="I4428" s="729"/>
      <c r="J4428" s="714">
        <f>VLOOKUP(C4413,'Luong VP'!$B$10:$AP$352,33,0)</f>
        <v>0</v>
      </c>
      <c r="K4428" s="731"/>
      <c r="L4428" s="715"/>
    </row>
    <row r="4429" spans="1:12" ht="9.1999999999999993" customHeight="1">
      <c r="A4429" s="712">
        <v>13</v>
      </c>
      <c r="B4429" s="713" t="s">
        <v>692</v>
      </c>
      <c r="C4429" s="714">
        <f>VLOOKUP(C4413,'Luong VP'!$B$10:$AP$352,19,0)</f>
        <v>0</v>
      </c>
      <c r="D4429" s="717"/>
      <c r="E4429" s="710">
        <v>4</v>
      </c>
      <c r="F4429" s="718" t="s">
        <v>239</v>
      </c>
      <c r="G4429" s="718"/>
      <c r="H4429" s="718"/>
      <c r="I4429" s="727"/>
      <c r="J4429" s="728">
        <f>VLOOKUP(C4413,'Luong VP'!$B$10:$AP$352,34,0)</f>
        <v>0</v>
      </c>
      <c r="K4429" s="732"/>
      <c r="L4429" s="715"/>
    </row>
    <row r="4430" spans="1:12" ht="9.1999999999999993" customHeight="1">
      <c r="A4430" s="712">
        <v>14</v>
      </c>
      <c r="B4430" s="713" t="s">
        <v>694</v>
      </c>
      <c r="C4430" s="714">
        <f>VLOOKUP(C4413,'Luong VP'!$B$10:$AP$352,20,0)</f>
        <v>0</v>
      </c>
      <c r="D4430" s="717"/>
      <c r="E4430" s="710">
        <v>5</v>
      </c>
      <c r="F4430" s="718" t="s">
        <v>695</v>
      </c>
      <c r="G4430" s="719"/>
      <c r="H4430" s="719"/>
      <c r="I4430" s="729"/>
      <c r="J4430" s="714">
        <f>VLOOKUP(C4413,'Luong VP'!$B$10:$AP$352,35,0)</f>
        <v>0</v>
      </c>
      <c r="K4430" s="732"/>
      <c r="L4430" s="715"/>
    </row>
    <row r="4431" spans="1:12" ht="9.1999999999999993" customHeight="1">
      <c r="A4431" s="712"/>
      <c r="B4431" s="707" t="s">
        <v>656</v>
      </c>
      <c r="C4431" s="714">
        <f>SUM(C4417:C4430)-C4425</f>
        <v>5420</v>
      </c>
      <c r="D4431" s="717"/>
      <c r="E4431" s="710">
        <v>6</v>
      </c>
      <c r="F4431" s="716" t="s">
        <v>693</v>
      </c>
      <c r="G4431" s="719"/>
      <c r="H4431" s="719"/>
      <c r="I4431" s="729"/>
      <c r="J4431" s="714">
        <f>VLOOKUP(C4413,'Luong VP'!$B$10:$AP$352,40,0)</f>
        <v>0</v>
      </c>
      <c r="K4431" s="731"/>
      <c r="L4431" s="715"/>
    </row>
    <row r="4432" spans="1:12" ht="9.1999999999999993" customHeight="1">
      <c r="B4432" s="720"/>
      <c r="C4432" s="717"/>
      <c r="D4432" s="717"/>
      <c r="E4432" s="710"/>
      <c r="F4432" s="716" t="s">
        <v>241</v>
      </c>
      <c r="G4432" s="719"/>
      <c r="H4432" s="719"/>
      <c r="I4432" s="729"/>
      <c r="J4432" s="730">
        <f>SUM(J4418:J4431)+C4425</f>
        <v>11124.926923076922</v>
      </c>
      <c r="K4432" s="732"/>
      <c r="L4432" s="715"/>
    </row>
    <row r="4433" spans="1:12" ht="9.1999999999999993" customHeight="1">
      <c r="B4433" s="720"/>
      <c r="C4433" s="717"/>
      <c r="D4433" s="717"/>
      <c r="E4433" s="710" t="s">
        <v>696</v>
      </c>
      <c r="F4433" s="711" t="s">
        <v>697</v>
      </c>
      <c r="G4433" s="710"/>
      <c r="H4433" s="710"/>
      <c r="I4433" s="729"/>
      <c r="J4433" s="730">
        <f>SUM(J4434:J4436)</f>
        <v>4000</v>
      </c>
      <c r="K4433" s="734"/>
      <c r="L4433" s="735"/>
    </row>
    <row r="4434" spans="1:12" ht="9.1999999999999993" customHeight="1">
      <c r="B4434" s="720"/>
      <c r="C4434" s="717"/>
      <c r="D4434" s="717"/>
      <c r="E4434" s="710">
        <v>1</v>
      </c>
      <c r="F4434" s="718" t="s">
        <v>698</v>
      </c>
      <c r="G4434" s="718"/>
      <c r="H4434" s="718"/>
      <c r="I4434" s="733"/>
      <c r="J4434" s="714">
        <f>VLOOKUP(C4413,'Luong VP'!$B$10:$AP$352,37,0)</f>
        <v>0</v>
      </c>
    </row>
    <row r="4435" spans="1:12" ht="9.1999999999999993" customHeight="1">
      <c r="B4435" s="720"/>
      <c r="C4435" s="717"/>
      <c r="D4435" s="717"/>
      <c r="E4435" s="710">
        <v>2</v>
      </c>
      <c r="F4435" s="718" t="s">
        <v>244</v>
      </c>
      <c r="G4435" s="718"/>
      <c r="H4435" s="718"/>
      <c r="I4435" s="729"/>
      <c r="J4435" s="714">
        <f>VLOOKUP(C4413,'Luong VP'!$B$10:$AP$352,39,0)</f>
        <v>4000</v>
      </c>
    </row>
    <row r="4436" spans="1:12" ht="9.1999999999999993" customHeight="1">
      <c r="B4436" s="720"/>
      <c r="C4436" s="717"/>
      <c r="D4436" s="717"/>
      <c r="E4436" s="710"/>
      <c r="F4436" s="718" t="s">
        <v>699</v>
      </c>
      <c r="G4436" s="718"/>
      <c r="H4436" s="718"/>
      <c r="I4436" s="729"/>
      <c r="J4436" s="714"/>
      <c r="K4436" s="714"/>
      <c r="L4436" s="736"/>
    </row>
    <row r="4437" spans="1:12" ht="9.1999999999999993" customHeight="1">
      <c r="B4437" s="720"/>
      <c r="C4437" s="717"/>
      <c r="D4437" s="717"/>
      <c r="E4437" s="710" t="s">
        <v>700</v>
      </c>
      <c r="F4437" s="710" t="s">
        <v>246</v>
      </c>
      <c r="G4437" s="710"/>
      <c r="H4437" s="710"/>
      <c r="I4437" s="729"/>
      <c r="J4437" s="728">
        <f>J4432-J4433</f>
        <v>7124.9269230769223</v>
      </c>
      <c r="K4437" s="728">
        <f>ROUND(J4437,-1)</f>
        <v>7120</v>
      </c>
      <c r="L4437" s="710"/>
    </row>
    <row r="4438" spans="1:12" ht="9.1999999999999993" customHeight="1">
      <c r="B4438" s="720"/>
      <c r="C4438" s="717"/>
      <c r="D4438" s="717"/>
      <c r="E4438" s="715"/>
      <c r="F4438" s="715"/>
      <c r="G4438" s="715"/>
      <c r="H4438" s="715"/>
      <c r="I4438" s="715" t="s">
        <v>701</v>
      </c>
      <c r="J4438" s="737"/>
      <c r="K4438" s="737"/>
      <c r="L4438" s="715"/>
    </row>
    <row r="4439" spans="1:12" ht="9.1999999999999993" customHeight="1">
      <c r="B4439" s="720"/>
      <c r="C4439" s="717"/>
      <c r="D4439" s="717"/>
      <c r="E4439" s="715"/>
      <c r="F4439" s="715"/>
      <c r="G4439" s="715"/>
      <c r="H4439" s="715"/>
      <c r="I4439" s="715"/>
      <c r="J4439" s="737"/>
      <c r="K4439" s="737"/>
      <c r="L4439" s="715"/>
    </row>
    <row r="4442" spans="1:12" ht="9.1999999999999993" customHeight="1">
      <c r="C4442" s="696"/>
      <c r="D4442" s="696"/>
      <c r="E4442" s="697" t="str">
        <f>$E$2</f>
        <v>THẺ LƯƠNG THÁNG 08/2019</v>
      </c>
      <c r="F4442" s="698"/>
      <c r="G4442" s="698"/>
      <c r="H4442" s="698"/>
    </row>
    <row r="4443" spans="1:12" ht="9.1999999999999993" customHeight="1">
      <c r="B4443" s="699" t="s">
        <v>644</v>
      </c>
      <c r="C4443" s="700" t="s">
        <v>578</v>
      </c>
      <c r="D4443" s="701"/>
      <c r="F4443" s="702" t="s">
        <v>645</v>
      </c>
      <c r="G4443" s="689" t="str">
        <f>VLOOKUP(C4443,'Luong VP'!$B$10:$AP$189,2,0)</f>
        <v xml:space="preserve"> Lê Tấn Dũng </v>
      </c>
    </row>
    <row r="4444" spans="1:12" ht="9.1999999999999993" customHeight="1">
      <c r="B4444" s="699" t="s">
        <v>646</v>
      </c>
      <c r="C4444" s="689" t="str">
        <f>VLOOKUP(C4443,'Luong VP'!$B$10:$AP$189,3,0)</f>
        <v>NV Giao nhận/ Phụ xe</v>
      </c>
      <c r="F4444" s="702" t="s">
        <v>647</v>
      </c>
      <c r="G4444" s="689">
        <f>VLOOKUP(C4443,'Luong VP'!$B$10:$AP$189,5,0)</f>
        <v>1</v>
      </c>
    </row>
    <row r="4445" spans="1:12" ht="9.1999999999999993" customHeight="1">
      <c r="B4445" s="703"/>
      <c r="C4445" s="704"/>
      <c r="D4445" s="705"/>
      <c r="F4445" s="706" t="s">
        <v>648</v>
      </c>
      <c r="G4445" s="706"/>
      <c r="H4445" s="706"/>
      <c r="I4445" s="725"/>
      <c r="J4445" s="726"/>
    </row>
    <row r="4446" spans="1:12" ht="9.1999999999999993" customHeight="1">
      <c r="A4446" s="707" t="s">
        <v>216</v>
      </c>
      <c r="B4446" s="707" t="s">
        <v>649</v>
      </c>
      <c r="C4446" s="708" t="s">
        <v>650</v>
      </c>
      <c r="D4446" s="709"/>
      <c r="E4446" s="710" t="s">
        <v>216</v>
      </c>
      <c r="F4446" s="711" t="s">
        <v>649</v>
      </c>
      <c r="G4446" s="710"/>
      <c r="H4446" s="710" t="s">
        <v>651</v>
      </c>
      <c r="I4446" s="727" t="s">
        <v>652</v>
      </c>
      <c r="J4446" s="714"/>
      <c r="L4446" s="694" t="s">
        <v>653</v>
      </c>
    </row>
    <row r="4447" spans="1:12" ht="9.1999999999999993" customHeight="1">
      <c r="A4447" s="712">
        <v>1</v>
      </c>
      <c r="B4447" s="713" t="s">
        <v>654</v>
      </c>
      <c r="C4447" s="714">
        <f>VLOOKUP(C4443,'Luong VP'!$B$10:$AP$189,9,0)</f>
        <v>4500</v>
      </c>
      <c r="D4447" s="715"/>
      <c r="E4447" s="710" t="s">
        <v>655</v>
      </c>
      <c r="F4447" s="716" t="s">
        <v>656</v>
      </c>
      <c r="G4447" s="710"/>
      <c r="H4447" s="710"/>
      <c r="I4447" s="727"/>
      <c r="J4447" s="714">
        <f>VLOOKUP(C4443,'Luong VP'!$B$10:$AP$189,21,0)</f>
        <v>4680</v>
      </c>
    </row>
    <row r="4448" spans="1:12" ht="9.1999999999999993" customHeight="1">
      <c r="A4448" s="712">
        <v>2</v>
      </c>
      <c r="B4448" s="713" t="s">
        <v>658</v>
      </c>
      <c r="C4448" s="714"/>
      <c r="D4448" s="717"/>
      <c r="E4448" s="710">
        <v>1</v>
      </c>
      <c r="F4448" s="718" t="s">
        <v>659</v>
      </c>
      <c r="G4448" s="718"/>
      <c r="H4448" s="710" t="s">
        <v>660</v>
      </c>
      <c r="I4448" s="727">
        <f>VLOOKUP(C4443,'Luong VP'!$B$10:$AP$189,22,0)</f>
        <v>26</v>
      </c>
      <c r="J4448" s="728">
        <f>J4447/'Cham cong'!$AS$3*I4448</f>
        <v>4680</v>
      </c>
    </row>
    <row r="4449" spans="1:12" ht="9.1999999999999993" customHeight="1">
      <c r="A4449" s="712">
        <v>3</v>
      </c>
      <c r="B4449" s="713" t="s">
        <v>661</v>
      </c>
      <c r="C4449" s="714">
        <f>VLOOKUP(C4443,'Luong VP'!$B$10:$AP$189,10,0)</f>
        <v>0</v>
      </c>
      <c r="D4449" s="717"/>
      <c r="E4449" s="710">
        <v>2</v>
      </c>
      <c r="F4449" s="718" t="s">
        <v>662</v>
      </c>
      <c r="G4449" s="718"/>
      <c r="H4449" s="710" t="s">
        <v>660</v>
      </c>
      <c r="I4449" s="727">
        <f>VLOOKUP(C4443,'Luong VP'!$B$10:$AP$189,27,0)</f>
        <v>0</v>
      </c>
      <c r="J4449" s="728">
        <f>J4447/'Cham cong'!$AS$3*I4449*3</f>
        <v>0</v>
      </c>
    </row>
    <row r="4450" spans="1:12" ht="9.1999999999999993" customHeight="1">
      <c r="A4450" s="712">
        <v>4</v>
      </c>
      <c r="B4450" s="713" t="s">
        <v>666</v>
      </c>
      <c r="C4450" s="714">
        <f>VLOOKUP(C4443,'Luong VP'!$B$10:$AP$189,11,0)</f>
        <v>0</v>
      </c>
      <c r="D4450" s="717"/>
      <c r="E4450" s="710">
        <v>3</v>
      </c>
      <c r="F4450" s="718" t="s">
        <v>667</v>
      </c>
      <c r="G4450" s="718"/>
      <c r="H4450" s="710" t="s">
        <v>668</v>
      </c>
      <c r="I4450" s="727">
        <f>VLOOKUP(C4443,'Luong VP'!$B$10:$AP$189,26,0)</f>
        <v>0</v>
      </c>
      <c r="J4450" s="728">
        <f>J4447/'Cham cong'!$AS$3*I4450/8*1.5</f>
        <v>0</v>
      </c>
    </row>
    <row r="4451" spans="1:12" ht="9.1999999999999993" customHeight="1">
      <c r="A4451" s="712">
        <v>5</v>
      </c>
      <c r="B4451" s="713" t="s">
        <v>670</v>
      </c>
      <c r="C4451" s="714">
        <f>VLOOKUP(C4443,'Luong VP'!$B$10:$AP$189,12,0)</f>
        <v>180</v>
      </c>
      <c r="D4451" s="717"/>
      <c r="E4451" s="710">
        <v>4</v>
      </c>
      <c r="F4451" s="718" t="s">
        <v>671</v>
      </c>
      <c r="G4451" s="718"/>
      <c r="H4451" s="710" t="s">
        <v>668</v>
      </c>
      <c r="I4451" s="727">
        <f>VLOOKUP(C4443,'Luong VP'!$B$10:$AP$189,25,0)</f>
        <v>0</v>
      </c>
      <c r="J4451" s="728">
        <f>J4447/'Cham cong'!$AS$3*I4451/8*2</f>
        <v>0</v>
      </c>
    </row>
    <row r="4452" spans="1:12" ht="9.1999999999999993" customHeight="1">
      <c r="A4452" s="712">
        <v>6</v>
      </c>
      <c r="B4452" s="713" t="s">
        <v>673</v>
      </c>
      <c r="C4452" s="714">
        <f>VLOOKUP(C4443,'Luong VP'!$B$10:$AP$189,13,0)</f>
        <v>0</v>
      </c>
      <c r="D4452" s="717"/>
      <c r="E4452" s="710">
        <v>5</v>
      </c>
      <c r="F4452" s="718" t="s">
        <v>674</v>
      </c>
      <c r="G4452" s="718"/>
      <c r="H4452" s="710" t="s">
        <v>660</v>
      </c>
      <c r="I4452" s="727">
        <f>VLOOKUP(C4443,'Luong VP'!$B$10:$AP$189,23,0)</f>
        <v>0</v>
      </c>
      <c r="J4452" s="728">
        <f>C4447/'Cham cong'!$AS$3*I4452</f>
        <v>0</v>
      </c>
      <c r="L4452" s="694" t="str">
        <f>G4443</f>
        <v xml:space="preserve"> Lê Tấn Dũng </v>
      </c>
    </row>
    <row r="4453" spans="1:12" ht="9.1999999999999993" customHeight="1">
      <c r="A4453" s="712">
        <v>7</v>
      </c>
      <c r="B4453" s="713" t="s">
        <v>676</v>
      </c>
      <c r="C4453" s="714"/>
      <c r="D4453" s="717"/>
      <c r="E4453" s="710">
        <v>6</v>
      </c>
      <c r="F4453" s="718" t="s">
        <v>677</v>
      </c>
      <c r="G4453" s="718"/>
      <c r="H4453" s="710" t="s">
        <v>660</v>
      </c>
      <c r="I4453" s="727">
        <f>VLOOKUP(C4443,'Luong VP'!$B$10:$AP$189,24,0)</f>
        <v>1</v>
      </c>
      <c r="J4453" s="714">
        <f>C4447/'Cham cong'!$AS$3*I4453</f>
        <v>173.07692307692307</v>
      </c>
    </row>
    <row r="4454" spans="1:12" ht="9.1999999999999993" customHeight="1">
      <c r="A4454" s="712">
        <v>8</v>
      </c>
      <c r="B4454" s="713" t="s">
        <v>679</v>
      </c>
      <c r="C4454" s="714">
        <f>VLOOKUP(C4443,'Luong VP'!$B$10:$AP$189,14,0)</f>
        <v>0</v>
      </c>
      <c r="D4454" s="717"/>
      <c r="E4454" s="710">
        <v>7</v>
      </c>
      <c r="F4454" s="718" t="s">
        <v>680</v>
      </c>
      <c r="G4454" s="718"/>
      <c r="H4454" s="718"/>
      <c r="I4454" s="729"/>
      <c r="J4454" s="714">
        <f>VLOOKUP(C4443,'Luong VP'!$B$10:$AP$189,28,0)</f>
        <v>420</v>
      </c>
    </row>
    <row r="4455" spans="1:12" ht="9.1999999999999993" customHeight="1">
      <c r="A4455" s="712">
        <v>9</v>
      </c>
      <c r="B4455" s="713" t="s">
        <v>683</v>
      </c>
      <c r="C4455" s="714">
        <f>VLOOKUP(C4443,'Luong VP'!$B$10:$AP$189,15,0)</f>
        <v>0</v>
      </c>
      <c r="D4455" s="717"/>
      <c r="E4455" s="710" t="s">
        <v>686</v>
      </c>
      <c r="F4455" s="716" t="s">
        <v>687</v>
      </c>
      <c r="G4455" s="719"/>
      <c r="H4455" s="719"/>
      <c r="I4455" s="729"/>
      <c r="J4455" s="730"/>
    </row>
    <row r="4456" spans="1:12" ht="9.1999999999999993" customHeight="1">
      <c r="A4456" s="712">
        <v>10</v>
      </c>
      <c r="B4456" s="713" t="s">
        <v>685</v>
      </c>
      <c r="C4456" s="714">
        <f>VLOOKUP(C4443,'Luong VP'!$B$10:$AP$189,16,0)</f>
        <v>0</v>
      </c>
      <c r="D4456" s="717"/>
      <c r="E4456" s="710">
        <v>1</v>
      </c>
      <c r="F4456" s="716" t="s">
        <v>689</v>
      </c>
      <c r="G4456" s="719"/>
      <c r="H4456" s="719"/>
      <c r="I4456" s="714">
        <f>VLOOKUP(C4443,'Luong VP'!$B$10:$AP$189,29,0)</f>
        <v>134884.08333333328</v>
      </c>
      <c r="J4456" s="714">
        <f>VLOOKUP(C4443,'Luong VP'!$B$10:$AP$189,30,0)</f>
        <v>1618.6089999999995</v>
      </c>
    </row>
    <row r="4457" spans="1:12" ht="9.1999999999999993" customHeight="1">
      <c r="A4457" s="712">
        <v>11</v>
      </c>
      <c r="B4457" s="713" t="s">
        <v>688</v>
      </c>
      <c r="C4457" s="714">
        <f>VLOOKUP(C4443,'Luong VP'!$B$10:$AP$189,17,0)</f>
        <v>0</v>
      </c>
      <c r="D4457" s="717"/>
      <c r="E4457" s="710">
        <v>2</v>
      </c>
      <c r="F4457" s="716" t="s">
        <v>702</v>
      </c>
      <c r="G4457" s="719"/>
      <c r="H4457" s="719"/>
      <c r="I4457" s="729"/>
      <c r="J4457" s="714">
        <f>VLOOKUP(C4443,'Luong VP'!$B$10:$AP$189,32,0)</f>
        <v>0</v>
      </c>
      <c r="K4457" s="731"/>
      <c r="L4457" s="715"/>
    </row>
    <row r="4458" spans="1:12" ht="9.1999999999999993" customHeight="1">
      <c r="A4458" s="712">
        <v>12</v>
      </c>
      <c r="B4458" s="713" t="s">
        <v>691</v>
      </c>
      <c r="C4458" s="714">
        <f>VLOOKUP(C4443,'Luong VP'!$B$10:$AP$189,18,0)</f>
        <v>0</v>
      </c>
      <c r="D4458" s="717"/>
      <c r="E4458" s="710">
        <v>3</v>
      </c>
      <c r="F4458" s="718" t="s">
        <v>238</v>
      </c>
      <c r="G4458" s="718"/>
      <c r="H4458" s="718"/>
      <c r="I4458" s="729"/>
      <c r="J4458" s="714">
        <f>VLOOKUP(C4443,'Luong VP'!$B$10:$AP$189,33,0)</f>
        <v>0</v>
      </c>
      <c r="K4458" s="731"/>
      <c r="L4458" s="715"/>
    </row>
    <row r="4459" spans="1:12" ht="9.1999999999999993" customHeight="1">
      <c r="A4459" s="712">
        <v>13</v>
      </c>
      <c r="B4459" s="713" t="s">
        <v>692</v>
      </c>
      <c r="C4459" s="714">
        <f>VLOOKUP(C4443,'Luong VP'!$B$10:$AP$189,19,0)</f>
        <v>0</v>
      </c>
      <c r="D4459" s="717"/>
      <c r="E4459" s="710">
        <v>4</v>
      </c>
      <c r="F4459" s="718" t="s">
        <v>239</v>
      </c>
      <c r="G4459" s="718"/>
      <c r="H4459" s="718"/>
      <c r="I4459" s="727"/>
      <c r="J4459" s="728">
        <f>VLOOKUP(C4443,'Luong VP'!$B$10:$AP$189,34,0)</f>
        <v>0</v>
      </c>
      <c r="K4459" s="732"/>
      <c r="L4459" s="715"/>
    </row>
    <row r="4460" spans="1:12" ht="9.1999999999999993" customHeight="1">
      <c r="A4460" s="712">
        <v>14</v>
      </c>
      <c r="B4460" s="713" t="s">
        <v>694</v>
      </c>
      <c r="C4460" s="714">
        <f>VLOOKUP(C4443,'Luong VP'!$B$10:$AP$189,20,0)</f>
        <v>0</v>
      </c>
      <c r="D4460" s="717"/>
      <c r="E4460" s="710">
        <v>5</v>
      </c>
      <c r="F4460" s="718" t="s">
        <v>695</v>
      </c>
      <c r="G4460" s="719"/>
      <c r="H4460" s="719"/>
      <c r="I4460" s="729"/>
      <c r="J4460" s="714">
        <f>VLOOKUP(C4443,'Luong VP'!$B$10:$AP$189,35,0)</f>
        <v>0</v>
      </c>
      <c r="K4460" s="732"/>
      <c r="L4460" s="715"/>
    </row>
    <row r="4461" spans="1:12" ht="9.1999999999999993" customHeight="1">
      <c r="A4461" s="712"/>
      <c r="B4461" s="707" t="s">
        <v>656</v>
      </c>
      <c r="C4461" s="714">
        <f>SUM(C4447:C4460)-C4455</f>
        <v>4680</v>
      </c>
      <c r="D4461" s="717"/>
      <c r="E4461" s="710">
        <v>6</v>
      </c>
      <c r="F4461" s="716" t="s">
        <v>693</v>
      </c>
      <c r="G4461" s="719"/>
      <c r="H4461" s="719"/>
      <c r="I4461" s="729"/>
      <c r="J4461" s="714">
        <f>VLOOKUP(C4443,'Luong VP'!$B$10:$AP$189,40,0)</f>
        <v>0</v>
      </c>
      <c r="K4461" s="731"/>
      <c r="L4461" s="715"/>
    </row>
    <row r="4462" spans="1:12" ht="9.1999999999999993" customHeight="1">
      <c r="B4462" s="720"/>
      <c r="C4462" s="717"/>
      <c r="D4462" s="717"/>
      <c r="E4462" s="710"/>
      <c r="F4462" s="716" t="s">
        <v>241</v>
      </c>
      <c r="G4462" s="719"/>
      <c r="H4462" s="719"/>
      <c r="I4462" s="729"/>
      <c r="J4462" s="730">
        <f>SUM(J4448:J4461)+C4455</f>
        <v>6891.6859230769223</v>
      </c>
      <c r="K4462" s="732"/>
      <c r="L4462" s="715"/>
    </row>
    <row r="4463" spans="1:12" ht="9.1999999999999993" customHeight="1">
      <c r="B4463" s="720"/>
      <c r="C4463" s="717"/>
      <c r="D4463" s="717"/>
      <c r="E4463" s="710" t="s">
        <v>696</v>
      </c>
      <c r="F4463" s="711" t="s">
        <v>697</v>
      </c>
      <c r="G4463" s="710"/>
      <c r="H4463" s="710"/>
      <c r="I4463" s="729"/>
      <c r="J4463" s="730">
        <f>SUM(J4464:J4466)</f>
        <v>3480.585</v>
      </c>
      <c r="K4463" s="734"/>
      <c r="L4463" s="735"/>
    </row>
    <row r="4464" spans="1:12" ht="9.1999999999999993" customHeight="1">
      <c r="B4464" s="720"/>
      <c r="C4464" s="717"/>
      <c r="D4464" s="717"/>
      <c r="E4464" s="710">
        <v>1</v>
      </c>
      <c r="F4464" s="718" t="s">
        <v>698</v>
      </c>
      <c r="G4464" s="718"/>
      <c r="H4464" s="718"/>
      <c r="I4464" s="733"/>
      <c r="J4464" s="714">
        <f>VLOOKUP(C4443,'Luong VP'!$B$10:$AP$189,37,0)</f>
        <v>480.58499999999998</v>
      </c>
    </row>
    <row r="4465" spans="1:12" ht="9.1999999999999993" customHeight="1">
      <c r="B4465" s="720"/>
      <c r="C4465" s="717"/>
      <c r="D4465" s="717"/>
      <c r="E4465" s="710">
        <v>2</v>
      </c>
      <c r="F4465" s="718" t="s">
        <v>244</v>
      </c>
      <c r="G4465" s="718"/>
      <c r="H4465" s="718"/>
      <c r="I4465" s="729"/>
      <c r="J4465" s="714">
        <f>VLOOKUP(C4443,'Luong VP'!$B$10:$AP$189,39,0)</f>
        <v>3000</v>
      </c>
    </row>
    <row r="4466" spans="1:12" ht="9.1999999999999993" customHeight="1">
      <c r="B4466" s="720"/>
      <c r="C4466" s="717"/>
      <c r="D4466" s="717"/>
      <c r="E4466" s="710"/>
      <c r="F4466" s="718" t="s">
        <v>699</v>
      </c>
      <c r="G4466" s="718"/>
      <c r="H4466" s="718"/>
      <c r="I4466" s="729"/>
      <c r="J4466" s="714"/>
      <c r="K4466" s="714"/>
      <c r="L4466" s="736"/>
    </row>
    <row r="4467" spans="1:12" ht="9.1999999999999993" customHeight="1">
      <c r="B4467" s="720"/>
      <c r="C4467" s="717"/>
      <c r="D4467" s="717"/>
      <c r="E4467" s="710" t="s">
        <v>700</v>
      </c>
      <c r="F4467" s="710" t="s">
        <v>246</v>
      </c>
      <c r="G4467" s="710"/>
      <c r="H4467" s="710"/>
      <c r="I4467" s="729"/>
      <c r="J4467" s="728">
        <f>J4462-J4463</f>
        <v>3411.1009230769223</v>
      </c>
      <c r="K4467" s="728">
        <f>ROUND(J4467,-1)</f>
        <v>3410</v>
      </c>
      <c r="L4467" s="710"/>
    </row>
    <row r="4468" spans="1:12" ht="9.1999999999999993" customHeight="1">
      <c r="E4468" s="715"/>
      <c r="F4468" s="715"/>
      <c r="G4468" s="715"/>
      <c r="I4468" s="715" t="s">
        <v>701</v>
      </c>
      <c r="J4468" s="737"/>
    </row>
    <row r="4469" spans="1:12" ht="9.1999999999999993" customHeight="1">
      <c r="E4469" s="715"/>
      <c r="F4469" s="715"/>
      <c r="G4469" s="715"/>
      <c r="I4469" s="715"/>
      <c r="J4469" s="737"/>
    </row>
    <row r="4470" spans="1:12" ht="9.1999999999999993" customHeight="1">
      <c r="E4470" s="715"/>
      <c r="F4470" s="715"/>
      <c r="G4470" s="715"/>
      <c r="I4470" s="715"/>
      <c r="J4470" s="737"/>
    </row>
    <row r="4473" spans="1:12" ht="9.1999999999999993" customHeight="1">
      <c r="C4473" s="696"/>
      <c r="D4473" s="696"/>
      <c r="E4473" s="697" t="str">
        <f>$E$2</f>
        <v>THẺ LƯƠNG THÁNG 08/2019</v>
      </c>
      <c r="F4473" s="698"/>
      <c r="G4473" s="698"/>
      <c r="H4473" s="698"/>
    </row>
    <row r="4474" spans="1:12" ht="9.1999999999999993" customHeight="1">
      <c r="B4474" s="699" t="s">
        <v>644</v>
      </c>
      <c r="C4474" s="700" t="s">
        <v>580</v>
      </c>
      <c r="D4474" s="701"/>
      <c r="F4474" s="702" t="s">
        <v>645</v>
      </c>
      <c r="G4474" s="689" t="str">
        <f>VLOOKUP(C4474,'Luong VP'!$B$10:$AP$189,2,0)</f>
        <v xml:space="preserve"> Danh Thừa </v>
      </c>
    </row>
    <row r="4475" spans="1:12" ht="9.1999999999999993" customHeight="1">
      <c r="B4475" s="699" t="s">
        <v>646</v>
      </c>
      <c r="C4475" s="689" t="str">
        <f>VLOOKUP(C4474,'Luong VP'!$B$10:$AP$189,3,0)</f>
        <v>NV Giao nhận/ Phụ xe</v>
      </c>
      <c r="F4475" s="702" t="s">
        <v>647</v>
      </c>
      <c r="G4475" s="689">
        <f>VLOOKUP(C4474,'Luong VP'!$B$10:$AP$189,5,0)</f>
        <v>1</v>
      </c>
    </row>
    <row r="4476" spans="1:12" ht="9.1999999999999993" customHeight="1">
      <c r="B4476" s="703"/>
      <c r="C4476" s="704"/>
      <c r="D4476" s="705"/>
      <c r="F4476" s="706" t="s">
        <v>648</v>
      </c>
      <c r="G4476" s="706"/>
      <c r="H4476" s="706"/>
      <c r="I4476" s="725"/>
      <c r="J4476" s="726"/>
    </row>
    <row r="4477" spans="1:12" ht="9.1999999999999993" customHeight="1">
      <c r="A4477" s="707" t="s">
        <v>216</v>
      </c>
      <c r="B4477" s="707" t="s">
        <v>649</v>
      </c>
      <c r="C4477" s="708" t="s">
        <v>650</v>
      </c>
      <c r="D4477" s="709"/>
      <c r="E4477" s="710" t="s">
        <v>216</v>
      </c>
      <c r="F4477" s="711" t="s">
        <v>649</v>
      </c>
      <c r="G4477" s="710"/>
      <c r="H4477" s="710" t="s">
        <v>651</v>
      </c>
      <c r="I4477" s="727" t="s">
        <v>652</v>
      </c>
      <c r="J4477" s="714"/>
      <c r="L4477" s="694" t="s">
        <v>653</v>
      </c>
    </row>
    <row r="4478" spans="1:12" ht="9.1999999999999993" customHeight="1">
      <c r="A4478" s="712">
        <v>1</v>
      </c>
      <c r="B4478" s="713" t="s">
        <v>654</v>
      </c>
      <c r="C4478" s="714">
        <f>VLOOKUP(C4474,'Luong VP'!$B$10:$AP$189,9,0)</f>
        <v>4500</v>
      </c>
      <c r="D4478" s="715"/>
      <c r="E4478" s="710" t="s">
        <v>655</v>
      </c>
      <c r="F4478" s="716" t="s">
        <v>656</v>
      </c>
      <c r="G4478" s="710"/>
      <c r="H4478" s="710"/>
      <c r="I4478" s="727"/>
      <c r="J4478" s="714">
        <f>VLOOKUP(C4474,'Luong VP'!$B$10:$AP$189,21,0)</f>
        <v>4500</v>
      </c>
    </row>
    <row r="4479" spans="1:12" ht="9.1999999999999993" customHeight="1">
      <c r="A4479" s="712">
        <v>2</v>
      </c>
      <c r="B4479" s="713" t="s">
        <v>658</v>
      </c>
      <c r="C4479" s="714"/>
      <c r="D4479" s="717"/>
      <c r="E4479" s="710">
        <v>1</v>
      </c>
      <c r="F4479" s="718" t="s">
        <v>659</v>
      </c>
      <c r="G4479" s="718"/>
      <c r="H4479" s="710" t="s">
        <v>660</v>
      </c>
      <c r="I4479" s="727">
        <f>VLOOKUP(C4474,'Luong VP'!$B$10:$AP$189,22,0)</f>
        <v>26</v>
      </c>
      <c r="J4479" s="728">
        <f>J4478/'Cham cong'!$AS$3*I4479</f>
        <v>4500</v>
      </c>
    </row>
    <row r="4480" spans="1:12" ht="9.1999999999999993" customHeight="1">
      <c r="A4480" s="712">
        <v>3</v>
      </c>
      <c r="B4480" s="713" t="s">
        <v>661</v>
      </c>
      <c r="C4480" s="714">
        <f>VLOOKUP(C4474,'Luong VP'!$B$10:$AP$189,10,0)</f>
        <v>0</v>
      </c>
      <c r="D4480" s="717"/>
      <c r="E4480" s="710">
        <v>2</v>
      </c>
      <c r="F4480" s="718" t="s">
        <v>662</v>
      </c>
      <c r="G4480" s="718"/>
      <c r="H4480" s="710" t="s">
        <v>660</v>
      </c>
      <c r="I4480" s="727">
        <f>VLOOKUP(C4474,'Luong VP'!$B$10:$AP$189,27,0)</f>
        <v>0</v>
      </c>
      <c r="J4480" s="728">
        <f>J4478/'Cham cong'!$AS$3*I4480*3</f>
        <v>0</v>
      </c>
    </row>
    <row r="4481" spans="1:12" ht="9.1999999999999993" customHeight="1">
      <c r="A4481" s="712">
        <v>4</v>
      </c>
      <c r="B4481" s="713" t="s">
        <v>666</v>
      </c>
      <c r="C4481" s="714">
        <f>VLOOKUP(C4474,'Luong VP'!$B$10:$AP$189,11,0)</f>
        <v>0</v>
      </c>
      <c r="D4481" s="717"/>
      <c r="E4481" s="710">
        <v>3</v>
      </c>
      <c r="F4481" s="718" t="s">
        <v>667</v>
      </c>
      <c r="G4481" s="718"/>
      <c r="H4481" s="710" t="s">
        <v>668</v>
      </c>
      <c r="I4481" s="727">
        <f>VLOOKUP(C4474,'Luong VP'!$B$10:$AP$189,26,0)</f>
        <v>0</v>
      </c>
      <c r="J4481" s="728">
        <f>J4478/'Cham cong'!$AS$3*I4481/8*1.5</f>
        <v>0</v>
      </c>
    </row>
    <row r="4482" spans="1:12" ht="9.1999999999999993" customHeight="1">
      <c r="A4482" s="712">
        <v>5</v>
      </c>
      <c r="B4482" s="713" t="s">
        <v>670</v>
      </c>
      <c r="C4482" s="714">
        <f>VLOOKUP(C4474,'Luong VP'!$B$10:$AP$189,12,0)</f>
        <v>0</v>
      </c>
      <c r="D4482" s="717"/>
      <c r="E4482" s="710">
        <v>4</v>
      </c>
      <c r="F4482" s="718" t="s">
        <v>671</v>
      </c>
      <c r="G4482" s="718"/>
      <c r="H4482" s="710" t="s">
        <v>668</v>
      </c>
      <c r="I4482" s="727">
        <f>VLOOKUP(C4474,'Luong VP'!$B$10:$AP$189,25,0)</f>
        <v>0</v>
      </c>
      <c r="J4482" s="728">
        <f>J4478/'Cham cong'!$AS$3*I4482/8*2</f>
        <v>0</v>
      </c>
    </row>
    <row r="4483" spans="1:12" ht="9.1999999999999993" customHeight="1">
      <c r="A4483" s="712">
        <v>6</v>
      </c>
      <c r="B4483" s="713" t="s">
        <v>673</v>
      </c>
      <c r="C4483" s="714">
        <f>VLOOKUP(C4474,'Luong VP'!$B$10:$AP$189,13,0)</f>
        <v>0</v>
      </c>
      <c r="D4483" s="717"/>
      <c r="E4483" s="710">
        <v>5</v>
      </c>
      <c r="F4483" s="718" t="s">
        <v>674</v>
      </c>
      <c r="G4483" s="718"/>
      <c r="H4483" s="710" t="s">
        <v>660</v>
      </c>
      <c r="I4483" s="727">
        <f>VLOOKUP(C4474,'Luong VP'!$B$10:$AP$189,23,0)</f>
        <v>0</v>
      </c>
      <c r="J4483" s="728">
        <f>C4478/'Cham cong'!$AS$3*I4483</f>
        <v>0</v>
      </c>
      <c r="L4483" s="694" t="str">
        <f>G4474</f>
        <v xml:space="preserve"> Danh Thừa </v>
      </c>
    </row>
    <row r="4484" spans="1:12" ht="9.1999999999999993" customHeight="1">
      <c r="A4484" s="712">
        <v>7</v>
      </c>
      <c r="B4484" s="713" t="s">
        <v>676</v>
      </c>
      <c r="C4484" s="714"/>
      <c r="D4484" s="717"/>
      <c r="E4484" s="710">
        <v>6</v>
      </c>
      <c r="F4484" s="718" t="s">
        <v>677</v>
      </c>
      <c r="G4484" s="718"/>
      <c r="H4484" s="710" t="s">
        <v>660</v>
      </c>
      <c r="I4484" s="727">
        <f>VLOOKUP(C4474,'Luong VP'!$B$10:$AP$189,24,0)</f>
        <v>1</v>
      </c>
      <c r="J4484" s="714">
        <f>C4478/'Cham cong'!$AS$3*I4484</f>
        <v>173.07692307692307</v>
      </c>
    </row>
    <row r="4485" spans="1:12" ht="9.1999999999999993" customHeight="1">
      <c r="A4485" s="712">
        <v>8</v>
      </c>
      <c r="B4485" s="713" t="s">
        <v>679</v>
      </c>
      <c r="C4485" s="714">
        <f>VLOOKUP(C4474,'Luong VP'!$B$10:$AP$189,14,0)</f>
        <v>0</v>
      </c>
      <c r="D4485" s="717"/>
      <c r="E4485" s="710">
        <v>7</v>
      </c>
      <c r="F4485" s="718" t="s">
        <v>680</v>
      </c>
      <c r="G4485" s="718"/>
      <c r="H4485" s="718"/>
      <c r="I4485" s="729"/>
      <c r="J4485" s="714">
        <f>VLOOKUP(C4474,'Luong VP'!$B$10:$AP$189,28,0)</f>
        <v>840</v>
      </c>
    </row>
    <row r="4486" spans="1:12" ht="9.1999999999999993" customHeight="1">
      <c r="A4486" s="712">
        <v>9</v>
      </c>
      <c r="B4486" s="713" t="s">
        <v>683</v>
      </c>
      <c r="C4486" s="714">
        <f>VLOOKUP(C4474,'Luong VP'!$B$10:$AP$189,15,0)</f>
        <v>0</v>
      </c>
      <c r="D4486" s="717"/>
      <c r="E4486" s="710" t="s">
        <v>686</v>
      </c>
      <c r="F4486" s="716" t="s">
        <v>687</v>
      </c>
      <c r="G4486" s="719"/>
      <c r="H4486" s="719"/>
      <c r="I4486" s="729"/>
      <c r="J4486" s="730"/>
    </row>
    <row r="4487" spans="1:12" ht="9.1999999999999993" customHeight="1">
      <c r="A4487" s="712">
        <v>10</v>
      </c>
      <c r="B4487" s="713" t="s">
        <v>685</v>
      </c>
      <c r="C4487" s="714">
        <f>VLOOKUP(C4474,'Luong VP'!$B$10:$AP$189,16,0)</f>
        <v>0</v>
      </c>
      <c r="D4487" s="717"/>
      <c r="E4487" s="710">
        <v>1</v>
      </c>
      <c r="F4487" s="716" t="s">
        <v>689</v>
      </c>
      <c r="G4487" s="719"/>
      <c r="H4487" s="719"/>
      <c r="I4487" s="714">
        <f>VLOOKUP(C4474,'Luong VP'!$B$10:$AP$189,29,0)</f>
        <v>165584.12499999994</v>
      </c>
      <c r="J4487" s="714">
        <f>VLOOKUP(C4474,'Luong VP'!$B$10:$AP$189,30,0)</f>
        <v>1987.0094999999992</v>
      </c>
    </row>
    <row r="4488" spans="1:12" ht="9.1999999999999993" customHeight="1">
      <c r="A4488" s="712">
        <v>11</v>
      </c>
      <c r="B4488" s="713" t="s">
        <v>688</v>
      </c>
      <c r="C4488" s="714">
        <f>VLOOKUP(C4474,'Luong VP'!$B$10:$AP$189,17,0)</f>
        <v>0</v>
      </c>
      <c r="D4488" s="717"/>
      <c r="E4488" s="710">
        <v>2</v>
      </c>
      <c r="F4488" s="716" t="s">
        <v>702</v>
      </c>
      <c r="G4488" s="719"/>
      <c r="H4488" s="719"/>
      <c r="I4488" s="729"/>
      <c r="J4488" s="714">
        <f>VLOOKUP(C4474,'Luong VP'!$B$10:$AP$189,32,0)</f>
        <v>0</v>
      </c>
      <c r="K4488" s="731"/>
      <c r="L4488" s="715"/>
    </row>
    <row r="4489" spans="1:12" ht="9.1999999999999993" customHeight="1">
      <c r="A4489" s="712">
        <v>12</v>
      </c>
      <c r="B4489" s="713" t="s">
        <v>691</v>
      </c>
      <c r="C4489" s="714">
        <f>VLOOKUP(C4474,'Luong VP'!$B$10:$AP$189,18,0)</f>
        <v>0</v>
      </c>
      <c r="D4489" s="717"/>
      <c r="E4489" s="710">
        <v>3</v>
      </c>
      <c r="F4489" s="718" t="s">
        <v>238</v>
      </c>
      <c r="G4489" s="718"/>
      <c r="H4489" s="718"/>
      <c r="I4489" s="729"/>
      <c r="J4489" s="714">
        <f>VLOOKUP(C4474,'Luong VP'!$B$10:$AP$189,33,0)</f>
        <v>0</v>
      </c>
      <c r="K4489" s="731"/>
      <c r="L4489" s="715"/>
    </row>
    <row r="4490" spans="1:12" ht="9.1999999999999993" customHeight="1">
      <c r="A4490" s="712">
        <v>13</v>
      </c>
      <c r="B4490" s="713" t="s">
        <v>692</v>
      </c>
      <c r="C4490" s="714">
        <f>VLOOKUP(C4474,'Luong VP'!$B$10:$AP$189,19,0)</f>
        <v>0</v>
      </c>
      <c r="D4490" s="717"/>
      <c r="E4490" s="710">
        <v>4</v>
      </c>
      <c r="F4490" s="718" t="s">
        <v>239</v>
      </c>
      <c r="G4490" s="718"/>
      <c r="H4490" s="718"/>
      <c r="I4490" s="727"/>
      <c r="J4490" s="728">
        <f>VLOOKUP(C4474,'Luong VP'!$B$10:$AP$189,34,0)</f>
        <v>0</v>
      </c>
      <c r="K4490" s="732"/>
      <c r="L4490" s="715"/>
    </row>
    <row r="4491" spans="1:12" ht="9.1999999999999993" customHeight="1">
      <c r="A4491" s="712">
        <v>14</v>
      </c>
      <c r="B4491" s="713" t="s">
        <v>694</v>
      </c>
      <c r="C4491" s="714">
        <f>VLOOKUP(C4474,'Luong VP'!$B$10:$AP$189,20,0)</f>
        <v>0</v>
      </c>
      <c r="D4491" s="717"/>
      <c r="E4491" s="710">
        <v>5</v>
      </c>
      <c r="F4491" s="718" t="s">
        <v>695</v>
      </c>
      <c r="G4491" s="719"/>
      <c r="H4491" s="719"/>
      <c r="I4491" s="729"/>
      <c r="J4491" s="714">
        <f>VLOOKUP(C4474,'Luong VP'!$B$10:$AP$189,35,0)</f>
        <v>0</v>
      </c>
      <c r="K4491" s="732"/>
      <c r="L4491" s="715"/>
    </row>
    <row r="4492" spans="1:12" ht="9.1999999999999993" customHeight="1">
      <c r="A4492" s="712"/>
      <c r="B4492" s="707" t="s">
        <v>656</v>
      </c>
      <c r="C4492" s="714">
        <f>SUM(C4478:C4491)-C4486</f>
        <v>4500</v>
      </c>
      <c r="D4492" s="717"/>
      <c r="E4492" s="710">
        <v>6</v>
      </c>
      <c r="F4492" s="716" t="s">
        <v>693</v>
      </c>
      <c r="G4492" s="719"/>
      <c r="H4492" s="719"/>
      <c r="I4492" s="729"/>
      <c r="J4492" s="714">
        <f>VLOOKUP(C4474,'Luong VP'!$B$10:$AP$189,40,0)</f>
        <v>0</v>
      </c>
      <c r="K4492" s="731"/>
      <c r="L4492" s="715"/>
    </row>
    <row r="4493" spans="1:12" ht="9.1999999999999993" customHeight="1">
      <c r="B4493" s="720"/>
      <c r="C4493" s="717"/>
      <c r="D4493" s="717"/>
      <c r="E4493" s="710"/>
      <c r="F4493" s="716" t="s">
        <v>241</v>
      </c>
      <c r="G4493" s="719"/>
      <c r="H4493" s="719"/>
      <c r="I4493" s="729"/>
      <c r="J4493" s="730">
        <f>SUM(J4479:J4492)+C4486</f>
        <v>7500.0864230769221</v>
      </c>
      <c r="K4493" s="732"/>
      <c r="L4493" s="715"/>
    </row>
    <row r="4494" spans="1:12" ht="9.1999999999999993" customHeight="1">
      <c r="B4494" s="720"/>
      <c r="C4494" s="717"/>
      <c r="D4494" s="717"/>
      <c r="E4494" s="710" t="s">
        <v>696</v>
      </c>
      <c r="F4494" s="711" t="s">
        <v>697</v>
      </c>
      <c r="G4494" s="710"/>
      <c r="H4494" s="710"/>
      <c r="I4494" s="729"/>
      <c r="J4494" s="730">
        <f>SUM(J4495:J4497)</f>
        <v>3480.585</v>
      </c>
      <c r="K4494" s="734"/>
      <c r="L4494" s="735"/>
    </row>
    <row r="4495" spans="1:12" ht="9.1999999999999993" customHeight="1">
      <c r="B4495" s="720"/>
      <c r="C4495" s="717"/>
      <c r="D4495" s="717"/>
      <c r="E4495" s="710">
        <v>1</v>
      </c>
      <c r="F4495" s="718" t="s">
        <v>698</v>
      </c>
      <c r="G4495" s="718"/>
      <c r="H4495" s="718"/>
      <c r="I4495" s="733"/>
      <c r="J4495" s="714">
        <f>VLOOKUP(C4474,'Luong VP'!$B$10:$AP$189,37,0)</f>
        <v>480.58499999999998</v>
      </c>
    </row>
    <row r="4496" spans="1:12" ht="9.1999999999999993" customHeight="1">
      <c r="B4496" s="720"/>
      <c r="C4496" s="717"/>
      <c r="D4496" s="717"/>
      <c r="E4496" s="710">
        <v>2</v>
      </c>
      <c r="F4496" s="718" t="s">
        <v>244</v>
      </c>
      <c r="G4496" s="718"/>
      <c r="H4496" s="718"/>
      <c r="I4496" s="729"/>
      <c r="J4496" s="714">
        <f>VLOOKUP(C4474,'Luong VP'!$B$10:$AP$189,39,0)</f>
        <v>3000</v>
      </c>
    </row>
    <row r="4497" spans="1:12" ht="9.1999999999999993" customHeight="1">
      <c r="B4497" s="720"/>
      <c r="C4497" s="717"/>
      <c r="D4497" s="717"/>
      <c r="E4497" s="710"/>
      <c r="F4497" s="718" t="s">
        <v>699</v>
      </c>
      <c r="G4497" s="718"/>
      <c r="H4497" s="718"/>
      <c r="I4497" s="729"/>
      <c r="J4497" s="714"/>
      <c r="K4497" s="714"/>
      <c r="L4497" s="736"/>
    </row>
    <row r="4498" spans="1:12" ht="9.1999999999999993" customHeight="1">
      <c r="B4498" s="720"/>
      <c r="C4498" s="717"/>
      <c r="D4498" s="717"/>
      <c r="E4498" s="710" t="s">
        <v>700</v>
      </c>
      <c r="F4498" s="710" t="s">
        <v>246</v>
      </c>
      <c r="G4498" s="710"/>
      <c r="H4498" s="710"/>
      <c r="I4498" s="729"/>
      <c r="J4498" s="728">
        <f>J4493-J4494</f>
        <v>4019.501423076922</v>
      </c>
      <c r="K4498" s="728">
        <f>ROUND(J4498,-1)</f>
        <v>4020</v>
      </c>
      <c r="L4498" s="710"/>
    </row>
    <row r="4499" spans="1:12" ht="9.1999999999999993" customHeight="1">
      <c r="E4499" s="715"/>
      <c r="F4499" s="715"/>
      <c r="G4499" s="715"/>
      <c r="I4499" s="715" t="s">
        <v>701</v>
      </c>
      <c r="J4499" s="737"/>
    </row>
    <row r="4505" spans="1:12" ht="9.1999999999999993" customHeight="1">
      <c r="C4505" s="696"/>
      <c r="D4505" s="696"/>
      <c r="E4505" s="697" t="str">
        <f>$E$2</f>
        <v>THẺ LƯƠNG THÁNG 08/2019</v>
      </c>
      <c r="F4505" s="698"/>
      <c r="G4505" s="698"/>
      <c r="H4505" s="698"/>
    </row>
    <row r="4506" spans="1:12" ht="9.1999999999999993" customHeight="1">
      <c r="B4506" s="699" t="s">
        <v>644</v>
      </c>
      <c r="C4506" s="700" t="s">
        <v>582</v>
      </c>
      <c r="D4506" s="701"/>
      <c r="F4506" s="702" t="s">
        <v>645</v>
      </c>
      <c r="G4506" s="689" t="str">
        <f>VLOOKUP(C4506,'Luong VP'!$B$10:$AP$189,2,0)</f>
        <v xml:space="preserve"> Triệu Minh Thắng </v>
      </c>
    </row>
    <row r="4507" spans="1:12" ht="9.1999999999999993" customHeight="1">
      <c r="B4507" s="699" t="s">
        <v>646</v>
      </c>
      <c r="C4507" s="689" t="str">
        <f>VLOOKUP(C4506,'Luong VP'!$B$10:$AP$189,3,0)</f>
        <v>NV Giao nhận/ Phụ xe</v>
      </c>
      <c r="F4507" s="702" t="s">
        <v>647</v>
      </c>
      <c r="G4507" s="689">
        <f>VLOOKUP(C4506,'Luong VP'!$B$10:$AP$189,5,0)</f>
        <v>1</v>
      </c>
    </row>
    <row r="4508" spans="1:12" ht="9.1999999999999993" customHeight="1">
      <c r="B4508" s="703"/>
      <c r="C4508" s="704"/>
      <c r="D4508" s="705"/>
      <c r="F4508" s="706" t="s">
        <v>648</v>
      </c>
      <c r="G4508" s="706"/>
      <c r="H4508" s="706"/>
      <c r="I4508" s="725"/>
      <c r="J4508" s="726"/>
    </row>
    <row r="4509" spans="1:12" ht="9.1999999999999993" customHeight="1">
      <c r="A4509" s="707" t="s">
        <v>216</v>
      </c>
      <c r="B4509" s="707" t="s">
        <v>649</v>
      </c>
      <c r="C4509" s="708" t="s">
        <v>650</v>
      </c>
      <c r="D4509" s="709"/>
      <c r="E4509" s="710" t="s">
        <v>216</v>
      </c>
      <c r="F4509" s="711" t="s">
        <v>649</v>
      </c>
      <c r="G4509" s="710"/>
      <c r="H4509" s="710" t="s">
        <v>651</v>
      </c>
      <c r="I4509" s="727" t="s">
        <v>652</v>
      </c>
      <c r="J4509" s="714"/>
      <c r="L4509" s="694" t="s">
        <v>653</v>
      </c>
    </row>
    <row r="4510" spans="1:12" ht="9.1999999999999993" customHeight="1">
      <c r="A4510" s="712">
        <v>1</v>
      </c>
      <c r="B4510" s="713" t="s">
        <v>654</v>
      </c>
      <c r="C4510" s="714">
        <f>VLOOKUP(C4506,'Luong VP'!$B$10:$AP$189,9,0)</f>
        <v>4500</v>
      </c>
      <c r="D4510" s="715"/>
      <c r="E4510" s="710" t="s">
        <v>655</v>
      </c>
      <c r="F4510" s="716" t="s">
        <v>656</v>
      </c>
      <c r="G4510" s="710"/>
      <c r="H4510" s="710"/>
      <c r="I4510" s="727"/>
      <c r="J4510" s="714">
        <f>VLOOKUP(C4506,'Luong VP'!$B$10:$AP$189,21,0)</f>
        <v>4500</v>
      </c>
    </row>
    <row r="4511" spans="1:12" ht="9.1999999999999993" customHeight="1">
      <c r="A4511" s="712">
        <v>2</v>
      </c>
      <c r="B4511" s="713" t="s">
        <v>658</v>
      </c>
      <c r="C4511" s="714"/>
      <c r="D4511" s="717"/>
      <c r="E4511" s="710">
        <v>1</v>
      </c>
      <c r="F4511" s="718" t="s">
        <v>659</v>
      </c>
      <c r="G4511" s="718"/>
      <c r="H4511" s="710" t="s">
        <v>660</v>
      </c>
      <c r="I4511" s="727">
        <f>VLOOKUP(C4506,'Luong VP'!$B$10:$AP$189,22,0)</f>
        <v>26</v>
      </c>
      <c r="J4511" s="728">
        <f>J4510/'Cham cong'!$AS$3*I4511</f>
        <v>4500</v>
      </c>
    </row>
    <row r="4512" spans="1:12" ht="9.1999999999999993" customHeight="1">
      <c r="A4512" s="712">
        <v>3</v>
      </c>
      <c r="B4512" s="713" t="s">
        <v>661</v>
      </c>
      <c r="C4512" s="714">
        <f>VLOOKUP(C4506,'Luong VP'!$B$10:$AP$189,10,0)</f>
        <v>0</v>
      </c>
      <c r="D4512" s="717"/>
      <c r="E4512" s="710">
        <v>2</v>
      </c>
      <c r="F4512" s="718" t="s">
        <v>662</v>
      </c>
      <c r="G4512" s="718"/>
      <c r="H4512" s="710" t="s">
        <v>660</v>
      </c>
      <c r="I4512" s="727">
        <f>VLOOKUP(C4506,'Luong VP'!$B$10:$AP$189,27,0)</f>
        <v>0</v>
      </c>
      <c r="J4512" s="728">
        <f>J4510/'Cham cong'!$AS$3*I4512*3</f>
        <v>0</v>
      </c>
    </row>
    <row r="4513" spans="1:12" ht="9.1999999999999993" customHeight="1">
      <c r="A4513" s="712">
        <v>4</v>
      </c>
      <c r="B4513" s="713" t="s">
        <v>666</v>
      </c>
      <c r="C4513" s="714">
        <f>VLOOKUP(C4506,'Luong VP'!$B$10:$AP$189,11,0)</f>
        <v>0</v>
      </c>
      <c r="D4513" s="717"/>
      <c r="E4513" s="710">
        <v>3</v>
      </c>
      <c r="F4513" s="718" t="s">
        <v>667</v>
      </c>
      <c r="G4513" s="718"/>
      <c r="H4513" s="710" t="s">
        <v>668</v>
      </c>
      <c r="I4513" s="727">
        <f>VLOOKUP(C4506,'Luong VP'!$B$10:$AP$189,26,0)</f>
        <v>0</v>
      </c>
      <c r="J4513" s="728">
        <f>J4510/'Cham cong'!$AS$3*I4513/8*1.5</f>
        <v>0</v>
      </c>
    </row>
    <row r="4514" spans="1:12" ht="9.1999999999999993" customHeight="1">
      <c r="A4514" s="712">
        <v>5</v>
      </c>
      <c r="B4514" s="713" t="s">
        <v>670</v>
      </c>
      <c r="C4514" s="714">
        <f>VLOOKUP(C4506,'Luong VP'!$B$10:$AP$189,12,0)</f>
        <v>0</v>
      </c>
      <c r="D4514" s="717"/>
      <c r="E4514" s="710">
        <v>4</v>
      </c>
      <c r="F4514" s="718" t="s">
        <v>671</v>
      </c>
      <c r="G4514" s="718"/>
      <c r="H4514" s="710" t="s">
        <v>668</v>
      </c>
      <c r="I4514" s="727">
        <f>VLOOKUP(C4506,'Luong VP'!$B$10:$AP$189,25,0)</f>
        <v>0</v>
      </c>
      <c r="J4514" s="728">
        <f>J4510/'Cham cong'!$AS$3*I4514/8*2</f>
        <v>0</v>
      </c>
    </row>
    <row r="4515" spans="1:12" ht="9.1999999999999993" customHeight="1">
      <c r="A4515" s="712">
        <v>6</v>
      </c>
      <c r="B4515" s="713" t="s">
        <v>673</v>
      </c>
      <c r="C4515" s="714">
        <f>VLOOKUP(C4506,'Luong VP'!$B$10:$AP$189,13,0)</f>
        <v>0</v>
      </c>
      <c r="D4515" s="717"/>
      <c r="E4515" s="710">
        <v>5</v>
      </c>
      <c r="F4515" s="718" t="s">
        <v>674</v>
      </c>
      <c r="G4515" s="718"/>
      <c r="H4515" s="710" t="s">
        <v>660</v>
      </c>
      <c r="I4515" s="727">
        <f>VLOOKUP(C4506,'Luong VP'!$B$10:$AP$189,23,0)</f>
        <v>0</v>
      </c>
      <c r="J4515" s="728">
        <f>C4510/'Cham cong'!$AS$3*I4515</f>
        <v>0</v>
      </c>
      <c r="L4515" s="694" t="str">
        <f>G4506</f>
        <v xml:space="preserve"> Triệu Minh Thắng </v>
      </c>
    </row>
    <row r="4516" spans="1:12" ht="9.1999999999999993" customHeight="1">
      <c r="A4516" s="712">
        <v>7</v>
      </c>
      <c r="B4516" s="713" t="s">
        <v>676</v>
      </c>
      <c r="C4516" s="714"/>
      <c r="D4516" s="717"/>
      <c r="E4516" s="710">
        <v>6</v>
      </c>
      <c r="F4516" s="718" t="s">
        <v>677</v>
      </c>
      <c r="G4516" s="718"/>
      <c r="H4516" s="710" t="s">
        <v>660</v>
      </c>
      <c r="I4516" s="727">
        <f>VLOOKUP(C4506,'Luong VP'!$B$10:$AP$189,24,0)</f>
        <v>1</v>
      </c>
      <c r="J4516" s="714">
        <f>C4510/'Cham cong'!$AS$3*I4516</f>
        <v>173.07692307692307</v>
      </c>
    </row>
    <row r="4517" spans="1:12" ht="9.1999999999999993" customHeight="1">
      <c r="A4517" s="712">
        <v>8</v>
      </c>
      <c r="B4517" s="713" t="s">
        <v>679</v>
      </c>
      <c r="C4517" s="714">
        <f>VLOOKUP(C4506,'Luong VP'!$B$10:$AP$189,14,0)</f>
        <v>0</v>
      </c>
      <c r="D4517" s="717"/>
      <c r="E4517" s="710">
        <v>7</v>
      </c>
      <c r="F4517" s="718" t="s">
        <v>680</v>
      </c>
      <c r="G4517" s="718"/>
      <c r="H4517" s="718"/>
      <c r="I4517" s="729"/>
      <c r="J4517" s="714">
        <f>VLOOKUP(C4506,'Luong VP'!$B$10:$AP$189,28,0)</f>
        <v>780</v>
      </c>
    </row>
    <row r="4518" spans="1:12" ht="9.1999999999999993" customHeight="1">
      <c r="A4518" s="712">
        <v>9</v>
      </c>
      <c r="B4518" s="713" t="s">
        <v>683</v>
      </c>
      <c r="C4518" s="714">
        <f>VLOOKUP(C4506,'Luong VP'!$B$10:$AP$189,15,0)</f>
        <v>0</v>
      </c>
      <c r="D4518" s="717"/>
      <c r="E4518" s="710" t="s">
        <v>686</v>
      </c>
      <c r="F4518" s="716" t="s">
        <v>687</v>
      </c>
      <c r="G4518" s="719"/>
      <c r="H4518" s="719"/>
      <c r="I4518" s="729"/>
      <c r="J4518" s="730"/>
    </row>
    <row r="4519" spans="1:12" ht="9.1999999999999993" customHeight="1">
      <c r="A4519" s="712">
        <v>10</v>
      </c>
      <c r="B4519" s="713" t="s">
        <v>685</v>
      </c>
      <c r="C4519" s="714">
        <f>VLOOKUP(C4506,'Luong VP'!$B$10:$AP$189,16,0)</f>
        <v>0</v>
      </c>
      <c r="D4519" s="717"/>
      <c r="E4519" s="710">
        <v>1</v>
      </c>
      <c r="F4519" s="716" t="s">
        <v>689</v>
      </c>
      <c r="G4519" s="719"/>
      <c r="H4519" s="719"/>
      <c r="I4519" s="714">
        <f>VLOOKUP(C4506,'Luong VP'!$B$10:$AP$189,29,0)</f>
        <v>162559.45833333331</v>
      </c>
      <c r="J4519" s="714">
        <f>VLOOKUP(C4506,'Luong VP'!$B$10:$AP$189,30,0)</f>
        <v>1950.7134999999998</v>
      </c>
    </row>
    <row r="4520" spans="1:12" ht="9.1999999999999993" customHeight="1">
      <c r="A4520" s="712">
        <v>11</v>
      </c>
      <c r="B4520" s="713" t="s">
        <v>688</v>
      </c>
      <c r="C4520" s="714">
        <f>VLOOKUP(C4506,'Luong VP'!$B$10:$AP$189,17,0)</f>
        <v>0</v>
      </c>
      <c r="D4520" s="717"/>
      <c r="E4520" s="710">
        <v>2</v>
      </c>
      <c r="F4520" s="716" t="s">
        <v>702</v>
      </c>
      <c r="G4520" s="719"/>
      <c r="H4520" s="719"/>
      <c r="I4520" s="729"/>
      <c r="J4520" s="714">
        <f>VLOOKUP(C4506,'Luong VP'!$B$10:$AP$189,32,0)</f>
        <v>0</v>
      </c>
      <c r="K4520" s="731"/>
      <c r="L4520" s="715"/>
    </row>
    <row r="4521" spans="1:12" ht="9.1999999999999993" customHeight="1">
      <c r="A4521" s="712">
        <v>12</v>
      </c>
      <c r="B4521" s="713" t="s">
        <v>691</v>
      </c>
      <c r="C4521" s="714">
        <f>VLOOKUP(C4506,'Luong VP'!$B$10:$AP$189,18,0)</f>
        <v>0</v>
      </c>
      <c r="D4521" s="717"/>
      <c r="E4521" s="710">
        <v>3</v>
      </c>
      <c r="F4521" s="718" t="s">
        <v>238</v>
      </c>
      <c r="G4521" s="718"/>
      <c r="H4521" s="718"/>
      <c r="I4521" s="729"/>
      <c r="J4521" s="714">
        <f>VLOOKUP(C4506,'Luong VP'!$B$10:$AP$189,33,0)</f>
        <v>0</v>
      </c>
      <c r="K4521" s="731"/>
      <c r="L4521" s="715"/>
    </row>
    <row r="4522" spans="1:12" ht="9.1999999999999993" customHeight="1">
      <c r="A4522" s="712">
        <v>13</v>
      </c>
      <c r="B4522" s="713" t="s">
        <v>692</v>
      </c>
      <c r="C4522" s="714">
        <f>VLOOKUP(C4506,'Luong VP'!$B$10:$AP$189,19,0)</f>
        <v>0</v>
      </c>
      <c r="D4522" s="717"/>
      <c r="E4522" s="710">
        <v>4</v>
      </c>
      <c r="F4522" s="718" t="s">
        <v>239</v>
      </c>
      <c r="G4522" s="718"/>
      <c r="H4522" s="718"/>
      <c r="I4522" s="727"/>
      <c r="J4522" s="728">
        <f>VLOOKUP(C4506,'Luong VP'!$B$10:$AP$189,34,0)</f>
        <v>0</v>
      </c>
      <c r="K4522" s="732"/>
      <c r="L4522" s="715"/>
    </row>
    <row r="4523" spans="1:12" ht="9.1999999999999993" customHeight="1">
      <c r="A4523" s="712">
        <v>14</v>
      </c>
      <c r="B4523" s="713" t="s">
        <v>694</v>
      </c>
      <c r="C4523" s="714">
        <f>VLOOKUP(C4506,'Luong VP'!$B$10:$AP$189,20,0)</f>
        <v>0</v>
      </c>
      <c r="D4523" s="717"/>
      <c r="E4523" s="710">
        <v>5</v>
      </c>
      <c r="F4523" s="718" t="s">
        <v>695</v>
      </c>
      <c r="G4523" s="719"/>
      <c r="H4523" s="719"/>
      <c r="I4523" s="729"/>
      <c r="J4523" s="714">
        <f>VLOOKUP(C4506,'Luong VP'!$B$10:$AP$189,35,0)</f>
        <v>0</v>
      </c>
      <c r="K4523" s="732"/>
      <c r="L4523" s="715"/>
    </row>
    <row r="4524" spans="1:12" ht="9.1999999999999993" customHeight="1">
      <c r="A4524" s="712"/>
      <c r="B4524" s="707" t="s">
        <v>656</v>
      </c>
      <c r="C4524" s="714">
        <f>SUM(C4510:C4523)-C4518</f>
        <v>4500</v>
      </c>
      <c r="D4524" s="717"/>
      <c r="E4524" s="710">
        <v>6</v>
      </c>
      <c r="F4524" s="716" t="s">
        <v>693</v>
      </c>
      <c r="G4524" s="719"/>
      <c r="H4524" s="719"/>
      <c r="I4524" s="729"/>
      <c r="J4524" s="714">
        <f>VLOOKUP(C4506,'Luong VP'!$B$10:$AP$189,40,0)</f>
        <v>0</v>
      </c>
      <c r="K4524" s="731"/>
      <c r="L4524" s="715"/>
    </row>
    <row r="4525" spans="1:12" ht="9.1999999999999993" customHeight="1">
      <c r="B4525" s="720"/>
      <c r="C4525" s="717"/>
      <c r="D4525" s="717"/>
      <c r="E4525" s="710"/>
      <c r="F4525" s="716" t="s">
        <v>241</v>
      </c>
      <c r="G4525" s="719"/>
      <c r="H4525" s="719"/>
      <c r="I4525" s="729"/>
      <c r="J4525" s="730">
        <f>SUM(J4511:J4524)+C4518</f>
        <v>7403.7904230769227</v>
      </c>
      <c r="K4525" s="732"/>
      <c r="L4525" s="715"/>
    </row>
    <row r="4526" spans="1:12" ht="9.1999999999999993" customHeight="1">
      <c r="B4526" s="720"/>
      <c r="C4526" s="717"/>
      <c r="D4526" s="717"/>
      <c r="E4526" s="710" t="s">
        <v>696</v>
      </c>
      <c r="F4526" s="711" t="s">
        <v>697</v>
      </c>
      <c r="G4526" s="710"/>
      <c r="H4526" s="710"/>
      <c r="I4526" s="729"/>
      <c r="J4526" s="730">
        <f>SUM(J4527:J4529)</f>
        <v>3480.585</v>
      </c>
      <c r="K4526" s="734"/>
      <c r="L4526" s="735"/>
    </row>
    <row r="4527" spans="1:12" ht="9.1999999999999993" customHeight="1">
      <c r="B4527" s="720"/>
      <c r="C4527" s="717"/>
      <c r="D4527" s="717"/>
      <c r="E4527" s="710">
        <v>1</v>
      </c>
      <c r="F4527" s="718" t="s">
        <v>698</v>
      </c>
      <c r="G4527" s="718"/>
      <c r="H4527" s="718"/>
      <c r="I4527" s="733"/>
      <c r="J4527" s="714">
        <f>VLOOKUP(C4506,'Luong VP'!$B$10:$AP$189,37,0)</f>
        <v>480.58499999999998</v>
      </c>
    </row>
    <row r="4528" spans="1:12" ht="9.1999999999999993" customHeight="1">
      <c r="B4528" s="720"/>
      <c r="C4528" s="717"/>
      <c r="D4528" s="717"/>
      <c r="E4528" s="710">
        <v>2</v>
      </c>
      <c r="F4528" s="718" t="s">
        <v>244</v>
      </c>
      <c r="G4528" s="718"/>
      <c r="H4528" s="718"/>
      <c r="I4528" s="729"/>
      <c r="J4528" s="714">
        <f>VLOOKUP(C4506,'Luong VP'!$B$10:$AP$189,39,0)</f>
        <v>3000</v>
      </c>
    </row>
    <row r="4529" spans="1:12" ht="9.1999999999999993" customHeight="1">
      <c r="B4529" s="720"/>
      <c r="C4529" s="717"/>
      <c r="D4529" s="717"/>
      <c r="E4529" s="710"/>
      <c r="F4529" s="718" t="s">
        <v>699</v>
      </c>
      <c r="G4529" s="718"/>
      <c r="H4529" s="718"/>
      <c r="I4529" s="729"/>
      <c r="J4529" s="714"/>
      <c r="K4529" s="714"/>
      <c r="L4529" s="736"/>
    </row>
    <row r="4530" spans="1:12" ht="9.1999999999999993" customHeight="1">
      <c r="B4530" s="720"/>
      <c r="C4530" s="717"/>
      <c r="D4530" s="717"/>
      <c r="E4530" s="710" t="s">
        <v>700</v>
      </c>
      <c r="F4530" s="710" t="s">
        <v>246</v>
      </c>
      <c r="G4530" s="710"/>
      <c r="H4530" s="710"/>
      <c r="I4530" s="729"/>
      <c r="J4530" s="728">
        <f>J4525-J4526</f>
        <v>3923.2054230769227</v>
      </c>
      <c r="K4530" s="728">
        <f>ROUND(J4530,-1)</f>
        <v>3920</v>
      </c>
      <c r="L4530" s="710"/>
    </row>
    <row r="4531" spans="1:12" ht="9.1999999999999993" customHeight="1">
      <c r="E4531" s="715"/>
      <c r="F4531" s="715"/>
      <c r="G4531" s="715"/>
      <c r="I4531" s="715" t="s">
        <v>701</v>
      </c>
      <c r="J4531" s="737"/>
    </row>
    <row r="4537" spans="1:12" ht="9.1999999999999993" customHeight="1">
      <c r="C4537" s="696"/>
      <c r="D4537" s="696"/>
      <c r="E4537" s="697" t="str">
        <f>$E$2</f>
        <v>THẺ LƯƠNG THÁNG 08/2019</v>
      </c>
      <c r="F4537" s="698"/>
      <c r="G4537" s="698"/>
      <c r="H4537" s="698"/>
    </row>
    <row r="4538" spans="1:12" ht="9.1999999999999993" customHeight="1">
      <c r="B4538" s="699" t="s">
        <v>644</v>
      </c>
      <c r="C4538" s="700" t="s">
        <v>586</v>
      </c>
      <c r="D4538" s="701"/>
      <c r="F4538" s="702" t="s">
        <v>645</v>
      </c>
      <c r="G4538" s="689" t="str">
        <f>VLOOKUP(C4538,'Luong VP'!$B$10:$AP$189,2,0)</f>
        <v xml:space="preserve"> Châu Văn Hữu </v>
      </c>
    </row>
    <row r="4539" spans="1:12" ht="9.1999999999999993" customHeight="1">
      <c r="B4539" s="699" t="s">
        <v>646</v>
      </c>
      <c r="C4539" s="689" t="str">
        <f>VLOOKUP(C4538,'Luong VP'!$B$10:$AP$189,3,0)</f>
        <v>NV Giao nhận/ Phụ xe</v>
      </c>
      <c r="F4539" s="702" t="s">
        <v>647</v>
      </c>
      <c r="G4539" s="689">
        <f>VLOOKUP(C4538,'Luong VP'!$B$10:$AP$189,5,0)</f>
        <v>1</v>
      </c>
    </row>
    <row r="4540" spans="1:12" ht="9.1999999999999993" customHeight="1">
      <c r="B4540" s="703"/>
      <c r="C4540" s="704"/>
      <c r="D4540" s="705"/>
      <c r="F4540" s="706" t="s">
        <v>648</v>
      </c>
      <c r="G4540" s="706"/>
      <c r="H4540" s="706"/>
      <c r="I4540" s="725"/>
      <c r="J4540" s="726"/>
    </row>
    <row r="4541" spans="1:12" ht="9.1999999999999993" customHeight="1">
      <c r="A4541" s="707" t="s">
        <v>216</v>
      </c>
      <c r="B4541" s="707" t="s">
        <v>649</v>
      </c>
      <c r="C4541" s="708" t="s">
        <v>650</v>
      </c>
      <c r="D4541" s="709"/>
      <c r="E4541" s="710" t="s">
        <v>216</v>
      </c>
      <c r="F4541" s="711" t="s">
        <v>649</v>
      </c>
      <c r="G4541" s="710"/>
      <c r="H4541" s="710" t="s">
        <v>651</v>
      </c>
      <c r="I4541" s="727" t="s">
        <v>652</v>
      </c>
      <c r="J4541" s="714"/>
      <c r="L4541" s="694" t="s">
        <v>653</v>
      </c>
    </row>
    <row r="4542" spans="1:12" ht="9.1999999999999993" customHeight="1">
      <c r="A4542" s="712">
        <v>1</v>
      </c>
      <c r="B4542" s="713" t="s">
        <v>654</v>
      </c>
      <c r="C4542" s="714">
        <f>VLOOKUP(C4538,'Luong VP'!$B$10:$AP$189,9,0)</f>
        <v>4500</v>
      </c>
      <c r="D4542" s="715"/>
      <c r="E4542" s="710" t="s">
        <v>655</v>
      </c>
      <c r="F4542" s="716" t="s">
        <v>656</v>
      </c>
      <c r="G4542" s="710"/>
      <c r="H4542" s="710"/>
      <c r="I4542" s="727"/>
      <c r="J4542" s="714">
        <f>VLOOKUP(C4538,'Luong VP'!$B$10:$AP$189,21,0)</f>
        <v>4500</v>
      </c>
    </row>
    <row r="4543" spans="1:12" ht="9.1999999999999993" customHeight="1">
      <c r="A4543" s="712">
        <v>2</v>
      </c>
      <c r="B4543" s="713" t="s">
        <v>658</v>
      </c>
      <c r="C4543" s="714"/>
      <c r="D4543" s="717"/>
      <c r="E4543" s="710">
        <v>1</v>
      </c>
      <c r="F4543" s="718" t="s">
        <v>659</v>
      </c>
      <c r="G4543" s="718"/>
      <c r="H4543" s="710" t="s">
        <v>660</v>
      </c>
      <c r="I4543" s="727">
        <f>VLOOKUP(C4538,'Luong VP'!$B$10:$AP$189,22,0)</f>
        <v>26</v>
      </c>
      <c r="J4543" s="728">
        <f>J4542/'Cham cong'!$AS$3*I4543</f>
        <v>4500</v>
      </c>
    </row>
    <row r="4544" spans="1:12" ht="9.1999999999999993" customHeight="1">
      <c r="A4544" s="712">
        <v>3</v>
      </c>
      <c r="B4544" s="713" t="s">
        <v>661</v>
      </c>
      <c r="C4544" s="714">
        <f>VLOOKUP(C4538,'Luong VP'!$B$10:$AP$189,10,0)</f>
        <v>0</v>
      </c>
      <c r="D4544" s="717"/>
      <c r="E4544" s="710">
        <v>2</v>
      </c>
      <c r="F4544" s="718" t="s">
        <v>662</v>
      </c>
      <c r="G4544" s="718"/>
      <c r="H4544" s="710" t="s">
        <v>660</v>
      </c>
      <c r="I4544" s="727">
        <f>VLOOKUP(C4538,'Luong VP'!$B$10:$AP$189,27,0)</f>
        <v>0</v>
      </c>
      <c r="J4544" s="728">
        <f>J4542/'Cham cong'!$AS$3*I4544*3</f>
        <v>0</v>
      </c>
    </row>
    <row r="4545" spans="1:12" ht="9.1999999999999993" customHeight="1">
      <c r="A4545" s="712">
        <v>4</v>
      </c>
      <c r="B4545" s="713" t="s">
        <v>666</v>
      </c>
      <c r="C4545" s="714">
        <f>VLOOKUP(C4538,'Luong VP'!$B$10:$AP$189,11,0)</f>
        <v>0</v>
      </c>
      <c r="D4545" s="717"/>
      <c r="E4545" s="710">
        <v>3</v>
      </c>
      <c r="F4545" s="718" t="s">
        <v>667</v>
      </c>
      <c r="G4545" s="718"/>
      <c r="H4545" s="710" t="s">
        <v>668</v>
      </c>
      <c r="I4545" s="727">
        <f>VLOOKUP(C4538,'Luong VP'!$B$10:$AP$189,26,0)</f>
        <v>0</v>
      </c>
      <c r="J4545" s="728">
        <f>J4542/'Cham cong'!$AS$3*I4545/8*1.5</f>
        <v>0</v>
      </c>
    </row>
    <row r="4546" spans="1:12" ht="9.1999999999999993" customHeight="1">
      <c r="A4546" s="712">
        <v>5</v>
      </c>
      <c r="B4546" s="713" t="s">
        <v>670</v>
      </c>
      <c r="C4546" s="714">
        <f>VLOOKUP(C4538,'Luong VP'!$B$10:$AP$189,12,0)</f>
        <v>0</v>
      </c>
      <c r="D4546" s="717"/>
      <c r="E4546" s="710">
        <v>4</v>
      </c>
      <c r="F4546" s="718" t="s">
        <v>671</v>
      </c>
      <c r="G4546" s="718"/>
      <c r="H4546" s="710" t="s">
        <v>668</v>
      </c>
      <c r="I4546" s="727">
        <f>VLOOKUP(C4538,'Luong VP'!$B$10:$AP$189,25,0)</f>
        <v>0</v>
      </c>
      <c r="J4546" s="728">
        <f>J4542/'Cham cong'!$AS$3*I4546/8*2</f>
        <v>0</v>
      </c>
    </row>
    <row r="4547" spans="1:12" ht="9.1999999999999993" customHeight="1">
      <c r="A4547" s="712">
        <v>6</v>
      </c>
      <c r="B4547" s="713" t="s">
        <v>673</v>
      </c>
      <c r="C4547" s="714">
        <f>VLOOKUP(C4538,'Luong VP'!$B$10:$AP$189,13,0)</f>
        <v>0</v>
      </c>
      <c r="D4547" s="717"/>
      <c r="E4547" s="710">
        <v>5</v>
      </c>
      <c r="F4547" s="718" t="s">
        <v>674</v>
      </c>
      <c r="G4547" s="718"/>
      <c r="H4547" s="710" t="s">
        <v>660</v>
      </c>
      <c r="I4547" s="727">
        <f>VLOOKUP(C4538,'Luong VP'!$B$10:$AP$189,23,0)</f>
        <v>0</v>
      </c>
      <c r="J4547" s="728">
        <f>C4542/'Cham cong'!$AS$3*I4547</f>
        <v>0</v>
      </c>
      <c r="L4547" s="694" t="str">
        <f>G4538</f>
        <v xml:space="preserve"> Châu Văn Hữu </v>
      </c>
    </row>
    <row r="4548" spans="1:12" ht="9.1999999999999993" customHeight="1">
      <c r="A4548" s="712">
        <v>7</v>
      </c>
      <c r="B4548" s="713" t="s">
        <v>676</v>
      </c>
      <c r="C4548" s="714"/>
      <c r="D4548" s="717"/>
      <c r="E4548" s="710">
        <v>6</v>
      </c>
      <c r="F4548" s="718" t="s">
        <v>677</v>
      </c>
      <c r="G4548" s="718"/>
      <c r="H4548" s="710" t="s">
        <v>660</v>
      </c>
      <c r="I4548" s="727">
        <f>VLOOKUP(C4538,'Luong VP'!$B$10:$AP$189,24,0)</f>
        <v>1</v>
      </c>
      <c r="J4548" s="714">
        <f>C4542/'Cham cong'!$AS$3*I4548</f>
        <v>173.07692307692307</v>
      </c>
    </row>
    <row r="4549" spans="1:12" ht="9.1999999999999993" customHeight="1">
      <c r="A4549" s="712">
        <v>8</v>
      </c>
      <c r="B4549" s="713" t="s">
        <v>679</v>
      </c>
      <c r="C4549" s="714">
        <f>VLOOKUP(C4538,'Luong VP'!$B$10:$AP$189,14,0)</f>
        <v>0</v>
      </c>
      <c r="D4549" s="717"/>
      <c r="E4549" s="710">
        <v>7</v>
      </c>
      <c r="F4549" s="718" t="s">
        <v>680</v>
      </c>
      <c r="G4549" s="718"/>
      <c r="H4549" s="718"/>
      <c r="I4549" s="729"/>
      <c r="J4549" s="714">
        <f>VLOOKUP(C4538,'Luong VP'!$B$10:$AP$189,28,0)</f>
        <v>660</v>
      </c>
    </row>
    <row r="4550" spans="1:12" ht="9.1999999999999993" customHeight="1">
      <c r="A4550" s="712">
        <v>9</v>
      </c>
      <c r="B4550" s="713" t="s">
        <v>683</v>
      </c>
      <c r="C4550" s="714">
        <f>VLOOKUP(C4538,'Luong VP'!$B$10:$AP$189,15,0)</f>
        <v>0</v>
      </c>
      <c r="D4550" s="717"/>
      <c r="E4550" s="710" t="s">
        <v>686</v>
      </c>
      <c r="F4550" s="716" t="s">
        <v>687</v>
      </c>
      <c r="G4550" s="719"/>
      <c r="H4550" s="719"/>
      <c r="I4550" s="729"/>
      <c r="J4550" s="730"/>
    </row>
    <row r="4551" spans="1:12" ht="9.1999999999999993" customHeight="1">
      <c r="A4551" s="712">
        <v>10</v>
      </c>
      <c r="B4551" s="713" t="s">
        <v>685</v>
      </c>
      <c r="C4551" s="714">
        <f>VLOOKUP(C4538,'Luong VP'!$B$10:$AP$189,16,0)</f>
        <v>0</v>
      </c>
      <c r="D4551" s="717"/>
      <c r="E4551" s="710">
        <v>1</v>
      </c>
      <c r="F4551" s="716" t="s">
        <v>689</v>
      </c>
      <c r="G4551" s="719"/>
      <c r="H4551" s="719"/>
      <c r="I4551" s="714">
        <f>VLOOKUP(C4538,'Luong VP'!$B$10:$AP$189,29,0)</f>
        <v>180909.62500000006</v>
      </c>
      <c r="J4551" s="714">
        <f>VLOOKUP(C4538,'Luong VP'!$B$10:$AP$189,30,0)</f>
        <v>2170.915500000001</v>
      </c>
    </row>
    <row r="4552" spans="1:12" ht="9.1999999999999993" customHeight="1">
      <c r="A4552" s="712">
        <v>11</v>
      </c>
      <c r="B4552" s="713" t="s">
        <v>688</v>
      </c>
      <c r="C4552" s="714">
        <f>VLOOKUP(C4538,'Luong VP'!$B$10:$AP$189,17,0)</f>
        <v>0</v>
      </c>
      <c r="D4552" s="717"/>
      <c r="E4552" s="710">
        <v>2</v>
      </c>
      <c r="F4552" s="716" t="s">
        <v>702</v>
      </c>
      <c r="G4552" s="719"/>
      <c r="H4552" s="719"/>
      <c r="I4552" s="729"/>
      <c r="J4552" s="714">
        <f>VLOOKUP(C4538,'Luong VP'!$B$10:$AP$189,32,0)</f>
        <v>0</v>
      </c>
      <c r="K4552" s="731"/>
      <c r="L4552" s="715"/>
    </row>
    <row r="4553" spans="1:12" ht="9.1999999999999993" customHeight="1">
      <c r="A4553" s="712">
        <v>12</v>
      </c>
      <c r="B4553" s="713" t="s">
        <v>691</v>
      </c>
      <c r="C4553" s="714">
        <f>VLOOKUP(C4538,'Luong VP'!$B$10:$AP$189,18,0)</f>
        <v>0</v>
      </c>
      <c r="D4553" s="717"/>
      <c r="E4553" s="710">
        <v>3</v>
      </c>
      <c r="F4553" s="718" t="s">
        <v>238</v>
      </c>
      <c r="G4553" s="718"/>
      <c r="H4553" s="718"/>
      <c r="I4553" s="729"/>
      <c r="J4553" s="714">
        <f>VLOOKUP(C4538,'Luong VP'!$B$10:$AP$189,33,0)</f>
        <v>0</v>
      </c>
      <c r="K4553" s="731"/>
      <c r="L4553" s="715"/>
    </row>
    <row r="4554" spans="1:12" ht="9.1999999999999993" customHeight="1">
      <c r="A4554" s="712">
        <v>13</v>
      </c>
      <c r="B4554" s="713" t="s">
        <v>692</v>
      </c>
      <c r="C4554" s="714">
        <f>VLOOKUP(C4538,'Luong VP'!$B$10:$AP$189,19,0)</f>
        <v>0</v>
      </c>
      <c r="D4554" s="717"/>
      <c r="E4554" s="710">
        <v>4</v>
      </c>
      <c r="F4554" s="718" t="s">
        <v>239</v>
      </c>
      <c r="G4554" s="718"/>
      <c r="H4554" s="718"/>
      <c r="I4554" s="727"/>
      <c r="J4554" s="728">
        <f>VLOOKUP(C4538,'Luong VP'!$B$10:$AP$189,34,0)</f>
        <v>1000</v>
      </c>
      <c r="K4554" s="732"/>
      <c r="L4554" s="715"/>
    </row>
    <row r="4555" spans="1:12" ht="9.1999999999999993" customHeight="1">
      <c r="A4555" s="712">
        <v>14</v>
      </c>
      <c r="B4555" s="713" t="s">
        <v>694</v>
      </c>
      <c r="C4555" s="714">
        <f>VLOOKUP(C4538,'Luong VP'!$B$10:$AP$189,20,0)</f>
        <v>0</v>
      </c>
      <c r="D4555" s="717"/>
      <c r="E4555" s="710">
        <v>5</v>
      </c>
      <c r="F4555" s="718" t="s">
        <v>695</v>
      </c>
      <c r="G4555" s="719"/>
      <c r="H4555" s="719"/>
      <c r="I4555" s="729"/>
      <c r="J4555" s="714">
        <f>VLOOKUP(C4538,'Luong VP'!$B$10:$AP$189,35,0)</f>
        <v>0</v>
      </c>
      <c r="K4555" s="732"/>
      <c r="L4555" s="715"/>
    </row>
    <row r="4556" spans="1:12" ht="9.1999999999999993" customHeight="1">
      <c r="A4556" s="712"/>
      <c r="B4556" s="707" t="s">
        <v>656</v>
      </c>
      <c r="C4556" s="714">
        <f>SUM(C4542:C4555)-C4550</f>
        <v>4500</v>
      </c>
      <c r="D4556" s="717"/>
      <c r="E4556" s="710">
        <v>6</v>
      </c>
      <c r="F4556" s="716" t="s">
        <v>693</v>
      </c>
      <c r="G4556" s="719"/>
      <c r="H4556" s="719"/>
      <c r="I4556" s="729"/>
      <c r="J4556" s="714">
        <f>VLOOKUP(C4538,'Luong VP'!$B$10:$AP$189,40,0)</f>
        <v>0</v>
      </c>
      <c r="K4556" s="731"/>
      <c r="L4556" s="715"/>
    </row>
    <row r="4557" spans="1:12" ht="9.1999999999999993" customHeight="1">
      <c r="B4557" s="720"/>
      <c r="C4557" s="717"/>
      <c r="D4557" s="717"/>
      <c r="E4557" s="710"/>
      <c r="F4557" s="716" t="s">
        <v>241</v>
      </c>
      <c r="G4557" s="719"/>
      <c r="H4557" s="719"/>
      <c r="I4557" s="729"/>
      <c r="J4557" s="730">
        <f>SUM(J4543:J4556)+C4550</f>
        <v>8503.9924230769248</v>
      </c>
      <c r="K4557" s="732"/>
      <c r="L4557" s="715"/>
    </row>
    <row r="4558" spans="1:12" ht="9.1999999999999993" customHeight="1">
      <c r="B4558" s="720"/>
      <c r="C4558" s="717"/>
      <c r="D4558" s="717"/>
      <c r="E4558" s="710" t="s">
        <v>696</v>
      </c>
      <c r="F4558" s="711" t="s">
        <v>697</v>
      </c>
      <c r="G4558" s="710"/>
      <c r="H4558" s="710"/>
      <c r="I4558" s="729"/>
      <c r="J4558" s="730">
        <f>SUM(J4559:J4561)</f>
        <v>3480.585</v>
      </c>
      <c r="K4558" s="734"/>
      <c r="L4558" s="735"/>
    </row>
    <row r="4559" spans="1:12" ht="9.1999999999999993" customHeight="1">
      <c r="B4559" s="720"/>
      <c r="C4559" s="717"/>
      <c r="D4559" s="717"/>
      <c r="E4559" s="710">
        <v>1</v>
      </c>
      <c r="F4559" s="718" t="s">
        <v>698</v>
      </c>
      <c r="G4559" s="718"/>
      <c r="H4559" s="718"/>
      <c r="I4559" s="733"/>
      <c r="J4559" s="714">
        <f>VLOOKUP(C4538,'Luong VP'!$B$10:$AP$189,37,0)</f>
        <v>480.58499999999998</v>
      </c>
    </row>
    <row r="4560" spans="1:12" ht="9.1999999999999993" customHeight="1">
      <c r="B4560" s="720"/>
      <c r="C4560" s="717"/>
      <c r="D4560" s="717"/>
      <c r="E4560" s="710">
        <v>2</v>
      </c>
      <c r="F4560" s="718" t="s">
        <v>244</v>
      </c>
      <c r="G4560" s="718"/>
      <c r="H4560" s="718"/>
      <c r="I4560" s="729"/>
      <c r="J4560" s="714">
        <f>VLOOKUP(C4538,'Luong VP'!$B$10:$AP$189,39,0)</f>
        <v>3000</v>
      </c>
    </row>
    <row r="4561" spans="1:12" ht="9.1999999999999993" customHeight="1">
      <c r="B4561" s="720"/>
      <c r="C4561" s="717"/>
      <c r="D4561" s="717"/>
      <c r="E4561" s="710"/>
      <c r="F4561" s="718" t="s">
        <v>699</v>
      </c>
      <c r="G4561" s="718"/>
      <c r="H4561" s="718"/>
      <c r="I4561" s="729"/>
      <c r="J4561" s="714"/>
      <c r="K4561" s="714"/>
      <c r="L4561" s="736"/>
    </row>
    <row r="4562" spans="1:12" ht="9.1999999999999993" customHeight="1">
      <c r="B4562" s="720"/>
      <c r="C4562" s="717"/>
      <c r="D4562" s="717"/>
      <c r="E4562" s="710" t="s">
        <v>700</v>
      </c>
      <c r="F4562" s="710" t="s">
        <v>246</v>
      </c>
      <c r="G4562" s="710"/>
      <c r="H4562" s="710"/>
      <c r="I4562" s="729"/>
      <c r="J4562" s="728">
        <f>J4557-J4558</f>
        <v>5023.4074230769247</v>
      </c>
      <c r="K4562" s="728">
        <f>ROUND(J4562,-1)</f>
        <v>5020</v>
      </c>
      <c r="L4562" s="710"/>
    </row>
    <row r="4563" spans="1:12" ht="9.1999999999999993" customHeight="1">
      <c r="E4563" s="715"/>
      <c r="F4563" s="715"/>
      <c r="G4563" s="715"/>
      <c r="I4563" s="715" t="s">
        <v>701</v>
      </c>
      <c r="J4563" s="737"/>
    </row>
    <row r="4568" spans="1:12" ht="9.1999999999999993" customHeight="1">
      <c r="C4568" s="696"/>
      <c r="D4568" s="696"/>
      <c r="E4568" s="697" t="str">
        <f>$E$2</f>
        <v>THẺ LƯƠNG THÁNG 08/2019</v>
      </c>
      <c r="F4568" s="698"/>
      <c r="G4568" s="698"/>
      <c r="H4568" s="698"/>
    </row>
    <row r="4569" spans="1:12" ht="9.1999999999999993" customHeight="1">
      <c r="B4569" s="699" t="s">
        <v>644</v>
      </c>
      <c r="C4569" s="700" t="s">
        <v>588</v>
      </c>
      <c r="D4569" s="701"/>
      <c r="F4569" s="702" t="s">
        <v>645</v>
      </c>
      <c r="G4569" s="689" t="str">
        <f>VLOOKUP(C4569,'Luong VP'!$B$10:$AP$352,2,0)</f>
        <v xml:space="preserve"> Danh Mới </v>
      </c>
    </row>
    <row r="4570" spans="1:12" ht="9.1999999999999993" customHeight="1">
      <c r="B4570" s="699" t="s">
        <v>646</v>
      </c>
      <c r="C4570" s="689" t="str">
        <f>VLOOKUP(C4569,'Luong VP'!$B$10:$AP$352,3,0)</f>
        <v>NV Giao nhận/ Phụ xe</v>
      </c>
      <c r="F4570" s="702" t="s">
        <v>647</v>
      </c>
      <c r="G4570" s="689">
        <f>VLOOKUP(C4569,'Luong VP'!$B$10:$AP$352,5,0)</f>
        <v>1</v>
      </c>
    </row>
    <row r="4571" spans="1:12" ht="9.1999999999999993" customHeight="1">
      <c r="B4571" s="703"/>
      <c r="C4571" s="704"/>
      <c r="D4571" s="705"/>
      <c r="F4571" s="706" t="s">
        <v>648</v>
      </c>
      <c r="G4571" s="706"/>
      <c r="H4571" s="706"/>
      <c r="I4571" s="725"/>
      <c r="J4571" s="726"/>
    </row>
    <row r="4572" spans="1:12" ht="9.1999999999999993" customHeight="1">
      <c r="A4572" s="707" t="s">
        <v>216</v>
      </c>
      <c r="B4572" s="707" t="s">
        <v>649</v>
      </c>
      <c r="C4572" s="708" t="s">
        <v>650</v>
      </c>
      <c r="D4572" s="709"/>
      <c r="E4572" s="710" t="s">
        <v>216</v>
      </c>
      <c r="F4572" s="711" t="s">
        <v>649</v>
      </c>
      <c r="G4572" s="710"/>
      <c r="H4572" s="710" t="s">
        <v>651</v>
      </c>
      <c r="I4572" s="727" t="s">
        <v>652</v>
      </c>
      <c r="J4572" s="714"/>
      <c r="L4572" s="694" t="s">
        <v>653</v>
      </c>
    </row>
    <row r="4573" spans="1:12" ht="9.1999999999999993" customHeight="1">
      <c r="A4573" s="712">
        <v>1</v>
      </c>
      <c r="B4573" s="713" t="s">
        <v>654</v>
      </c>
      <c r="C4573" s="714">
        <f>VLOOKUP(C4569,'Luong VP'!$B$10:$AP$352,9,0)</f>
        <v>4500</v>
      </c>
      <c r="D4573" s="715"/>
      <c r="E4573" s="710" t="s">
        <v>655</v>
      </c>
      <c r="F4573" s="716" t="s">
        <v>656</v>
      </c>
      <c r="G4573" s="710"/>
      <c r="H4573" s="710"/>
      <c r="I4573" s="727"/>
      <c r="J4573" s="714">
        <f>VLOOKUP(C4569,'Luong VP'!$B$10:$AP$352,21,0)</f>
        <v>4500</v>
      </c>
    </row>
    <row r="4574" spans="1:12" ht="9.1999999999999993" customHeight="1">
      <c r="A4574" s="712">
        <v>2</v>
      </c>
      <c r="B4574" s="713" t="s">
        <v>658</v>
      </c>
      <c r="C4574" s="714"/>
      <c r="D4574" s="717"/>
      <c r="E4574" s="710">
        <v>1</v>
      </c>
      <c r="F4574" s="718" t="s">
        <v>659</v>
      </c>
      <c r="G4574" s="718"/>
      <c r="H4574" s="710" t="s">
        <v>660</v>
      </c>
      <c r="I4574" s="727">
        <f>VLOOKUP(C4569,'Luong VP'!$B$10:$AP$352,22,0)</f>
        <v>26</v>
      </c>
      <c r="J4574" s="728">
        <f>J4573/'Cham cong'!$AS$3*I4574</f>
        <v>4500</v>
      </c>
    </row>
    <row r="4575" spans="1:12" ht="9.1999999999999993" customHeight="1">
      <c r="A4575" s="712">
        <v>3</v>
      </c>
      <c r="B4575" s="713" t="s">
        <v>661</v>
      </c>
      <c r="C4575" s="714">
        <f>VLOOKUP(C4569,'Luong VP'!$B$10:$AP$352,10,0)</f>
        <v>0</v>
      </c>
      <c r="D4575" s="717"/>
      <c r="E4575" s="710">
        <v>2</v>
      </c>
      <c r="F4575" s="718" t="s">
        <v>662</v>
      </c>
      <c r="G4575" s="718"/>
      <c r="H4575" s="710" t="s">
        <v>660</v>
      </c>
      <c r="I4575" s="727">
        <f>VLOOKUP(C4569,'Luong VP'!$B$10:$AP$352,27,0)</f>
        <v>0</v>
      </c>
      <c r="J4575" s="728">
        <f>J4573/'Cham cong'!$AS$3*I4575*3</f>
        <v>0</v>
      </c>
    </row>
    <row r="4576" spans="1:12" ht="9.1999999999999993" customHeight="1">
      <c r="A4576" s="712">
        <v>4</v>
      </c>
      <c r="B4576" s="713" t="s">
        <v>666</v>
      </c>
      <c r="C4576" s="714">
        <f>VLOOKUP(C4569,'Luong VP'!$B$10:$AP$352,11,0)</f>
        <v>0</v>
      </c>
      <c r="D4576" s="717"/>
      <c r="E4576" s="710">
        <v>3</v>
      </c>
      <c r="F4576" s="718" t="s">
        <v>667</v>
      </c>
      <c r="G4576" s="718"/>
      <c r="H4576" s="710" t="s">
        <v>668</v>
      </c>
      <c r="I4576" s="727">
        <f>VLOOKUP(C4569,'Luong VP'!$B$10:$AP$352,26,0)</f>
        <v>0</v>
      </c>
      <c r="J4576" s="728">
        <f>J4573/'Cham cong'!$AS$3*I4576/8*1.5</f>
        <v>0</v>
      </c>
    </row>
    <row r="4577" spans="1:12" ht="9.1999999999999993" customHeight="1">
      <c r="A4577" s="712">
        <v>5</v>
      </c>
      <c r="B4577" s="713" t="s">
        <v>670</v>
      </c>
      <c r="C4577" s="714">
        <f>VLOOKUP(C4569,'Luong VP'!$B$10:$AP$352,12,0)</f>
        <v>0</v>
      </c>
      <c r="D4577" s="717"/>
      <c r="E4577" s="710">
        <v>4</v>
      </c>
      <c r="F4577" s="718" t="s">
        <v>671</v>
      </c>
      <c r="G4577" s="718"/>
      <c r="H4577" s="710" t="s">
        <v>668</v>
      </c>
      <c r="I4577" s="727">
        <f>VLOOKUP(C4569,'Luong VP'!$B$10:$AP$352,25,0)</f>
        <v>0</v>
      </c>
      <c r="J4577" s="728">
        <f>J4573/'Cham cong'!$AS$3*I4577/8*2</f>
        <v>0</v>
      </c>
    </row>
    <row r="4578" spans="1:12" ht="9.1999999999999993" customHeight="1">
      <c r="A4578" s="712">
        <v>6</v>
      </c>
      <c r="B4578" s="713" t="s">
        <v>673</v>
      </c>
      <c r="C4578" s="714">
        <f>VLOOKUP(C4569,'Luong VP'!$B$10:$AP$352,13,0)</f>
        <v>0</v>
      </c>
      <c r="D4578" s="717"/>
      <c r="E4578" s="710">
        <v>5</v>
      </c>
      <c r="F4578" s="718" t="s">
        <v>674</v>
      </c>
      <c r="G4578" s="718"/>
      <c r="H4578" s="710" t="s">
        <v>660</v>
      </c>
      <c r="I4578" s="727">
        <f>VLOOKUP(C4569,'Luong VP'!$B$10:$AP$352,23,0)</f>
        <v>0</v>
      </c>
      <c r="J4578" s="728">
        <f>C4573/'Cham cong'!$AS$3*I4578</f>
        <v>0</v>
      </c>
      <c r="L4578" s="694" t="str">
        <f>G4569</f>
        <v xml:space="preserve"> Danh Mới </v>
      </c>
    </row>
    <row r="4579" spans="1:12" ht="9.1999999999999993" customHeight="1">
      <c r="A4579" s="712">
        <v>7</v>
      </c>
      <c r="B4579" s="713" t="s">
        <v>676</v>
      </c>
      <c r="C4579" s="714"/>
      <c r="D4579" s="717"/>
      <c r="E4579" s="710">
        <v>6</v>
      </c>
      <c r="F4579" s="718" t="s">
        <v>677</v>
      </c>
      <c r="G4579" s="718"/>
      <c r="H4579" s="710" t="s">
        <v>660</v>
      </c>
      <c r="I4579" s="727">
        <f>VLOOKUP(C4569,'Luong VP'!$B$10:$AP$352,24,0)</f>
        <v>1</v>
      </c>
      <c r="J4579" s="714">
        <f>C4573/'Cham cong'!$AS$3*I4579</f>
        <v>173.07692307692307</v>
      </c>
    </row>
    <row r="4580" spans="1:12" ht="9.1999999999999993" customHeight="1">
      <c r="A4580" s="712">
        <v>8</v>
      </c>
      <c r="B4580" s="713" t="s">
        <v>679</v>
      </c>
      <c r="C4580" s="714">
        <f>VLOOKUP(C4569,'Luong VP'!$B$10:$AP$352,14,0)</f>
        <v>0</v>
      </c>
      <c r="D4580" s="717"/>
      <c r="E4580" s="710">
        <v>7</v>
      </c>
      <c r="F4580" s="718" t="s">
        <v>680</v>
      </c>
      <c r="G4580" s="718"/>
      <c r="H4580" s="718"/>
      <c r="I4580" s="729"/>
      <c r="J4580" s="714">
        <f>VLOOKUP(C4569,'Luong VP'!$B$10:$AP$352,28,0)</f>
        <v>840</v>
      </c>
    </row>
    <row r="4581" spans="1:12" ht="9.1999999999999993" customHeight="1">
      <c r="A4581" s="712">
        <v>9</v>
      </c>
      <c r="B4581" s="713" t="s">
        <v>683</v>
      </c>
      <c r="C4581" s="714">
        <f>VLOOKUP(C4569,'Luong VP'!$B$10:$AP$352,15,0)</f>
        <v>0</v>
      </c>
      <c r="D4581" s="717"/>
      <c r="E4581" s="710" t="s">
        <v>686</v>
      </c>
      <c r="F4581" s="716" t="s">
        <v>687</v>
      </c>
      <c r="G4581" s="719"/>
      <c r="H4581" s="719"/>
      <c r="I4581" s="729"/>
      <c r="J4581" s="730"/>
    </row>
    <row r="4582" spans="1:12" ht="9.1999999999999993" customHeight="1">
      <c r="A4582" s="712">
        <v>10</v>
      </c>
      <c r="B4582" s="713" t="s">
        <v>685</v>
      </c>
      <c r="C4582" s="714">
        <f>VLOOKUP(C4569,'Luong VP'!$B$10:$AP$352,16,0)</f>
        <v>0</v>
      </c>
      <c r="D4582" s="717"/>
      <c r="E4582" s="710">
        <v>1</v>
      </c>
      <c r="F4582" s="716" t="s">
        <v>689</v>
      </c>
      <c r="G4582" s="719"/>
      <c r="H4582" s="719"/>
      <c r="I4582" s="714">
        <f>VLOOKUP(C4569,'Luong VP'!$B$10:$AP$209,29,0)</f>
        <v>177820.83333333331</v>
      </c>
      <c r="J4582" s="714">
        <f>VLOOKUP(C4569,'Luong VP'!$B$10:$AP$212,30,0)</f>
        <v>2133.85</v>
      </c>
    </row>
    <row r="4583" spans="1:12" ht="9.1999999999999993" customHeight="1">
      <c r="A4583" s="712">
        <v>11</v>
      </c>
      <c r="B4583" s="713" t="s">
        <v>688</v>
      </c>
      <c r="C4583" s="714">
        <f>VLOOKUP(C4569,'Luong VP'!$B$10:$AP$352,17,0)</f>
        <v>0</v>
      </c>
      <c r="D4583" s="717"/>
      <c r="E4583" s="710">
        <v>2</v>
      </c>
      <c r="F4583" s="716" t="s">
        <v>702</v>
      </c>
      <c r="G4583" s="719"/>
      <c r="H4583" s="719"/>
      <c r="I4583" s="729"/>
      <c r="J4583" s="714">
        <f>VLOOKUP(C4569,'Luong VP'!$B$10:$AP$352,32,0)</f>
        <v>0</v>
      </c>
      <c r="K4583" s="731"/>
      <c r="L4583" s="715"/>
    </row>
    <row r="4584" spans="1:12" ht="9.1999999999999993" customHeight="1">
      <c r="A4584" s="712">
        <v>12</v>
      </c>
      <c r="B4584" s="713" t="s">
        <v>691</v>
      </c>
      <c r="C4584" s="714">
        <f>VLOOKUP(C4569,'Luong VP'!$B$10:$AP$352,18,0)</f>
        <v>0</v>
      </c>
      <c r="D4584" s="717"/>
      <c r="E4584" s="710">
        <v>3</v>
      </c>
      <c r="F4584" s="718" t="s">
        <v>238</v>
      </c>
      <c r="G4584" s="718"/>
      <c r="H4584" s="718"/>
      <c r="I4584" s="729"/>
      <c r="J4584" s="714">
        <f>VLOOKUP(C4569,'Luong VP'!$B$10:$AP$352,33,0)</f>
        <v>0</v>
      </c>
      <c r="K4584" s="731"/>
      <c r="L4584" s="715"/>
    </row>
    <row r="4585" spans="1:12" ht="9.1999999999999993" customHeight="1">
      <c r="A4585" s="712">
        <v>13</v>
      </c>
      <c r="B4585" s="713" t="s">
        <v>692</v>
      </c>
      <c r="C4585" s="714">
        <f>VLOOKUP(C4569,'Luong VP'!$B$10:$AP$352,19,0)</f>
        <v>0</v>
      </c>
      <c r="D4585" s="717"/>
      <c r="E4585" s="710">
        <v>4</v>
      </c>
      <c r="F4585" s="718" t="s">
        <v>239</v>
      </c>
      <c r="G4585" s="718"/>
      <c r="H4585" s="718"/>
      <c r="I4585" s="727"/>
      <c r="J4585" s="728">
        <f>VLOOKUP(C4569,'Luong VP'!$B$10:$AP$352,34,0)</f>
        <v>0</v>
      </c>
      <c r="K4585" s="732"/>
      <c r="L4585" s="715"/>
    </row>
    <row r="4586" spans="1:12" ht="9.1999999999999993" customHeight="1">
      <c r="A4586" s="712">
        <v>14</v>
      </c>
      <c r="B4586" s="713" t="s">
        <v>694</v>
      </c>
      <c r="C4586" s="714">
        <f>VLOOKUP(C4569,'Luong VP'!$B$10:$AP$352,20,0)</f>
        <v>0</v>
      </c>
      <c r="D4586" s="717"/>
      <c r="E4586" s="710">
        <v>5</v>
      </c>
      <c r="F4586" s="718" t="s">
        <v>695</v>
      </c>
      <c r="G4586" s="719"/>
      <c r="H4586" s="719"/>
      <c r="I4586" s="729"/>
      <c r="J4586" s="714">
        <f>VLOOKUP(C4569,'Luong VP'!$B$10:$AP$352,35,0)</f>
        <v>0</v>
      </c>
      <c r="K4586" s="732"/>
      <c r="L4586" s="715"/>
    </row>
    <row r="4587" spans="1:12" ht="9.1999999999999993" customHeight="1">
      <c r="A4587" s="712"/>
      <c r="B4587" s="707" t="s">
        <v>656</v>
      </c>
      <c r="C4587" s="714">
        <f>SUM(C4573:C4586)-C4581</f>
        <v>4500</v>
      </c>
      <c r="D4587" s="717"/>
      <c r="E4587" s="710">
        <v>6</v>
      </c>
      <c r="F4587" s="716" t="s">
        <v>693</v>
      </c>
      <c r="G4587" s="719"/>
      <c r="H4587" s="719"/>
      <c r="I4587" s="729"/>
      <c r="J4587" s="714">
        <f>VLOOKUP(C4569,'Luong VP'!$B$10:$AP$352,40,0)</f>
        <v>0</v>
      </c>
      <c r="K4587" s="731"/>
      <c r="L4587" s="715"/>
    </row>
    <row r="4588" spans="1:12" ht="9.1999999999999993" customHeight="1">
      <c r="B4588" s="720"/>
      <c r="C4588" s="717"/>
      <c r="D4588" s="717"/>
      <c r="E4588" s="710"/>
      <c r="F4588" s="716" t="s">
        <v>241</v>
      </c>
      <c r="G4588" s="719"/>
      <c r="H4588" s="719"/>
      <c r="I4588" s="729"/>
      <c r="J4588" s="730">
        <f>SUM(J4574:J4587)+C4581</f>
        <v>7646.9269230769223</v>
      </c>
      <c r="K4588" s="732"/>
      <c r="L4588" s="715"/>
    </row>
    <row r="4589" spans="1:12" ht="9.1999999999999993" customHeight="1">
      <c r="B4589" s="720"/>
      <c r="C4589" s="717"/>
      <c r="D4589" s="717"/>
      <c r="E4589" s="710" t="s">
        <v>696</v>
      </c>
      <c r="F4589" s="711" t="s">
        <v>697</v>
      </c>
      <c r="G4589" s="710"/>
      <c r="H4589" s="710"/>
      <c r="I4589" s="729"/>
      <c r="J4589" s="730">
        <f>SUM(J4590:J4592)</f>
        <v>3480.585</v>
      </c>
      <c r="K4589" s="734"/>
      <c r="L4589" s="735"/>
    </row>
    <row r="4590" spans="1:12" ht="9.1999999999999993" customHeight="1">
      <c r="B4590" s="720"/>
      <c r="C4590" s="717"/>
      <c r="D4590" s="717"/>
      <c r="E4590" s="710">
        <v>1</v>
      </c>
      <c r="F4590" s="718" t="s">
        <v>698</v>
      </c>
      <c r="G4590" s="718"/>
      <c r="H4590" s="718"/>
      <c r="I4590" s="733"/>
      <c r="J4590" s="714">
        <f>VLOOKUP(C4569,'Luong VP'!$B$10:$AP$352,37,0)</f>
        <v>480.58499999999998</v>
      </c>
    </row>
    <row r="4591" spans="1:12" ht="9.1999999999999993" customHeight="1">
      <c r="B4591" s="720"/>
      <c r="C4591" s="717"/>
      <c r="D4591" s="717"/>
      <c r="E4591" s="710">
        <v>2</v>
      </c>
      <c r="F4591" s="718" t="s">
        <v>244</v>
      </c>
      <c r="G4591" s="718"/>
      <c r="H4591" s="718"/>
      <c r="I4591" s="729"/>
      <c r="J4591" s="714">
        <f>VLOOKUP(C4569,'Luong VP'!$B$10:$AP$352,39,0)</f>
        <v>3000</v>
      </c>
    </row>
    <row r="4592" spans="1:12" ht="9.1999999999999993" customHeight="1">
      <c r="B4592" s="720"/>
      <c r="C4592" s="717"/>
      <c r="D4592" s="717"/>
      <c r="E4592" s="710"/>
      <c r="F4592" s="718" t="s">
        <v>699</v>
      </c>
      <c r="G4592" s="718"/>
      <c r="H4592" s="718"/>
      <c r="I4592" s="729"/>
      <c r="J4592" s="714"/>
      <c r="K4592" s="714"/>
      <c r="L4592" s="736"/>
    </row>
    <row r="4593" spans="1:12" ht="9.1999999999999993" customHeight="1">
      <c r="B4593" s="720"/>
      <c r="C4593" s="717"/>
      <c r="D4593" s="717"/>
      <c r="E4593" s="710" t="s">
        <v>700</v>
      </c>
      <c r="F4593" s="710" t="s">
        <v>246</v>
      </c>
      <c r="G4593" s="710"/>
      <c r="H4593" s="710"/>
      <c r="I4593" s="729"/>
      <c r="J4593" s="728">
        <f>J4588-J4589</f>
        <v>4166.3419230769223</v>
      </c>
      <c r="K4593" s="728">
        <f>ROUND(J4593,-1)</f>
        <v>4170</v>
      </c>
      <c r="L4593" s="710"/>
    </row>
    <row r="4594" spans="1:12" ht="9.1999999999999993" customHeight="1">
      <c r="E4594" s="715"/>
      <c r="F4594" s="715"/>
      <c r="G4594" s="715"/>
      <c r="I4594" s="715" t="s">
        <v>701</v>
      </c>
      <c r="J4594" s="737"/>
    </row>
    <row r="4595" spans="1:12" ht="9.1999999999999993" customHeight="1">
      <c r="E4595" s="715"/>
      <c r="F4595" s="715"/>
      <c r="G4595" s="715"/>
      <c r="I4595" s="715"/>
      <c r="J4595" s="737"/>
    </row>
    <row r="4596" spans="1:12" ht="9.1999999999999993" customHeight="1">
      <c r="E4596" s="715"/>
      <c r="F4596" s="715"/>
      <c r="G4596" s="715"/>
      <c r="I4596" s="715"/>
      <c r="J4596" s="737"/>
    </row>
    <row r="4598" spans="1:12" ht="9.1999999999999993" customHeight="1">
      <c r="C4598" s="696"/>
      <c r="D4598" s="696"/>
      <c r="E4598" s="697" t="str">
        <f>$E$2</f>
        <v>THẺ LƯƠNG THÁNG 08/2019</v>
      </c>
      <c r="F4598" s="698"/>
      <c r="G4598" s="698"/>
      <c r="H4598" s="698"/>
    </row>
    <row r="4599" spans="1:12" ht="9.1999999999999993" customHeight="1">
      <c r="B4599" s="699" t="s">
        <v>644</v>
      </c>
      <c r="C4599" s="700" t="s">
        <v>590</v>
      </c>
      <c r="D4599" s="701"/>
      <c r="F4599" s="702" t="s">
        <v>645</v>
      </c>
      <c r="G4599" s="689" t="str">
        <f>VLOOKUP(C4599,'Luong VP'!$B$10:$AP$192,2,0)</f>
        <v>Đặng Văn Thi</v>
      </c>
    </row>
    <row r="4600" spans="1:12" ht="9.1999999999999993" customHeight="1">
      <c r="B4600" s="699" t="s">
        <v>646</v>
      </c>
      <c r="C4600" s="689" t="str">
        <f>VLOOKUP(C4599,'Luong VP'!$B$10:$AP$192,3,0)</f>
        <v>NV Giao nhận/ Phụ xe</v>
      </c>
      <c r="F4600" s="702" t="s">
        <v>647</v>
      </c>
      <c r="G4600" s="689">
        <f>VLOOKUP(C4599,'Luong VP'!$B$10:$AP$192,5,0)</f>
        <v>1</v>
      </c>
    </row>
    <row r="4601" spans="1:12" ht="9.1999999999999993" customHeight="1">
      <c r="B4601" s="703"/>
      <c r="C4601" s="704"/>
      <c r="D4601" s="705"/>
      <c r="F4601" s="706" t="s">
        <v>648</v>
      </c>
      <c r="G4601" s="706"/>
      <c r="H4601" s="706"/>
      <c r="I4601" s="725"/>
      <c r="J4601" s="726"/>
    </row>
    <row r="4602" spans="1:12" ht="9.1999999999999993" customHeight="1">
      <c r="A4602" s="707" t="s">
        <v>216</v>
      </c>
      <c r="B4602" s="707" t="s">
        <v>649</v>
      </c>
      <c r="C4602" s="708" t="s">
        <v>650</v>
      </c>
      <c r="D4602" s="709"/>
      <c r="E4602" s="710" t="s">
        <v>216</v>
      </c>
      <c r="F4602" s="711" t="s">
        <v>649</v>
      </c>
      <c r="G4602" s="710"/>
      <c r="H4602" s="710" t="s">
        <v>651</v>
      </c>
      <c r="I4602" s="727" t="s">
        <v>652</v>
      </c>
      <c r="J4602" s="714"/>
      <c r="L4602" s="694" t="s">
        <v>653</v>
      </c>
    </row>
    <row r="4603" spans="1:12" ht="9.1999999999999993" customHeight="1">
      <c r="A4603" s="712">
        <v>1</v>
      </c>
      <c r="B4603" s="713" t="s">
        <v>654</v>
      </c>
      <c r="C4603" s="714">
        <f>VLOOKUP(C4599,'Luong VP'!$B$10:$AP$192,9,0)</f>
        <v>4500</v>
      </c>
      <c r="D4603" s="715"/>
      <c r="E4603" s="710" t="s">
        <v>655</v>
      </c>
      <c r="F4603" s="716" t="s">
        <v>656</v>
      </c>
      <c r="G4603" s="710"/>
      <c r="H4603" s="710"/>
      <c r="I4603" s="727"/>
      <c r="J4603" s="714">
        <f>VLOOKUP(C4599,'Luong VP'!$B$10:$AP$192,21,0)</f>
        <v>4500</v>
      </c>
    </row>
    <row r="4604" spans="1:12" ht="9.1999999999999993" customHeight="1">
      <c r="A4604" s="712">
        <v>2</v>
      </c>
      <c r="B4604" s="713" t="s">
        <v>658</v>
      </c>
      <c r="C4604" s="714"/>
      <c r="D4604" s="717"/>
      <c r="E4604" s="710">
        <v>1</v>
      </c>
      <c r="F4604" s="718" t="s">
        <v>659</v>
      </c>
      <c r="G4604" s="718"/>
      <c r="H4604" s="710" t="s">
        <v>660</v>
      </c>
      <c r="I4604" s="727">
        <f>VLOOKUP(C4599,'Luong VP'!$B$10:$AP$192,22,0)</f>
        <v>26</v>
      </c>
      <c r="J4604" s="728">
        <f>J4603/'Cham cong'!$AS$3*I4604</f>
        <v>4500</v>
      </c>
    </row>
    <row r="4605" spans="1:12" ht="9.1999999999999993" customHeight="1">
      <c r="A4605" s="712">
        <v>3</v>
      </c>
      <c r="B4605" s="713" t="s">
        <v>661</v>
      </c>
      <c r="C4605" s="714">
        <f>VLOOKUP(C4599,'Luong VP'!$B$10:$AP$192,10,0)</f>
        <v>0</v>
      </c>
      <c r="D4605" s="717"/>
      <c r="E4605" s="710">
        <v>2</v>
      </c>
      <c r="F4605" s="718" t="s">
        <v>662</v>
      </c>
      <c r="G4605" s="718"/>
      <c r="H4605" s="710" t="s">
        <v>660</v>
      </c>
      <c r="I4605" s="727">
        <f>VLOOKUP(C4599,'Luong VP'!$B$10:$AP$192,27,0)</f>
        <v>0</v>
      </c>
      <c r="J4605" s="728">
        <f>J4603/'Cham cong'!$AS$3*I4605*3</f>
        <v>0</v>
      </c>
    </row>
    <row r="4606" spans="1:12" ht="9.1999999999999993" customHeight="1">
      <c r="A4606" s="712">
        <v>4</v>
      </c>
      <c r="B4606" s="713" t="s">
        <v>666</v>
      </c>
      <c r="C4606" s="714">
        <f>VLOOKUP(C4599,'Luong VP'!$B$10:$AP$192,11,0)</f>
        <v>0</v>
      </c>
      <c r="D4606" s="717"/>
      <c r="E4606" s="710">
        <v>3</v>
      </c>
      <c r="F4606" s="718" t="s">
        <v>667</v>
      </c>
      <c r="G4606" s="718"/>
      <c r="H4606" s="710" t="s">
        <v>668</v>
      </c>
      <c r="I4606" s="727">
        <f>VLOOKUP(C4599,'Luong VP'!$B$10:$AP$192,26,0)</f>
        <v>0</v>
      </c>
      <c r="J4606" s="728">
        <f>J4603/'Cham cong'!$AS$3*I4606/8*1.5</f>
        <v>0</v>
      </c>
    </row>
    <row r="4607" spans="1:12" ht="9.1999999999999993" customHeight="1">
      <c r="A4607" s="712">
        <v>5</v>
      </c>
      <c r="B4607" s="713" t="s">
        <v>670</v>
      </c>
      <c r="C4607" s="714">
        <f>VLOOKUP(C4599,'Luong VP'!$B$10:$AP$192,12,0)</f>
        <v>0</v>
      </c>
      <c r="D4607" s="717"/>
      <c r="E4607" s="710">
        <v>4</v>
      </c>
      <c r="F4607" s="718" t="s">
        <v>671</v>
      </c>
      <c r="G4607" s="718"/>
      <c r="H4607" s="710" t="s">
        <v>668</v>
      </c>
      <c r="I4607" s="727">
        <f>VLOOKUP(C4599,'Luong VP'!$B$10:$AP$192,25,0)</f>
        <v>0</v>
      </c>
      <c r="J4607" s="728">
        <f>J4603/'Cham cong'!$AS$3*I4607/8*2</f>
        <v>0</v>
      </c>
    </row>
    <row r="4608" spans="1:12" ht="9.1999999999999993" customHeight="1">
      <c r="A4608" s="712">
        <v>6</v>
      </c>
      <c r="B4608" s="713" t="s">
        <v>673</v>
      </c>
      <c r="C4608" s="714">
        <f>VLOOKUP(C4599,'Luong VP'!$B$10:$AP$192,13,0)</f>
        <v>0</v>
      </c>
      <c r="D4608" s="717"/>
      <c r="E4608" s="710">
        <v>5</v>
      </c>
      <c r="F4608" s="718" t="s">
        <v>674</v>
      </c>
      <c r="G4608" s="718"/>
      <c r="H4608" s="710" t="s">
        <v>660</v>
      </c>
      <c r="I4608" s="727">
        <f>VLOOKUP(C4599,'Luong VP'!$B$10:$AP$192,23,0)</f>
        <v>0</v>
      </c>
      <c r="J4608" s="728">
        <f>C4603/'Cham cong'!$AS$3*I4608</f>
        <v>0</v>
      </c>
      <c r="L4608" s="694" t="str">
        <f>G4599</f>
        <v>Đặng Văn Thi</v>
      </c>
    </row>
    <row r="4609" spans="1:12" ht="9.1999999999999993" customHeight="1">
      <c r="A4609" s="712">
        <v>7</v>
      </c>
      <c r="B4609" s="713" t="s">
        <v>676</v>
      </c>
      <c r="C4609" s="714"/>
      <c r="D4609" s="717"/>
      <c r="E4609" s="710">
        <v>6</v>
      </c>
      <c r="F4609" s="718" t="s">
        <v>677</v>
      </c>
      <c r="G4609" s="718"/>
      <c r="H4609" s="710" t="s">
        <v>660</v>
      </c>
      <c r="I4609" s="727">
        <f>VLOOKUP(C4599,'Luong VP'!$B$10:$AP$192,24,0)</f>
        <v>1</v>
      </c>
      <c r="J4609" s="714">
        <f>C4603/'Cham cong'!$AS$3*I4609</f>
        <v>173.07692307692307</v>
      </c>
    </row>
    <row r="4610" spans="1:12" ht="9.1999999999999993" customHeight="1">
      <c r="A4610" s="712">
        <v>8</v>
      </c>
      <c r="B4610" s="713" t="s">
        <v>679</v>
      </c>
      <c r="C4610" s="714">
        <f>VLOOKUP(C4599,'Luong VP'!$B$10:$AP$192,14,0)</f>
        <v>0</v>
      </c>
      <c r="D4610" s="717"/>
      <c r="E4610" s="710">
        <v>7</v>
      </c>
      <c r="F4610" s="718" t="s">
        <v>680</v>
      </c>
      <c r="G4610" s="718"/>
      <c r="H4610" s="718"/>
      <c r="I4610" s="729"/>
      <c r="J4610" s="714">
        <f>VLOOKUP(C4599,'Luong VP'!$B$10:$AP$192,28,0)</f>
        <v>560</v>
      </c>
    </row>
    <row r="4611" spans="1:12" ht="9.1999999999999993" customHeight="1">
      <c r="A4611" s="712">
        <v>9</v>
      </c>
      <c r="B4611" s="713" t="s">
        <v>683</v>
      </c>
      <c r="C4611" s="714">
        <f>VLOOKUP(C4599,'Luong VP'!$B$10:$AP$192,15,0)</f>
        <v>0</v>
      </c>
      <c r="D4611" s="717"/>
      <c r="E4611" s="710" t="s">
        <v>686</v>
      </c>
      <c r="F4611" s="716" t="s">
        <v>687</v>
      </c>
      <c r="G4611" s="719"/>
      <c r="H4611" s="719"/>
      <c r="I4611" s="729"/>
      <c r="J4611" s="730"/>
    </row>
    <row r="4612" spans="1:12" ht="9.1999999999999993" customHeight="1">
      <c r="A4612" s="712">
        <v>10</v>
      </c>
      <c r="B4612" s="713" t="s">
        <v>685</v>
      </c>
      <c r="C4612" s="714">
        <f>VLOOKUP(C4599,'Luong VP'!$B$10:$AP$192,16,0)</f>
        <v>0</v>
      </c>
      <c r="D4612" s="717"/>
      <c r="E4612" s="710">
        <v>1</v>
      </c>
      <c r="F4612" s="716" t="s">
        <v>689</v>
      </c>
      <c r="G4612" s="719"/>
      <c r="H4612" s="719"/>
      <c r="I4612" s="714">
        <f>VLOOKUP(C4599,'Luong VP'!$B$10:$AP$209,29,0)</f>
        <v>161143.66666666669</v>
      </c>
      <c r="J4612" s="714">
        <f>VLOOKUP(C4599,'Luong VP'!$B$10:$AP$209,30,0)</f>
        <v>1933.7240000000002</v>
      </c>
    </row>
    <row r="4613" spans="1:12" ht="9.1999999999999993" customHeight="1">
      <c r="A4613" s="712">
        <v>11</v>
      </c>
      <c r="B4613" s="713" t="s">
        <v>688</v>
      </c>
      <c r="C4613" s="714">
        <f>VLOOKUP(C4599,'Luong VP'!$B$10:$AP$192,17,0)</f>
        <v>0</v>
      </c>
      <c r="D4613" s="717"/>
      <c r="E4613" s="710">
        <v>2</v>
      </c>
      <c r="F4613" s="716" t="s">
        <v>702</v>
      </c>
      <c r="G4613" s="719"/>
      <c r="H4613" s="719"/>
      <c r="I4613" s="729"/>
      <c r="J4613" s="714">
        <f>VLOOKUP(C4599,'Luong VP'!$B$10:$AP$192,32,0)</f>
        <v>299.97000000000003</v>
      </c>
      <c r="K4613" s="731"/>
      <c r="L4613" s="715"/>
    </row>
    <row r="4614" spans="1:12" ht="9.1999999999999993" customHeight="1">
      <c r="A4614" s="712">
        <v>12</v>
      </c>
      <c r="B4614" s="713" t="s">
        <v>691</v>
      </c>
      <c r="C4614" s="714">
        <f>VLOOKUP(C4599,'Luong VP'!$B$10:$AP$192,18,0)</f>
        <v>0</v>
      </c>
      <c r="D4614" s="717"/>
      <c r="E4614" s="710">
        <v>3</v>
      </c>
      <c r="F4614" s="718" t="s">
        <v>238</v>
      </c>
      <c r="G4614" s="718"/>
      <c r="H4614" s="718"/>
      <c r="I4614" s="729"/>
      <c r="J4614" s="714">
        <f>VLOOKUP(C4599,'Luong VP'!$B$10:$AP$192,33,0)</f>
        <v>0</v>
      </c>
      <c r="K4614" s="731"/>
      <c r="L4614" s="715"/>
    </row>
    <row r="4615" spans="1:12" ht="9.1999999999999993" customHeight="1">
      <c r="A4615" s="712">
        <v>13</v>
      </c>
      <c r="B4615" s="713" t="s">
        <v>692</v>
      </c>
      <c r="C4615" s="714">
        <f>VLOOKUP(C4599,'Luong VP'!$B$10:$AP$192,19,0)</f>
        <v>0</v>
      </c>
      <c r="D4615" s="717"/>
      <c r="E4615" s="710">
        <v>4</v>
      </c>
      <c r="F4615" s="718" t="s">
        <v>239</v>
      </c>
      <c r="G4615" s="718"/>
      <c r="H4615" s="718"/>
      <c r="I4615" s="727"/>
      <c r="J4615" s="728">
        <f>VLOOKUP(C4599,'Luong VP'!$B$10:$AP$192,34,0)</f>
        <v>0</v>
      </c>
      <c r="K4615" s="732"/>
      <c r="L4615" s="715"/>
    </row>
    <row r="4616" spans="1:12" ht="9.1999999999999993" customHeight="1">
      <c r="A4616" s="712">
        <v>14</v>
      </c>
      <c r="B4616" s="713" t="s">
        <v>694</v>
      </c>
      <c r="C4616" s="714">
        <f>VLOOKUP(C4599,'Luong VP'!$B$10:$AP$192,20,0)</f>
        <v>0</v>
      </c>
      <c r="D4616" s="717"/>
      <c r="E4616" s="710">
        <v>5</v>
      </c>
      <c r="F4616" s="718" t="s">
        <v>695</v>
      </c>
      <c r="G4616" s="719"/>
      <c r="H4616" s="719"/>
      <c r="I4616" s="729"/>
      <c r="J4616" s="714">
        <f>VLOOKUP(C4599,'Luong VP'!$B$10:$AP$192,35,0)</f>
        <v>0</v>
      </c>
      <c r="K4616" s="732"/>
      <c r="L4616" s="715"/>
    </row>
    <row r="4617" spans="1:12" ht="9.1999999999999993" customHeight="1">
      <c r="A4617" s="712"/>
      <c r="B4617" s="707" t="s">
        <v>656</v>
      </c>
      <c r="C4617" s="714">
        <f>SUM(C4603:C4616)-C4611</f>
        <v>4500</v>
      </c>
      <c r="D4617" s="717"/>
      <c r="E4617" s="710">
        <v>6</v>
      </c>
      <c r="F4617" s="716" t="s">
        <v>693</v>
      </c>
      <c r="G4617" s="719"/>
      <c r="H4617" s="719"/>
      <c r="I4617" s="729"/>
      <c r="J4617" s="714">
        <f>VLOOKUP(C4599,'Luong VP'!$B$10:$AP$192,40,0)</f>
        <v>0</v>
      </c>
      <c r="K4617" s="731"/>
      <c r="L4617" s="715"/>
    </row>
    <row r="4618" spans="1:12" ht="9.1999999999999993" customHeight="1">
      <c r="B4618" s="720"/>
      <c r="C4618" s="717"/>
      <c r="D4618" s="717"/>
      <c r="E4618" s="710"/>
      <c r="F4618" s="716" t="s">
        <v>241</v>
      </c>
      <c r="G4618" s="719"/>
      <c r="H4618" s="719"/>
      <c r="I4618" s="729"/>
      <c r="J4618" s="730">
        <f>SUM(J4604:J4617)+C4611</f>
        <v>7466.7709230769233</v>
      </c>
      <c r="K4618" s="732"/>
      <c r="L4618" s="715"/>
    </row>
    <row r="4619" spans="1:12" ht="9.1999999999999993" customHeight="1">
      <c r="B4619" s="720"/>
      <c r="C4619" s="717"/>
      <c r="D4619" s="717"/>
      <c r="E4619" s="710" t="s">
        <v>696</v>
      </c>
      <c r="F4619" s="711" t="s">
        <v>697</v>
      </c>
      <c r="G4619" s="710"/>
      <c r="H4619" s="710"/>
      <c r="I4619" s="729"/>
      <c r="J4619" s="730">
        <f>SUM(J4620:J4622)</f>
        <v>3480.585</v>
      </c>
      <c r="K4619" s="734"/>
      <c r="L4619" s="735"/>
    </row>
    <row r="4620" spans="1:12" ht="9.1999999999999993" customHeight="1">
      <c r="B4620" s="720"/>
      <c r="C4620" s="717"/>
      <c r="D4620" s="717"/>
      <c r="E4620" s="710">
        <v>1</v>
      </c>
      <c r="F4620" s="718" t="s">
        <v>698</v>
      </c>
      <c r="G4620" s="718"/>
      <c r="H4620" s="718"/>
      <c r="I4620" s="733"/>
      <c r="J4620" s="714">
        <f>VLOOKUP(C4599,'Luong VP'!$B$10:$AP$192,37,0)</f>
        <v>480.58499999999998</v>
      </c>
    </row>
    <row r="4621" spans="1:12" ht="9.1999999999999993" customHeight="1">
      <c r="B4621" s="720"/>
      <c r="C4621" s="717"/>
      <c r="D4621" s="717"/>
      <c r="E4621" s="710">
        <v>2</v>
      </c>
      <c r="F4621" s="718" t="s">
        <v>244</v>
      </c>
      <c r="G4621" s="718"/>
      <c r="H4621" s="718"/>
      <c r="I4621" s="729"/>
      <c r="J4621" s="714">
        <f>VLOOKUP(C4599,'Luong VP'!$B$10:$AP$192,39,0)</f>
        <v>3000</v>
      </c>
    </row>
    <row r="4622" spans="1:12" ht="9.1999999999999993" customHeight="1">
      <c r="B4622" s="720"/>
      <c r="C4622" s="717"/>
      <c r="D4622" s="717"/>
      <c r="E4622" s="710"/>
      <c r="F4622" s="718" t="s">
        <v>699</v>
      </c>
      <c r="G4622" s="718"/>
      <c r="H4622" s="718"/>
      <c r="I4622" s="729"/>
      <c r="J4622" s="714"/>
      <c r="K4622" s="714"/>
      <c r="L4622" s="736"/>
    </row>
    <row r="4623" spans="1:12" ht="9.1999999999999993" customHeight="1">
      <c r="B4623" s="720"/>
      <c r="C4623" s="717"/>
      <c r="D4623" s="717"/>
      <c r="E4623" s="710" t="s">
        <v>700</v>
      </c>
      <c r="F4623" s="710" t="s">
        <v>246</v>
      </c>
      <c r="G4623" s="710"/>
      <c r="H4623" s="710"/>
      <c r="I4623" s="729"/>
      <c r="J4623" s="728">
        <f>J4618-J4619</f>
        <v>3986.1859230769232</v>
      </c>
      <c r="K4623" s="728">
        <f>ROUND(J4623,-1)</f>
        <v>3990</v>
      </c>
      <c r="L4623" s="710"/>
    </row>
    <row r="4624" spans="1:12" ht="9.1999999999999993" customHeight="1">
      <c r="E4624" s="715"/>
      <c r="F4624" s="715"/>
      <c r="G4624" s="715"/>
      <c r="I4624" s="715" t="s">
        <v>701</v>
      </c>
      <c r="J4624" s="737"/>
    </row>
    <row r="4628" spans="1:12" ht="9.1999999999999993" customHeight="1">
      <c r="C4628" s="696"/>
      <c r="D4628" s="696"/>
      <c r="E4628" s="697" t="str">
        <f>$E$2</f>
        <v>THẺ LƯƠNG THÁNG 08/2019</v>
      </c>
      <c r="F4628" s="698"/>
      <c r="G4628" s="698"/>
      <c r="H4628" s="698"/>
    </row>
    <row r="4629" spans="1:12" ht="9.1999999999999993" customHeight="1">
      <c r="B4629" s="699" t="s">
        <v>644</v>
      </c>
      <c r="C4629" s="700" t="s">
        <v>592</v>
      </c>
      <c r="D4629" s="701"/>
      <c r="F4629" s="702" t="s">
        <v>645</v>
      </c>
      <c r="G4629" s="689" t="str">
        <f>VLOOKUP(C4629,'Luong VP'!$B$10:$AP$192,2,0)</f>
        <v>Nguyễn Hoàng Đức</v>
      </c>
    </row>
    <row r="4630" spans="1:12" ht="9.1999999999999993" customHeight="1">
      <c r="B4630" s="699" t="s">
        <v>646</v>
      </c>
      <c r="C4630" s="689" t="str">
        <f>VLOOKUP(C4629,'Luong VP'!$B$10:$AP$192,3,0)</f>
        <v>NV Giao nhận/ Phụ xe</v>
      </c>
      <c r="F4630" s="702" t="s">
        <v>647</v>
      </c>
      <c r="G4630" s="689">
        <f>VLOOKUP(C4629,'Luong VP'!$B$10:$AP$192,5,0)</f>
        <v>1</v>
      </c>
    </row>
    <row r="4631" spans="1:12" ht="9.1999999999999993" customHeight="1">
      <c r="B4631" s="703"/>
      <c r="C4631" s="704"/>
      <c r="D4631" s="705"/>
      <c r="F4631" s="706" t="s">
        <v>648</v>
      </c>
      <c r="G4631" s="706"/>
      <c r="H4631" s="706"/>
      <c r="I4631" s="725"/>
      <c r="J4631" s="726"/>
    </row>
    <row r="4632" spans="1:12" ht="9.1999999999999993" customHeight="1">
      <c r="A4632" s="707" t="s">
        <v>216</v>
      </c>
      <c r="B4632" s="707" t="s">
        <v>649</v>
      </c>
      <c r="C4632" s="708" t="s">
        <v>650</v>
      </c>
      <c r="D4632" s="709"/>
      <c r="E4632" s="710" t="s">
        <v>216</v>
      </c>
      <c r="F4632" s="711" t="s">
        <v>649</v>
      </c>
      <c r="G4632" s="710"/>
      <c r="H4632" s="710" t="s">
        <v>651</v>
      </c>
      <c r="I4632" s="727" t="s">
        <v>652</v>
      </c>
      <c r="J4632" s="714"/>
      <c r="L4632" s="694" t="s">
        <v>653</v>
      </c>
    </row>
    <row r="4633" spans="1:12" ht="9.1999999999999993" customHeight="1">
      <c r="A4633" s="712">
        <v>1</v>
      </c>
      <c r="B4633" s="713" t="s">
        <v>654</v>
      </c>
      <c r="C4633" s="714">
        <f>VLOOKUP(C4629,'Luong VP'!$B$10:$AP$192,9,0)</f>
        <v>4500</v>
      </c>
      <c r="D4633" s="715"/>
      <c r="E4633" s="710" t="s">
        <v>655</v>
      </c>
      <c r="F4633" s="716" t="s">
        <v>656</v>
      </c>
      <c r="G4633" s="710"/>
      <c r="H4633" s="710"/>
      <c r="I4633" s="727"/>
      <c r="J4633" s="714">
        <f>VLOOKUP(C4629,'Luong VP'!$B$10:$AP$192,21,0)</f>
        <v>4500</v>
      </c>
    </row>
    <row r="4634" spans="1:12" ht="9.1999999999999993" customHeight="1">
      <c r="A4634" s="712">
        <v>2</v>
      </c>
      <c r="B4634" s="713" t="s">
        <v>658</v>
      </c>
      <c r="C4634" s="714"/>
      <c r="D4634" s="717"/>
      <c r="E4634" s="710">
        <v>1</v>
      </c>
      <c r="F4634" s="718" t="s">
        <v>659</v>
      </c>
      <c r="G4634" s="718"/>
      <c r="H4634" s="710" t="s">
        <v>660</v>
      </c>
      <c r="I4634" s="727">
        <f>VLOOKUP(C4629,'Luong VP'!$B$10:$AP$192,22,0)</f>
        <v>26</v>
      </c>
      <c r="J4634" s="728">
        <f>J4633/'Cham cong'!$AS$3*I4634</f>
        <v>4500</v>
      </c>
    </row>
    <row r="4635" spans="1:12" ht="9.1999999999999993" customHeight="1">
      <c r="A4635" s="712">
        <v>3</v>
      </c>
      <c r="B4635" s="713" t="s">
        <v>661</v>
      </c>
      <c r="C4635" s="714">
        <f>VLOOKUP(C4629,'Luong VP'!$B$10:$AP$192,10,0)</f>
        <v>0</v>
      </c>
      <c r="D4635" s="717"/>
      <c r="E4635" s="710">
        <v>2</v>
      </c>
      <c r="F4635" s="718" t="s">
        <v>662</v>
      </c>
      <c r="G4635" s="718"/>
      <c r="H4635" s="710" t="s">
        <v>660</v>
      </c>
      <c r="I4635" s="727">
        <f>VLOOKUP(C4629,'Luong VP'!$B$10:$AP$192,27,0)</f>
        <v>0</v>
      </c>
      <c r="J4635" s="728">
        <f>J4633/'Cham cong'!$AS$3*I4635*3</f>
        <v>0</v>
      </c>
    </row>
    <row r="4636" spans="1:12" ht="9.1999999999999993" customHeight="1">
      <c r="A4636" s="712">
        <v>4</v>
      </c>
      <c r="B4636" s="713" t="s">
        <v>666</v>
      </c>
      <c r="C4636" s="714">
        <f>VLOOKUP(C4629,'Luong VP'!$B$10:$AP$192,11,0)</f>
        <v>0</v>
      </c>
      <c r="D4636" s="717"/>
      <c r="E4636" s="710">
        <v>3</v>
      </c>
      <c r="F4636" s="718" t="s">
        <v>667</v>
      </c>
      <c r="G4636" s="718"/>
      <c r="H4636" s="710" t="s">
        <v>668</v>
      </c>
      <c r="I4636" s="727">
        <f>VLOOKUP(C4629,'Luong VP'!$B$10:$AP$192,26,0)</f>
        <v>0</v>
      </c>
      <c r="J4636" s="728">
        <f>J4633/'Cham cong'!$AS$3*I4636/8*1.5</f>
        <v>0</v>
      </c>
    </row>
    <row r="4637" spans="1:12" ht="9.1999999999999993" customHeight="1">
      <c r="A4637" s="712">
        <v>5</v>
      </c>
      <c r="B4637" s="713" t="s">
        <v>670</v>
      </c>
      <c r="C4637" s="714">
        <f>VLOOKUP(C4629,'Luong VP'!$B$10:$AP$192,12,0)</f>
        <v>0</v>
      </c>
      <c r="D4637" s="717"/>
      <c r="E4637" s="710">
        <v>4</v>
      </c>
      <c r="F4637" s="718" t="s">
        <v>671</v>
      </c>
      <c r="G4637" s="718"/>
      <c r="H4637" s="710" t="s">
        <v>668</v>
      </c>
      <c r="I4637" s="727">
        <f>VLOOKUP(C4629,'Luong VP'!$B$10:$AP$192,25,0)</f>
        <v>0</v>
      </c>
      <c r="J4637" s="728">
        <f>J4633/'Cham cong'!$AS$3*I4637/8*2</f>
        <v>0</v>
      </c>
    </row>
    <row r="4638" spans="1:12" ht="9.1999999999999993" customHeight="1">
      <c r="A4638" s="712">
        <v>6</v>
      </c>
      <c r="B4638" s="713" t="s">
        <v>673</v>
      </c>
      <c r="C4638" s="714">
        <f>VLOOKUP(C4629,'Luong VP'!$B$10:$AP$192,13,0)</f>
        <v>0</v>
      </c>
      <c r="D4638" s="717"/>
      <c r="E4638" s="710">
        <v>5</v>
      </c>
      <c r="F4638" s="718" t="s">
        <v>674</v>
      </c>
      <c r="G4638" s="718"/>
      <c r="H4638" s="710" t="s">
        <v>660</v>
      </c>
      <c r="I4638" s="727">
        <f>VLOOKUP(C4629,'Luong VP'!$B$10:$AP$192,23,0)</f>
        <v>0</v>
      </c>
      <c r="J4638" s="728">
        <f>C4633/'Cham cong'!$AS$3*I4638</f>
        <v>0</v>
      </c>
      <c r="L4638" s="694" t="str">
        <f>G4629</f>
        <v>Nguyễn Hoàng Đức</v>
      </c>
    </row>
    <row r="4639" spans="1:12" ht="9.1999999999999993" customHeight="1">
      <c r="A4639" s="712">
        <v>7</v>
      </c>
      <c r="B4639" s="713" t="s">
        <v>676</v>
      </c>
      <c r="C4639" s="714"/>
      <c r="D4639" s="717"/>
      <c r="E4639" s="710">
        <v>6</v>
      </c>
      <c r="F4639" s="718" t="s">
        <v>677</v>
      </c>
      <c r="G4639" s="718"/>
      <c r="H4639" s="710" t="s">
        <v>660</v>
      </c>
      <c r="I4639" s="727">
        <f>VLOOKUP(C4629,'Luong VP'!$B$10:$AP$192,24,0)</f>
        <v>1</v>
      </c>
      <c r="J4639" s="714">
        <f>C4633/'Cham cong'!$AS$3*I4639</f>
        <v>173.07692307692307</v>
      </c>
    </row>
    <row r="4640" spans="1:12" ht="9.1999999999999993" customHeight="1">
      <c r="A4640" s="712">
        <v>8</v>
      </c>
      <c r="B4640" s="713" t="s">
        <v>679</v>
      </c>
      <c r="C4640" s="714">
        <f>VLOOKUP(C4629,'Luong VP'!$B$10:$AP$192,14,0)</f>
        <v>0</v>
      </c>
      <c r="D4640" s="717"/>
      <c r="E4640" s="710">
        <v>7</v>
      </c>
      <c r="F4640" s="718" t="s">
        <v>680</v>
      </c>
      <c r="G4640" s="718"/>
      <c r="H4640" s="718"/>
      <c r="I4640" s="729"/>
      <c r="J4640" s="714">
        <f>VLOOKUP(C4629,'Luong VP'!$B$10:$AP$192,28,0)</f>
        <v>360</v>
      </c>
    </row>
    <row r="4641" spans="1:12" ht="9.1999999999999993" customHeight="1">
      <c r="A4641" s="712">
        <v>9</v>
      </c>
      <c r="B4641" s="713" t="s">
        <v>683</v>
      </c>
      <c r="C4641" s="714">
        <f>VLOOKUP(C4629,'Luong VP'!$B$10:$AP$192,15,0)</f>
        <v>0</v>
      </c>
      <c r="D4641" s="717"/>
      <c r="E4641" s="710" t="s">
        <v>686</v>
      </c>
      <c r="F4641" s="716" t="s">
        <v>687</v>
      </c>
      <c r="G4641" s="719"/>
      <c r="H4641" s="719"/>
      <c r="I4641" s="729"/>
      <c r="J4641" s="730"/>
    </row>
    <row r="4642" spans="1:12" ht="9.1999999999999993" customHeight="1">
      <c r="A4642" s="712">
        <v>10</v>
      </c>
      <c r="B4642" s="713" t="s">
        <v>685</v>
      </c>
      <c r="C4642" s="714">
        <f>VLOOKUP(C4629,'Luong VP'!$B$10:$AP$192,16,0)</f>
        <v>0</v>
      </c>
      <c r="D4642" s="717"/>
      <c r="E4642" s="710">
        <v>1</v>
      </c>
      <c r="F4642" s="716" t="s">
        <v>689</v>
      </c>
      <c r="G4642" s="719"/>
      <c r="H4642" s="719"/>
      <c r="I4642" s="714">
        <f>VLOOKUP(C4629,'Luong VP'!$B$10:$AP$209,29,0)</f>
        <v>150738.4166666666</v>
      </c>
      <c r="J4642" s="714">
        <f>VLOOKUP(C4629,'Luong VP'!$B$10:$AP$192,30,0)</f>
        <v>1808.8609999999992</v>
      </c>
    </row>
    <row r="4643" spans="1:12" ht="9.1999999999999993" customHeight="1">
      <c r="A4643" s="712">
        <v>11</v>
      </c>
      <c r="B4643" s="713" t="s">
        <v>688</v>
      </c>
      <c r="C4643" s="714">
        <f>VLOOKUP(C4629,'Luong VP'!$B$10:$AP$192,17,0)</f>
        <v>0</v>
      </c>
      <c r="D4643" s="717"/>
      <c r="E4643" s="710">
        <v>2</v>
      </c>
      <c r="F4643" s="716" t="s">
        <v>702</v>
      </c>
      <c r="G4643" s="719"/>
      <c r="H4643" s="719"/>
      <c r="I4643" s="729"/>
      <c r="J4643" s="714">
        <f>VLOOKUP(C4629,'Luong VP'!$B$10:$AP$192,32,0)</f>
        <v>0</v>
      </c>
      <c r="K4643" s="731"/>
      <c r="L4643" s="715"/>
    </row>
    <row r="4644" spans="1:12" ht="9.1999999999999993" customHeight="1">
      <c r="A4644" s="712">
        <v>12</v>
      </c>
      <c r="B4644" s="713" t="s">
        <v>691</v>
      </c>
      <c r="C4644" s="714">
        <f>VLOOKUP(C4629,'Luong VP'!$B$10:$AP$192,18,0)</f>
        <v>0</v>
      </c>
      <c r="D4644" s="717"/>
      <c r="E4644" s="710">
        <v>3</v>
      </c>
      <c r="F4644" s="718" t="s">
        <v>238</v>
      </c>
      <c r="G4644" s="718"/>
      <c r="H4644" s="710"/>
      <c r="I4644" s="729"/>
      <c r="J4644" s="714">
        <f>VLOOKUP(C4629,'Luong VP'!$B$10:$AP$192,33,0)</f>
        <v>0</v>
      </c>
      <c r="K4644" s="731"/>
      <c r="L4644" s="715"/>
    </row>
    <row r="4645" spans="1:12" ht="9.1999999999999993" customHeight="1">
      <c r="A4645" s="712">
        <v>13</v>
      </c>
      <c r="B4645" s="713" t="s">
        <v>692</v>
      </c>
      <c r="C4645" s="714">
        <f>VLOOKUP(C4629,'Luong VP'!$B$10:$AP$192,19,0)</f>
        <v>0</v>
      </c>
      <c r="D4645" s="717"/>
      <c r="E4645" s="710">
        <v>4</v>
      </c>
      <c r="F4645" s="718" t="s">
        <v>239</v>
      </c>
      <c r="G4645" s="718"/>
      <c r="H4645" s="718"/>
      <c r="I4645" s="727"/>
      <c r="J4645" s="728">
        <f>VLOOKUP(C4629,'Luong VP'!$B$10:$AP$192,34,0)</f>
        <v>0</v>
      </c>
      <c r="K4645" s="732"/>
      <c r="L4645" s="715"/>
    </row>
    <row r="4646" spans="1:12" ht="9.1999999999999993" customHeight="1">
      <c r="A4646" s="712">
        <v>14</v>
      </c>
      <c r="B4646" s="713" t="s">
        <v>694</v>
      </c>
      <c r="C4646" s="714">
        <f>VLOOKUP(C4629,'Luong VP'!$B$10:$AP$192,20,0)</f>
        <v>0</v>
      </c>
      <c r="D4646" s="717"/>
      <c r="E4646" s="710">
        <v>5</v>
      </c>
      <c r="F4646" s="718" t="s">
        <v>695</v>
      </c>
      <c r="G4646" s="719"/>
      <c r="H4646" s="719"/>
      <c r="I4646" s="729"/>
      <c r="J4646" s="714">
        <f>VLOOKUP(C4629,'Luong VP'!$B$10:$AP$192,35,0)</f>
        <v>0</v>
      </c>
      <c r="K4646" s="732"/>
      <c r="L4646" s="715"/>
    </row>
    <row r="4647" spans="1:12" ht="9.1999999999999993" customHeight="1">
      <c r="A4647" s="712"/>
      <c r="B4647" s="707" t="s">
        <v>656</v>
      </c>
      <c r="C4647" s="714">
        <f>SUM(C4633:C4646)-C4641</f>
        <v>4500</v>
      </c>
      <c r="D4647" s="717"/>
      <c r="E4647" s="710">
        <v>6</v>
      </c>
      <c r="F4647" s="716" t="s">
        <v>693</v>
      </c>
      <c r="G4647" s="719"/>
      <c r="H4647" s="719"/>
      <c r="I4647" s="729"/>
      <c r="J4647" s="714">
        <f>VLOOKUP(C4629,'Luong VP'!$B$10:$AP$192,40,0)</f>
        <v>0</v>
      </c>
      <c r="K4647" s="731"/>
      <c r="L4647" s="715"/>
    </row>
    <row r="4648" spans="1:12" ht="9.1999999999999993" customHeight="1">
      <c r="B4648" s="720"/>
      <c r="C4648" s="717"/>
      <c r="D4648" s="717"/>
      <c r="E4648" s="710"/>
      <c r="F4648" s="716" t="s">
        <v>241</v>
      </c>
      <c r="G4648" s="719"/>
      <c r="H4648" s="719"/>
      <c r="I4648" s="729"/>
      <c r="J4648" s="730">
        <f>SUM(J4634:J4647)+C4641</f>
        <v>6841.9379230769218</v>
      </c>
      <c r="K4648" s="732"/>
      <c r="L4648" s="715"/>
    </row>
    <row r="4649" spans="1:12" ht="9.1999999999999993" customHeight="1">
      <c r="B4649" s="720"/>
      <c r="C4649" s="717"/>
      <c r="D4649" s="717"/>
      <c r="E4649" s="710" t="s">
        <v>696</v>
      </c>
      <c r="F4649" s="711" t="s">
        <v>697</v>
      </c>
      <c r="G4649" s="710"/>
      <c r="H4649" s="710"/>
      <c r="I4649" s="729"/>
      <c r="J4649" s="730">
        <f>SUM(J4650:J4652)</f>
        <v>3480.585</v>
      </c>
      <c r="K4649" s="734"/>
      <c r="L4649" s="735"/>
    </row>
    <row r="4650" spans="1:12" ht="9.1999999999999993" customHeight="1">
      <c r="B4650" s="720"/>
      <c r="C4650" s="717"/>
      <c r="D4650" s="717"/>
      <c r="E4650" s="710">
        <v>1</v>
      </c>
      <c r="F4650" s="718" t="s">
        <v>698</v>
      </c>
      <c r="G4650" s="718"/>
      <c r="H4650" s="718"/>
      <c r="I4650" s="733"/>
      <c r="J4650" s="714">
        <f>VLOOKUP(C4629,'Luong VP'!$B$10:$AP$192,37,0)</f>
        <v>480.58499999999998</v>
      </c>
    </row>
    <row r="4651" spans="1:12" ht="9.1999999999999993" customHeight="1">
      <c r="B4651" s="720"/>
      <c r="C4651" s="717"/>
      <c r="D4651" s="717"/>
      <c r="E4651" s="710">
        <v>2</v>
      </c>
      <c r="F4651" s="718" t="s">
        <v>244</v>
      </c>
      <c r="G4651" s="718"/>
      <c r="H4651" s="718"/>
      <c r="I4651" s="729"/>
      <c r="J4651" s="714">
        <f>VLOOKUP(C4629,'Luong VP'!$B$10:$AP$192,39,0)</f>
        <v>3000</v>
      </c>
    </row>
    <row r="4652" spans="1:12" ht="9.1999999999999993" customHeight="1">
      <c r="B4652" s="720"/>
      <c r="C4652" s="717"/>
      <c r="D4652" s="717"/>
      <c r="E4652" s="710"/>
      <c r="F4652" s="718" t="s">
        <v>699</v>
      </c>
      <c r="G4652" s="718"/>
      <c r="H4652" s="718"/>
      <c r="I4652" s="729"/>
      <c r="J4652" s="714"/>
      <c r="K4652" s="714"/>
      <c r="L4652" s="736"/>
    </row>
    <row r="4653" spans="1:12" ht="9.1999999999999993" customHeight="1">
      <c r="B4653" s="720"/>
      <c r="C4653" s="717"/>
      <c r="D4653" s="717"/>
      <c r="E4653" s="710" t="s">
        <v>700</v>
      </c>
      <c r="F4653" s="710" t="s">
        <v>246</v>
      </c>
      <c r="G4653" s="710"/>
      <c r="H4653" s="710"/>
      <c r="I4653" s="729"/>
      <c r="J4653" s="728">
        <f>J4648-J4649</f>
        <v>3361.3529230769218</v>
      </c>
      <c r="K4653" s="728">
        <f>ROUND(J4653,-1)</f>
        <v>3360</v>
      </c>
      <c r="L4653" s="710"/>
    </row>
    <row r="4654" spans="1:12" ht="9.1999999999999993" customHeight="1">
      <c r="E4654" s="715"/>
      <c r="F4654" s="715"/>
      <c r="G4654" s="715"/>
      <c r="I4654" s="715" t="s">
        <v>701</v>
      </c>
      <c r="J4654" s="737"/>
    </row>
    <row r="4658" spans="1:12" ht="9.1999999999999993" customHeight="1">
      <c r="B4658" s="720"/>
      <c r="C4658" s="717"/>
      <c r="D4658" s="717"/>
      <c r="E4658" s="715"/>
      <c r="F4658" s="715"/>
      <c r="G4658" s="715"/>
      <c r="H4658" s="715"/>
      <c r="I4658" s="849"/>
      <c r="J4658" s="737"/>
      <c r="K4658" s="737"/>
      <c r="L4658" s="715"/>
    </row>
    <row r="4659" spans="1:12" ht="9.1999999999999993" customHeight="1">
      <c r="C4659" s="696"/>
      <c r="D4659" s="696"/>
      <c r="E4659" s="697" t="str">
        <f>$E$2</f>
        <v>THẺ LƯƠNG THÁNG 08/2019</v>
      </c>
      <c r="F4659" s="698"/>
      <c r="G4659" s="698"/>
      <c r="H4659" s="698"/>
    </row>
    <row r="4660" spans="1:12" ht="9.1999999999999993" customHeight="1">
      <c r="B4660" s="699" t="s">
        <v>644</v>
      </c>
      <c r="C4660" s="848" t="s">
        <v>594</v>
      </c>
      <c r="D4660" s="701"/>
      <c r="F4660" s="702" t="s">
        <v>645</v>
      </c>
      <c r="G4660" s="689" t="str">
        <f>VLOOKUP(C4660,'Luong VP'!$B$10:$AP$210,2,0)</f>
        <v>Phan Văn Thừa</v>
      </c>
    </row>
    <row r="4661" spans="1:12" ht="9.1999999999999993" customHeight="1">
      <c r="B4661" s="699" t="s">
        <v>646</v>
      </c>
      <c r="C4661" s="689" t="str">
        <f>VLOOKUP(C4660,'Luong VP'!$B$10:$AP$210,3,0)</f>
        <v>NV Giao nhận/ Phụ xe</v>
      </c>
      <c r="F4661" s="702" t="s">
        <v>647</v>
      </c>
      <c r="G4661" s="689">
        <f>VLOOKUP(C4660,'Luong VP'!$B$10:$AP$210,5,0)</f>
        <v>1</v>
      </c>
    </row>
    <row r="4662" spans="1:12" ht="9.1999999999999993" customHeight="1">
      <c r="B4662" s="703"/>
      <c r="C4662" s="704"/>
      <c r="D4662" s="705"/>
      <c r="F4662" s="706" t="s">
        <v>648</v>
      </c>
      <c r="G4662" s="706"/>
      <c r="H4662" s="706"/>
      <c r="I4662" s="725"/>
      <c r="J4662" s="726"/>
    </row>
    <row r="4663" spans="1:12" ht="9.1999999999999993" customHeight="1">
      <c r="A4663" s="707" t="s">
        <v>216</v>
      </c>
      <c r="B4663" s="707" t="s">
        <v>649</v>
      </c>
      <c r="C4663" s="708" t="s">
        <v>650</v>
      </c>
      <c r="D4663" s="709"/>
      <c r="E4663" s="710" t="s">
        <v>216</v>
      </c>
      <c r="F4663" s="711" t="s">
        <v>649</v>
      </c>
      <c r="G4663" s="710"/>
      <c r="H4663" s="710" t="s">
        <v>651</v>
      </c>
      <c r="I4663" s="727" t="s">
        <v>652</v>
      </c>
      <c r="J4663" s="714"/>
      <c r="L4663" s="694" t="s">
        <v>653</v>
      </c>
    </row>
    <row r="4664" spans="1:12" ht="9.1999999999999993" customHeight="1">
      <c r="A4664" s="712">
        <v>1</v>
      </c>
      <c r="B4664" s="713" t="s">
        <v>654</v>
      </c>
      <c r="C4664" s="714">
        <f>VLOOKUP(C4660,'Luong VP'!$B$10:$AP$210,9,0)</f>
        <v>4500</v>
      </c>
      <c r="D4664" s="715"/>
      <c r="E4664" s="710" t="s">
        <v>655</v>
      </c>
      <c r="F4664" s="716" t="s">
        <v>656</v>
      </c>
      <c r="G4664" s="710"/>
      <c r="H4664" s="710"/>
      <c r="I4664" s="727"/>
      <c r="J4664" s="714">
        <f>VLOOKUP(C4660,'Luong VP'!$B$10:$AP$210,21,0)</f>
        <v>4500</v>
      </c>
    </row>
    <row r="4665" spans="1:12" ht="9.1999999999999993" customHeight="1">
      <c r="A4665" s="712">
        <v>2</v>
      </c>
      <c r="B4665" s="713" t="s">
        <v>658</v>
      </c>
      <c r="C4665" s="714"/>
      <c r="D4665" s="717"/>
      <c r="E4665" s="710">
        <v>1</v>
      </c>
      <c r="F4665" s="718" t="s">
        <v>659</v>
      </c>
      <c r="G4665" s="718"/>
      <c r="H4665" s="710" t="s">
        <v>660</v>
      </c>
      <c r="I4665" s="727">
        <f>VLOOKUP(C4660,'Luong VP'!$B$10:$AP$210,22,0)</f>
        <v>26</v>
      </c>
      <c r="J4665" s="728">
        <f>J4664/'Cham cong'!$AS$3*I4665</f>
        <v>4500</v>
      </c>
    </row>
    <row r="4666" spans="1:12" ht="9.1999999999999993" customHeight="1">
      <c r="A4666" s="712">
        <v>3</v>
      </c>
      <c r="B4666" s="713" t="s">
        <v>661</v>
      </c>
      <c r="C4666" s="714">
        <f>VLOOKUP(C4660,'Luong VP'!$B$10:$AP$210,10,0)</f>
        <v>0</v>
      </c>
      <c r="D4666" s="717"/>
      <c r="E4666" s="710">
        <v>2</v>
      </c>
      <c r="F4666" s="718" t="s">
        <v>662</v>
      </c>
      <c r="G4666" s="718"/>
      <c r="H4666" s="710" t="s">
        <v>660</v>
      </c>
      <c r="I4666" s="727">
        <f>VLOOKUP(C4660,'Luong VP'!$B$10:$AP$210,27,0)</f>
        <v>0</v>
      </c>
      <c r="J4666" s="728">
        <f>J4664/'Cham cong'!$AS$3*I4666*3</f>
        <v>0</v>
      </c>
    </row>
    <row r="4667" spans="1:12" ht="9.1999999999999993" customHeight="1">
      <c r="A4667" s="712">
        <v>4</v>
      </c>
      <c r="B4667" s="713" t="s">
        <v>666</v>
      </c>
      <c r="C4667" s="714">
        <f>VLOOKUP(C4660,'Luong VP'!$B$10:$AP$210,11,0)</f>
        <v>0</v>
      </c>
      <c r="D4667" s="717"/>
      <c r="E4667" s="710">
        <v>3</v>
      </c>
      <c r="F4667" s="718" t="s">
        <v>667</v>
      </c>
      <c r="G4667" s="718"/>
      <c r="H4667" s="710" t="s">
        <v>668</v>
      </c>
      <c r="I4667" s="727">
        <f>VLOOKUP(C4660,'Luong VP'!$B$10:$AP$210,26,0)</f>
        <v>0</v>
      </c>
      <c r="J4667" s="728">
        <f>J4664/'Cham cong'!$AS$3*I4667/8*1.5</f>
        <v>0</v>
      </c>
    </row>
    <row r="4668" spans="1:12" ht="9.1999999999999993" customHeight="1">
      <c r="A4668" s="712">
        <v>5</v>
      </c>
      <c r="B4668" s="713" t="s">
        <v>670</v>
      </c>
      <c r="C4668" s="714">
        <f>VLOOKUP(C4660,'Luong VP'!$B$10:$AP$210,12,0)</f>
        <v>0</v>
      </c>
      <c r="D4668" s="717"/>
      <c r="E4668" s="710">
        <v>4</v>
      </c>
      <c r="F4668" s="718" t="s">
        <v>671</v>
      </c>
      <c r="G4668" s="718"/>
      <c r="H4668" s="710" t="s">
        <v>668</v>
      </c>
      <c r="I4668" s="727">
        <f>VLOOKUP(C4660,'Luong VP'!$B$10:$AP$210,25,0)</f>
        <v>0</v>
      </c>
      <c r="J4668" s="728">
        <f>J4664/'Cham cong'!$AS$3*I4668/8*2</f>
        <v>0</v>
      </c>
    </row>
    <row r="4669" spans="1:12" ht="9.1999999999999993" customHeight="1">
      <c r="A4669" s="712">
        <v>6</v>
      </c>
      <c r="B4669" s="713" t="s">
        <v>673</v>
      </c>
      <c r="C4669" s="714">
        <f>VLOOKUP(C4660,'Luong VP'!$B$10:$AP$210,13,0)</f>
        <v>0</v>
      </c>
      <c r="D4669" s="717"/>
      <c r="E4669" s="710">
        <v>5</v>
      </c>
      <c r="F4669" s="718" t="s">
        <v>674</v>
      </c>
      <c r="G4669" s="718"/>
      <c r="H4669" s="710" t="s">
        <v>660</v>
      </c>
      <c r="I4669" s="727">
        <f>VLOOKUP(C4660,'Luong VP'!$B$10:$AP$210,23,0)</f>
        <v>0</v>
      </c>
      <c r="J4669" s="728">
        <f>C4664/'Cham cong'!$AS$3*I4669</f>
        <v>0</v>
      </c>
      <c r="L4669" s="694" t="str">
        <f>G4660</f>
        <v>Phan Văn Thừa</v>
      </c>
    </row>
    <row r="4670" spans="1:12" ht="9.1999999999999993" customHeight="1">
      <c r="A4670" s="712">
        <v>7</v>
      </c>
      <c r="B4670" s="713" t="s">
        <v>676</v>
      </c>
      <c r="C4670" s="714"/>
      <c r="D4670" s="717"/>
      <c r="E4670" s="710">
        <v>6</v>
      </c>
      <c r="F4670" s="718" t="s">
        <v>677</v>
      </c>
      <c r="G4670" s="718"/>
      <c r="H4670" s="710" t="s">
        <v>660</v>
      </c>
      <c r="I4670" s="727">
        <f>VLOOKUP(C4660,'Luong VP'!$B$10:$AP$210,24,0)</f>
        <v>1</v>
      </c>
      <c r="J4670" s="714">
        <f>C4664/'Cham cong'!$AS$3*I4670</f>
        <v>173.07692307692307</v>
      </c>
    </row>
    <row r="4671" spans="1:12" ht="9.1999999999999993" customHeight="1">
      <c r="A4671" s="712">
        <v>8</v>
      </c>
      <c r="B4671" s="713" t="s">
        <v>679</v>
      </c>
      <c r="C4671" s="714">
        <f>VLOOKUP(C4660,'Luong VP'!$B$10:$AP$210,14,0)</f>
        <v>0</v>
      </c>
      <c r="D4671" s="717"/>
      <c r="E4671" s="710">
        <v>7</v>
      </c>
      <c r="F4671" s="718" t="s">
        <v>680</v>
      </c>
      <c r="G4671" s="718"/>
      <c r="H4671" s="718"/>
      <c r="I4671" s="729"/>
      <c r="J4671" s="714">
        <f>VLOOKUP(C4660,'Luong VP'!$B$10:$AP$210,28,0)</f>
        <v>600</v>
      </c>
    </row>
    <row r="4672" spans="1:12" ht="9.1999999999999993" customHeight="1">
      <c r="A4672" s="712">
        <v>9</v>
      </c>
      <c r="B4672" s="713" t="s">
        <v>683</v>
      </c>
      <c r="C4672" s="714">
        <f>VLOOKUP(C4660,'Luong VP'!$B$10:$AP$210,15,0)</f>
        <v>0</v>
      </c>
      <c r="D4672" s="717"/>
      <c r="E4672" s="710" t="s">
        <v>686</v>
      </c>
      <c r="F4672" s="716" t="s">
        <v>687</v>
      </c>
      <c r="G4672" s="719"/>
      <c r="H4672" s="719"/>
      <c r="I4672" s="729"/>
      <c r="J4672" s="730"/>
    </row>
    <row r="4673" spans="1:12" ht="9.1999999999999993" customHeight="1">
      <c r="A4673" s="712">
        <v>10</v>
      </c>
      <c r="B4673" s="713" t="s">
        <v>685</v>
      </c>
      <c r="C4673" s="714">
        <f>VLOOKUP(C4660,'Luong VP'!$B$10:$AP$210,16,0)</f>
        <v>0</v>
      </c>
      <c r="D4673" s="717"/>
      <c r="E4673" s="710">
        <v>1</v>
      </c>
      <c r="F4673" s="716" t="s">
        <v>689</v>
      </c>
      <c r="G4673" s="719"/>
      <c r="H4673" s="719"/>
      <c r="I4673" s="714">
        <f>VLOOKUP(C4660,'Luong VP'!$B$10:$AP$209,29,0)</f>
        <v>168684.70833333334</v>
      </c>
      <c r="J4673" s="714">
        <f>VLOOKUP(C4660,'Luong VP'!$B$10:$AP$210,30,0)</f>
        <v>2024.2165000000002</v>
      </c>
    </row>
    <row r="4674" spans="1:12" ht="9.1999999999999993" customHeight="1">
      <c r="A4674" s="712">
        <v>11</v>
      </c>
      <c r="B4674" s="713" t="s">
        <v>688</v>
      </c>
      <c r="C4674" s="714">
        <f>VLOOKUP(C4660,'Luong VP'!$B$10:$AP$210,17,0)</f>
        <v>0</v>
      </c>
      <c r="D4674" s="717"/>
      <c r="E4674" s="710">
        <v>2</v>
      </c>
      <c r="F4674" s="716" t="s">
        <v>702</v>
      </c>
      <c r="G4674" s="719"/>
      <c r="H4674" s="719"/>
      <c r="I4674" s="729"/>
      <c r="J4674" s="714">
        <f>VLOOKUP(C4660,'Luong VP'!$B$10:$AP$210,32,0)</f>
        <v>0</v>
      </c>
      <c r="K4674" s="731"/>
      <c r="L4674" s="715"/>
    </row>
    <row r="4675" spans="1:12" ht="9.1999999999999993" customHeight="1">
      <c r="A4675" s="712">
        <v>12</v>
      </c>
      <c r="B4675" s="713" t="s">
        <v>691</v>
      </c>
      <c r="C4675" s="714">
        <f>VLOOKUP(C4660,'Luong VP'!$B$10:$AP$210,18,0)</f>
        <v>0</v>
      </c>
      <c r="D4675" s="717"/>
      <c r="E4675" s="710">
        <v>3</v>
      </c>
      <c r="F4675" s="718" t="s">
        <v>238</v>
      </c>
      <c r="G4675" s="718"/>
      <c r="H4675" s="710"/>
      <c r="I4675" s="729"/>
      <c r="J4675" s="714">
        <f>VLOOKUP(C4660,'Luong VP'!$B$10:$AP$210,33,0)</f>
        <v>0</v>
      </c>
      <c r="K4675" s="731"/>
      <c r="L4675" s="715"/>
    </row>
    <row r="4676" spans="1:12" ht="9.1999999999999993" customHeight="1">
      <c r="A4676" s="712">
        <v>13</v>
      </c>
      <c r="B4676" s="713" t="s">
        <v>692</v>
      </c>
      <c r="C4676" s="714">
        <f>VLOOKUP(C4660,'Luong VP'!$B$10:$AP$210,19,0)</f>
        <v>0</v>
      </c>
      <c r="D4676" s="717"/>
      <c r="E4676" s="710">
        <v>4</v>
      </c>
      <c r="F4676" s="718" t="s">
        <v>239</v>
      </c>
      <c r="G4676" s="718"/>
      <c r="H4676" s="718"/>
      <c r="I4676" s="727"/>
      <c r="J4676" s="728">
        <f>VLOOKUP(C4660,'Luong VP'!$B$10:$AP$210,34,0)</f>
        <v>0</v>
      </c>
      <c r="K4676" s="732"/>
      <c r="L4676" s="715"/>
    </row>
    <row r="4677" spans="1:12" ht="9.1999999999999993" customHeight="1">
      <c r="A4677" s="712">
        <v>14</v>
      </c>
      <c r="B4677" s="713" t="s">
        <v>694</v>
      </c>
      <c r="C4677" s="714">
        <f>VLOOKUP(C4660,'Luong VP'!$B$10:$AP$210,20,0)</f>
        <v>0</v>
      </c>
      <c r="D4677" s="717"/>
      <c r="E4677" s="710">
        <v>5</v>
      </c>
      <c r="F4677" s="718" t="s">
        <v>695</v>
      </c>
      <c r="G4677" s="719"/>
      <c r="H4677" s="719"/>
      <c r="I4677" s="729"/>
      <c r="J4677" s="714">
        <f>VLOOKUP(C4660,'Luong VP'!$B$10:$AP$210,35,0)</f>
        <v>0</v>
      </c>
      <c r="K4677" s="732"/>
      <c r="L4677" s="715"/>
    </row>
    <row r="4678" spans="1:12" ht="9.1999999999999993" customHeight="1">
      <c r="A4678" s="712"/>
      <c r="B4678" s="707" t="s">
        <v>656</v>
      </c>
      <c r="C4678" s="714">
        <f>SUM(C4664:C4677)-C4672</f>
        <v>4500</v>
      </c>
      <c r="D4678" s="717"/>
      <c r="E4678" s="710">
        <v>6</v>
      </c>
      <c r="F4678" s="716" t="s">
        <v>693</v>
      </c>
      <c r="G4678" s="719"/>
      <c r="H4678" s="719"/>
      <c r="I4678" s="729"/>
      <c r="J4678" s="714">
        <f>VLOOKUP(C4660,'Luong VP'!$B$10:$AP$210,40,0)</f>
        <v>0</v>
      </c>
      <c r="K4678" s="731"/>
      <c r="L4678" s="715"/>
    </row>
    <row r="4679" spans="1:12" ht="9.1999999999999993" customHeight="1">
      <c r="B4679" s="720"/>
      <c r="C4679" s="717"/>
      <c r="D4679" s="717"/>
      <c r="E4679" s="710"/>
      <c r="F4679" s="716" t="s">
        <v>241</v>
      </c>
      <c r="G4679" s="719"/>
      <c r="H4679" s="719"/>
      <c r="I4679" s="729"/>
      <c r="J4679" s="730">
        <f>SUM(J4665:J4678)+C4672</f>
        <v>7297.2934230769233</v>
      </c>
      <c r="K4679" s="732"/>
      <c r="L4679" s="715"/>
    </row>
    <row r="4680" spans="1:12" ht="9.1999999999999993" customHeight="1">
      <c r="B4680" s="720"/>
      <c r="C4680" s="717"/>
      <c r="D4680" s="717"/>
      <c r="E4680" s="710" t="s">
        <v>696</v>
      </c>
      <c r="F4680" s="711" t="s">
        <v>697</v>
      </c>
      <c r="G4680" s="710"/>
      <c r="H4680" s="710"/>
      <c r="I4680" s="729"/>
      <c r="J4680" s="730">
        <f>SUM(J4681:J4683)</f>
        <v>3480.585</v>
      </c>
      <c r="K4680" s="734"/>
      <c r="L4680" s="735"/>
    </row>
    <row r="4681" spans="1:12" ht="9.1999999999999993" customHeight="1">
      <c r="B4681" s="720"/>
      <c r="C4681" s="717"/>
      <c r="D4681" s="717"/>
      <c r="E4681" s="710">
        <v>1</v>
      </c>
      <c r="F4681" s="718" t="s">
        <v>698</v>
      </c>
      <c r="G4681" s="718"/>
      <c r="H4681" s="718"/>
      <c r="I4681" s="733"/>
      <c r="J4681" s="714">
        <f>VLOOKUP(C4660,'Luong VP'!$B$10:$AP$210,37,0)</f>
        <v>480.58499999999998</v>
      </c>
    </row>
    <row r="4682" spans="1:12" ht="9.1999999999999993" customHeight="1">
      <c r="B4682" s="720"/>
      <c r="C4682" s="717"/>
      <c r="D4682" s="717"/>
      <c r="E4682" s="710">
        <v>2</v>
      </c>
      <c r="F4682" s="718" t="s">
        <v>244</v>
      </c>
      <c r="G4682" s="718"/>
      <c r="H4682" s="718"/>
      <c r="I4682" s="729"/>
      <c r="J4682" s="714">
        <f>VLOOKUP(C4660,'Luong VP'!$B$10:$AP$210,39,0)</f>
        <v>3000</v>
      </c>
    </row>
    <row r="4683" spans="1:12" ht="9.1999999999999993" customHeight="1">
      <c r="B4683" s="720"/>
      <c r="C4683" s="717"/>
      <c r="D4683" s="717"/>
      <c r="E4683" s="710"/>
      <c r="F4683" s="718" t="s">
        <v>699</v>
      </c>
      <c r="G4683" s="718"/>
      <c r="H4683" s="718"/>
      <c r="I4683" s="729"/>
      <c r="J4683" s="714"/>
      <c r="K4683" s="714"/>
      <c r="L4683" s="736"/>
    </row>
    <row r="4684" spans="1:12" ht="9.1999999999999993" customHeight="1">
      <c r="B4684" s="720"/>
      <c r="C4684" s="717"/>
      <c r="D4684" s="717"/>
      <c r="E4684" s="710" t="s">
        <v>700</v>
      </c>
      <c r="F4684" s="710" t="s">
        <v>246</v>
      </c>
      <c r="G4684" s="710"/>
      <c r="H4684" s="710"/>
      <c r="I4684" s="729"/>
      <c r="J4684" s="728">
        <f>J4679-J4680</f>
        <v>3816.7084230769233</v>
      </c>
      <c r="K4684" s="728">
        <f>ROUND(J4684,-1)</f>
        <v>3820</v>
      </c>
      <c r="L4684" s="710"/>
    </row>
    <row r="4685" spans="1:12" ht="9.1999999999999993" customHeight="1">
      <c r="E4685" s="715"/>
      <c r="F4685" s="715"/>
      <c r="G4685" s="715"/>
      <c r="I4685" s="715" t="s">
        <v>701</v>
      </c>
      <c r="J4685" s="737"/>
    </row>
    <row r="4686" spans="1:12" ht="9.1999999999999993" customHeight="1">
      <c r="E4686" s="715"/>
      <c r="F4686" s="715"/>
      <c r="G4686" s="715"/>
      <c r="I4686" s="715"/>
      <c r="J4686" s="737"/>
    </row>
    <row r="4687" spans="1:12" ht="9.1999999999999993" customHeight="1">
      <c r="E4687" s="715"/>
      <c r="F4687" s="715"/>
      <c r="G4687" s="715"/>
      <c r="I4687" s="715"/>
      <c r="J4687" s="737"/>
    </row>
    <row r="4688" spans="1:12" ht="9.1999999999999993" customHeight="1">
      <c r="E4688" s="715"/>
      <c r="F4688" s="715"/>
      <c r="G4688" s="715"/>
      <c r="I4688" s="715"/>
      <c r="J4688" s="737"/>
    </row>
    <row r="4689" spans="1:12" ht="9.1999999999999993" customHeight="1">
      <c r="E4689" s="715"/>
      <c r="F4689" s="715"/>
      <c r="G4689" s="715"/>
      <c r="I4689" s="715"/>
      <c r="J4689" s="737"/>
    </row>
    <row r="4690" spans="1:12" ht="9.1999999999999993" customHeight="1">
      <c r="C4690" s="696"/>
      <c r="D4690" s="696"/>
      <c r="E4690" s="697" t="str">
        <f>$E$2</f>
        <v>THẺ LƯƠNG THÁNG 08/2019</v>
      </c>
      <c r="F4690" s="698"/>
      <c r="G4690" s="698"/>
      <c r="H4690" s="698"/>
    </row>
    <row r="4691" spans="1:12" ht="9.1999999999999993" customHeight="1">
      <c r="B4691" s="699" t="s">
        <v>644</v>
      </c>
      <c r="C4691" s="848" t="s">
        <v>596</v>
      </c>
      <c r="D4691" s="701"/>
      <c r="F4691" s="702" t="s">
        <v>645</v>
      </c>
      <c r="G4691" s="689" t="str">
        <f>VLOOKUP(C4691,'Luong VP'!$B$10:$AP$210,2,0)</f>
        <v>Trần Ngọc Bảo</v>
      </c>
    </row>
    <row r="4692" spans="1:12" ht="9.1999999999999993" customHeight="1">
      <c r="B4692" s="699" t="s">
        <v>646</v>
      </c>
      <c r="C4692" s="689" t="str">
        <f>VLOOKUP(C4691,'Luong VP'!$B$10:$AP$210,3,0)</f>
        <v>NV Giao nhận/ Phụ xe</v>
      </c>
      <c r="F4692" s="702" t="s">
        <v>647</v>
      </c>
      <c r="G4692" s="689">
        <f>VLOOKUP(C4691,'Luong VP'!$B$10:$AP$210,5,0)</f>
        <v>1</v>
      </c>
    </row>
    <row r="4693" spans="1:12" ht="9.1999999999999993" customHeight="1">
      <c r="B4693" s="703"/>
      <c r="C4693" s="704"/>
      <c r="D4693" s="705"/>
      <c r="F4693" s="706" t="s">
        <v>648</v>
      </c>
      <c r="G4693" s="706"/>
      <c r="H4693" s="706"/>
      <c r="I4693" s="725"/>
      <c r="J4693" s="726"/>
    </row>
    <row r="4694" spans="1:12" ht="9.1999999999999993" customHeight="1">
      <c r="A4694" s="707" t="s">
        <v>216</v>
      </c>
      <c r="B4694" s="707" t="s">
        <v>649</v>
      </c>
      <c r="C4694" s="708" t="s">
        <v>650</v>
      </c>
      <c r="D4694" s="709"/>
      <c r="E4694" s="710" t="s">
        <v>216</v>
      </c>
      <c r="F4694" s="711" t="s">
        <v>649</v>
      </c>
      <c r="G4694" s="710"/>
      <c r="H4694" s="710" t="s">
        <v>651</v>
      </c>
      <c r="I4694" s="727" t="s">
        <v>652</v>
      </c>
      <c r="J4694" s="714"/>
      <c r="L4694" s="694" t="s">
        <v>653</v>
      </c>
    </row>
    <row r="4695" spans="1:12" ht="9.1999999999999993" customHeight="1">
      <c r="A4695" s="712">
        <v>1</v>
      </c>
      <c r="B4695" s="713" t="s">
        <v>654</v>
      </c>
      <c r="C4695" s="714">
        <f>VLOOKUP(C4691,'Luong VP'!$B$10:$AP$210,9,0)</f>
        <v>4500</v>
      </c>
      <c r="D4695" s="715"/>
      <c r="E4695" s="710" t="s">
        <v>655</v>
      </c>
      <c r="F4695" s="716" t="s">
        <v>656</v>
      </c>
      <c r="G4695" s="710"/>
      <c r="H4695" s="710"/>
      <c r="I4695" s="727"/>
      <c r="J4695" s="714">
        <f>VLOOKUP(C4691,'Luong VP'!$B$10:$AP$210,21,0)</f>
        <v>4500</v>
      </c>
    </row>
    <row r="4696" spans="1:12" ht="9.1999999999999993" customHeight="1">
      <c r="A4696" s="712">
        <v>2</v>
      </c>
      <c r="B4696" s="713" t="s">
        <v>658</v>
      </c>
      <c r="C4696" s="714"/>
      <c r="D4696" s="717"/>
      <c r="E4696" s="710">
        <v>1</v>
      </c>
      <c r="F4696" s="718" t="s">
        <v>659</v>
      </c>
      <c r="G4696" s="718"/>
      <c r="H4696" s="710" t="s">
        <v>660</v>
      </c>
      <c r="I4696" s="727">
        <f>VLOOKUP(C4691,'Luong VP'!$B$10:$AP$210,22,0)</f>
        <v>26</v>
      </c>
      <c r="J4696" s="728">
        <f>J4695/'Cham cong'!$AS$3*I4696</f>
        <v>4500</v>
      </c>
    </row>
    <row r="4697" spans="1:12" ht="9.1999999999999993" customHeight="1">
      <c r="A4697" s="712">
        <v>3</v>
      </c>
      <c r="B4697" s="713" t="s">
        <v>661</v>
      </c>
      <c r="C4697" s="714">
        <f>VLOOKUP(C4691,'Luong VP'!$B$10:$AP$210,10,0)</f>
        <v>0</v>
      </c>
      <c r="D4697" s="717"/>
      <c r="E4697" s="710">
        <v>2</v>
      </c>
      <c r="F4697" s="718" t="s">
        <v>662</v>
      </c>
      <c r="G4697" s="718"/>
      <c r="H4697" s="710" t="s">
        <v>660</v>
      </c>
      <c r="I4697" s="727">
        <f>VLOOKUP(C4691,'Luong VP'!$B$10:$AP$210,27,0)</f>
        <v>0</v>
      </c>
      <c r="J4697" s="728">
        <f>J4695/'Cham cong'!$AS$3*I4697*3</f>
        <v>0</v>
      </c>
    </row>
    <row r="4698" spans="1:12" ht="9.1999999999999993" customHeight="1">
      <c r="A4698" s="712">
        <v>4</v>
      </c>
      <c r="B4698" s="713" t="s">
        <v>666</v>
      </c>
      <c r="C4698" s="714">
        <f>VLOOKUP(C4691,'Luong VP'!$B$10:$AP$210,11,0)</f>
        <v>0</v>
      </c>
      <c r="D4698" s="717"/>
      <c r="E4698" s="710">
        <v>3</v>
      </c>
      <c r="F4698" s="718" t="s">
        <v>667</v>
      </c>
      <c r="G4698" s="718"/>
      <c r="H4698" s="710" t="s">
        <v>668</v>
      </c>
      <c r="I4698" s="727">
        <f>VLOOKUP(C4691,'Luong VP'!$B$10:$AP$210,26,0)</f>
        <v>0</v>
      </c>
      <c r="J4698" s="728">
        <f>J4695/'Cham cong'!$AS$3*I4698/8*1.5</f>
        <v>0</v>
      </c>
    </row>
    <row r="4699" spans="1:12" ht="9.1999999999999993" customHeight="1">
      <c r="A4699" s="712">
        <v>5</v>
      </c>
      <c r="B4699" s="713" t="s">
        <v>670</v>
      </c>
      <c r="C4699" s="714">
        <f>VLOOKUP(C4691,'Luong VP'!$B$10:$AP$210,12,0)</f>
        <v>0</v>
      </c>
      <c r="D4699" s="717"/>
      <c r="E4699" s="710">
        <v>4</v>
      </c>
      <c r="F4699" s="718" t="s">
        <v>671</v>
      </c>
      <c r="G4699" s="718"/>
      <c r="H4699" s="710" t="s">
        <v>668</v>
      </c>
      <c r="I4699" s="727">
        <f>VLOOKUP(C4691,'Luong VP'!$B$10:$AP$210,25,0)</f>
        <v>0</v>
      </c>
      <c r="J4699" s="728">
        <f>J4695/'Cham cong'!$AS$3*I4699/8*2</f>
        <v>0</v>
      </c>
    </row>
    <row r="4700" spans="1:12" ht="9.1999999999999993" customHeight="1">
      <c r="A4700" s="712">
        <v>6</v>
      </c>
      <c r="B4700" s="713" t="s">
        <v>673</v>
      </c>
      <c r="C4700" s="714">
        <f>VLOOKUP(C4691,'Luong VP'!$B$10:$AP$210,13,0)</f>
        <v>0</v>
      </c>
      <c r="D4700" s="717"/>
      <c r="E4700" s="710">
        <v>5</v>
      </c>
      <c r="F4700" s="718" t="s">
        <v>674</v>
      </c>
      <c r="G4700" s="718"/>
      <c r="H4700" s="710" t="s">
        <v>660</v>
      </c>
      <c r="I4700" s="727">
        <f>VLOOKUP(C4691,'Luong VP'!$B$10:$AP$210,23,0)</f>
        <v>0</v>
      </c>
      <c r="J4700" s="728">
        <f>C4695/'Cham cong'!$AS$3*I4700</f>
        <v>0</v>
      </c>
      <c r="L4700" s="694" t="str">
        <f>G4691</f>
        <v>Trần Ngọc Bảo</v>
      </c>
    </row>
    <row r="4701" spans="1:12" ht="9.1999999999999993" customHeight="1">
      <c r="A4701" s="712">
        <v>7</v>
      </c>
      <c r="B4701" s="713" t="s">
        <v>676</v>
      </c>
      <c r="C4701" s="714"/>
      <c r="D4701" s="717"/>
      <c r="E4701" s="710">
        <v>6</v>
      </c>
      <c r="F4701" s="718" t="s">
        <v>677</v>
      </c>
      <c r="G4701" s="718"/>
      <c r="H4701" s="710" t="s">
        <v>660</v>
      </c>
      <c r="I4701" s="727">
        <f>VLOOKUP(C4691,'Luong VP'!$B$10:$AP$210,24,0)</f>
        <v>1</v>
      </c>
      <c r="J4701" s="714">
        <f>C4695/'Cham cong'!$AS$3*I4701</f>
        <v>173.07692307692307</v>
      </c>
    </row>
    <row r="4702" spans="1:12" ht="9.1999999999999993" customHeight="1">
      <c r="A4702" s="712">
        <v>8</v>
      </c>
      <c r="B4702" s="713" t="s">
        <v>679</v>
      </c>
      <c r="C4702" s="714">
        <f>VLOOKUP(C4691,'Luong VP'!$B$10:$AP$210,14,0)</f>
        <v>0</v>
      </c>
      <c r="D4702" s="717"/>
      <c r="E4702" s="710">
        <v>7</v>
      </c>
      <c r="F4702" s="718" t="s">
        <v>680</v>
      </c>
      <c r="G4702" s="718"/>
      <c r="H4702" s="718"/>
      <c r="I4702" s="729"/>
      <c r="J4702" s="714">
        <f>VLOOKUP(C4691,'Luong VP'!$B$10:$AP$210,28,0)</f>
        <v>480</v>
      </c>
    </row>
    <row r="4703" spans="1:12" ht="9.1999999999999993" customHeight="1">
      <c r="A4703" s="712">
        <v>9</v>
      </c>
      <c r="B4703" s="713" t="s">
        <v>683</v>
      </c>
      <c r="C4703" s="714">
        <f>VLOOKUP(C4691,'Luong VP'!$B$10:$AP$210,15,0)</f>
        <v>0</v>
      </c>
      <c r="D4703" s="717"/>
      <c r="E4703" s="710" t="s">
        <v>686</v>
      </c>
      <c r="F4703" s="716" t="s">
        <v>687</v>
      </c>
      <c r="G4703" s="719"/>
      <c r="H4703" s="719"/>
      <c r="I4703" s="729"/>
      <c r="J4703" s="730"/>
    </row>
    <row r="4704" spans="1:12" ht="9.1999999999999993" customHeight="1">
      <c r="A4704" s="712">
        <v>10</v>
      </c>
      <c r="B4704" s="713" t="s">
        <v>685</v>
      </c>
      <c r="C4704" s="714">
        <f>VLOOKUP(C4691,'Luong VP'!$B$10:$AP$210,16,0)</f>
        <v>0</v>
      </c>
      <c r="D4704" s="717"/>
      <c r="E4704" s="710">
        <v>1</v>
      </c>
      <c r="F4704" s="716" t="s">
        <v>689</v>
      </c>
      <c r="G4704" s="719"/>
      <c r="H4704" s="719"/>
      <c r="I4704" s="714">
        <f>VLOOKUP(C4691,'Luong VP'!$B$10:$AP$209,29,0)</f>
        <v>169760</v>
      </c>
      <c r="J4704" s="714">
        <f>VLOOKUP(C4691,'Luong VP'!$B$10:$AP$210,30,0)</f>
        <v>2037.12</v>
      </c>
    </row>
    <row r="4705" spans="1:12" ht="9.1999999999999993" customHeight="1">
      <c r="A4705" s="712">
        <v>11</v>
      </c>
      <c r="B4705" s="713" t="s">
        <v>688</v>
      </c>
      <c r="C4705" s="714">
        <f>VLOOKUP(C4691,'Luong VP'!$B$10:$AP$210,17,0)</f>
        <v>0</v>
      </c>
      <c r="D4705" s="717"/>
      <c r="E4705" s="710">
        <v>2</v>
      </c>
      <c r="F4705" s="716" t="s">
        <v>702</v>
      </c>
      <c r="G4705" s="719"/>
      <c r="H4705" s="719"/>
      <c r="I4705" s="729"/>
      <c r="J4705" s="714">
        <f>VLOOKUP(C4691,'Luong VP'!$B$10:$AP$210,32,0)</f>
        <v>0</v>
      </c>
      <c r="K4705" s="731"/>
      <c r="L4705" s="715"/>
    </row>
    <row r="4706" spans="1:12" ht="9.1999999999999993" customHeight="1">
      <c r="A4706" s="712">
        <v>12</v>
      </c>
      <c r="B4706" s="713" t="s">
        <v>691</v>
      </c>
      <c r="C4706" s="714">
        <f>VLOOKUP(C4691,'Luong VP'!$B$10:$AP$210,18,0)</f>
        <v>0</v>
      </c>
      <c r="D4706" s="717"/>
      <c r="E4706" s="710">
        <v>3</v>
      </c>
      <c r="F4706" s="718" t="s">
        <v>238</v>
      </c>
      <c r="G4706" s="718"/>
      <c r="H4706" s="710"/>
      <c r="I4706" s="729"/>
      <c r="J4706" s="714">
        <f>VLOOKUP(C4691,'Luong VP'!$B$10:$AP$210,33,0)</f>
        <v>0</v>
      </c>
      <c r="K4706" s="731"/>
      <c r="L4706" s="715"/>
    </row>
    <row r="4707" spans="1:12" ht="9.1999999999999993" customHeight="1">
      <c r="A4707" s="712">
        <v>13</v>
      </c>
      <c r="B4707" s="713" t="s">
        <v>692</v>
      </c>
      <c r="C4707" s="714">
        <f>VLOOKUP(C4691,'Luong VP'!$B$10:$AP$210,19,0)</f>
        <v>0</v>
      </c>
      <c r="D4707" s="717"/>
      <c r="E4707" s="710">
        <v>4</v>
      </c>
      <c r="F4707" s="718" t="s">
        <v>239</v>
      </c>
      <c r="G4707" s="718"/>
      <c r="H4707" s="718"/>
      <c r="I4707" s="727"/>
      <c r="J4707" s="728">
        <f>VLOOKUP(C4691,'Luong VP'!$B$10:$AP$210,34,0)</f>
        <v>0</v>
      </c>
      <c r="K4707" s="732"/>
      <c r="L4707" s="715"/>
    </row>
    <row r="4708" spans="1:12" ht="9.1999999999999993" customHeight="1">
      <c r="A4708" s="712">
        <v>14</v>
      </c>
      <c r="B4708" s="713" t="s">
        <v>694</v>
      </c>
      <c r="C4708" s="714">
        <f>VLOOKUP(C4691,'Luong VP'!$B$10:$AP$210,20,0)</f>
        <v>0</v>
      </c>
      <c r="D4708" s="717"/>
      <c r="E4708" s="710">
        <v>5</v>
      </c>
      <c r="F4708" s="718" t="s">
        <v>695</v>
      </c>
      <c r="G4708" s="719"/>
      <c r="H4708" s="719"/>
      <c r="I4708" s="729"/>
      <c r="J4708" s="714">
        <f>VLOOKUP(C4691,'Luong VP'!$B$10:$AP$210,35,0)</f>
        <v>0</v>
      </c>
      <c r="K4708" s="732"/>
      <c r="L4708" s="715"/>
    </row>
    <row r="4709" spans="1:12" ht="9.1999999999999993" customHeight="1">
      <c r="A4709" s="712"/>
      <c r="B4709" s="707" t="s">
        <v>656</v>
      </c>
      <c r="C4709" s="714">
        <f>SUM(C4695:C4708)-C4703</f>
        <v>4500</v>
      </c>
      <c r="D4709" s="717"/>
      <c r="E4709" s="710">
        <v>6</v>
      </c>
      <c r="F4709" s="716" t="s">
        <v>693</v>
      </c>
      <c r="G4709" s="719"/>
      <c r="H4709" s="719"/>
      <c r="I4709" s="729"/>
      <c r="J4709" s="714">
        <f>VLOOKUP(C4691,'Luong VP'!$B$10:$AP$210,40,0)</f>
        <v>0</v>
      </c>
      <c r="K4709" s="731"/>
      <c r="L4709" s="715"/>
    </row>
    <row r="4710" spans="1:12" ht="9.1999999999999993" customHeight="1">
      <c r="B4710" s="720"/>
      <c r="C4710" s="717"/>
      <c r="D4710" s="717"/>
      <c r="E4710" s="710"/>
      <c r="F4710" s="716" t="s">
        <v>241</v>
      </c>
      <c r="G4710" s="719"/>
      <c r="H4710" s="719"/>
      <c r="I4710" s="729"/>
      <c r="J4710" s="730">
        <f>SUM(J4696:J4709)+C4703</f>
        <v>7190.1969230769228</v>
      </c>
      <c r="K4710" s="732"/>
      <c r="L4710" s="715"/>
    </row>
    <row r="4711" spans="1:12" ht="9.1999999999999993" customHeight="1">
      <c r="B4711" s="720"/>
      <c r="C4711" s="717"/>
      <c r="D4711" s="717"/>
      <c r="E4711" s="710" t="s">
        <v>696</v>
      </c>
      <c r="F4711" s="711" t="s">
        <v>697</v>
      </c>
      <c r="G4711" s="710"/>
      <c r="H4711" s="710"/>
      <c r="I4711" s="729"/>
      <c r="J4711" s="730">
        <f>SUM(J4712:J4714)</f>
        <v>4480.585</v>
      </c>
      <c r="K4711" s="734"/>
      <c r="L4711" s="735"/>
    </row>
    <row r="4712" spans="1:12" ht="9.1999999999999993" customHeight="1">
      <c r="B4712" s="720"/>
      <c r="C4712" s="717"/>
      <c r="D4712" s="717"/>
      <c r="E4712" s="710">
        <v>1</v>
      </c>
      <c r="F4712" s="718" t="s">
        <v>698</v>
      </c>
      <c r="G4712" s="718"/>
      <c r="H4712" s="718"/>
      <c r="I4712" s="733"/>
      <c r="J4712" s="714">
        <f>VLOOKUP(C4691,'Luong VP'!$B$10:$AP$210,37,0)</f>
        <v>480.58499999999998</v>
      </c>
    </row>
    <row r="4713" spans="1:12" ht="9.1999999999999993" customHeight="1">
      <c r="B4713" s="720"/>
      <c r="C4713" s="717"/>
      <c r="D4713" s="717"/>
      <c r="E4713" s="710">
        <v>2</v>
      </c>
      <c r="F4713" s="718" t="s">
        <v>244</v>
      </c>
      <c r="G4713" s="718"/>
      <c r="H4713" s="718"/>
      <c r="I4713" s="729"/>
      <c r="J4713" s="714">
        <f>VLOOKUP(C4691,'Luong VP'!$B$10:$AP$210,39,0)</f>
        <v>4000</v>
      </c>
    </row>
    <row r="4714" spans="1:12" ht="9.1999999999999993" customHeight="1">
      <c r="B4714" s="720"/>
      <c r="C4714" s="717"/>
      <c r="D4714" s="717"/>
      <c r="E4714" s="710"/>
      <c r="F4714" s="718" t="s">
        <v>699</v>
      </c>
      <c r="G4714" s="718"/>
      <c r="H4714" s="718"/>
      <c r="I4714" s="729"/>
      <c r="J4714" s="714"/>
      <c r="K4714" s="714"/>
      <c r="L4714" s="736"/>
    </row>
    <row r="4715" spans="1:12" ht="9.1999999999999993" customHeight="1">
      <c r="B4715" s="720"/>
      <c r="C4715" s="717"/>
      <c r="D4715" s="717"/>
      <c r="E4715" s="710" t="s">
        <v>700</v>
      </c>
      <c r="F4715" s="710" t="s">
        <v>246</v>
      </c>
      <c r="G4715" s="710"/>
      <c r="H4715" s="710"/>
      <c r="I4715" s="729"/>
      <c r="J4715" s="728">
        <f>J4710-J4711</f>
        <v>2709.6119230769227</v>
      </c>
      <c r="K4715" s="728">
        <f>ROUND(J4715,-1)</f>
        <v>2710</v>
      </c>
      <c r="L4715" s="710"/>
    </row>
    <row r="4716" spans="1:12" ht="9.1999999999999993" customHeight="1">
      <c r="E4716" s="715"/>
      <c r="F4716" s="715"/>
      <c r="G4716" s="715"/>
      <c r="I4716" s="715" t="s">
        <v>701</v>
      </c>
      <c r="J4716" s="737"/>
    </row>
    <row r="4717" spans="1:12" ht="9.1999999999999993" customHeight="1">
      <c r="E4717" s="715"/>
      <c r="F4717" s="715"/>
      <c r="G4717" s="715"/>
      <c r="I4717" s="715"/>
      <c r="J4717" s="737"/>
    </row>
    <row r="4718" spans="1:12" ht="9.1999999999999993" customHeight="1">
      <c r="E4718" s="715"/>
      <c r="F4718" s="715"/>
      <c r="G4718" s="715"/>
      <c r="I4718" s="715"/>
      <c r="J4718" s="737"/>
    </row>
    <row r="4719" spans="1:12" ht="9.1999999999999993" customHeight="1">
      <c r="E4719" s="715"/>
      <c r="F4719" s="715"/>
      <c r="G4719" s="715"/>
      <c r="I4719" s="715"/>
      <c r="J4719" s="737"/>
    </row>
    <row r="4720" spans="1:12" ht="9.1999999999999993" customHeight="1">
      <c r="E4720" s="715"/>
      <c r="F4720" s="715"/>
      <c r="G4720" s="715"/>
      <c r="I4720" s="715"/>
      <c r="J4720" s="737"/>
    </row>
    <row r="4721" spans="1:12" ht="9.1999999999999993" customHeight="1">
      <c r="E4721" s="715"/>
      <c r="F4721" s="715"/>
      <c r="G4721" s="715"/>
      <c r="I4721" s="715"/>
      <c r="J4721" s="737"/>
    </row>
    <row r="4722" spans="1:12" ht="9.1999999999999993" customHeight="1">
      <c r="C4722" s="696"/>
      <c r="D4722" s="696"/>
      <c r="E4722" s="697" t="str">
        <f>$E$2</f>
        <v>THẺ LƯƠNG THÁNG 08/2019</v>
      </c>
      <c r="F4722" s="698"/>
      <c r="G4722" s="698"/>
      <c r="H4722" s="698"/>
    </row>
    <row r="4723" spans="1:12" ht="9.1999999999999993" customHeight="1">
      <c r="B4723" s="699" t="s">
        <v>644</v>
      </c>
      <c r="C4723" s="848" t="s">
        <v>598</v>
      </c>
      <c r="D4723" s="701"/>
      <c r="F4723" s="702" t="s">
        <v>645</v>
      </c>
      <c r="G4723" s="689" t="str">
        <f>VLOOKUP(C4723,'Luong VP'!$B$10:$AP$210,2,0)</f>
        <v>Cai Ngọc Hòa</v>
      </c>
    </row>
    <row r="4724" spans="1:12" ht="9.1999999999999993" customHeight="1">
      <c r="B4724" s="699" t="s">
        <v>646</v>
      </c>
      <c r="C4724" s="689" t="str">
        <f>VLOOKUP(C4723,'Luong VP'!$B$10:$AP$210,3,0)</f>
        <v>NV Giao nhận/ Phụ xe</v>
      </c>
      <c r="F4724" s="702" t="s">
        <v>647</v>
      </c>
      <c r="G4724" s="689">
        <f>VLOOKUP(C4723,'Luong VP'!$B$10:$AP$210,5,0)</f>
        <v>1</v>
      </c>
    </row>
    <row r="4725" spans="1:12" ht="9.1999999999999993" customHeight="1">
      <c r="B4725" s="703"/>
      <c r="C4725" s="704"/>
      <c r="D4725" s="705"/>
      <c r="F4725" s="706" t="s">
        <v>648</v>
      </c>
      <c r="G4725" s="706"/>
      <c r="H4725" s="706"/>
      <c r="I4725" s="725"/>
      <c r="J4725" s="726"/>
    </row>
    <row r="4726" spans="1:12" ht="9.1999999999999993" customHeight="1">
      <c r="A4726" s="707" t="s">
        <v>216</v>
      </c>
      <c r="B4726" s="707" t="s">
        <v>649</v>
      </c>
      <c r="C4726" s="708" t="s">
        <v>650</v>
      </c>
      <c r="D4726" s="709"/>
      <c r="E4726" s="710" t="s">
        <v>216</v>
      </c>
      <c r="F4726" s="711" t="s">
        <v>649</v>
      </c>
      <c r="G4726" s="710"/>
      <c r="H4726" s="710" t="s">
        <v>651</v>
      </c>
      <c r="I4726" s="727" t="s">
        <v>652</v>
      </c>
      <c r="J4726" s="714"/>
      <c r="L4726" s="694" t="s">
        <v>653</v>
      </c>
    </row>
    <row r="4727" spans="1:12" ht="9.1999999999999993" customHeight="1">
      <c r="A4727" s="712">
        <v>1</v>
      </c>
      <c r="B4727" s="713" t="s">
        <v>654</v>
      </c>
      <c r="C4727" s="714">
        <f>VLOOKUP(C4723,'Luong VP'!$B$10:$AP$210,9,0)</f>
        <v>4500</v>
      </c>
      <c r="D4727" s="715"/>
      <c r="E4727" s="710" t="s">
        <v>655</v>
      </c>
      <c r="F4727" s="716" t="s">
        <v>656</v>
      </c>
      <c r="G4727" s="710"/>
      <c r="H4727" s="710"/>
      <c r="I4727" s="727"/>
      <c r="J4727" s="714">
        <f>VLOOKUP(C4723,'Luong VP'!$B$10:$AP$210,21,0)</f>
        <v>4500</v>
      </c>
    </row>
    <row r="4728" spans="1:12" ht="9.1999999999999993" customHeight="1">
      <c r="A4728" s="712">
        <v>2</v>
      </c>
      <c r="B4728" s="713" t="s">
        <v>658</v>
      </c>
      <c r="C4728" s="714"/>
      <c r="D4728" s="717"/>
      <c r="E4728" s="710">
        <v>1</v>
      </c>
      <c r="F4728" s="718" t="s">
        <v>659</v>
      </c>
      <c r="G4728" s="718"/>
      <c r="H4728" s="710" t="s">
        <v>660</v>
      </c>
      <c r="I4728" s="727">
        <f>VLOOKUP(C4723,'Luong VP'!$B$10:$AP$210,22,0)</f>
        <v>26</v>
      </c>
      <c r="J4728" s="728">
        <f>J4727/'Cham cong'!$AS$3*I4728</f>
        <v>4500</v>
      </c>
    </row>
    <row r="4729" spans="1:12" ht="9.1999999999999993" customHeight="1">
      <c r="A4729" s="712">
        <v>3</v>
      </c>
      <c r="B4729" s="713" t="s">
        <v>661</v>
      </c>
      <c r="C4729" s="714">
        <f>VLOOKUP(C4723,'Luong VP'!$B$10:$AP$210,10,0)</f>
        <v>0</v>
      </c>
      <c r="D4729" s="717"/>
      <c r="E4729" s="710">
        <v>2</v>
      </c>
      <c r="F4729" s="718" t="s">
        <v>662</v>
      </c>
      <c r="G4729" s="718"/>
      <c r="H4729" s="710" t="s">
        <v>660</v>
      </c>
      <c r="I4729" s="727">
        <f>VLOOKUP(C4723,'Luong VP'!$B$10:$AP$210,27,0)</f>
        <v>0</v>
      </c>
      <c r="J4729" s="728">
        <f>J4727/'Cham cong'!$AS$3*I4729*3</f>
        <v>0</v>
      </c>
    </row>
    <row r="4730" spans="1:12" ht="9.1999999999999993" customHeight="1">
      <c r="A4730" s="712">
        <v>4</v>
      </c>
      <c r="B4730" s="713" t="s">
        <v>666</v>
      </c>
      <c r="C4730" s="714">
        <f>VLOOKUP(C4723,'Luong VP'!$B$10:$AP$210,11,0)</f>
        <v>0</v>
      </c>
      <c r="D4730" s="717"/>
      <c r="E4730" s="710">
        <v>3</v>
      </c>
      <c r="F4730" s="718" t="s">
        <v>667</v>
      </c>
      <c r="G4730" s="718"/>
      <c r="H4730" s="710" t="s">
        <v>668</v>
      </c>
      <c r="I4730" s="727">
        <f>VLOOKUP(C4723,'Luong VP'!$B$10:$AP$210,26,0)</f>
        <v>0</v>
      </c>
      <c r="J4730" s="728">
        <f>J4727/'Cham cong'!$AS$3*I4730/8*1.5</f>
        <v>0</v>
      </c>
    </row>
    <row r="4731" spans="1:12" ht="9.1999999999999993" customHeight="1">
      <c r="A4731" s="712">
        <v>5</v>
      </c>
      <c r="B4731" s="713" t="s">
        <v>670</v>
      </c>
      <c r="C4731" s="714">
        <f>VLOOKUP(C4723,'Luong VP'!$B$10:$AP$210,12,0)</f>
        <v>0</v>
      </c>
      <c r="D4731" s="717"/>
      <c r="E4731" s="710">
        <v>4</v>
      </c>
      <c r="F4731" s="718" t="s">
        <v>671</v>
      </c>
      <c r="G4731" s="718"/>
      <c r="H4731" s="710" t="s">
        <v>668</v>
      </c>
      <c r="I4731" s="727">
        <f>VLOOKUP(C4723,'Luong VP'!$B$10:$AP$210,25,0)</f>
        <v>0</v>
      </c>
      <c r="J4731" s="728">
        <f>J4727/'Cham cong'!$AS$3*I4731/8*2</f>
        <v>0</v>
      </c>
    </row>
    <row r="4732" spans="1:12" ht="9.1999999999999993" customHeight="1">
      <c r="A4732" s="712">
        <v>6</v>
      </c>
      <c r="B4732" s="713" t="s">
        <v>673</v>
      </c>
      <c r="C4732" s="714">
        <f>VLOOKUP(C4723,'Luong VP'!$B$10:$AP$210,13,0)</f>
        <v>0</v>
      </c>
      <c r="D4732" s="717"/>
      <c r="E4732" s="710">
        <v>5</v>
      </c>
      <c r="F4732" s="718" t="s">
        <v>674</v>
      </c>
      <c r="G4732" s="718"/>
      <c r="H4732" s="710" t="s">
        <v>660</v>
      </c>
      <c r="I4732" s="727">
        <f>VLOOKUP(C4723,'Luong VP'!$B$10:$AP$210,23,0)</f>
        <v>0</v>
      </c>
      <c r="J4732" s="728">
        <f>C4727/'Cham cong'!$AS$3*I4732</f>
        <v>0</v>
      </c>
      <c r="L4732" s="694" t="str">
        <f>G4723</f>
        <v>Cai Ngọc Hòa</v>
      </c>
    </row>
    <row r="4733" spans="1:12" ht="9.1999999999999993" customHeight="1">
      <c r="A4733" s="712">
        <v>7</v>
      </c>
      <c r="B4733" s="713" t="s">
        <v>676</v>
      </c>
      <c r="C4733" s="714"/>
      <c r="D4733" s="717"/>
      <c r="E4733" s="710">
        <v>6</v>
      </c>
      <c r="F4733" s="718" t="s">
        <v>677</v>
      </c>
      <c r="G4733" s="718"/>
      <c r="H4733" s="710" t="s">
        <v>660</v>
      </c>
      <c r="I4733" s="727">
        <f>VLOOKUP(C4723,'Luong VP'!$B$10:$AP$210,24,0)</f>
        <v>1</v>
      </c>
      <c r="J4733" s="714">
        <f>C4727/'Cham cong'!$AS$3*I4733</f>
        <v>173.07692307692307</v>
      </c>
    </row>
    <row r="4734" spans="1:12" ht="9.1999999999999993" customHeight="1">
      <c r="A4734" s="712">
        <v>8</v>
      </c>
      <c r="B4734" s="713" t="s">
        <v>679</v>
      </c>
      <c r="C4734" s="714">
        <f>VLOOKUP(C4723,'Luong VP'!$B$10:$AP$210,14,0)</f>
        <v>0</v>
      </c>
      <c r="D4734" s="717"/>
      <c r="E4734" s="710">
        <v>7</v>
      </c>
      <c r="F4734" s="718" t="s">
        <v>680</v>
      </c>
      <c r="G4734" s="718"/>
      <c r="H4734" s="718"/>
      <c r="I4734" s="729"/>
      <c r="J4734" s="714">
        <f>VLOOKUP(C4723,'Luong VP'!$B$10:$AP$210,28,0)</f>
        <v>480</v>
      </c>
    </row>
    <row r="4735" spans="1:12" ht="9.1999999999999993" customHeight="1">
      <c r="A4735" s="712">
        <v>9</v>
      </c>
      <c r="B4735" s="713" t="s">
        <v>683</v>
      </c>
      <c r="C4735" s="714">
        <f>VLOOKUP(C4723,'Luong VP'!$B$10:$AP$210,15,0)</f>
        <v>0</v>
      </c>
      <c r="D4735" s="717"/>
      <c r="E4735" s="710" t="s">
        <v>686</v>
      </c>
      <c r="F4735" s="716" t="s">
        <v>687</v>
      </c>
      <c r="G4735" s="719"/>
      <c r="H4735" s="719"/>
      <c r="I4735" s="729"/>
      <c r="J4735" s="730"/>
    </row>
    <row r="4736" spans="1:12" ht="9.1999999999999993" customHeight="1">
      <c r="A4736" s="712">
        <v>10</v>
      </c>
      <c r="B4736" s="713" t="s">
        <v>685</v>
      </c>
      <c r="C4736" s="714">
        <f>VLOOKUP(C4723,'Luong VP'!$B$10:$AP$210,16,0)</f>
        <v>0</v>
      </c>
      <c r="D4736" s="717"/>
      <c r="E4736" s="710">
        <v>1</v>
      </c>
      <c r="F4736" s="716" t="s">
        <v>689</v>
      </c>
      <c r="G4736" s="719"/>
      <c r="H4736" s="719"/>
      <c r="I4736" s="714">
        <f>VLOOKUP(C4723,'Luong VP'!$B$10:$AP$209,29,0)</f>
        <v>157240.37500000003</v>
      </c>
      <c r="J4736" s="714">
        <f>VLOOKUP(C4723,'Luong VP'!$B$10:$AP$210,30,0)</f>
        <v>1886.8845000000006</v>
      </c>
    </row>
    <row r="4737" spans="1:12" ht="9.1999999999999993" customHeight="1">
      <c r="A4737" s="712">
        <v>11</v>
      </c>
      <c r="B4737" s="713" t="s">
        <v>688</v>
      </c>
      <c r="C4737" s="714">
        <f>VLOOKUP(C4723,'Luong VP'!$B$10:$AP$210,17,0)</f>
        <v>0</v>
      </c>
      <c r="D4737" s="717"/>
      <c r="E4737" s="710">
        <v>2</v>
      </c>
      <c r="F4737" s="716" t="s">
        <v>702</v>
      </c>
      <c r="G4737" s="719"/>
      <c r="H4737" s="719"/>
      <c r="I4737" s="729"/>
      <c r="J4737" s="714">
        <f>VLOOKUP(C4723,'Luong VP'!$B$10:$AP$210,32,0)</f>
        <v>0</v>
      </c>
      <c r="K4737" s="731"/>
      <c r="L4737" s="715"/>
    </row>
    <row r="4738" spans="1:12" ht="9.1999999999999993" customHeight="1">
      <c r="A4738" s="712">
        <v>12</v>
      </c>
      <c r="B4738" s="713" t="s">
        <v>691</v>
      </c>
      <c r="C4738" s="714">
        <f>VLOOKUP(C4723,'Luong VP'!$B$10:$AP$210,18,0)</f>
        <v>0</v>
      </c>
      <c r="D4738" s="717"/>
      <c r="E4738" s="710">
        <v>3</v>
      </c>
      <c r="F4738" s="718" t="s">
        <v>238</v>
      </c>
      <c r="G4738" s="718"/>
      <c r="H4738" s="710"/>
      <c r="I4738" s="729"/>
      <c r="J4738" s="714">
        <f>VLOOKUP(C4723,'Luong VP'!$B$10:$AP$210,33,0)</f>
        <v>0</v>
      </c>
      <c r="K4738" s="731"/>
      <c r="L4738" s="715"/>
    </row>
    <row r="4739" spans="1:12" ht="9.1999999999999993" customHeight="1">
      <c r="A4739" s="712">
        <v>13</v>
      </c>
      <c r="B4739" s="713" t="s">
        <v>692</v>
      </c>
      <c r="C4739" s="714">
        <f>VLOOKUP(C4723,'Luong VP'!$B$10:$AP$210,19,0)</f>
        <v>0</v>
      </c>
      <c r="D4739" s="717"/>
      <c r="E4739" s="710">
        <v>4</v>
      </c>
      <c r="F4739" s="718" t="s">
        <v>239</v>
      </c>
      <c r="G4739" s="718"/>
      <c r="H4739" s="718"/>
      <c r="I4739" s="727"/>
      <c r="J4739" s="728">
        <f>VLOOKUP(C4723,'Luong VP'!$B$10:$AP$210,34,0)</f>
        <v>0</v>
      </c>
      <c r="K4739" s="732"/>
      <c r="L4739" s="715"/>
    </row>
    <row r="4740" spans="1:12" ht="9.1999999999999993" customHeight="1">
      <c r="A4740" s="712">
        <v>14</v>
      </c>
      <c r="B4740" s="713" t="s">
        <v>694</v>
      </c>
      <c r="C4740" s="714">
        <f>VLOOKUP(C4723,'Luong VP'!$B$10:$AP$210,20,0)</f>
        <v>0</v>
      </c>
      <c r="D4740" s="717"/>
      <c r="E4740" s="710">
        <v>5</v>
      </c>
      <c r="F4740" s="718" t="s">
        <v>695</v>
      </c>
      <c r="G4740" s="719"/>
      <c r="H4740" s="719"/>
      <c r="I4740" s="729"/>
      <c r="J4740" s="714">
        <f>VLOOKUP(C4723,'Luong VP'!$B$10:$AP$210,35,0)</f>
        <v>0</v>
      </c>
      <c r="K4740" s="732"/>
      <c r="L4740" s="715"/>
    </row>
    <row r="4741" spans="1:12" ht="9.1999999999999993" customHeight="1">
      <c r="A4741" s="712"/>
      <c r="B4741" s="707" t="s">
        <v>656</v>
      </c>
      <c r="C4741" s="714">
        <f>SUM(C4727:C4740)-C4735</f>
        <v>4500</v>
      </c>
      <c r="D4741" s="717"/>
      <c r="E4741" s="710">
        <v>6</v>
      </c>
      <c r="F4741" s="716" t="s">
        <v>693</v>
      </c>
      <c r="G4741" s="719"/>
      <c r="H4741" s="719"/>
      <c r="I4741" s="729"/>
      <c r="J4741" s="714">
        <f>VLOOKUP(C4723,'Luong VP'!$B$10:$AP$210,40,0)</f>
        <v>0</v>
      </c>
      <c r="K4741" s="731"/>
      <c r="L4741" s="715"/>
    </row>
    <row r="4742" spans="1:12" ht="9.1999999999999993" customHeight="1">
      <c r="B4742" s="720"/>
      <c r="C4742" s="717"/>
      <c r="D4742" s="717"/>
      <c r="E4742" s="710"/>
      <c r="F4742" s="716" t="s">
        <v>241</v>
      </c>
      <c r="G4742" s="719"/>
      <c r="H4742" s="719"/>
      <c r="I4742" s="729"/>
      <c r="J4742" s="730">
        <f>SUM(J4728:J4741)+C4735</f>
        <v>7039.9614230769239</v>
      </c>
      <c r="K4742" s="732"/>
      <c r="L4742" s="715"/>
    </row>
    <row r="4743" spans="1:12" ht="9.1999999999999993" customHeight="1">
      <c r="B4743" s="720"/>
      <c r="C4743" s="717"/>
      <c r="D4743" s="717"/>
      <c r="E4743" s="710" t="s">
        <v>696</v>
      </c>
      <c r="F4743" s="711" t="s">
        <v>697</v>
      </c>
      <c r="G4743" s="710"/>
      <c r="H4743" s="710"/>
      <c r="I4743" s="729"/>
      <c r="J4743" s="730">
        <f>SUM(J4744:J4746)</f>
        <v>3480.585</v>
      </c>
      <c r="K4743" s="734"/>
      <c r="L4743" s="735"/>
    </row>
    <row r="4744" spans="1:12" ht="9.1999999999999993" customHeight="1">
      <c r="B4744" s="720"/>
      <c r="C4744" s="717"/>
      <c r="D4744" s="717"/>
      <c r="E4744" s="710">
        <v>1</v>
      </c>
      <c r="F4744" s="718" t="s">
        <v>698</v>
      </c>
      <c r="G4744" s="718"/>
      <c r="H4744" s="718"/>
      <c r="I4744" s="733"/>
      <c r="J4744" s="714">
        <f>VLOOKUP(C4723,'Luong VP'!$B$10:$AP$210,37,0)</f>
        <v>480.58499999999998</v>
      </c>
    </row>
    <row r="4745" spans="1:12" ht="9.1999999999999993" customHeight="1">
      <c r="B4745" s="720"/>
      <c r="C4745" s="717"/>
      <c r="D4745" s="717"/>
      <c r="E4745" s="710">
        <v>2</v>
      </c>
      <c r="F4745" s="718" t="s">
        <v>244</v>
      </c>
      <c r="G4745" s="718"/>
      <c r="H4745" s="718"/>
      <c r="I4745" s="729"/>
      <c r="J4745" s="714">
        <f>VLOOKUP(C4723,'Luong VP'!$B$10:$AP$210,39,0)</f>
        <v>3000</v>
      </c>
    </row>
    <row r="4746" spans="1:12" ht="9.1999999999999993" customHeight="1">
      <c r="B4746" s="720"/>
      <c r="C4746" s="717"/>
      <c r="D4746" s="717"/>
      <c r="E4746" s="710"/>
      <c r="F4746" s="718" t="s">
        <v>699</v>
      </c>
      <c r="G4746" s="718"/>
      <c r="H4746" s="718"/>
      <c r="I4746" s="729"/>
      <c r="J4746" s="714"/>
      <c r="K4746" s="714"/>
      <c r="L4746" s="736"/>
    </row>
    <row r="4747" spans="1:12" ht="9.1999999999999993" customHeight="1">
      <c r="B4747" s="720"/>
      <c r="C4747" s="717"/>
      <c r="D4747" s="717"/>
      <c r="E4747" s="710" t="s">
        <v>700</v>
      </c>
      <c r="F4747" s="710" t="s">
        <v>246</v>
      </c>
      <c r="G4747" s="710"/>
      <c r="H4747" s="710"/>
      <c r="I4747" s="729"/>
      <c r="J4747" s="728">
        <f>J4742-J4743</f>
        <v>3559.3764230769239</v>
      </c>
      <c r="K4747" s="728">
        <f>ROUND(J4747,-1)</f>
        <v>3560</v>
      </c>
      <c r="L4747" s="710"/>
    </row>
    <row r="4748" spans="1:12" ht="9.1999999999999993" customHeight="1">
      <c r="E4748" s="715"/>
      <c r="F4748" s="1597"/>
      <c r="G4748" s="1597"/>
      <c r="H4748" s="1597"/>
      <c r="I4748" s="1597"/>
      <c r="J4748" s="1597"/>
      <c r="K4748" s="795"/>
    </row>
    <row r="4749" spans="1:12" ht="9.1999999999999993" customHeight="1">
      <c r="E4749" s="715"/>
      <c r="F4749" s="762"/>
      <c r="G4749" s="762"/>
      <c r="H4749" s="762"/>
      <c r="I4749" s="762"/>
      <c r="J4749" s="763"/>
      <c r="K4749" s="847"/>
    </row>
    <row r="4750" spans="1:12" ht="9.1999999999999993" customHeight="1">
      <c r="E4750" s="715"/>
      <c r="F4750" s="715"/>
      <c r="G4750" s="715"/>
      <c r="I4750" s="715"/>
      <c r="J4750" s="737"/>
    </row>
    <row r="4751" spans="1:12" ht="9.1999999999999993" customHeight="1">
      <c r="E4751" s="715"/>
      <c r="F4751" s="715"/>
      <c r="G4751" s="715"/>
      <c r="I4751" s="715"/>
      <c r="J4751" s="737"/>
    </row>
    <row r="4752" spans="1:12" ht="9.1999999999999993" customHeight="1">
      <c r="E4752" s="715"/>
      <c r="F4752" s="715"/>
      <c r="G4752" s="715"/>
      <c r="I4752" s="715"/>
      <c r="J4752" s="737"/>
    </row>
    <row r="4753" spans="1:12" ht="9.1999999999999993" customHeight="1">
      <c r="C4753" s="696"/>
      <c r="D4753" s="696"/>
      <c r="E4753" s="697" t="str">
        <f>$E$2</f>
        <v>THẺ LƯƠNG THÁNG 08/2019</v>
      </c>
      <c r="F4753" s="698"/>
      <c r="G4753" s="698"/>
      <c r="H4753" s="698"/>
    </row>
    <row r="4754" spans="1:12" ht="9.1999999999999993" customHeight="1">
      <c r="B4754" s="699" t="s">
        <v>644</v>
      </c>
      <c r="C4754" s="848" t="s">
        <v>600</v>
      </c>
      <c r="D4754" s="701"/>
      <c r="F4754" s="702" t="s">
        <v>645</v>
      </c>
      <c r="G4754" s="689" t="str">
        <f>VLOOKUP(C4754,'Luong VP'!$B$10:$AP$210,2,0)</f>
        <v>Nguyễn Hữu Long</v>
      </c>
    </row>
    <row r="4755" spans="1:12" ht="9.1999999999999993" customHeight="1">
      <c r="B4755" s="699" t="s">
        <v>646</v>
      </c>
      <c r="C4755" s="689" t="str">
        <f>VLOOKUP(C4754,'Luong VP'!$B$10:$AP$210,3,0)</f>
        <v>NV Bốc Bùn</v>
      </c>
      <c r="F4755" s="702" t="s">
        <v>647</v>
      </c>
      <c r="G4755" s="689">
        <f>VLOOKUP(C4754,'Luong VP'!$B$10:$AP$210,5,0)</f>
        <v>1</v>
      </c>
    </row>
    <row r="4756" spans="1:12" ht="9.1999999999999993" customHeight="1">
      <c r="B4756" s="703"/>
      <c r="C4756" s="704"/>
      <c r="D4756" s="705"/>
      <c r="F4756" s="706" t="s">
        <v>648</v>
      </c>
      <c r="G4756" s="706"/>
      <c r="H4756" s="706"/>
      <c r="I4756" s="725"/>
      <c r="J4756" s="726"/>
    </row>
    <row r="4757" spans="1:12" ht="9.1999999999999993" customHeight="1">
      <c r="A4757" s="707" t="s">
        <v>216</v>
      </c>
      <c r="B4757" s="707" t="s">
        <v>649</v>
      </c>
      <c r="C4757" s="708" t="s">
        <v>650</v>
      </c>
      <c r="D4757" s="709"/>
      <c r="E4757" s="710" t="s">
        <v>216</v>
      </c>
      <c r="F4757" s="711" t="s">
        <v>649</v>
      </c>
      <c r="G4757" s="710"/>
      <c r="H4757" s="710" t="s">
        <v>651</v>
      </c>
      <c r="I4757" s="727" t="s">
        <v>652</v>
      </c>
      <c r="J4757" s="714"/>
      <c r="L4757" s="694" t="s">
        <v>653</v>
      </c>
    </row>
    <row r="4758" spans="1:12" ht="9.1999999999999993" customHeight="1">
      <c r="A4758" s="712">
        <v>1</v>
      </c>
      <c r="B4758" s="713" t="s">
        <v>654</v>
      </c>
      <c r="C4758" s="714">
        <f>VLOOKUP(C4754,'Luong VP'!$B$10:$AP$210,9,0)</f>
        <v>7000</v>
      </c>
      <c r="D4758" s="715"/>
      <c r="E4758" s="710" t="s">
        <v>655</v>
      </c>
      <c r="F4758" s="716" t="s">
        <v>656</v>
      </c>
      <c r="G4758" s="710"/>
      <c r="H4758" s="710"/>
      <c r="I4758" s="727"/>
      <c r="J4758" s="714">
        <f>VLOOKUP(C4754,'Luong VP'!$B$10:$AP$210,21,0)</f>
        <v>7000</v>
      </c>
    </row>
    <row r="4759" spans="1:12" ht="9.1999999999999993" customHeight="1">
      <c r="A4759" s="712">
        <v>2</v>
      </c>
      <c r="B4759" s="713" t="s">
        <v>658</v>
      </c>
      <c r="C4759" s="714"/>
      <c r="D4759" s="717"/>
      <c r="E4759" s="710">
        <v>1</v>
      </c>
      <c r="F4759" s="718" t="s">
        <v>659</v>
      </c>
      <c r="G4759" s="718"/>
      <c r="H4759" s="710" t="s">
        <v>660</v>
      </c>
      <c r="I4759" s="727">
        <f>VLOOKUP(C4754,'Luong VP'!$B$10:$AP$210,22,0)</f>
        <v>26</v>
      </c>
      <c r="J4759" s="728">
        <f>J4758/'Cham cong'!$AS$3*I4759</f>
        <v>7000</v>
      </c>
    </row>
    <row r="4760" spans="1:12" ht="9.1999999999999993" customHeight="1">
      <c r="A4760" s="712">
        <v>3</v>
      </c>
      <c r="B4760" s="713" t="s">
        <v>661</v>
      </c>
      <c r="C4760" s="714">
        <f>VLOOKUP(C4754,'Luong VP'!$B$10:$AP$210,10,0)</f>
        <v>0</v>
      </c>
      <c r="D4760" s="717"/>
      <c r="E4760" s="710">
        <v>2</v>
      </c>
      <c r="F4760" s="718" t="s">
        <v>662</v>
      </c>
      <c r="G4760" s="718"/>
      <c r="H4760" s="710" t="s">
        <v>660</v>
      </c>
      <c r="I4760" s="727">
        <f>VLOOKUP(C4754,'Luong VP'!$B$10:$AP$210,27,0)</f>
        <v>0</v>
      </c>
      <c r="J4760" s="728">
        <f>J4758/'Cham cong'!$AS$3*I4760*3</f>
        <v>0</v>
      </c>
    </row>
    <row r="4761" spans="1:12" ht="9.1999999999999993" customHeight="1">
      <c r="A4761" s="712">
        <v>4</v>
      </c>
      <c r="B4761" s="713" t="s">
        <v>666</v>
      </c>
      <c r="C4761" s="714">
        <f>VLOOKUP(C4754,'Luong VP'!$B$10:$AP$210,11,0)</f>
        <v>0</v>
      </c>
      <c r="D4761" s="717"/>
      <c r="E4761" s="710">
        <v>3</v>
      </c>
      <c r="F4761" s="718" t="s">
        <v>667</v>
      </c>
      <c r="G4761" s="718"/>
      <c r="H4761" s="710" t="s">
        <v>668</v>
      </c>
      <c r="I4761" s="727">
        <f>VLOOKUP(C4754,'Luong VP'!$B$10:$AP$210,26,0)</f>
        <v>0</v>
      </c>
      <c r="J4761" s="728">
        <f>J4758/'Cham cong'!$AS$3*I4761/8*1.5</f>
        <v>0</v>
      </c>
    </row>
    <row r="4762" spans="1:12" ht="9.1999999999999993" customHeight="1">
      <c r="A4762" s="712">
        <v>5</v>
      </c>
      <c r="B4762" s="713" t="s">
        <v>670</v>
      </c>
      <c r="C4762" s="714">
        <f>VLOOKUP(C4754,'Luong VP'!$B$10:$AP$210,12,0)</f>
        <v>0</v>
      </c>
      <c r="D4762" s="717"/>
      <c r="E4762" s="710">
        <v>4</v>
      </c>
      <c r="F4762" s="718" t="s">
        <v>671</v>
      </c>
      <c r="G4762" s="718"/>
      <c r="H4762" s="710" t="s">
        <v>668</v>
      </c>
      <c r="I4762" s="727">
        <f>VLOOKUP(C4754,'Luong VP'!$B$10:$AP$210,25,0)</f>
        <v>0</v>
      </c>
      <c r="J4762" s="728">
        <f>J4758/'Cham cong'!$AS$3*I4762/8*2</f>
        <v>0</v>
      </c>
    </row>
    <row r="4763" spans="1:12" ht="9.1999999999999993" customHeight="1">
      <c r="A4763" s="712">
        <v>6</v>
      </c>
      <c r="B4763" s="713" t="s">
        <v>673</v>
      </c>
      <c r="C4763" s="714">
        <f>VLOOKUP(C4754,'Luong VP'!$B$10:$AP$210,13,0)</f>
        <v>0</v>
      </c>
      <c r="D4763" s="717"/>
      <c r="E4763" s="710">
        <v>5</v>
      </c>
      <c r="F4763" s="718" t="s">
        <v>674</v>
      </c>
      <c r="G4763" s="718"/>
      <c r="H4763" s="710" t="s">
        <v>660</v>
      </c>
      <c r="I4763" s="727">
        <f>VLOOKUP(C4754,'Luong VP'!$B$10:$AP$210,23,0)</f>
        <v>0</v>
      </c>
      <c r="J4763" s="728">
        <f>C4758/'Cham cong'!$AS$3*I4763</f>
        <v>0</v>
      </c>
      <c r="L4763" s="694" t="str">
        <f>G4754</f>
        <v>Nguyễn Hữu Long</v>
      </c>
    </row>
    <row r="4764" spans="1:12" ht="9.1999999999999993" customHeight="1">
      <c r="A4764" s="712">
        <v>7</v>
      </c>
      <c r="B4764" s="713" t="s">
        <v>676</v>
      </c>
      <c r="C4764" s="714"/>
      <c r="D4764" s="717"/>
      <c r="E4764" s="710">
        <v>6</v>
      </c>
      <c r="F4764" s="718" t="s">
        <v>677</v>
      </c>
      <c r="G4764" s="718"/>
      <c r="H4764" s="710" t="s">
        <v>660</v>
      </c>
      <c r="I4764" s="727">
        <f>VLOOKUP(C4754,'Luong VP'!$B$10:$AP$210,24,0)</f>
        <v>1</v>
      </c>
      <c r="J4764" s="714">
        <f>C4758/'Cham cong'!$AS$3*I4764</f>
        <v>269.23076923076923</v>
      </c>
    </row>
    <row r="4765" spans="1:12" ht="9.1999999999999993" customHeight="1">
      <c r="A4765" s="712">
        <v>8</v>
      </c>
      <c r="B4765" s="713" t="s">
        <v>679</v>
      </c>
      <c r="C4765" s="714">
        <f>VLOOKUP(C4754,'Luong VP'!$B$10:$AP$210,14,0)</f>
        <v>0</v>
      </c>
      <c r="D4765" s="717"/>
      <c r="E4765" s="710">
        <v>7</v>
      </c>
      <c r="F4765" s="718" t="s">
        <v>680</v>
      </c>
      <c r="G4765" s="718"/>
      <c r="H4765" s="718"/>
      <c r="I4765" s="729"/>
      <c r="J4765" s="714">
        <f>VLOOKUP(C4754,'Luong VP'!$B$10:$AP$210,28,0)</f>
        <v>0</v>
      </c>
    </row>
    <row r="4766" spans="1:12" ht="9.1999999999999993" customHeight="1">
      <c r="A4766" s="712">
        <v>9</v>
      </c>
      <c r="B4766" s="713" t="s">
        <v>683</v>
      </c>
      <c r="C4766" s="714">
        <f>VLOOKUP(C4754,'Luong VP'!$B$10:$AP$210,15,0)</f>
        <v>0</v>
      </c>
      <c r="D4766" s="717"/>
      <c r="E4766" s="710" t="s">
        <v>686</v>
      </c>
      <c r="F4766" s="716" t="s">
        <v>687</v>
      </c>
      <c r="G4766" s="719"/>
      <c r="H4766" s="719"/>
      <c r="I4766" s="729"/>
      <c r="J4766" s="730"/>
    </row>
    <row r="4767" spans="1:12" ht="9.1999999999999993" customHeight="1">
      <c r="A4767" s="712">
        <v>10</v>
      </c>
      <c r="B4767" s="713" t="s">
        <v>685</v>
      </c>
      <c r="C4767" s="714">
        <f>VLOOKUP(C4754,'Luong VP'!$B$10:$AP$210,16,0)</f>
        <v>0</v>
      </c>
      <c r="D4767" s="717"/>
      <c r="E4767" s="710">
        <v>1</v>
      </c>
      <c r="F4767" s="716" t="s">
        <v>689</v>
      </c>
      <c r="G4767" s="719"/>
      <c r="H4767" s="719"/>
      <c r="I4767" s="714">
        <f>VLOOKUP(C4754,'Luong VP'!$B$10:$AP$209,29,0)</f>
        <v>30164.833333333332</v>
      </c>
      <c r="J4767" s="714">
        <f>VLOOKUP(C4754,'Luong VP'!$B$10:$AP$210,30,0)</f>
        <v>361.97800000000001</v>
      </c>
    </row>
    <row r="4768" spans="1:12" ht="9.1999999999999993" customHeight="1">
      <c r="A4768" s="712">
        <v>11</v>
      </c>
      <c r="B4768" s="713" t="s">
        <v>688</v>
      </c>
      <c r="C4768" s="714">
        <f>VLOOKUP(C4754,'Luong VP'!$B$10:$AP$210,17,0)</f>
        <v>0</v>
      </c>
      <c r="D4768" s="717"/>
      <c r="E4768" s="710">
        <v>2</v>
      </c>
      <c r="F4768" s="716" t="s">
        <v>702</v>
      </c>
      <c r="G4768" s="719"/>
      <c r="H4768" s="719"/>
      <c r="I4768" s="729"/>
      <c r="J4768" s="714">
        <f>VLOOKUP(C4754,'Luong VP'!$B$10:$AP$210,32,0)</f>
        <v>0</v>
      </c>
      <c r="K4768" s="731"/>
      <c r="L4768" s="715"/>
    </row>
    <row r="4769" spans="1:12" ht="9.1999999999999993" customHeight="1">
      <c r="A4769" s="712">
        <v>12</v>
      </c>
      <c r="B4769" s="713" t="s">
        <v>691</v>
      </c>
      <c r="C4769" s="714">
        <f>VLOOKUP(C4754,'Luong VP'!$B$10:$AP$210,18,0)</f>
        <v>0</v>
      </c>
      <c r="D4769" s="717"/>
      <c r="E4769" s="710">
        <v>3</v>
      </c>
      <c r="F4769" s="718" t="s">
        <v>238</v>
      </c>
      <c r="G4769" s="718"/>
      <c r="H4769" s="710"/>
      <c r="I4769" s="729"/>
      <c r="J4769" s="714">
        <f>VLOOKUP(C4754,'Luong VP'!$B$10:$AP$210,33,0)</f>
        <v>0</v>
      </c>
      <c r="K4769" s="731"/>
      <c r="L4769" s="715"/>
    </row>
    <row r="4770" spans="1:12" ht="9.1999999999999993" customHeight="1">
      <c r="A4770" s="712">
        <v>13</v>
      </c>
      <c r="B4770" s="713" t="s">
        <v>692</v>
      </c>
      <c r="C4770" s="714">
        <f>VLOOKUP(C4754,'Luong VP'!$B$10:$AP$210,19,0)</f>
        <v>0</v>
      </c>
      <c r="D4770" s="717"/>
      <c r="E4770" s="710">
        <v>4</v>
      </c>
      <c r="F4770" s="718" t="s">
        <v>239</v>
      </c>
      <c r="G4770" s="718"/>
      <c r="H4770" s="718"/>
      <c r="I4770" s="727"/>
      <c r="J4770" s="728">
        <f>VLOOKUP(C4754,'Luong VP'!$B$10:$AP$210,34,0)</f>
        <v>0</v>
      </c>
      <c r="K4770" s="732"/>
      <c r="L4770" s="715"/>
    </row>
    <row r="4771" spans="1:12" ht="9.1999999999999993" customHeight="1">
      <c r="A4771" s="712">
        <v>14</v>
      </c>
      <c r="B4771" s="713" t="s">
        <v>694</v>
      </c>
      <c r="C4771" s="714">
        <f>VLOOKUP(C4754,'Luong VP'!$B$10:$AP$210,20,0)</f>
        <v>0</v>
      </c>
      <c r="D4771" s="717"/>
      <c r="E4771" s="710">
        <v>5</v>
      </c>
      <c r="F4771" s="718" t="s">
        <v>695</v>
      </c>
      <c r="G4771" s="719"/>
      <c r="H4771" s="719"/>
      <c r="I4771" s="729"/>
      <c r="J4771" s="714">
        <f>VLOOKUP(C4754,'Luong VP'!$B$10:$AP$210,35,0)</f>
        <v>0</v>
      </c>
      <c r="K4771" s="732"/>
      <c r="L4771" s="715"/>
    </row>
    <row r="4772" spans="1:12" ht="9.1999999999999993" customHeight="1">
      <c r="A4772" s="712"/>
      <c r="B4772" s="707" t="s">
        <v>656</v>
      </c>
      <c r="C4772" s="714">
        <f>SUM(C4758:C4771)-C4766</f>
        <v>7000</v>
      </c>
      <c r="D4772" s="717"/>
      <c r="E4772" s="710">
        <v>6</v>
      </c>
      <c r="F4772" s="716" t="s">
        <v>693</v>
      </c>
      <c r="G4772" s="719"/>
      <c r="H4772" s="719"/>
      <c r="I4772" s="729"/>
      <c r="J4772" s="714">
        <f>VLOOKUP(C4754,'Luong VP'!$B$10:$AP$210,40,0)</f>
        <v>0</v>
      </c>
      <c r="K4772" s="731"/>
      <c r="L4772" s="715"/>
    </row>
    <row r="4773" spans="1:12" ht="9.1999999999999993" customHeight="1">
      <c r="B4773" s="720"/>
      <c r="C4773" s="717"/>
      <c r="D4773" s="717"/>
      <c r="E4773" s="710"/>
      <c r="F4773" s="716" t="s">
        <v>241</v>
      </c>
      <c r="G4773" s="719"/>
      <c r="H4773" s="719"/>
      <c r="I4773" s="729"/>
      <c r="J4773" s="730">
        <f>SUM(J4759:J4772)+C4766</f>
        <v>7631.2087692307696</v>
      </c>
      <c r="K4773" s="732"/>
      <c r="L4773" s="715"/>
    </row>
    <row r="4774" spans="1:12" ht="9.1999999999999993" customHeight="1">
      <c r="B4774" s="720"/>
      <c r="C4774" s="717"/>
      <c r="D4774" s="717"/>
      <c r="E4774" s="710" t="s">
        <v>696</v>
      </c>
      <c r="F4774" s="711" t="s">
        <v>697</v>
      </c>
      <c r="G4774" s="710"/>
      <c r="H4774" s="710"/>
      <c r="I4774" s="729"/>
      <c r="J4774" s="730">
        <f>SUM(J4775:J4777)</f>
        <v>3000</v>
      </c>
      <c r="K4774" s="734"/>
      <c r="L4774" s="735"/>
    </row>
    <row r="4775" spans="1:12" ht="9.1999999999999993" customHeight="1">
      <c r="B4775" s="720"/>
      <c r="C4775" s="717"/>
      <c r="D4775" s="717"/>
      <c r="E4775" s="710">
        <v>1</v>
      </c>
      <c r="F4775" s="718" t="s">
        <v>698</v>
      </c>
      <c r="G4775" s="718"/>
      <c r="H4775" s="718"/>
      <c r="I4775" s="733"/>
      <c r="J4775" s="714">
        <f>VLOOKUP(C4754,'Luong VP'!$B$10:$AP$210,37,0)</f>
        <v>0</v>
      </c>
    </row>
    <row r="4776" spans="1:12" ht="9.1999999999999993" customHeight="1">
      <c r="B4776" s="720"/>
      <c r="C4776" s="717"/>
      <c r="D4776" s="717"/>
      <c r="E4776" s="710">
        <v>2</v>
      </c>
      <c r="F4776" s="718" t="s">
        <v>244</v>
      </c>
      <c r="G4776" s="718"/>
      <c r="H4776" s="718"/>
      <c r="I4776" s="729"/>
      <c r="J4776" s="714">
        <f>VLOOKUP(C4754,'Luong VP'!$B$10:$AP$210,39,0)</f>
        <v>3000</v>
      </c>
    </row>
    <row r="4777" spans="1:12" ht="9.1999999999999993" customHeight="1">
      <c r="B4777" s="720"/>
      <c r="C4777" s="717"/>
      <c r="D4777" s="717"/>
      <c r="E4777" s="710"/>
      <c r="F4777" s="718" t="s">
        <v>699</v>
      </c>
      <c r="G4777" s="718"/>
      <c r="H4777" s="718"/>
      <c r="I4777" s="729"/>
      <c r="J4777" s="714"/>
      <c r="K4777" s="714"/>
      <c r="L4777" s="736"/>
    </row>
    <row r="4778" spans="1:12" ht="9.1999999999999993" customHeight="1">
      <c r="B4778" s="720"/>
      <c r="C4778" s="717"/>
      <c r="D4778" s="717"/>
      <c r="E4778" s="710" t="s">
        <v>700</v>
      </c>
      <c r="F4778" s="710" t="s">
        <v>246</v>
      </c>
      <c r="G4778" s="710"/>
      <c r="H4778" s="710"/>
      <c r="I4778" s="729"/>
      <c r="J4778" s="728">
        <f>J4773-J4774</f>
        <v>4631.2087692307696</v>
      </c>
      <c r="K4778" s="728">
        <f>ROUND(J4778,-1)</f>
        <v>4630</v>
      </c>
      <c r="L4778" s="710"/>
    </row>
    <row r="4779" spans="1:12" ht="9.1999999999999993" customHeight="1">
      <c r="E4779" s="715"/>
      <c r="F4779" s="715"/>
      <c r="G4779" s="715"/>
      <c r="I4779" s="715" t="s">
        <v>701</v>
      </c>
      <c r="J4779" s="737"/>
    </row>
    <row r="4780" spans="1:12" ht="9.1999999999999993" customHeight="1">
      <c r="E4780" s="715"/>
      <c r="F4780" s="715"/>
      <c r="G4780" s="715"/>
      <c r="I4780" s="715"/>
      <c r="J4780" s="737"/>
    </row>
    <row r="4781" spans="1:12" ht="9.1999999999999993" customHeight="1">
      <c r="E4781" s="715"/>
      <c r="F4781" s="715"/>
      <c r="G4781" s="715"/>
      <c r="I4781" s="715"/>
      <c r="J4781" s="737"/>
    </row>
    <row r="4782" spans="1:12" ht="9.1999999999999993" customHeight="1">
      <c r="E4782" s="715"/>
      <c r="F4782" s="715"/>
      <c r="G4782" s="715"/>
      <c r="I4782" s="715"/>
      <c r="J4782" s="737"/>
    </row>
    <row r="4783" spans="1:12" ht="9.1999999999999993" customHeight="1">
      <c r="E4783" s="715"/>
      <c r="F4783" s="715"/>
      <c r="G4783" s="715"/>
      <c r="I4783" s="715"/>
      <c r="J4783" s="737"/>
    </row>
    <row r="4784" spans="1:12" ht="9.1999999999999993" customHeight="1">
      <c r="E4784" s="715"/>
      <c r="F4784" s="715"/>
      <c r="G4784" s="715"/>
      <c r="I4784" s="715"/>
      <c r="J4784" s="737"/>
    </row>
    <row r="4785" spans="1:12" ht="9.1999999999999993" customHeight="1">
      <c r="C4785" s="696"/>
      <c r="D4785" s="696"/>
      <c r="E4785" s="697" t="str">
        <f>$E$2</f>
        <v>THẺ LƯƠNG THÁNG 08/2019</v>
      </c>
      <c r="F4785" s="698"/>
      <c r="G4785" s="698"/>
      <c r="H4785" s="698"/>
    </row>
    <row r="4786" spans="1:12" ht="9.1999999999999993" customHeight="1">
      <c r="B4786" s="699" t="s">
        <v>644</v>
      </c>
      <c r="C4786" s="848" t="s">
        <v>605</v>
      </c>
      <c r="D4786" s="701"/>
      <c r="F4786" s="702" t="s">
        <v>645</v>
      </c>
      <c r="G4786" s="689" t="str">
        <f>VLOOKUP(C4786,'Luong VP'!$B$10:$AP$210,2,0)</f>
        <v>Nguyễn Tấn Linh</v>
      </c>
    </row>
    <row r="4787" spans="1:12" ht="9.1999999999999993" customHeight="1">
      <c r="B4787" s="699" t="s">
        <v>646</v>
      </c>
      <c r="C4787" s="689" t="str">
        <f>VLOOKUP(C4786,'Luong VP'!$B$10:$AP$210,3,0)</f>
        <v>NV Giao nhận/ Phụ xe</v>
      </c>
      <c r="F4787" s="702" t="s">
        <v>647</v>
      </c>
      <c r="G4787" s="689">
        <f>VLOOKUP(C4786,'Luong VP'!$B$10:$AP$210,5,0)</f>
        <v>1</v>
      </c>
    </row>
    <row r="4788" spans="1:12" ht="9.1999999999999993" customHeight="1">
      <c r="B4788" s="703"/>
      <c r="C4788" s="704"/>
      <c r="D4788" s="705"/>
      <c r="F4788" s="706" t="s">
        <v>648</v>
      </c>
      <c r="G4788" s="706"/>
      <c r="H4788" s="706"/>
      <c r="I4788" s="725"/>
      <c r="J4788" s="726"/>
    </row>
    <row r="4789" spans="1:12" ht="9.1999999999999993" customHeight="1">
      <c r="A4789" s="707" t="s">
        <v>216</v>
      </c>
      <c r="B4789" s="707" t="s">
        <v>649</v>
      </c>
      <c r="C4789" s="708" t="s">
        <v>650</v>
      </c>
      <c r="D4789" s="709"/>
      <c r="E4789" s="710" t="s">
        <v>216</v>
      </c>
      <c r="F4789" s="711" t="s">
        <v>649</v>
      </c>
      <c r="G4789" s="710"/>
      <c r="H4789" s="710" t="s">
        <v>651</v>
      </c>
      <c r="I4789" s="727" t="s">
        <v>652</v>
      </c>
      <c r="J4789" s="714"/>
      <c r="L4789" s="694" t="s">
        <v>653</v>
      </c>
    </row>
    <row r="4790" spans="1:12" ht="9.1999999999999993" customHeight="1">
      <c r="A4790" s="712">
        <v>1</v>
      </c>
      <c r="B4790" s="713" t="s">
        <v>654</v>
      </c>
      <c r="C4790" s="714">
        <f>VLOOKUP(C4786,'Luong VP'!$B$10:$AP$210,9,0)</f>
        <v>4500</v>
      </c>
      <c r="D4790" s="715"/>
      <c r="E4790" s="710" t="s">
        <v>655</v>
      </c>
      <c r="F4790" s="716" t="s">
        <v>656</v>
      </c>
      <c r="G4790" s="710"/>
      <c r="H4790" s="710"/>
      <c r="I4790" s="727"/>
      <c r="J4790" s="714">
        <f>VLOOKUP(C4786,'Luong VP'!$B$10:$AP$210,21,0)</f>
        <v>4500</v>
      </c>
    </row>
    <row r="4791" spans="1:12" ht="9.1999999999999993" customHeight="1">
      <c r="A4791" s="712">
        <v>2</v>
      </c>
      <c r="B4791" s="713" t="s">
        <v>658</v>
      </c>
      <c r="C4791" s="714"/>
      <c r="D4791" s="717"/>
      <c r="E4791" s="710">
        <v>1</v>
      </c>
      <c r="F4791" s="718" t="s">
        <v>659</v>
      </c>
      <c r="G4791" s="718"/>
      <c r="H4791" s="710" t="s">
        <v>660</v>
      </c>
      <c r="I4791" s="727">
        <f>VLOOKUP(C4786,'Luong VP'!$B$10:$AP$210,22,0)</f>
        <v>26</v>
      </c>
      <c r="J4791" s="728">
        <f>J4790/'Cham cong'!$AS$3*I4791</f>
        <v>4500</v>
      </c>
    </row>
    <row r="4792" spans="1:12" ht="9.1999999999999993" customHeight="1">
      <c r="A4792" s="712">
        <v>3</v>
      </c>
      <c r="B4792" s="713" t="s">
        <v>661</v>
      </c>
      <c r="C4792" s="714">
        <f>VLOOKUP(C4786,'Luong VP'!$B$10:$AP$210,10,0)</f>
        <v>0</v>
      </c>
      <c r="D4792" s="717"/>
      <c r="E4792" s="710">
        <v>2</v>
      </c>
      <c r="F4792" s="718" t="s">
        <v>662</v>
      </c>
      <c r="G4792" s="718"/>
      <c r="H4792" s="710" t="s">
        <v>660</v>
      </c>
      <c r="I4792" s="727">
        <f>VLOOKUP(C4786,'Luong VP'!$B$10:$AP$210,27,0)</f>
        <v>0</v>
      </c>
      <c r="J4792" s="728">
        <f>J4790/'Cham cong'!$AS$3*I4792*3</f>
        <v>0</v>
      </c>
    </row>
    <row r="4793" spans="1:12" ht="9.1999999999999993" customHeight="1">
      <c r="A4793" s="712">
        <v>4</v>
      </c>
      <c r="B4793" s="713" t="s">
        <v>666</v>
      </c>
      <c r="C4793" s="714">
        <f>VLOOKUP(C4786,'Luong VP'!$B$10:$AP$210,11,0)</f>
        <v>0</v>
      </c>
      <c r="D4793" s="717"/>
      <c r="E4793" s="710">
        <v>3</v>
      </c>
      <c r="F4793" s="718" t="s">
        <v>667</v>
      </c>
      <c r="G4793" s="718"/>
      <c r="H4793" s="710" t="s">
        <v>668</v>
      </c>
      <c r="I4793" s="727">
        <f>VLOOKUP(C4786,'Luong VP'!$B$10:$AP$210,26,0)</f>
        <v>0</v>
      </c>
      <c r="J4793" s="728">
        <f>J4790/'Cham cong'!$AS$3*I4793/8*1.5</f>
        <v>0</v>
      </c>
    </row>
    <row r="4794" spans="1:12" ht="9.1999999999999993" customHeight="1">
      <c r="A4794" s="712">
        <v>5</v>
      </c>
      <c r="B4794" s="713" t="s">
        <v>670</v>
      </c>
      <c r="C4794" s="714">
        <f>VLOOKUP(C4786,'Luong VP'!$B$10:$AP$210,12,0)</f>
        <v>0</v>
      </c>
      <c r="D4794" s="717"/>
      <c r="E4794" s="710">
        <v>4</v>
      </c>
      <c r="F4794" s="718" t="s">
        <v>671</v>
      </c>
      <c r="G4794" s="718"/>
      <c r="H4794" s="710" t="s">
        <v>668</v>
      </c>
      <c r="I4794" s="727">
        <f>VLOOKUP(C4786,'Luong VP'!$B$10:$AP$210,25,0)</f>
        <v>0</v>
      </c>
      <c r="J4794" s="728">
        <f>J4790/'Cham cong'!$AS$3*I4794/8*2</f>
        <v>0</v>
      </c>
    </row>
    <row r="4795" spans="1:12" ht="9.1999999999999993" customHeight="1">
      <c r="A4795" s="712">
        <v>6</v>
      </c>
      <c r="B4795" s="713" t="s">
        <v>673</v>
      </c>
      <c r="C4795" s="714">
        <f>VLOOKUP(C4786,'Luong VP'!$B$10:$AP$210,13,0)</f>
        <v>0</v>
      </c>
      <c r="D4795" s="717"/>
      <c r="E4795" s="710">
        <v>5</v>
      </c>
      <c r="F4795" s="718" t="s">
        <v>674</v>
      </c>
      <c r="G4795" s="718"/>
      <c r="H4795" s="710" t="s">
        <v>660</v>
      </c>
      <c r="I4795" s="727">
        <f>VLOOKUP(C4786,'Luong VP'!$B$10:$AP$210,23,0)</f>
        <v>0</v>
      </c>
      <c r="J4795" s="728">
        <f>C4790/'Cham cong'!$AS$3*I4795</f>
        <v>0</v>
      </c>
      <c r="L4795" s="694" t="str">
        <f>G4786</f>
        <v>Nguyễn Tấn Linh</v>
      </c>
    </row>
    <row r="4796" spans="1:12" ht="9.1999999999999993" customHeight="1">
      <c r="A4796" s="712">
        <v>7</v>
      </c>
      <c r="B4796" s="713" t="s">
        <v>676</v>
      </c>
      <c r="C4796" s="714"/>
      <c r="D4796" s="717"/>
      <c r="E4796" s="710">
        <v>6</v>
      </c>
      <c r="F4796" s="718" t="s">
        <v>677</v>
      </c>
      <c r="G4796" s="718"/>
      <c r="H4796" s="710" t="s">
        <v>660</v>
      </c>
      <c r="I4796" s="727">
        <f>VLOOKUP(C4786,'Luong VP'!$B$10:$AP$210,24,0)</f>
        <v>1</v>
      </c>
      <c r="J4796" s="714">
        <f>C4790/'Cham cong'!$AS$3*I4796</f>
        <v>173.07692307692307</v>
      </c>
    </row>
    <row r="4797" spans="1:12" ht="9.1999999999999993" customHeight="1">
      <c r="A4797" s="712">
        <v>8</v>
      </c>
      <c r="B4797" s="713" t="s">
        <v>679</v>
      </c>
      <c r="C4797" s="714">
        <f>VLOOKUP(C4786,'Luong VP'!$B$10:$AP$210,14,0)</f>
        <v>0</v>
      </c>
      <c r="D4797" s="717"/>
      <c r="E4797" s="710">
        <v>7</v>
      </c>
      <c r="F4797" s="718" t="s">
        <v>680</v>
      </c>
      <c r="G4797" s="718"/>
      <c r="H4797" s="718"/>
      <c r="I4797" s="729"/>
      <c r="J4797" s="714">
        <f>VLOOKUP(C4786,'Luong VP'!$B$10:$AP$210,28,0)</f>
        <v>420</v>
      </c>
    </row>
    <row r="4798" spans="1:12" ht="9.1999999999999993" customHeight="1">
      <c r="A4798" s="712">
        <v>9</v>
      </c>
      <c r="B4798" s="713" t="s">
        <v>683</v>
      </c>
      <c r="C4798" s="714">
        <f>VLOOKUP(C4786,'Luong VP'!$B$10:$AP$210,15,0)</f>
        <v>0</v>
      </c>
      <c r="D4798" s="717"/>
      <c r="E4798" s="710" t="s">
        <v>686</v>
      </c>
      <c r="F4798" s="716" t="s">
        <v>687</v>
      </c>
      <c r="G4798" s="719"/>
      <c r="H4798" s="719"/>
      <c r="I4798" s="729"/>
      <c r="J4798" s="730"/>
    </row>
    <row r="4799" spans="1:12" ht="9.1999999999999993" customHeight="1">
      <c r="A4799" s="712">
        <v>10</v>
      </c>
      <c r="B4799" s="713" t="s">
        <v>685</v>
      </c>
      <c r="C4799" s="714">
        <f>VLOOKUP(C4786,'Luong VP'!$B$10:$AP$210,16,0)</f>
        <v>0</v>
      </c>
      <c r="D4799" s="717"/>
      <c r="E4799" s="710">
        <v>1</v>
      </c>
      <c r="F4799" s="716" t="s">
        <v>689</v>
      </c>
      <c r="G4799" s="719"/>
      <c r="H4799" s="719"/>
      <c r="I4799" s="714">
        <f>VLOOKUP(C4786,'Luong VP'!$B$10:$AP$209,29,0)</f>
        <v>162069.83333333334</v>
      </c>
      <c r="J4799" s="714">
        <f>VLOOKUP(C4786,'Luong VP'!$B$10:$AP$210,30,0)</f>
        <v>1944.8380000000002</v>
      </c>
    </row>
    <row r="4800" spans="1:12" ht="9.1999999999999993" customHeight="1">
      <c r="A4800" s="712">
        <v>11</v>
      </c>
      <c r="B4800" s="713" t="s">
        <v>688</v>
      </c>
      <c r="C4800" s="714">
        <f>VLOOKUP(C4786,'Luong VP'!$B$10:$AP$210,17,0)</f>
        <v>0</v>
      </c>
      <c r="D4800" s="717"/>
      <c r="E4800" s="710">
        <v>2</v>
      </c>
      <c r="F4800" s="716" t="s">
        <v>702</v>
      </c>
      <c r="G4800" s="719"/>
      <c r="H4800" s="719"/>
      <c r="I4800" s="729"/>
      <c r="J4800" s="714">
        <f>VLOOKUP(C4786,'Luong VP'!$B$10:$AP$210,32,0)</f>
        <v>0</v>
      </c>
      <c r="K4800" s="731"/>
      <c r="L4800" s="715"/>
    </row>
    <row r="4801" spans="1:12" ht="9.1999999999999993" customHeight="1">
      <c r="A4801" s="712">
        <v>12</v>
      </c>
      <c r="B4801" s="713" t="s">
        <v>691</v>
      </c>
      <c r="C4801" s="714">
        <f>VLOOKUP(C4786,'Luong VP'!$B$10:$AP$210,18,0)</f>
        <v>0</v>
      </c>
      <c r="D4801" s="717"/>
      <c r="E4801" s="710">
        <v>3</v>
      </c>
      <c r="F4801" s="718" t="s">
        <v>238</v>
      </c>
      <c r="G4801" s="718"/>
      <c r="H4801" s="710"/>
      <c r="I4801" s="729"/>
      <c r="J4801" s="714">
        <f>VLOOKUP(C4786,'Luong VP'!$B$10:$AP$210,33,0)</f>
        <v>0</v>
      </c>
      <c r="K4801" s="731"/>
      <c r="L4801" s="715"/>
    </row>
    <row r="4802" spans="1:12" ht="9.1999999999999993" customHeight="1">
      <c r="A4802" s="712">
        <v>13</v>
      </c>
      <c r="B4802" s="713" t="s">
        <v>692</v>
      </c>
      <c r="C4802" s="714">
        <f>VLOOKUP(C4786,'Luong VP'!$B$10:$AP$210,19,0)</f>
        <v>0</v>
      </c>
      <c r="D4802" s="717"/>
      <c r="E4802" s="710">
        <v>4</v>
      </c>
      <c r="F4802" s="718" t="s">
        <v>239</v>
      </c>
      <c r="G4802" s="718"/>
      <c r="H4802" s="718"/>
      <c r="I4802" s="727"/>
      <c r="J4802" s="728">
        <f>VLOOKUP(C4786,'Luong VP'!$B$10:$AP$210,34,0)</f>
        <v>0</v>
      </c>
      <c r="K4802" s="732"/>
      <c r="L4802" s="715"/>
    </row>
    <row r="4803" spans="1:12" ht="9.1999999999999993" customHeight="1">
      <c r="A4803" s="712">
        <v>14</v>
      </c>
      <c r="B4803" s="713" t="s">
        <v>694</v>
      </c>
      <c r="C4803" s="714">
        <f>VLOOKUP(C4786,'Luong VP'!$B$10:$AP$210,20,0)</f>
        <v>0</v>
      </c>
      <c r="D4803" s="717"/>
      <c r="E4803" s="710">
        <v>5</v>
      </c>
      <c r="F4803" s="718" t="s">
        <v>695</v>
      </c>
      <c r="G4803" s="719"/>
      <c r="H4803" s="719"/>
      <c r="I4803" s="729"/>
      <c r="J4803" s="714">
        <f>VLOOKUP(C4786,'Luong VP'!$B$10:$AP$210,35,0)</f>
        <v>0</v>
      </c>
      <c r="K4803" s="732"/>
      <c r="L4803" s="715"/>
    </row>
    <row r="4804" spans="1:12" ht="9.1999999999999993" customHeight="1">
      <c r="A4804" s="712"/>
      <c r="B4804" s="707" t="s">
        <v>656</v>
      </c>
      <c r="C4804" s="714">
        <f>SUM(C4790:C4803)-C4798</f>
        <v>4500</v>
      </c>
      <c r="D4804" s="717"/>
      <c r="E4804" s="710">
        <v>6</v>
      </c>
      <c r="F4804" s="716" t="s">
        <v>693</v>
      </c>
      <c r="G4804" s="719"/>
      <c r="H4804" s="719"/>
      <c r="I4804" s="729"/>
      <c r="J4804" s="714">
        <f>VLOOKUP(C4786,'Luong VP'!$B$10:$AP$210,40,0)</f>
        <v>0</v>
      </c>
      <c r="K4804" s="731"/>
      <c r="L4804" s="715"/>
    </row>
    <row r="4805" spans="1:12" ht="9.1999999999999993" customHeight="1">
      <c r="B4805" s="720"/>
      <c r="C4805" s="717"/>
      <c r="D4805" s="717"/>
      <c r="E4805" s="710"/>
      <c r="F4805" s="716" t="s">
        <v>241</v>
      </c>
      <c r="G4805" s="719"/>
      <c r="H4805" s="719"/>
      <c r="I4805" s="729"/>
      <c r="J4805" s="730">
        <f>SUM(J4791:J4804)+C4798</f>
        <v>7037.9149230769235</v>
      </c>
      <c r="K4805" s="732"/>
      <c r="L4805" s="715"/>
    </row>
    <row r="4806" spans="1:12" ht="9.1999999999999993" customHeight="1">
      <c r="B4806" s="720"/>
      <c r="C4806" s="717"/>
      <c r="D4806" s="717"/>
      <c r="E4806" s="710" t="s">
        <v>696</v>
      </c>
      <c r="F4806" s="711" t="s">
        <v>697</v>
      </c>
      <c r="G4806" s="710"/>
      <c r="H4806" s="710"/>
      <c r="I4806" s="729"/>
      <c r="J4806" s="730">
        <f>SUM(J4807:J4809)</f>
        <v>3000</v>
      </c>
      <c r="K4806" s="734"/>
      <c r="L4806" s="735"/>
    </row>
    <row r="4807" spans="1:12" ht="9.1999999999999993" customHeight="1">
      <c r="B4807" s="720"/>
      <c r="C4807" s="717"/>
      <c r="D4807" s="717"/>
      <c r="E4807" s="710">
        <v>1</v>
      </c>
      <c r="F4807" s="718" t="s">
        <v>698</v>
      </c>
      <c r="G4807" s="718"/>
      <c r="H4807" s="718"/>
      <c r="I4807" s="733"/>
      <c r="J4807" s="714">
        <f>VLOOKUP(C4786,'Luong VP'!$B$10:$AP$210,37,0)</f>
        <v>0</v>
      </c>
    </row>
    <row r="4808" spans="1:12" ht="9.1999999999999993" customHeight="1">
      <c r="B4808" s="720"/>
      <c r="C4808" s="717"/>
      <c r="D4808" s="717"/>
      <c r="E4808" s="710">
        <v>2</v>
      </c>
      <c r="F4808" s="718" t="s">
        <v>244</v>
      </c>
      <c r="G4808" s="718"/>
      <c r="H4808" s="718"/>
      <c r="I4808" s="729"/>
      <c r="J4808" s="714">
        <f>VLOOKUP(C4786,'Luong VP'!$B$10:$AP$210,39,0)</f>
        <v>3000</v>
      </c>
    </row>
    <row r="4809" spans="1:12" ht="9.1999999999999993" customHeight="1">
      <c r="B4809" s="720"/>
      <c r="C4809" s="717"/>
      <c r="D4809" s="717"/>
      <c r="E4809" s="710"/>
      <c r="F4809" s="718" t="s">
        <v>699</v>
      </c>
      <c r="G4809" s="718"/>
      <c r="H4809" s="718"/>
      <c r="I4809" s="729"/>
      <c r="J4809" s="714"/>
      <c r="K4809" s="714"/>
      <c r="L4809" s="736"/>
    </row>
    <row r="4810" spans="1:12" ht="9.1999999999999993" customHeight="1">
      <c r="B4810" s="720"/>
      <c r="C4810" s="717"/>
      <c r="D4810" s="717"/>
      <c r="E4810" s="710" t="s">
        <v>700</v>
      </c>
      <c r="F4810" s="710" t="s">
        <v>246</v>
      </c>
      <c r="G4810" s="710"/>
      <c r="H4810" s="710"/>
      <c r="I4810" s="729"/>
      <c r="J4810" s="728">
        <f>J4805-J4806</f>
        <v>4037.9149230769235</v>
      </c>
      <c r="K4810" s="728">
        <f>ROUND(J4810,-1)</f>
        <v>4040</v>
      </c>
      <c r="L4810" s="710"/>
    </row>
    <row r="4811" spans="1:12" ht="9.1999999999999993" customHeight="1">
      <c r="E4811" s="715"/>
      <c r="F4811" s="715"/>
      <c r="G4811" s="715"/>
      <c r="I4811" s="715" t="s">
        <v>701</v>
      </c>
      <c r="J4811" s="737"/>
    </row>
    <row r="4812" spans="1:12" ht="9.1999999999999993" customHeight="1">
      <c r="E4812" s="715"/>
      <c r="F4812" s="715"/>
      <c r="G4812" s="715"/>
      <c r="I4812" s="715"/>
      <c r="J4812" s="737"/>
    </row>
    <row r="4813" spans="1:12" ht="9.1999999999999993" customHeight="1">
      <c r="E4813" s="715"/>
      <c r="F4813" s="715"/>
      <c r="G4813" s="715"/>
      <c r="I4813" s="715"/>
      <c r="J4813" s="737"/>
    </row>
    <row r="4814" spans="1:12" ht="9.1999999999999993" customHeight="1">
      <c r="E4814" s="715"/>
      <c r="F4814" s="715"/>
      <c r="G4814" s="715"/>
      <c r="I4814" s="715"/>
      <c r="J4814" s="737"/>
    </row>
    <row r="4815" spans="1:12" ht="9.1999999999999993" customHeight="1">
      <c r="E4815" s="715"/>
      <c r="F4815" s="715"/>
      <c r="G4815" s="715"/>
      <c r="I4815" s="715"/>
      <c r="J4815" s="737"/>
    </row>
    <row r="4816" spans="1:12" ht="9.1999999999999993" customHeight="1">
      <c r="C4816" s="696"/>
      <c r="D4816" s="696"/>
      <c r="E4816" s="697" t="str">
        <f>$E$2</f>
        <v>THẺ LƯƠNG THÁNG 08/2019</v>
      </c>
      <c r="F4816" s="698"/>
      <c r="G4816" s="698"/>
      <c r="H4816" s="698"/>
    </row>
    <row r="4817" spans="1:12" ht="9.1999999999999993" customHeight="1">
      <c r="B4817" s="699" t="s">
        <v>644</v>
      </c>
      <c r="C4817" s="848" t="s">
        <v>607</v>
      </c>
      <c r="D4817" s="701"/>
      <c r="F4817" s="702" t="s">
        <v>645</v>
      </c>
      <c r="G4817" s="689" t="str">
        <f>VLOOKUP(C4817,'Luong VP'!$B$10:$AP$210,2,0)</f>
        <v>Trần Minh Tân</v>
      </c>
    </row>
    <row r="4818" spans="1:12" ht="9.1999999999999993" customHeight="1">
      <c r="B4818" s="699" t="s">
        <v>646</v>
      </c>
      <c r="C4818" s="689" t="str">
        <f>VLOOKUP(C4817,'Luong VP'!$B$10:$AP$210,3,0)</f>
        <v>NV Giao nhận/ Phụ xe</v>
      </c>
      <c r="F4818" s="702" t="s">
        <v>647</v>
      </c>
      <c r="G4818" s="689">
        <f>VLOOKUP(C4817,'Luong VP'!$B$10:$AP$210,5,0)</f>
        <v>1</v>
      </c>
    </row>
    <row r="4819" spans="1:12" ht="9.1999999999999993" customHeight="1">
      <c r="B4819" s="703"/>
      <c r="C4819" s="704"/>
      <c r="D4819" s="705"/>
      <c r="F4819" s="706" t="s">
        <v>648</v>
      </c>
      <c r="G4819" s="706"/>
      <c r="H4819" s="706"/>
      <c r="I4819" s="725"/>
      <c r="J4819" s="726"/>
    </row>
    <row r="4820" spans="1:12" ht="9.1999999999999993" customHeight="1">
      <c r="A4820" s="707" t="s">
        <v>216</v>
      </c>
      <c r="B4820" s="707" t="s">
        <v>649</v>
      </c>
      <c r="C4820" s="708" t="s">
        <v>650</v>
      </c>
      <c r="D4820" s="709"/>
      <c r="E4820" s="710" t="s">
        <v>216</v>
      </c>
      <c r="F4820" s="711" t="s">
        <v>649</v>
      </c>
      <c r="G4820" s="710"/>
      <c r="H4820" s="710" t="s">
        <v>651</v>
      </c>
      <c r="I4820" s="727" t="s">
        <v>652</v>
      </c>
      <c r="J4820" s="714"/>
      <c r="L4820" s="694" t="s">
        <v>653</v>
      </c>
    </row>
    <row r="4821" spans="1:12" ht="9.1999999999999993" customHeight="1">
      <c r="A4821" s="712">
        <v>1</v>
      </c>
      <c r="B4821" s="713" t="s">
        <v>654</v>
      </c>
      <c r="C4821" s="714">
        <f>VLOOKUP(C4817,'Luong VP'!$B$10:$AP$210,9,0)</f>
        <v>4500</v>
      </c>
      <c r="D4821" s="715"/>
      <c r="E4821" s="710" t="s">
        <v>655</v>
      </c>
      <c r="F4821" s="716" t="s">
        <v>656</v>
      </c>
      <c r="G4821" s="710"/>
      <c r="H4821" s="710"/>
      <c r="I4821" s="727"/>
      <c r="J4821" s="714">
        <f>VLOOKUP(C4817,'Luong VP'!$B$10:$AP$210,21,0)</f>
        <v>4500</v>
      </c>
    </row>
    <row r="4822" spans="1:12" ht="9.1999999999999993" customHeight="1">
      <c r="A4822" s="712">
        <v>2</v>
      </c>
      <c r="B4822" s="713" t="s">
        <v>658</v>
      </c>
      <c r="C4822" s="714"/>
      <c r="D4822" s="717"/>
      <c r="E4822" s="710">
        <v>1</v>
      </c>
      <c r="F4822" s="718" t="s">
        <v>659</v>
      </c>
      <c r="G4822" s="718"/>
      <c r="H4822" s="710" t="s">
        <v>660</v>
      </c>
      <c r="I4822" s="727">
        <f>VLOOKUP(C4817,'Luong VP'!$B$10:$AP$210,22,0)</f>
        <v>26</v>
      </c>
      <c r="J4822" s="728">
        <f>J4821/'Cham cong'!$AS$3*I4822</f>
        <v>4500</v>
      </c>
    </row>
    <row r="4823" spans="1:12" ht="9.1999999999999993" customHeight="1">
      <c r="A4823" s="712">
        <v>3</v>
      </c>
      <c r="B4823" s="713" t="s">
        <v>661</v>
      </c>
      <c r="C4823" s="714">
        <f>VLOOKUP(C4817,'Luong VP'!$B$10:$AP$210,10,0)</f>
        <v>0</v>
      </c>
      <c r="D4823" s="717"/>
      <c r="E4823" s="710">
        <v>2</v>
      </c>
      <c r="F4823" s="718" t="s">
        <v>662</v>
      </c>
      <c r="G4823" s="718"/>
      <c r="H4823" s="710" t="s">
        <v>660</v>
      </c>
      <c r="I4823" s="727">
        <f>VLOOKUP(C4817,'Luong VP'!$B$10:$AP$210,27,0)</f>
        <v>0</v>
      </c>
      <c r="J4823" s="728">
        <f>J4821/'Cham cong'!$AS$3*I4823*3</f>
        <v>0</v>
      </c>
    </row>
    <row r="4824" spans="1:12" ht="9.1999999999999993" customHeight="1">
      <c r="A4824" s="712">
        <v>4</v>
      </c>
      <c r="B4824" s="713" t="s">
        <v>666</v>
      </c>
      <c r="C4824" s="714">
        <f>VLOOKUP(C4817,'Luong VP'!$B$10:$AP$210,11,0)</f>
        <v>0</v>
      </c>
      <c r="D4824" s="717"/>
      <c r="E4824" s="710">
        <v>3</v>
      </c>
      <c r="F4824" s="718" t="s">
        <v>667</v>
      </c>
      <c r="G4824" s="718"/>
      <c r="H4824" s="710" t="s">
        <v>668</v>
      </c>
      <c r="I4824" s="727">
        <f>VLOOKUP(C4817,'Luong VP'!$B$10:$AP$210,26,0)</f>
        <v>0</v>
      </c>
      <c r="J4824" s="728">
        <f>J4821/'Cham cong'!$AS$3*I4824/8*1.5</f>
        <v>0</v>
      </c>
    </row>
    <row r="4825" spans="1:12" ht="9.1999999999999993" customHeight="1">
      <c r="A4825" s="712">
        <v>5</v>
      </c>
      <c r="B4825" s="713" t="s">
        <v>670</v>
      </c>
      <c r="C4825" s="714">
        <f>VLOOKUP(C4817,'Luong VP'!$B$10:$AP$210,12,0)</f>
        <v>0</v>
      </c>
      <c r="D4825" s="717"/>
      <c r="E4825" s="710">
        <v>4</v>
      </c>
      <c r="F4825" s="718" t="s">
        <v>671</v>
      </c>
      <c r="G4825" s="718"/>
      <c r="H4825" s="710" t="s">
        <v>668</v>
      </c>
      <c r="I4825" s="727">
        <f>VLOOKUP(C4817,'Luong VP'!$B$10:$AP$210,25,0)</f>
        <v>0</v>
      </c>
      <c r="J4825" s="728">
        <f>J4821/'Cham cong'!$AS$3*I4825/8*2</f>
        <v>0</v>
      </c>
    </row>
    <row r="4826" spans="1:12" ht="9.1999999999999993" customHeight="1">
      <c r="A4826" s="712">
        <v>6</v>
      </c>
      <c r="B4826" s="713" t="s">
        <v>673</v>
      </c>
      <c r="C4826" s="714">
        <f>VLOOKUP(C4817,'Luong VP'!$B$10:$AP$210,13,0)</f>
        <v>0</v>
      </c>
      <c r="D4826" s="717"/>
      <c r="E4826" s="710">
        <v>5</v>
      </c>
      <c r="F4826" s="718" t="s">
        <v>674</v>
      </c>
      <c r="G4826" s="718"/>
      <c r="H4826" s="710" t="s">
        <v>660</v>
      </c>
      <c r="I4826" s="727">
        <f>VLOOKUP(C4817,'Luong VP'!$B$10:$AP$210,23,0)</f>
        <v>0</v>
      </c>
      <c r="J4826" s="728">
        <f>C4821/'Cham cong'!$AS$3*I4826</f>
        <v>0</v>
      </c>
      <c r="L4826" s="694" t="str">
        <f>G4817</f>
        <v>Trần Minh Tân</v>
      </c>
    </row>
    <row r="4827" spans="1:12" ht="9.1999999999999993" customHeight="1">
      <c r="A4827" s="712">
        <v>7</v>
      </c>
      <c r="B4827" s="713" t="s">
        <v>676</v>
      </c>
      <c r="C4827" s="714"/>
      <c r="D4827" s="717"/>
      <c r="E4827" s="710">
        <v>6</v>
      </c>
      <c r="F4827" s="718" t="s">
        <v>677</v>
      </c>
      <c r="G4827" s="718"/>
      <c r="H4827" s="710" t="s">
        <v>660</v>
      </c>
      <c r="I4827" s="727">
        <f>VLOOKUP(C4817,'Luong VP'!$B$10:$AP$210,24,0)</f>
        <v>1</v>
      </c>
      <c r="J4827" s="714">
        <f>C4821/'Cham cong'!$AS$3*I4827</f>
        <v>173.07692307692307</v>
      </c>
    </row>
    <row r="4828" spans="1:12" ht="9.1999999999999993" customHeight="1">
      <c r="A4828" s="712">
        <v>8</v>
      </c>
      <c r="B4828" s="713" t="s">
        <v>679</v>
      </c>
      <c r="C4828" s="714">
        <f>VLOOKUP(C4817,'Luong VP'!$B$10:$AP$210,14,0)</f>
        <v>0</v>
      </c>
      <c r="D4828" s="717"/>
      <c r="E4828" s="710">
        <v>7</v>
      </c>
      <c r="F4828" s="718" t="s">
        <v>680</v>
      </c>
      <c r="G4828" s="718"/>
      <c r="H4828" s="718"/>
      <c r="I4828" s="729"/>
      <c r="J4828" s="714">
        <f>VLOOKUP(C4817,'Luong VP'!$B$10:$AP$210,28,0)</f>
        <v>1940</v>
      </c>
    </row>
    <row r="4829" spans="1:12" ht="9.1999999999999993" customHeight="1">
      <c r="A4829" s="712">
        <v>9</v>
      </c>
      <c r="B4829" s="713" t="s">
        <v>683</v>
      </c>
      <c r="C4829" s="714">
        <f>VLOOKUP(C4817,'Luong VP'!$B$10:$AP$210,15,0)</f>
        <v>0</v>
      </c>
      <c r="D4829" s="717"/>
      <c r="E4829" s="710" t="s">
        <v>686</v>
      </c>
      <c r="F4829" s="716" t="s">
        <v>687</v>
      </c>
      <c r="G4829" s="719"/>
      <c r="H4829" s="719"/>
      <c r="I4829" s="729"/>
      <c r="J4829" s="730"/>
    </row>
    <row r="4830" spans="1:12" ht="9.1999999999999993" customHeight="1">
      <c r="A4830" s="712">
        <v>10</v>
      </c>
      <c r="B4830" s="713" t="s">
        <v>685</v>
      </c>
      <c r="C4830" s="714">
        <f>VLOOKUP(C4817,'Luong VP'!$B$10:$AP$210,16,0)</f>
        <v>0</v>
      </c>
      <c r="D4830" s="717"/>
      <c r="E4830" s="710">
        <v>1</v>
      </c>
      <c r="F4830" s="716" t="s">
        <v>689</v>
      </c>
      <c r="G4830" s="719"/>
      <c r="H4830" s="719"/>
      <c r="I4830" s="714">
        <f>VLOOKUP(C4817,'Luong VP'!$B$10:$AP$209,29,0)</f>
        <v>100715.91666666666</v>
      </c>
      <c r="J4830" s="714">
        <f>VLOOKUP(C4817,'Luong VP'!$B$10:$AP$210,30,0)</f>
        <v>1208.5909999999999</v>
      </c>
    </row>
    <row r="4831" spans="1:12" ht="9.1999999999999993" customHeight="1">
      <c r="A4831" s="712">
        <v>11</v>
      </c>
      <c r="B4831" s="713" t="s">
        <v>688</v>
      </c>
      <c r="C4831" s="714">
        <f>VLOOKUP(C4817,'Luong VP'!$B$10:$AP$210,17,0)</f>
        <v>0</v>
      </c>
      <c r="D4831" s="717"/>
      <c r="E4831" s="710">
        <v>2</v>
      </c>
      <c r="F4831" s="716" t="s">
        <v>702</v>
      </c>
      <c r="G4831" s="719"/>
      <c r="H4831" s="719"/>
      <c r="I4831" s="729"/>
      <c r="J4831" s="714">
        <f>VLOOKUP(C4817,'Luong VP'!$B$10:$AP$210,32,0)</f>
        <v>0</v>
      </c>
      <c r="K4831" s="731"/>
      <c r="L4831" s="715"/>
    </row>
    <row r="4832" spans="1:12" ht="9.1999999999999993" customHeight="1">
      <c r="A4832" s="712">
        <v>12</v>
      </c>
      <c r="B4832" s="713" t="s">
        <v>691</v>
      </c>
      <c r="C4832" s="714">
        <f>VLOOKUP(C4817,'Luong VP'!$B$10:$AP$210,18,0)</f>
        <v>0</v>
      </c>
      <c r="D4832" s="717"/>
      <c r="E4832" s="710">
        <v>3</v>
      </c>
      <c r="F4832" s="718" t="s">
        <v>238</v>
      </c>
      <c r="G4832" s="718"/>
      <c r="H4832" s="710"/>
      <c r="I4832" s="729"/>
      <c r="J4832" s="714">
        <f>VLOOKUP(C4817,'Luong VP'!$B$10:$AP$210,33,0)</f>
        <v>0</v>
      </c>
      <c r="K4832" s="731"/>
      <c r="L4832" s="715"/>
    </row>
    <row r="4833" spans="1:12" ht="9.1999999999999993" customHeight="1">
      <c r="A4833" s="712">
        <v>13</v>
      </c>
      <c r="B4833" s="713" t="s">
        <v>692</v>
      </c>
      <c r="C4833" s="714">
        <f>VLOOKUP(C4817,'Luong VP'!$B$10:$AP$210,19,0)</f>
        <v>0</v>
      </c>
      <c r="D4833" s="717"/>
      <c r="E4833" s="710">
        <v>4</v>
      </c>
      <c r="F4833" s="718" t="s">
        <v>239</v>
      </c>
      <c r="G4833" s="718"/>
      <c r="H4833" s="718"/>
      <c r="I4833" s="727"/>
      <c r="J4833" s="728">
        <f>VLOOKUP(C4817,'Luong VP'!$B$10:$AP$210,34,0)</f>
        <v>0</v>
      </c>
      <c r="K4833" s="732"/>
      <c r="L4833" s="715"/>
    </row>
    <row r="4834" spans="1:12" ht="9.1999999999999993" customHeight="1">
      <c r="A4834" s="712">
        <v>14</v>
      </c>
      <c r="B4834" s="713" t="s">
        <v>694</v>
      </c>
      <c r="C4834" s="714">
        <f>VLOOKUP(C4817,'Luong VP'!$B$10:$AP$210,20,0)</f>
        <v>0</v>
      </c>
      <c r="D4834" s="717"/>
      <c r="E4834" s="710">
        <v>5</v>
      </c>
      <c r="F4834" s="718" t="s">
        <v>695</v>
      </c>
      <c r="G4834" s="719"/>
      <c r="H4834" s="719"/>
      <c r="I4834" s="729"/>
      <c r="J4834" s="714">
        <f>VLOOKUP(C4817,'Luong VP'!$B$10:$AP$210,35,0)</f>
        <v>0</v>
      </c>
      <c r="K4834" s="732"/>
      <c r="L4834" s="715"/>
    </row>
    <row r="4835" spans="1:12" ht="9.1999999999999993" customHeight="1">
      <c r="A4835" s="712"/>
      <c r="B4835" s="707" t="s">
        <v>656</v>
      </c>
      <c r="C4835" s="714">
        <f>SUM(C4821:C4834)-C4829</f>
        <v>4500</v>
      </c>
      <c r="D4835" s="717"/>
      <c r="E4835" s="710">
        <v>6</v>
      </c>
      <c r="F4835" s="716" t="s">
        <v>693</v>
      </c>
      <c r="G4835" s="719"/>
      <c r="H4835" s="719"/>
      <c r="I4835" s="729"/>
      <c r="J4835" s="714">
        <f>VLOOKUP(C4817,'Luong VP'!$B$10:$AP$210,40,0)</f>
        <v>0</v>
      </c>
      <c r="K4835" s="731"/>
      <c r="L4835" s="715"/>
    </row>
    <row r="4836" spans="1:12" ht="9.1999999999999993" customHeight="1">
      <c r="B4836" s="720"/>
      <c r="C4836" s="717"/>
      <c r="D4836" s="717"/>
      <c r="E4836" s="710"/>
      <c r="F4836" s="716" t="s">
        <v>241</v>
      </c>
      <c r="G4836" s="719"/>
      <c r="H4836" s="719"/>
      <c r="I4836" s="729"/>
      <c r="J4836" s="730">
        <f>SUM(J4822:J4835)+C4829</f>
        <v>7821.6679230769223</v>
      </c>
      <c r="K4836" s="732"/>
      <c r="L4836" s="715"/>
    </row>
    <row r="4837" spans="1:12" ht="9.1999999999999993" customHeight="1">
      <c r="B4837" s="720"/>
      <c r="C4837" s="717"/>
      <c r="D4837" s="717"/>
      <c r="E4837" s="710" t="s">
        <v>696</v>
      </c>
      <c r="F4837" s="711" t="s">
        <v>697</v>
      </c>
      <c r="G4837" s="710"/>
      <c r="H4837" s="710"/>
      <c r="I4837" s="729"/>
      <c r="J4837" s="730">
        <f>SUM(J4838:J4840)</f>
        <v>3000</v>
      </c>
      <c r="K4837" s="734"/>
      <c r="L4837" s="735"/>
    </row>
    <row r="4838" spans="1:12" ht="9.1999999999999993" customHeight="1">
      <c r="B4838" s="720"/>
      <c r="C4838" s="717"/>
      <c r="D4838" s="717"/>
      <c r="E4838" s="710">
        <v>1</v>
      </c>
      <c r="F4838" s="718" t="s">
        <v>698</v>
      </c>
      <c r="G4838" s="718"/>
      <c r="H4838" s="718"/>
      <c r="I4838" s="733"/>
      <c r="J4838" s="714">
        <f>VLOOKUP(C4817,'Luong VP'!$B$10:$AP$210,37,0)</f>
        <v>0</v>
      </c>
    </row>
    <row r="4839" spans="1:12" ht="9.1999999999999993" customHeight="1">
      <c r="B4839" s="720"/>
      <c r="C4839" s="717"/>
      <c r="D4839" s="717"/>
      <c r="E4839" s="710">
        <v>2</v>
      </c>
      <c r="F4839" s="718" t="s">
        <v>244</v>
      </c>
      <c r="G4839" s="718"/>
      <c r="H4839" s="718"/>
      <c r="I4839" s="729"/>
      <c r="J4839" s="714">
        <f>VLOOKUP(C4817,'Luong VP'!$B$10:$AP$210,39,0)</f>
        <v>3000</v>
      </c>
    </row>
    <row r="4840" spans="1:12" ht="9.1999999999999993" customHeight="1">
      <c r="B4840" s="720"/>
      <c r="C4840" s="717"/>
      <c r="D4840" s="717"/>
      <c r="E4840" s="710"/>
      <c r="F4840" s="718" t="s">
        <v>699</v>
      </c>
      <c r="G4840" s="718"/>
      <c r="H4840" s="718"/>
      <c r="I4840" s="729"/>
      <c r="J4840" s="714"/>
      <c r="K4840" s="714"/>
      <c r="L4840" s="736"/>
    </row>
    <row r="4841" spans="1:12" ht="9.1999999999999993" customHeight="1">
      <c r="B4841" s="720"/>
      <c r="C4841" s="717"/>
      <c r="D4841" s="717"/>
      <c r="E4841" s="710" t="s">
        <v>700</v>
      </c>
      <c r="F4841" s="710" t="s">
        <v>246</v>
      </c>
      <c r="G4841" s="710"/>
      <c r="H4841" s="710"/>
      <c r="I4841" s="729"/>
      <c r="J4841" s="728">
        <f>J4836-J4837</f>
        <v>4821.6679230769223</v>
      </c>
      <c r="K4841" s="728">
        <f>ROUND(J4841,-1)</f>
        <v>4820</v>
      </c>
      <c r="L4841" s="710"/>
    </row>
    <row r="4842" spans="1:12" ht="9.1999999999999993" customHeight="1">
      <c r="E4842" s="715"/>
      <c r="F4842" s="715"/>
      <c r="G4842" s="715"/>
      <c r="I4842" s="715" t="s">
        <v>701</v>
      </c>
      <c r="J4842" s="737"/>
    </row>
    <row r="4843" spans="1:12" ht="9.1999999999999993" customHeight="1">
      <c r="E4843" s="715"/>
      <c r="F4843" s="715"/>
      <c r="G4843" s="715"/>
      <c r="I4843" s="715"/>
      <c r="J4843" s="737"/>
    </row>
    <row r="4844" spans="1:12" ht="9.1999999999999993" customHeight="1">
      <c r="E4844" s="715"/>
      <c r="F4844" s="715"/>
      <c r="G4844" s="715"/>
      <c r="I4844" s="715"/>
      <c r="J4844" s="737"/>
    </row>
    <row r="4845" spans="1:12" ht="9.1999999999999993" customHeight="1">
      <c r="E4845" s="715"/>
      <c r="F4845" s="715"/>
      <c r="G4845" s="715"/>
      <c r="I4845" s="715"/>
      <c r="J4845" s="737"/>
    </row>
    <row r="4846" spans="1:12" ht="9.1999999999999993" customHeight="1">
      <c r="E4846" s="715"/>
      <c r="F4846" s="715"/>
      <c r="G4846" s="715"/>
      <c r="I4846" s="715"/>
      <c r="J4846" s="737"/>
    </row>
    <row r="4847" spans="1:12" ht="9.1999999999999993" customHeight="1">
      <c r="C4847" s="696"/>
      <c r="D4847" s="696"/>
      <c r="E4847" s="697" t="str">
        <f>$E$2</f>
        <v>THẺ LƯƠNG THÁNG 08/2019</v>
      </c>
      <c r="F4847" s="698"/>
      <c r="G4847" s="698"/>
      <c r="H4847" s="698"/>
    </row>
    <row r="4848" spans="1:12" ht="9.1999999999999993" customHeight="1">
      <c r="B4848" s="699" t="s">
        <v>644</v>
      </c>
      <c r="C4848" s="848" t="s">
        <v>603</v>
      </c>
      <c r="D4848" s="701"/>
      <c r="F4848" s="702" t="s">
        <v>645</v>
      </c>
      <c r="G4848" s="689" t="str">
        <f>VLOOKUP(C4848,'Luong VP'!$B$10:$AP$210,2,0)</f>
        <v>Danh Đã</v>
      </c>
    </row>
    <row r="4849" spans="1:12" ht="9.1999999999999993" customHeight="1">
      <c r="B4849" s="699" t="s">
        <v>646</v>
      </c>
      <c r="C4849" s="689" t="str">
        <f>VLOOKUP(C4848,'Luong VP'!$B$10:$AP$210,3,0)</f>
        <v>NV Bốc Bùn</v>
      </c>
      <c r="F4849" s="702" t="s">
        <v>647</v>
      </c>
      <c r="G4849" s="689">
        <f>VLOOKUP(C4848,'Luong VP'!$B$10:$AP$210,5,0)</f>
        <v>1</v>
      </c>
    </row>
    <row r="4850" spans="1:12" ht="9.1999999999999993" customHeight="1">
      <c r="B4850" s="703"/>
      <c r="C4850" s="704"/>
      <c r="D4850" s="705"/>
      <c r="F4850" s="706" t="s">
        <v>648</v>
      </c>
      <c r="G4850" s="706"/>
      <c r="H4850" s="706"/>
      <c r="I4850" s="725"/>
      <c r="J4850" s="726"/>
    </row>
    <row r="4851" spans="1:12" ht="9.1999999999999993" customHeight="1">
      <c r="A4851" s="707" t="s">
        <v>216</v>
      </c>
      <c r="B4851" s="707" t="s">
        <v>649</v>
      </c>
      <c r="C4851" s="708" t="s">
        <v>650</v>
      </c>
      <c r="D4851" s="709"/>
      <c r="E4851" s="710" t="s">
        <v>216</v>
      </c>
      <c r="F4851" s="711" t="s">
        <v>649</v>
      </c>
      <c r="G4851" s="710"/>
      <c r="H4851" s="710" t="s">
        <v>651</v>
      </c>
      <c r="I4851" s="727" t="s">
        <v>652</v>
      </c>
      <c r="J4851" s="714"/>
      <c r="L4851" s="694" t="s">
        <v>653</v>
      </c>
    </row>
    <row r="4852" spans="1:12" ht="9.1999999999999993" customHeight="1">
      <c r="A4852" s="712">
        <v>1</v>
      </c>
      <c r="B4852" s="713" t="s">
        <v>654</v>
      </c>
      <c r="C4852" s="714">
        <f>VLOOKUP(C4848,'Luong VP'!$B$10:$AP$210,9,0)</f>
        <v>7000</v>
      </c>
      <c r="D4852" s="715"/>
      <c r="E4852" s="710" t="s">
        <v>655</v>
      </c>
      <c r="F4852" s="716" t="s">
        <v>656</v>
      </c>
      <c r="G4852" s="710"/>
      <c r="H4852" s="710"/>
      <c r="I4852" s="727"/>
      <c r="J4852" s="714">
        <f>VLOOKUP(C4848,'Luong VP'!$B$10:$AP$210,21,0)</f>
        <v>7000</v>
      </c>
    </row>
    <row r="4853" spans="1:12" ht="9.1999999999999993" customHeight="1">
      <c r="A4853" s="712">
        <v>2</v>
      </c>
      <c r="B4853" s="713" t="s">
        <v>658</v>
      </c>
      <c r="C4853" s="714"/>
      <c r="D4853" s="717"/>
      <c r="E4853" s="710">
        <v>1</v>
      </c>
      <c r="F4853" s="718" t="s">
        <v>659</v>
      </c>
      <c r="G4853" s="718"/>
      <c r="H4853" s="710" t="s">
        <v>660</v>
      </c>
      <c r="I4853" s="727">
        <f>VLOOKUP(C4848,'Luong VP'!$B$10:$AP$210,22,0)</f>
        <v>26</v>
      </c>
      <c r="J4853" s="728">
        <f>J4852/'Cham cong'!$AS$3*I4853</f>
        <v>7000</v>
      </c>
    </row>
    <row r="4854" spans="1:12" ht="9.1999999999999993" customHeight="1">
      <c r="A4854" s="712">
        <v>3</v>
      </c>
      <c r="B4854" s="713" t="s">
        <v>661</v>
      </c>
      <c r="C4854" s="714">
        <f>VLOOKUP(C4848,'Luong VP'!$B$10:$AP$210,10,0)</f>
        <v>0</v>
      </c>
      <c r="D4854" s="717"/>
      <c r="E4854" s="710">
        <v>2</v>
      </c>
      <c r="F4854" s="718" t="s">
        <v>662</v>
      </c>
      <c r="G4854" s="718"/>
      <c r="H4854" s="710" t="s">
        <v>660</v>
      </c>
      <c r="I4854" s="727">
        <f>VLOOKUP(C4848,'Luong VP'!$B$10:$AP$210,27,0)</f>
        <v>0</v>
      </c>
      <c r="J4854" s="728">
        <f>J4852/'Cham cong'!$AS$3*I4854*3</f>
        <v>0</v>
      </c>
    </row>
    <row r="4855" spans="1:12" ht="9.1999999999999993" customHeight="1">
      <c r="A4855" s="712">
        <v>4</v>
      </c>
      <c r="B4855" s="713" t="s">
        <v>666</v>
      </c>
      <c r="C4855" s="714">
        <f>VLOOKUP(C4848,'Luong VP'!$B$10:$AP$210,11,0)</f>
        <v>0</v>
      </c>
      <c r="D4855" s="717"/>
      <c r="E4855" s="710">
        <v>3</v>
      </c>
      <c r="F4855" s="718" t="s">
        <v>667</v>
      </c>
      <c r="G4855" s="718"/>
      <c r="H4855" s="710" t="s">
        <v>668</v>
      </c>
      <c r="I4855" s="727">
        <f>VLOOKUP(C4848,'Luong VP'!$B$10:$AP$210,26,0)</f>
        <v>0</v>
      </c>
      <c r="J4855" s="728">
        <f>J4852/'Cham cong'!$AS$3*I4855/8*1.5</f>
        <v>0</v>
      </c>
    </row>
    <row r="4856" spans="1:12" ht="9.1999999999999993" customHeight="1">
      <c r="A4856" s="712">
        <v>5</v>
      </c>
      <c r="B4856" s="713" t="s">
        <v>670</v>
      </c>
      <c r="C4856" s="714">
        <f>VLOOKUP(C4848,'Luong VP'!$B$10:$AP$210,12,0)</f>
        <v>0</v>
      </c>
      <c r="D4856" s="717"/>
      <c r="E4856" s="710">
        <v>4</v>
      </c>
      <c r="F4856" s="718" t="s">
        <v>671</v>
      </c>
      <c r="G4856" s="718"/>
      <c r="H4856" s="710" t="s">
        <v>668</v>
      </c>
      <c r="I4856" s="727">
        <f>VLOOKUP(C4848,'Luong VP'!$B$10:$AP$210,25,0)</f>
        <v>0</v>
      </c>
      <c r="J4856" s="728">
        <f>J4852/'Cham cong'!$AS$3*I4856/8*2</f>
        <v>0</v>
      </c>
    </row>
    <row r="4857" spans="1:12" ht="9.1999999999999993" customHeight="1">
      <c r="A4857" s="712">
        <v>6</v>
      </c>
      <c r="B4857" s="713" t="s">
        <v>673</v>
      </c>
      <c r="C4857" s="714">
        <f>VLOOKUP(C4848,'Luong VP'!$B$10:$AP$210,13,0)</f>
        <v>0</v>
      </c>
      <c r="D4857" s="717"/>
      <c r="E4857" s="710">
        <v>5</v>
      </c>
      <c r="F4857" s="718" t="s">
        <v>674</v>
      </c>
      <c r="G4857" s="718"/>
      <c r="H4857" s="710" t="s">
        <v>660</v>
      </c>
      <c r="I4857" s="727">
        <f>VLOOKUP(C4848,'Luong VP'!$B$10:$AP$210,23,0)</f>
        <v>0</v>
      </c>
      <c r="J4857" s="728">
        <f>C4852/'Cham cong'!$AS$3*I4857</f>
        <v>0</v>
      </c>
      <c r="L4857" s="694" t="str">
        <f>G4848</f>
        <v>Danh Đã</v>
      </c>
    </row>
    <row r="4858" spans="1:12" ht="9.1999999999999993" customHeight="1">
      <c r="A4858" s="712">
        <v>7</v>
      </c>
      <c r="B4858" s="713" t="s">
        <v>676</v>
      </c>
      <c r="C4858" s="714"/>
      <c r="D4858" s="717"/>
      <c r="E4858" s="710">
        <v>6</v>
      </c>
      <c r="F4858" s="718" t="s">
        <v>677</v>
      </c>
      <c r="G4858" s="718"/>
      <c r="H4858" s="710" t="s">
        <v>660</v>
      </c>
      <c r="I4858" s="727">
        <f>VLOOKUP(C4848,'Luong VP'!$B$10:$AP$210,24,0)</f>
        <v>1</v>
      </c>
      <c r="J4858" s="714">
        <f>C4852/'Cham cong'!$AS$3*I4858</f>
        <v>269.23076923076923</v>
      </c>
    </row>
    <row r="4859" spans="1:12" ht="9.1999999999999993" customHeight="1">
      <c r="A4859" s="712">
        <v>8</v>
      </c>
      <c r="B4859" s="713" t="s">
        <v>679</v>
      </c>
      <c r="C4859" s="714">
        <f>VLOOKUP(C4848,'Luong VP'!$B$10:$AP$210,14,0)</f>
        <v>0</v>
      </c>
      <c r="D4859" s="717"/>
      <c r="E4859" s="710">
        <v>7</v>
      </c>
      <c r="F4859" s="718" t="s">
        <v>680</v>
      </c>
      <c r="G4859" s="718"/>
      <c r="H4859" s="718"/>
      <c r="I4859" s="729"/>
      <c r="J4859" s="714">
        <f>VLOOKUP(C4848,'Luong VP'!$B$10:$AP$210,28,0)</f>
        <v>0</v>
      </c>
    </row>
    <row r="4860" spans="1:12" ht="9.1999999999999993" customHeight="1">
      <c r="A4860" s="712">
        <v>9</v>
      </c>
      <c r="B4860" s="713" t="s">
        <v>683</v>
      </c>
      <c r="C4860" s="714">
        <f>VLOOKUP(C4848,'Luong VP'!$B$10:$AP$210,15,0)</f>
        <v>0</v>
      </c>
      <c r="D4860" s="717"/>
      <c r="E4860" s="710" t="s">
        <v>686</v>
      </c>
      <c r="F4860" s="716" t="s">
        <v>687</v>
      </c>
      <c r="G4860" s="719"/>
      <c r="H4860" s="719"/>
      <c r="I4860" s="729"/>
      <c r="J4860" s="730"/>
    </row>
    <row r="4861" spans="1:12" ht="9.1999999999999993" customHeight="1">
      <c r="A4861" s="712">
        <v>10</v>
      </c>
      <c r="B4861" s="713" t="s">
        <v>685</v>
      </c>
      <c r="C4861" s="714">
        <f>VLOOKUP(C4848,'Luong VP'!$B$10:$AP$210,16,0)</f>
        <v>0</v>
      </c>
      <c r="D4861" s="717"/>
      <c r="E4861" s="710">
        <v>1</v>
      </c>
      <c r="F4861" s="716" t="s">
        <v>689</v>
      </c>
      <c r="G4861" s="719"/>
      <c r="H4861" s="719"/>
      <c r="I4861" s="714">
        <f>VLOOKUP(C4848,'Luong VP'!$B$10:$AP$209,29,0)</f>
        <v>54963.75</v>
      </c>
      <c r="J4861" s="714">
        <f>VLOOKUP(C4848,'Luong VP'!$B$10:$AP$210,30,0)</f>
        <v>659.56500000000005</v>
      </c>
    </row>
    <row r="4862" spans="1:12" ht="9.1999999999999993" customHeight="1">
      <c r="A4862" s="712">
        <v>11</v>
      </c>
      <c r="B4862" s="713" t="s">
        <v>688</v>
      </c>
      <c r="C4862" s="714">
        <f>VLOOKUP(C4848,'Luong VP'!$B$10:$AP$210,17,0)</f>
        <v>0</v>
      </c>
      <c r="D4862" s="717"/>
      <c r="E4862" s="710">
        <v>2</v>
      </c>
      <c r="F4862" s="716" t="s">
        <v>702</v>
      </c>
      <c r="G4862" s="719"/>
      <c r="H4862" s="719"/>
      <c r="I4862" s="729"/>
      <c r="J4862" s="714">
        <f>VLOOKUP(C4848,'Luong VP'!$B$10:$AP$210,32,0)</f>
        <v>0</v>
      </c>
      <c r="K4862" s="731"/>
      <c r="L4862" s="715"/>
    </row>
    <row r="4863" spans="1:12" ht="9.1999999999999993" customHeight="1">
      <c r="A4863" s="712">
        <v>12</v>
      </c>
      <c r="B4863" s="713" t="s">
        <v>691</v>
      </c>
      <c r="C4863" s="714">
        <f>VLOOKUP(C4848,'Luong VP'!$B$10:$AP$210,18,0)</f>
        <v>0</v>
      </c>
      <c r="D4863" s="717"/>
      <c r="E4863" s="710">
        <v>3</v>
      </c>
      <c r="F4863" s="718" t="s">
        <v>238</v>
      </c>
      <c r="G4863" s="718"/>
      <c r="H4863" s="710"/>
      <c r="I4863" s="729"/>
      <c r="J4863" s="714">
        <f>VLOOKUP(C4848,'Luong VP'!$B$10:$AP$210,33,0)</f>
        <v>0</v>
      </c>
      <c r="K4863" s="731"/>
      <c r="L4863" s="715"/>
    </row>
    <row r="4864" spans="1:12" ht="9.1999999999999993" customHeight="1">
      <c r="A4864" s="712">
        <v>13</v>
      </c>
      <c r="B4864" s="713" t="s">
        <v>692</v>
      </c>
      <c r="C4864" s="714">
        <f>VLOOKUP(C4848,'Luong VP'!$B$10:$AP$210,19,0)</f>
        <v>0</v>
      </c>
      <c r="D4864" s="717"/>
      <c r="E4864" s="710">
        <v>4</v>
      </c>
      <c r="F4864" s="718" t="s">
        <v>239</v>
      </c>
      <c r="G4864" s="718"/>
      <c r="H4864" s="718"/>
      <c r="I4864" s="727"/>
      <c r="J4864" s="728">
        <f>VLOOKUP(C4848,'Luong VP'!$B$10:$AP$210,34,0)</f>
        <v>0</v>
      </c>
      <c r="K4864" s="732"/>
      <c r="L4864" s="715"/>
    </row>
    <row r="4865" spans="1:12" ht="9.1999999999999993" customHeight="1">
      <c r="A4865" s="712">
        <v>14</v>
      </c>
      <c r="B4865" s="713" t="s">
        <v>694</v>
      </c>
      <c r="C4865" s="714">
        <f>VLOOKUP(C4848,'Luong VP'!$B$10:$AP$210,20,0)</f>
        <v>0</v>
      </c>
      <c r="D4865" s="717"/>
      <c r="E4865" s="710">
        <v>5</v>
      </c>
      <c r="F4865" s="718" t="s">
        <v>695</v>
      </c>
      <c r="G4865" s="719"/>
      <c r="H4865" s="719"/>
      <c r="I4865" s="729"/>
      <c r="J4865" s="714">
        <f>VLOOKUP(C4848,'Luong VP'!$B$10:$AP$210,35,0)</f>
        <v>0</v>
      </c>
      <c r="K4865" s="732"/>
      <c r="L4865" s="715"/>
    </row>
    <row r="4866" spans="1:12" ht="9.1999999999999993" customHeight="1">
      <c r="A4866" s="712"/>
      <c r="B4866" s="707" t="s">
        <v>656</v>
      </c>
      <c r="C4866" s="714">
        <f>SUM(C4852:C4865)-C4860</f>
        <v>7000</v>
      </c>
      <c r="D4866" s="717"/>
      <c r="E4866" s="710">
        <v>6</v>
      </c>
      <c r="F4866" s="716" t="s">
        <v>693</v>
      </c>
      <c r="G4866" s="719"/>
      <c r="H4866" s="719"/>
      <c r="I4866" s="729"/>
      <c r="J4866" s="714">
        <f>VLOOKUP(C4848,'Luong VP'!$B$10:$AP$210,40,0)</f>
        <v>0</v>
      </c>
      <c r="K4866" s="731"/>
      <c r="L4866" s="715"/>
    </row>
    <row r="4867" spans="1:12" ht="9.1999999999999993" customHeight="1">
      <c r="B4867" s="720"/>
      <c r="C4867" s="717"/>
      <c r="D4867" s="717"/>
      <c r="E4867" s="710"/>
      <c r="F4867" s="716" t="s">
        <v>241</v>
      </c>
      <c r="G4867" s="719"/>
      <c r="H4867" s="719"/>
      <c r="I4867" s="729"/>
      <c r="J4867" s="730">
        <f>SUM(J4853:J4866)+C4860</f>
        <v>7928.79576923077</v>
      </c>
      <c r="K4867" s="732"/>
      <c r="L4867" s="715"/>
    </row>
    <row r="4868" spans="1:12" ht="9.1999999999999993" customHeight="1">
      <c r="B4868" s="720"/>
      <c r="C4868" s="717"/>
      <c r="D4868" s="717"/>
      <c r="E4868" s="710" t="s">
        <v>696</v>
      </c>
      <c r="F4868" s="711" t="s">
        <v>697</v>
      </c>
      <c r="G4868" s="710"/>
      <c r="H4868" s="710"/>
      <c r="I4868" s="729"/>
      <c r="J4868" s="730">
        <f>SUM(J4869:J4871)</f>
        <v>3000</v>
      </c>
      <c r="K4868" s="734"/>
      <c r="L4868" s="735"/>
    </row>
    <row r="4869" spans="1:12" ht="9.1999999999999993" customHeight="1">
      <c r="B4869" s="720"/>
      <c r="C4869" s="717"/>
      <c r="D4869" s="717"/>
      <c r="E4869" s="710">
        <v>1</v>
      </c>
      <c r="F4869" s="718" t="s">
        <v>698</v>
      </c>
      <c r="G4869" s="718"/>
      <c r="H4869" s="718"/>
      <c r="I4869" s="733"/>
      <c r="J4869" s="714">
        <f>VLOOKUP(C4848,'Luong VP'!$B$10:$AP$210,37,0)</f>
        <v>0</v>
      </c>
    </row>
    <row r="4870" spans="1:12" ht="9.1999999999999993" customHeight="1">
      <c r="B4870" s="720"/>
      <c r="C4870" s="717"/>
      <c r="D4870" s="717"/>
      <c r="E4870" s="710">
        <v>2</v>
      </c>
      <c r="F4870" s="718" t="s">
        <v>244</v>
      </c>
      <c r="G4870" s="718"/>
      <c r="H4870" s="718"/>
      <c r="I4870" s="729"/>
      <c r="J4870" s="714">
        <f>VLOOKUP(C4848,'Luong VP'!$B$10:$AP$210,39,0)</f>
        <v>3000</v>
      </c>
    </row>
    <row r="4871" spans="1:12" ht="9.1999999999999993" customHeight="1">
      <c r="B4871" s="720"/>
      <c r="C4871" s="717"/>
      <c r="D4871" s="717"/>
      <c r="E4871" s="710"/>
      <c r="F4871" s="718" t="s">
        <v>699</v>
      </c>
      <c r="G4871" s="718"/>
      <c r="H4871" s="718"/>
      <c r="I4871" s="729"/>
      <c r="J4871" s="714"/>
      <c r="K4871" s="714"/>
      <c r="L4871" s="736"/>
    </row>
    <row r="4872" spans="1:12" ht="9.1999999999999993" customHeight="1">
      <c r="B4872" s="720"/>
      <c r="C4872" s="717"/>
      <c r="D4872" s="717"/>
      <c r="E4872" s="710" t="s">
        <v>700</v>
      </c>
      <c r="F4872" s="710" t="s">
        <v>246</v>
      </c>
      <c r="G4872" s="710"/>
      <c r="H4872" s="710"/>
      <c r="I4872" s="729"/>
      <c r="J4872" s="728">
        <f>J4867-J4868</f>
        <v>4928.79576923077</v>
      </c>
      <c r="K4872" s="728">
        <f>ROUND(J4872,-1)</f>
        <v>4930</v>
      </c>
      <c r="L4872" s="710"/>
    </row>
    <row r="4873" spans="1:12" ht="9.1999999999999993" customHeight="1">
      <c r="E4873" s="715"/>
      <c r="F4873" s="715"/>
      <c r="G4873" s="715"/>
      <c r="I4873" s="715" t="s">
        <v>701</v>
      </c>
      <c r="J4873" s="737"/>
    </row>
    <row r="4874" spans="1:12" ht="9.1999999999999993" customHeight="1">
      <c r="E4874" s="715"/>
      <c r="F4874" s="715"/>
      <c r="G4874" s="715"/>
      <c r="I4874" s="715"/>
      <c r="J4874" s="737"/>
    </row>
    <row r="4875" spans="1:12" ht="9.1999999999999993" customHeight="1">
      <c r="E4875" s="715"/>
      <c r="F4875" s="715"/>
      <c r="G4875" s="715"/>
      <c r="I4875" s="715"/>
      <c r="J4875" s="737"/>
    </row>
    <row r="4876" spans="1:12" ht="9.1999999999999993" customHeight="1">
      <c r="E4876" s="715"/>
      <c r="F4876" s="715"/>
      <c r="G4876" s="715"/>
      <c r="I4876" s="715"/>
      <c r="J4876" s="737"/>
    </row>
    <row r="4877" spans="1:12" ht="9.1999999999999993" customHeight="1">
      <c r="E4877" s="715"/>
      <c r="F4877" s="715"/>
      <c r="G4877" s="715"/>
      <c r="I4877" s="715"/>
      <c r="J4877" s="737"/>
    </row>
    <row r="4878" spans="1:12" ht="9.1999999999999993" customHeight="1">
      <c r="C4878" s="696"/>
      <c r="D4878" s="696"/>
      <c r="E4878" s="697" t="str">
        <f>$E$2</f>
        <v>THẺ LƯƠNG THÁNG 08/2019</v>
      </c>
      <c r="F4878" s="698"/>
      <c r="G4878" s="698"/>
      <c r="H4878" s="698"/>
    </row>
    <row r="4879" spans="1:12" ht="9.1999999999999993" customHeight="1">
      <c r="B4879" s="699" t="s">
        <v>644</v>
      </c>
      <c r="C4879" s="848" t="s">
        <v>609</v>
      </c>
      <c r="D4879" s="701"/>
      <c r="F4879" s="702" t="s">
        <v>645</v>
      </c>
      <c r="G4879" s="689" t="str">
        <f>VLOOKUP(C4879,'Luong VP'!$B$10:$AP$210,2,0)</f>
        <v>Nguyễn Văn An</v>
      </c>
    </row>
    <row r="4880" spans="1:12" ht="9.1999999999999993" customHeight="1">
      <c r="B4880" s="699" t="s">
        <v>646</v>
      </c>
      <c r="C4880" s="689" t="str">
        <f>VLOOKUP(C4879,'Luong VP'!$B$10:$AP$210,3,0)</f>
        <v>NV Giao nhận/ Phụ xe</v>
      </c>
      <c r="F4880" s="702" t="s">
        <v>647</v>
      </c>
      <c r="G4880" s="689">
        <f>VLOOKUP(C4879,'Luong VP'!$B$10:$AP$210,5,0)</f>
        <v>1</v>
      </c>
    </row>
    <row r="4881" spans="1:12" ht="9.1999999999999993" customHeight="1">
      <c r="B4881" s="703"/>
      <c r="C4881" s="704"/>
      <c r="D4881" s="705"/>
      <c r="F4881" s="706" t="s">
        <v>648</v>
      </c>
      <c r="G4881" s="706"/>
      <c r="H4881" s="706"/>
      <c r="I4881" s="725"/>
      <c r="J4881" s="726"/>
    </row>
    <row r="4882" spans="1:12" ht="9.1999999999999993" customHeight="1">
      <c r="A4882" s="707" t="s">
        <v>216</v>
      </c>
      <c r="B4882" s="707" t="s">
        <v>649</v>
      </c>
      <c r="C4882" s="708" t="s">
        <v>650</v>
      </c>
      <c r="D4882" s="709"/>
      <c r="E4882" s="710" t="s">
        <v>216</v>
      </c>
      <c r="F4882" s="711" t="s">
        <v>649</v>
      </c>
      <c r="G4882" s="710"/>
      <c r="H4882" s="710" t="s">
        <v>651</v>
      </c>
      <c r="I4882" s="727" t="s">
        <v>652</v>
      </c>
      <c r="J4882" s="714"/>
      <c r="L4882" s="694" t="s">
        <v>653</v>
      </c>
    </row>
    <row r="4883" spans="1:12" ht="9.1999999999999993" customHeight="1">
      <c r="A4883" s="712">
        <v>1</v>
      </c>
      <c r="B4883" s="713" t="s">
        <v>654</v>
      </c>
      <c r="C4883" s="714">
        <f>VLOOKUP(C4879,'Luong VP'!$B$10:$AP$210,9,0)</f>
        <v>4500</v>
      </c>
      <c r="D4883" s="715"/>
      <c r="E4883" s="710" t="s">
        <v>655</v>
      </c>
      <c r="F4883" s="716" t="s">
        <v>656</v>
      </c>
      <c r="G4883" s="710"/>
      <c r="H4883" s="710"/>
      <c r="I4883" s="727"/>
      <c r="J4883" s="714">
        <f>VLOOKUP(C4879,'Luong VP'!$B$10:$AP$210,21,0)</f>
        <v>4500</v>
      </c>
    </row>
    <row r="4884" spans="1:12" ht="9.1999999999999993" customHeight="1">
      <c r="A4884" s="712">
        <v>2</v>
      </c>
      <c r="B4884" s="713" t="s">
        <v>658</v>
      </c>
      <c r="C4884" s="714"/>
      <c r="D4884" s="717"/>
      <c r="E4884" s="710">
        <v>1</v>
      </c>
      <c r="F4884" s="718" t="s">
        <v>659</v>
      </c>
      <c r="G4884" s="718"/>
      <c r="H4884" s="710" t="s">
        <v>660</v>
      </c>
      <c r="I4884" s="727">
        <f>VLOOKUP(C4879,'Luong VP'!$B$10:$AP$210,22,0)</f>
        <v>26</v>
      </c>
      <c r="J4884" s="728">
        <f>J4883/'Cham cong'!$AS$3*I4884</f>
        <v>4500</v>
      </c>
    </row>
    <row r="4885" spans="1:12" ht="9.1999999999999993" customHeight="1">
      <c r="A4885" s="712">
        <v>3</v>
      </c>
      <c r="B4885" s="713" t="s">
        <v>661</v>
      </c>
      <c r="C4885" s="714">
        <f>VLOOKUP(C4879,'Luong VP'!$B$10:$AP$210,10,0)</f>
        <v>0</v>
      </c>
      <c r="D4885" s="717"/>
      <c r="E4885" s="710">
        <v>2</v>
      </c>
      <c r="F4885" s="718" t="s">
        <v>662</v>
      </c>
      <c r="G4885" s="718"/>
      <c r="H4885" s="710" t="s">
        <v>660</v>
      </c>
      <c r="I4885" s="727">
        <f>VLOOKUP(C4879,'Luong VP'!$B$10:$AP$210,27,0)</f>
        <v>0</v>
      </c>
      <c r="J4885" s="728">
        <f>J4883/'Cham cong'!$AS$3*I4885*3</f>
        <v>0</v>
      </c>
    </row>
    <row r="4886" spans="1:12" ht="9.1999999999999993" customHeight="1">
      <c r="A4886" s="712">
        <v>4</v>
      </c>
      <c r="B4886" s="713" t="s">
        <v>666</v>
      </c>
      <c r="C4886" s="714">
        <f>VLOOKUP(C4879,'Luong VP'!$B$10:$AP$210,11,0)</f>
        <v>0</v>
      </c>
      <c r="D4886" s="717"/>
      <c r="E4886" s="710">
        <v>3</v>
      </c>
      <c r="F4886" s="718" t="s">
        <v>667</v>
      </c>
      <c r="G4886" s="718"/>
      <c r="H4886" s="710" t="s">
        <v>668</v>
      </c>
      <c r="I4886" s="727">
        <f>VLOOKUP(C4879,'Luong VP'!$B$10:$AP$210,26,0)</f>
        <v>0</v>
      </c>
      <c r="J4886" s="728">
        <f>J4883/'Cham cong'!$AS$3*I4886/8*1.5</f>
        <v>0</v>
      </c>
    </row>
    <row r="4887" spans="1:12" ht="9.1999999999999993" customHeight="1">
      <c r="A4887" s="712">
        <v>5</v>
      </c>
      <c r="B4887" s="713" t="s">
        <v>670</v>
      </c>
      <c r="C4887" s="714">
        <f>VLOOKUP(C4879,'Luong VP'!$B$10:$AP$210,12,0)</f>
        <v>0</v>
      </c>
      <c r="D4887" s="717"/>
      <c r="E4887" s="710">
        <v>4</v>
      </c>
      <c r="F4887" s="718" t="s">
        <v>671</v>
      </c>
      <c r="G4887" s="718"/>
      <c r="H4887" s="710" t="s">
        <v>668</v>
      </c>
      <c r="I4887" s="727">
        <f>VLOOKUP(C4879,'Luong VP'!$B$10:$AP$210,25,0)</f>
        <v>0</v>
      </c>
      <c r="J4887" s="728">
        <f>J4883/'Cham cong'!$AS$3*I4887/8*2</f>
        <v>0</v>
      </c>
    </row>
    <row r="4888" spans="1:12" ht="9.1999999999999993" customHeight="1">
      <c r="A4888" s="712">
        <v>6</v>
      </c>
      <c r="B4888" s="713" t="s">
        <v>673</v>
      </c>
      <c r="C4888" s="714">
        <f>VLOOKUP(C4879,'Luong VP'!$B$10:$AP$210,13,0)</f>
        <v>0</v>
      </c>
      <c r="D4888" s="717"/>
      <c r="E4888" s="710">
        <v>5</v>
      </c>
      <c r="F4888" s="718" t="s">
        <v>674</v>
      </c>
      <c r="G4888" s="718"/>
      <c r="H4888" s="710" t="s">
        <v>660</v>
      </c>
      <c r="I4888" s="727">
        <f>VLOOKUP(C4879,'Luong VP'!$B$10:$AP$210,23,0)</f>
        <v>0</v>
      </c>
      <c r="J4888" s="728">
        <f>C4883/'Cham cong'!$AS$3*I4888</f>
        <v>0</v>
      </c>
      <c r="L4888" s="694" t="str">
        <f>G4879</f>
        <v>Nguyễn Văn An</v>
      </c>
    </row>
    <row r="4889" spans="1:12" ht="9.1999999999999993" customHeight="1">
      <c r="A4889" s="712">
        <v>7</v>
      </c>
      <c r="B4889" s="713" t="s">
        <v>676</v>
      </c>
      <c r="C4889" s="714"/>
      <c r="D4889" s="717"/>
      <c r="E4889" s="710">
        <v>6</v>
      </c>
      <c r="F4889" s="718" t="s">
        <v>677</v>
      </c>
      <c r="G4889" s="718"/>
      <c r="H4889" s="710" t="s">
        <v>660</v>
      </c>
      <c r="I4889" s="727">
        <f>VLOOKUP(C4879,'Luong VP'!$B$10:$AP$210,24,0)</f>
        <v>1</v>
      </c>
      <c r="J4889" s="714">
        <f>C4883/'Cham cong'!$AS$3*I4889</f>
        <v>173.07692307692307</v>
      </c>
    </row>
    <row r="4890" spans="1:12" ht="9.1999999999999993" customHeight="1">
      <c r="A4890" s="712">
        <v>8</v>
      </c>
      <c r="B4890" s="713" t="s">
        <v>679</v>
      </c>
      <c r="C4890" s="714">
        <f>VLOOKUP(C4879,'Luong VP'!$B$10:$AP$210,14,0)</f>
        <v>0</v>
      </c>
      <c r="D4890" s="717"/>
      <c r="E4890" s="710">
        <v>7</v>
      </c>
      <c r="F4890" s="718" t="s">
        <v>680</v>
      </c>
      <c r="G4890" s="718"/>
      <c r="H4890" s="718"/>
      <c r="I4890" s="729"/>
      <c r="J4890" s="714">
        <f>VLOOKUP(C4879,'Luong VP'!$B$10:$AP$210,28,0)</f>
        <v>540</v>
      </c>
    </row>
    <row r="4891" spans="1:12" ht="9.1999999999999993" customHeight="1">
      <c r="A4891" s="712">
        <v>9</v>
      </c>
      <c r="B4891" s="713" t="s">
        <v>683</v>
      </c>
      <c r="C4891" s="714">
        <f>VLOOKUP(C4879,'Luong VP'!$B$10:$AP$210,15,0)</f>
        <v>0</v>
      </c>
      <c r="D4891" s="717"/>
      <c r="E4891" s="710" t="s">
        <v>686</v>
      </c>
      <c r="F4891" s="716" t="s">
        <v>687</v>
      </c>
      <c r="G4891" s="719"/>
      <c r="H4891" s="719"/>
      <c r="I4891" s="729"/>
      <c r="J4891" s="730"/>
    </row>
    <row r="4892" spans="1:12" ht="9.1999999999999993" customHeight="1">
      <c r="A4892" s="712">
        <v>10</v>
      </c>
      <c r="B4892" s="713" t="s">
        <v>685</v>
      </c>
      <c r="C4892" s="714">
        <f>VLOOKUP(C4879,'Luong VP'!$B$10:$AP$210,16,0)</f>
        <v>0</v>
      </c>
      <c r="D4892" s="717"/>
      <c r="E4892" s="710">
        <v>1</v>
      </c>
      <c r="F4892" s="716" t="s">
        <v>689</v>
      </c>
      <c r="G4892" s="719"/>
      <c r="H4892" s="719"/>
      <c r="I4892" s="714">
        <f>VLOOKUP(C4879,'Luong VP'!$B$10:$AP$209,29,0)</f>
        <v>147200.66666666666</v>
      </c>
      <c r="J4892" s="714">
        <f>VLOOKUP(C4879,'Luong VP'!$B$10:$AP$210,30,0)</f>
        <v>1766.4079999999999</v>
      </c>
    </row>
    <row r="4893" spans="1:12" ht="9.1999999999999993" customHeight="1">
      <c r="A4893" s="712">
        <v>11</v>
      </c>
      <c r="B4893" s="713" t="s">
        <v>688</v>
      </c>
      <c r="C4893" s="714">
        <f>VLOOKUP(C4879,'Luong VP'!$B$10:$AP$210,17,0)</f>
        <v>0</v>
      </c>
      <c r="D4893" s="717"/>
      <c r="E4893" s="710">
        <v>2</v>
      </c>
      <c r="F4893" s="716" t="s">
        <v>702</v>
      </c>
      <c r="G4893" s="719"/>
      <c r="H4893" s="719"/>
      <c r="I4893" s="729"/>
      <c r="J4893" s="714">
        <f>VLOOKUP(C4879,'Luong VP'!$B$10:$AP$210,32,0)</f>
        <v>0</v>
      </c>
      <c r="K4893" s="731"/>
      <c r="L4893" s="715"/>
    </row>
    <row r="4894" spans="1:12" ht="9.1999999999999993" customHeight="1">
      <c r="A4894" s="712">
        <v>12</v>
      </c>
      <c r="B4894" s="713" t="s">
        <v>691</v>
      </c>
      <c r="C4894" s="714">
        <f>VLOOKUP(C4879,'Luong VP'!$B$10:$AP$210,18,0)</f>
        <v>0</v>
      </c>
      <c r="D4894" s="717"/>
      <c r="E4894" s="710">
        <v>3</v>
      </c>
      <c r="F4894" s="718" t="s">
        <v>238</v>
      </c>
      <c r="G4894" s="718"/>
      <c r="H4894" s="710"/>
      <c r="I4894" s="729"/>
      <c r="J4894" s="714">
        <f>VLOOKUP(C4879,'Luong VP'!$B$10:$AP$210,33,0)</f>
        <v>0</v>
      </c>
      <c r="K4894" s="731"/>
      <c r="L4894" s="715"/>
    </row>
    <row r="4895" spans="1:12" ht="9.1999999999999993" customHeight="1">
      <c r="A4895" s="712">
        <v>13</v>
      </c>
      <c r="B4895" s="713" t="s">
        <v>692</v>
      </c>
      <c r="C4895" s="714">
        <f>VLOOKUP(C4879,'Luong VP'!$B$10:$AP$210,19,0)</f>
        <v>0</v>
      </c>
      <c r="D4895" s="717"/>
      <c r="E4895" s="710">
        <v>4</v>
      </c>
      <c r="F4895" s="718" t="s">
        <v>239</v>
      </c>
      <c r="G4895" s="718"/>
      <c r="H4895" s="718"/>
      <c r="I4895" s="727"/>
      <c r="J4895" s="728">
        <f>VLOOKUP(C4879,'Luong VP'!$B$10:$AP$210,34,0)</f>
        <v>0</v>
      </c>
      <c r="K4895" s="732"/>
      <c r="L4895" s="715"/>
    </row>
    <row r="4896" spans="1:12" ht="9.1999999999999993" customHeight="1">
      <c r="A4896" s="712">
        <v>14</v>
      </c>
      <c r="B4896" s="713" t="s">
        <v>694</v>
      </c>
      <c r="C4896" s="714">
        <f>VLOOKUP(C4879,'Luong VP'!$B$10:$AP$210,20,0)</f>
        <v>0</v>
      </c>
      <c r="D4896" s="717"/>
      <c r="E4896" s="710">
        <v>5</v>
      </c>
      <c r="F4896" s="718" t="s">
        <v>695</v>
      </c>
      <c r="G4896" s="719"/>
      <c r="H4896" s="719"/>
      <c r="I4896" s="729"/>
      <c r="J4896" s="714">
        <f>VLOOKUP(C4879,'Luong VP'!$B$10:$AP$210,35,0)</f>
        <v>0</v>
      </c>
      <c r="K4896" s="732"/>
      <c r="L4896" s="715"/>
    </row>
    <row r="4897" spans="1:12" ht="9.1999999999999993" customHeight="1">
      <c r="A4897" s="712"/>
      <c r="B4897" s="707" t="s">
        <v>656</v>
      </c>
      <c r="C4897" s="714">
        <f>SUM(C4883:C4896)-C4891</f>
        <v>4500</v>
      </c>
      <c r="D4897" s="717"/>
      <c r="E4897" s="710">
        <v>6</v>
      </c>
      <c r="F4897" s="716" t="s">
        <v>693</v>
      </c>
      <c r="G4897" s="719"/>
      <c r="H4897" s="719"/>
      <c r="I4897" s="729"/>
      <c r="J4897" s="714">
        <f>VLOOKUP(C4879,'Luong VP'!$B$10:$AP$210,40,0)</f>
        <v>0</v>
      </c>
      <c r="K4897" s="731"/>
      <c r="L4897" s="715"/>
    </row>
    <row r="4898" spans="1:12" ht="9.1999999999999993" customHeight="1">
      <c r="B4898" s="720"/>
      <c r="C4898" s="717"/>
      <c r="D4898" s="717"/>
      <c r="E4898" s="710"/>
      <c r="F4898" s="716" t="s">
        <v>241</v>
      </c>
      <c r="G4898" s="719"/>
      <c r="H4898" s="719"/>
      <c r="I4898" s="729"/>
      <c r="J4898" s="730">
        <f>SUM(J4884:J4897)+C4891</f>
        <v>6979.4849230769232</v>
      </c>
      <c r="K4898" s="732"/>
      <c r="L4898" s="715"/>
    </row>
    <row r="4899" spans="1:12" ht="9.1999999999999993" customHeight="1">
      <c r="B4899" s="720"/>
      <c r="C4899" s="717"/>
      <c r="D4899" s="717"/>
      <c r="E4899" s="710" t="s">
        <v>696</v>
      </c>
      <c r="F4899" s="711" t="s">
        <v>697</v>
      </c>
      <c r="G4899" s="710"/>
      <c r="H4899" s="710"/>
      <c r="I4899" s="729"/>
      <c r="J4899" s="730">
        <f>SUM(J4900:J4902)</f>
        <v>3000</v>
      </c>
      <c r="K4899" s="734"/>
      <c r="L4899" s="735"/>
    </row>
    <row r="4900" spans="1:12" ht="9.1999999999999993" customHeight="1">
      <c r="B4900" s="720"/>
      <c r="C4900" s="717"/>
      <c r="D4900" s="717"/>
      <c r="E4900" s="710">
        <v>1</v>
      </c>
      <c r="F4900" s="718" t="s">
        <v>698</v>
      </c>
      <c r="G4900" s="718"/>
      <c r="H4900" s="718"/>
      <c r="I4900" s="733"/>
      <c r="J4900" s="714">
        <f>VLOOKUP(C4879,'Luong VP'!$B$10:$AP$210,37,0)</f>
        <v>0</v>
      </c>
    </row>
    <row r="4901" spans="1:12" ht="9.1999999999999993" customHeight="1">
      <c r="B4901" s="720"/>
      <c r="C4901" s="717"/>
      <c r="D4901" s="717"/>
      <c r="E4901" s="710">
        <v>2</v>
      </c>
      <c r="F4901" s="718" t="s">
        <v>244</v>
      </c>
      <c r="G4901" s="718"/>
      <c r="H4901" s="718"/>
      <c r="I4901" s="729"/>
      <c r="J4901" s="714">
        <f>VLOOKUP(C4879,'Luong VP'!$B$10:$AP$210,39,0)</f>
        <v>3000</v>
      </c>
    </row>
    <row r="4902" spans="1:12" ht="9.1999999999999993" customHeight="1">
      <c r="B4902" s="720"/>
      <c r="C4902" s="717"/>
      <c r="D4902" s="717"/>
      <c r="E4902" s="710"/>
      <c r="F4902" s="718" t="s">
        <v>699</v>
      </c>
      <c r="G4902" s="718"/>
      <c r="H4902" s="718"/>
      <c r="I4902" s="729"/>
      <c r="J4902" s="714"/>
      <c r="K4902" s="714"/>
      <c r="L4902" s="736"/>
    </row>
    <row r="4903" spans="1:12" ht="9.1999999999999993" customHeight="1">
      <c r="B4903" s="720"/>
      <c r="C4903" s="717"/>
      <c r="D4903" s="717"/>
      <c r="E4903" s="710" t="s">
        <v>700</v>
      </c>
      <c r="F4903" s="710" t="s">
        <v>246</v>
      </c>
      <c r="G4903" s="710"/>
      <c r="H4903" s="710"/>
      <c r="I4903" s="729"/>
      <c r="J4903" s="728">
        <f>J4898-J4899</f>
        <v>3979.4849230769232</v>
      </c>
      <c r="K4903" s="728">
        <f>ROUND(J4903,-1)</f>
        <v>3980</v>
      </c>
      <c r="L4903" s="710"/>
    </row>
    <row r="4904" spans="1:12" ht="9.1999999999999993" customHeight="1">
      <c r="E4904" s="715"/>
      <c r="F4904" s="715"/>
      <c r="G4904" s="715"/>
      <c r="I4904" s="715" t="s">
        <v>701</v>
      </c>
      <c r="J4904" s="737"/>
    </row>
    <row r="4905" spans="1:12" ht="9.1999999999999993" customHeight="1">
      <c r="E4905" s="715"/>
      <c r="F4905" s="715"/>
      <c r="G4905" s="715"/>
      <c r="I4905" s="715"/>
      <c r="J4905" s="737"/>
    </row>
    <row r="4906" spans="1:12" ht="9.1999999999999993" customHeight="1">
      <c r="E4906" s="715"/>
      <c r="F4906" s="715"/>
      <c r="G4906" s="715"/>
      <c r="I4906" s="715"/>
      <c r="J4906" s="737"/>
    </row>
    <row r="4907" spans="1:12" ht="9.1999999999999993" customHeight="1">
      <c r="E4907" s="715"/>
      <c r="F4907" s="715"/>
      <c r="G4907" s="715"/>
      <c r="I4907" s="715"/>
      <c r="J4907" s="737"/>
    </row>
    <row r="4908" spans="1:12" ht="9.1999999999999993" customHeight="1">
      <c r="E4908" s="715"/>
      <c r="F4908" s="715"/>
      <c r="G4908" s="715"/>
      <c r="I4908" s="715"/>
      <c r="J4908" s="737"/>
    </row>
    <row r="4909" spans="1:12" ht="9.1999999999999993" customHeight="1">
      <c r="E4909" s="715"/>
      <c r="F4909" s="715"/>
      <c r="G4909" s="715"/>
      <c r="I4909" s="715"/>
      <c r="J4909" s="737"/>
    </row>
    <row r="4910" spans="1:12" ht="9.1999999999999993" customHeight="1">
      <c r="C4910" s="696"/>
      <c r="D4910" s="696"/>
      <c r="E4910" s="697" t="str">
        <f>$E$2</f>
        <v>THẺ LƯƠNG THÁNG 08/2019</v>
      </c>
      <c r="F4910" s="698"/>
      <c r="G4910" s="698"/>
      <c r="H4910" s="698"/>
    </row>
    <row r="4911" spans="1:12" ht="9.1999999999999993" customHeight="1">
      <c r="B4911" s="699" t="s">
        <v>644</v>
      </c>
      <c r="C4911" s="848" t="s">
        <v>611</v>
      </c>
      <c r="D4911" s="701"/>
      <c r="F4911" s="702" t="s">
        <v>645</v>
      </c>
      <c r="G4911" s="689" t="str">
        <f>VLOOKUP(C4911,'Luong VP'!$B$10:$AP$210,2,0)</f>
        <v>Nguyễn Thanh Tùng</v>
      </c>
    </row>
    <row r="4912" spans="1:12" ht="9.1999999999999993" customHeight="1">
      <c r="B4912" s="699" t="s">
        <v>646</v>
      </c>
      <c r="C4912" s="689" t="str">
        <f>VLOOKUP(C4911,'Luong VP'!$B$10:$AP$210,3,0)</f>
        <v>NV Giao nhận/ Phụ xe</v>
      </c>
      <c r="F4912" s="702" t="s">
        <v>647</v>
      </c>
      <c r="G4912" s="689">
        <f>VLOOKUP(C4911,'Luong VP'!$B$10:$AP$210,5,0)</f>
        <v>1</v>
      </c>
    </row>
    <row r="4913" spans="1:12" ht="9.1999999999999993" customHeight="1">
      <c r="B4913" s="703"/>
      <c r="C4913" s="704"/>
      <c r="D4913" s="705"/>
      <c r="F4913" s="706" t="s">
        <v>648</v>
      </c>
      <c r="G4913" s="706"/>
      <c r="H4913" s="706"/>
      <c r="I4913" s="725"/>
      <c r="J4913" s="726"/>
    </row>
    <row r="4914" spans="1:12" ht="9.1999999999999993" customHeight="1">
      <c r="A4914" s="707" t="s">
        <v>216</v>
      </c>
      <c r="B4914" s="707" t="s">
        <v>649</v>
      </c>
      <c r="C4914" s="708" t="s">
        <v>650</v>
      </c>
      <c r="D4914" s="709"/>
      <c r="E4914" s="710" t="s">
        <v>216</v>
      </c>
      <c r="F4914" s="711" t="s">
        <v>649</v>
      </c>
      <c r="G4914" s="710"/>
      <c r="H4914" s="710" t="s">
        <v>651</v>
      </c>
      <c r="I4914" s="727" t="s">
        <v>652</v>
      </c>
      <c r="J4914" s="714"/>
      <c r="L4914" s="694" t="s">
        <v>653</v>
      </c>
    </row>
    <row r="4915" spans="1:12" ht="9.1999999999999993" customHeight="1">
      <c r="A4915" s="712">
        <v>1</v>
      </c>
      <c r="B4915" s="713" t="s">
        <v>654</v>
      </c>
      <c r="C4915" s="714">
        <f>VLOOKUP(C4911,'Luong VP'!$B$10:$AP$210,9,0)</f>
        <v>4500</v>
      </c>
      <c r="D4915" s="715"/>
      <c r="E4915" s="710" t="s">
        <v>655</v>
      </c>
      <c r="F4915" s="716" t="s">
        <v>656</v>
      </c>
      <c r="G4915" s="710"/>
      <c r="H4915" s="710"/>
      <c r="I4915" s="727"/>
      <c r="J4915" s="714">
        <f>VLOOKUP(C4911,'Luong VP'!$B$10:$AP$210,21,0)</f>
        <v>4500</v>
      </c>
    </row>
    <row r="4916" spans="1:12" ht="9.1999999999999993" customHeight="1">
      <c r="A4916" s="712">
        <v>2</v>
      </c>
      <c r="B4916" s="713" t="s">
        <v>658</v>
      </c>
      <c r="C4916" s="714"/>
      <c r="D4916" s="717"/>
      <c r="E4916" s="710">
        <v>1</v>
      </c>
      <c r="F4916" s="718" t="s">
        <v>659</v>
      </c>
      <c r="G4916" s="718"/>
      <c r="H4916" s="710" t="s">
        <v>660</v>
      </c>
      <c r="I4916" s="727">
        <f>VLOOKUP(C4911,'Luong VP'!$B$10:$AP$210,22,0)</f>
        <v>26</v>
      </c>
      <c r="J4916" s="728">
        <f>J4915/'Cham cong'!$AS$3*I4916</f>
        <v>4500</v>
      </c>
    </row>
    <row r="4917" spans="1:12" ht="9.1999999999999993" customHeight="1">
      <c r="A4917" s="712">
        <v>3</v>
      </c>
      <c r="B4917" s="713" t="s">
        <v>661</v>
      </c>
      <c r="C4917" s="714">
        <f>VLOOKUP(C4911,'Luong VP'!$B$10:$AP$210,10,0)</f>
        <v>0</v>
      </c>
      <c r="D4917" s="717"/>
      <c r="E4917" s="710">
        <v>2</v>
      </c>
      <c r="F4917" s="718" t="s">
        <v>662</v>
      </c>
      <c r="G4917" s="718"/>
      <c r="H4917" s="710" t="s">
        <v>660</v>
      </c>
      <c r="I4917" s="727">
        <f>VLOOKUP(C4911,'Luong VP'!$B$10:$AP$210,27,0)</f>
        <v>0</v>
      </c>
      <c r="J4917" s="728">
        <f>J4915/'Cham cong'!$AS$3*I4917*3</f>
        <v>0</v>
      </c>
    </row>
    <row r="4918" spans="1:12" ht="9.1999999999999993" customHeight="1">
      <c r="A4918" s="712">
        <v>4</v>
      </c>
      <c r="B4918" s="713" t="s">
        <v>666</v>
      </c>
      <c r="C4918" s="714">
        <f>VLOOKUP(C4911,'Luong VP'!$B$10:$AP$210,11,0)</f>
        <v>0</v>
      </c>
      <c r="D4918" s="717"/>
      <c r="E4918" s="710">
        <v>3</v>
      </c>
      <c r="F4918" s="718" t="s">
        <v>667</v>
      </c>
      <c r="G4918" s="718"/>
      <c r="H4918" s="710" t="s">
        <v>668</v>
      </c>
      <c r="I4918" s="727">
        <f>VLOOKUP(C4911,'Luong VP'!$B$10:$AP$210,26,0)</f>
        <v>0</v>
      </c>
      <c r="J4918" s="728">
        <f>J4915/'Cham cong'!$AS$3*I4918/8*1.5</f>
        <v>0</v>
      </c>
    </row>
    <row r="4919" spans="1:12" ht="9.1999999999999993" customHeight="1">
      <c r="A4919" s="712">
        <v>5</v>
      </c>
      <c r="B4919" s="713" t="s">
        <v>670</v>
      </c>
      <c r="C4919" s="714">
        <f>VLOOKUP(C4911,'Luong VP'!$B$10:$AP$210,12,0)</f>
        <v>0</v>
      </c>
      <c r="D4919" s="717"/>
      <c r="E4919" s="710">
        <v>4</v>
      </c>
      <c r="F4919" s="718" t="s">
        <v>671</v>
      </c>
      <c r="G4919" s="718"/>
      <c r="H4919" s="710" t="s">
        <v>668</v>
      </c>
      <c r="I4919" s="727">
        <f>VLOOKUP(C4911,'Luong VP'!$B$10:$AP$210,25,0)</f>
        <v>0</v>
      </c>
      <c r="J4919" s="728">
        <f>J4915/'Cham cong'!$AS$3*I4919/8*2</f>
        <v>0</v>
      </c>
    </row>
    <row r="4920" spans="1:12" ht="9.1999999999999993" customHeight="1">
      <c r="A4920" s="712">
        <v>6</v>
      </c>
      <c r="B4920" s="713" t="s">
        <v>673</v>
      </c>
      <c r="C4920" s="714">
        <f>VLOOKUP(C4911,'Luong VP'!$B$10:$AP$210,13,0)</f>
        <v>0</v>
      </c>
      <c r="D4920" s="717"/>
      <c r="E4920" s="710">
        <v>5</v>
      </c>
      <c r="F4920" s="718" t="s">
        <v>674</v>
      </c>
      <c r="G4920" s="718"/>
      <c r="H4920" s="710" t="s">
        <v>660</v>
      </c>
      <c r="I4920" s="727">
        <f>VLOOKUP(C4911,'Luong VP'!$B$10:$AP$210,23,0)</f>
        <v>0</v>
      </c>
      <c r="J4920" s="728">
        <f>C4915/'Cham cong'!$AS$3*I4920</f>
        <v>0</v>
      </c>
      <c r="L4920" s="694" t="str">
        <f>G4911</f>
        <v>Nguyễn Thanh Tùng</v>
      </c>
    </row>
    <row r="4921" spans="1:12" ht="9.1999999999999993" customHeight="1">
      <c r="A4921" s="712">
        <v>7</v>
      </c>
      <c r="B4921" s="713" t="s">
        <v>676</v>
      </c>
      <c r="C4921" s="714"/>
      <c r="D4921" s="717"/>
      <c r="E4921" s="710">
        <v>6</v>
      </c>
      <c r="F4921" s="718" t="s">
        <v>677</v>
      </c>
      <c r="G4921" s="718"/>
      <c r="H4921" s="710" t="s">
        <v>660</v>
      </c>
      <c r="I4921" s="727">
        <f>VLOOKUP(C4911,'Luong VP'!$B$10:$AP$210,24,0)</f>
        <v>1</v>
      </c>
      <c r="J4921" s="714">
        <f>C4915/'Cham cong'!$AS$3*I4921</f>
        <v>173.07692307692307</v>
      </c>
    </row>
    <row r="4922" spans="1:12" ht="9.1999999999999993" customHeight="1">
      <c r="A4922" s="712">
        <v>8</v>
      </c>
      <c r="B4922" s="713" t="s">
        <v>679</v>
      </c>
      <c r="C4922" s="714">
        <f>VLOOKUP(C4911,'Luong VP'!$B$10:$AP$210,14,0)</f>
        <v>0</v>
      </c>
      <c r="D4922" s="717"/>
      <c r="E4922" s="710">
        <v>7</v>
      </c>
      <c r="F4922" s="718" t="s">
        <v>680</v>
      </c>
      <c r="G4922" s="718"/>
      <c r="H4922" s="718"/>
      <c r="I4922" s="729"/>
      <c r="J4922" s="714">
        <f>VLOOKUP(C4911,'Luong VP'!$B$10:$AP$210,28,0)</f>
        <v>780</v>
      </c>
    </row>
    <row r="4923" spans="1:12" ht="9.1999999999999993" customHeight="1">
      <c r="A4923" s="712">
        <v>9</v>
      </c>
      <c r="B4923" s="713" t="s">
        <v>683</v>
      </c>
      <c r="C4923" s="714">
        <f>VLOOKUP(C4911,'Luong VP'!$B$10:$AP$210,15,0)</f>
        <v>0</v>
      </c>
      <c r="D4923" s="717"/>
      <c r="E4923" s="710" t="s">
        <v>686</v>
      </c>
      <c r="F4923" s="716" t="s">
        <v>687</v>
      </c>
      <c r="G4923" s="719"/>
      <c r="H4923" s="719"/>
      <c r="I4923" s="729"/>
      <c r="J4923" s="730"/>
    </row>
    <row r="4924" spans="1:12" ht="9.1999999999999993" customHeight="1">
      <c r="A4924" s="712">
        <v>10</v>
      </c>
      <c r="B4924" s="713" t="s">
        <v>685</v>
      </c>
      <c r="C4924" s="714">
        <f>VLOOKUP(C4911,'Luong VP'!$B$10:$AP$210,16,0)</f>
        <v>0</v>
      </c>
      <c r="D4924" s="717"/>
      <c r="E4924" s="710">
        <v>1</v>
      </c>
      <c r="F4924" s="716" t="s">
        <v>689</v>
      </c>
      <c r="G4924" s="719"/>
      <c r="H4924" s="719"/>
      <c r="I4924" s="714">
        <f>VLOOKUP(C4911,'Luong VP'!$B$10:$AP$209,29,0)</f>
        <v>124862.16666666666</v>
      </c>
      <c r="J4924" s="714">
        <f>VLOOKUP(C4911,'Luong VP'!$B$10:$AP$210,30,0)</f>
        <v>1498.346</v>
      </c>
    </row>
    <row r="4925" spans="1:12" ht="9.1999999999999993" customHeight="1">
      <c r="A4925" s="712">
        <v>11</v>
      </c>
      <c r="B4925" s="713" t="s">
        <v>688</v>
      </c>
      <c r="C4925" s="714">
        <f>VLOOKUP(C4911,'Luong VP'!$B$10:$AP$210,17,0)</f>
        <v>0</v>
      </c>
      <c r="D4925" s="717"/>
      <c r="E4925" s="710">
        <v>2</v>
      </c>
      <c r="F4925" s="716" t="s">
        <v>702</v>
      </c>
      <c r="G4925" s="719"/>
      <c r="H4925" s="719"/>
      <c r="I4925" s="729"/>
      <c r="J4925" s="714">
        <f>VLOOKUP(C4911,'Luong VP'!$B$10:$AP$210,32,0)</f>
        <v>0</v>
      </c>
      <c r="K4925" s="731"/>
      <c r="L4925" s="715"/>
    </row>
    <row r="4926" spans="1:12" ht="9.1999999999999993" customHeight="1">
      <c r="A4926" s="712">
        <v>12</v>
      </c>
      <c r="B4926" s="713" t="s">
        <v>691</v>
      </c>
      <c r="C4926" s="714">
        <f>VLOOKUP(C4911,'Luong VP'!$B$10:$AP$210,18,0)</f>
        <v>0</v>
      </c>
      <c r="D4926" s="717"/>
      <c r="E4926" s="710">
        <v>3</v>
      </c>
      <c r="F4926" s="718" t="s">
        <v>238</v>
      </c>
      <c r="G4926" s="718"/>
      <c r="H4926" s="710"/>
      <c r="I4926" s="729"/>
      <c r="J4926" s="714">
        <f>VLOOKUP(C4911,'Luong VP'!$B$10:$AP$210,33,0)</f>
        <v>0</v>
      </c>
      <c r="K4926" s="731"/>
      <c r="L4926" s="715"/>
    </row>
    <row r="4927" spans="1:12" ht="9.1999999999999993" customHeight="1">
      <c r="A4927" s="712">
        <v>13</v>
      </c>
      <c r="B4927" s="713" t="s">
        <v>692</v>
      </c>
      <c r="C4927" s="714">
        <f>VLOOKUP(C4911,'Luong VP'!$B$10:$AP$210,19,0)</f>
        <v>0</v>
      </c>
      <c r="D4927" s="717"/>
      <c r="E4927" s="710">
        <v>4</v>
      </c>
      <c r="F4927" s="718" t="s">
        <v>239</v>
      </c>
      <c r="G4927" s="718"/>
      <c r="H4927" s="718"/>
      <c r="I4927" s="727"/>
      <c r="J4927" s="728">
        <f>VLOOKUP(C4911,'Luong VP'!$B$10:$AP$210,34,0)</f>
        <v>0</v>
      </c>
      <c r="K4927" s="732"/>
      <c r="L4927" s="715"/>
    </row>
    <row r="4928" spans="1:12" ht="9.1999999999999993" customHeight="1">
      <c r="A4928" s="712">
        <v>14</v>
      </c>
      <c r="B4928" s="713" t="s">
        <v>694</v>
      </c>
      <c r="C4928" s="714">
        <f>VLOOKUP(C4911,'Luong VP'!$B$10:$AP$210,20,0)</f>
        <v>0</v>
      </c>
      <c r="D4928" s="717"/>
      <c r="E4928" s="710">
        <v>5</v>
      </c>
      <c r="F4928" s="718" t="s">
        <v>695</v>
      </c>
      <c r="G4928" s="719"/>
      <c r="H4928" s="719"/>
      <c r="I4928" s="729"/>
      <c r="J4928" s="714">
        <f>VLOOKUP(C4911,'Luong VP'!$B$10:$AP$210,35,0)</f>
        <v>0</v>
      </c>
      <c r="K4928" s="732"/>
      <c r="L4928" s="715"/>
    </row>
    <row r="4929" spans="1:12" ht="9.1999999999999993" customHeight="1">
      <c r="A4929" s="712"/>
      <c r="B4929" s="707" t="s">
        <v>656</v>
      </c>
      <c r="C4929" s="714">
        <f>SUM(C4915:C4928)-C4923</f>
        <v>4500</v>
      </c>
      <c r="D4929" s="717"/>
      <c r="E4929" s="710">
        <v>6</v>
      </c>
      <c r="F4929" s="716" t="s">
        <v>693</v>
      </c>
      <c r="G4929" s="719"/>
      <c r="H4929" s="719"/>
      <c r="I4929" s="729"/>
      <c r="J4929" s="714">
        <f>VLOOKUP(C4911,'Luong VP'!$B$10:$AP$210,40,0)</f>
        <v>0</v>
      </c>
      <c r="K4929" s="731"/>
      <c r="L4929" s="715"/>
    </row>
    <row r="4930" spans="1:12" ht="9.1999999999999993" customHeight="1">
      <c r="B4930" s="720"/>
      <c r="C4930" s="717"/>
      <c r="D4930" s="717"/>
      <c r="E4930" s="710"/>
      <c r="F4930" s="716" t="s">
        <v>241</v>
      </c>
      <c r="G4930" s="719"/>
      <c r="H4930" s="719"/>
      <c r="I4930" s="729"/>
      <c r="J4930" s="730">
        <f>SUM(J4916:J4929)+C4923</f>
        <v>6951.4229230769233</v>
      </c>
      <c r="K4930" s="732"/>
      <c r="L4930" s="715"/>
    </row>
    <row r="4931" spans="1:12" ht="9.1999999999999993" customHeight="1">
      <c r="B4931" s="720"/>
      <c r="C4931" s="717"/>
      <c r="D4931" s="717"/>
      <c r="E4931" s="710" t="s">
        <v>696</v>
      </c>
      <c r="F4931" s="711" t="s">
        <v>697</v>
      </c>
      <c r="G4931" s="710"/>
      <c r="H4931" s="710"/>
      <c r="I4931" s="729"/>
      <c r="J4931" s="730">
        <f>SUM(J4932:J4934)</f>
        <v>0</v>
      </c>
      <c r="K4931" s="734"/>
      <c r="L4931" s="735"/>
    </row>
    <row r="4932" spans="1:12" ht="9.1999999999999993" customHeight="1">
      <c r="B4932" s="720"/>
      <c r="C4932" s="717"/>
      <c r="D4932" s="717"/>
      <c r="E4932" s="710">
        <v>1</v>
      </c>
      <c r="F4932" s="718" t="s">
        <v>698</v>
      </c>
      <c r="G4932" s="718"/>
      <c r="H4932" s="718"/>
      <c r="I4932" s="733"/>
      <c r="J4932" s="714">
        <f>VLOOKUP(C4911,'Luong VP'!$B$10:$AP$210,37,0)</f>
        <v>0</v>
      </c>
    </row>
    <row r="4933" spans="1:12" ht="9.1999999999999993" customHeight="1">
      <c r="B4933" s="720"/>
      <c r="C4933" s="717"/>
      <c r="D4933" s="717"/>
      <c r="E4933" s="710">
        <v>2</v>
      </c>
      <c r="F4933" s="718" t="s">
        <v>244</v>
      </c>
      <c r="G4933" s="718"/>
      <c r="H4933" s="718"/>
      <c r="I4933" s="729"/>
      <c r="J4933" s="714">
        <f>VLOOKUP(C4911,'Luong VP'!$B$10:$AP$210,39,0)</f>
        <v>0</v>
      </c>
    </row>
    <row r="4934" spans="1:12" ht="9.1999999999999993" customHeight="1">
      <c r="B4934" s="720"/>
      <c r="C4934" s="717"/>
      <c r="D4934" s="717"/>
      <c r="E4934" s="710"/>
      <c r="F4934" s="718" t="s">
        <v>699</v>
      </c>
      <c r="G4934" s="718"/>
      <c r="H4934" s="718"/>
      <c r="I4934" s="729"/>
      <c r="J4934" s="714"/>
      <c r="K4934" s="714"/>
      <c r="L4934" s="736"/>
    </row>
    <row r="4935" spans="1:12" ht="9.1999999999999993" customHeight="1">
      <c r="B4935" s="720"/>
      <c r="C4935" s="717"/>
      <c r="D4935" s="717"/>
      <c r="E4935" s="710" t="s">
        <v>700</v>
      </c>
      <c r="F4935" s="710" t="s">
        <v>246</v>
      </c>
      <c r="G4935" s="710"/>
      <c r="H4935" s="710"/>
      <c r="I4935" s="729"/>
      <c r="J4935" s="728">
        <f>J4930-J4931</f>
        <v>6951.4229230769233</v>
      </c>
      <c r="K4935" s="728">
        <f>ROUND(J4935,-1)</f>
        <v>6950</v>
      </c>
      <c r="L4935" s="710"/>
    </row>
    <row r="4936" spans="1:12" ht="9.1999999999999993" customHeight="1">
      <c r="E4936" s="715"/>
      <c r="F4936" s="715"/>
      <c r="G4936" s="715"/>
      <c r="I4936" s="715" t="s">
        <v>701</v>
      </c>
      <c r="J4936" s="737"/>
    </row>
    <row r="4937" spans="1:12" ht="9.1999999999999993" customHeight="1">
      <c r="E4937" s="715"/>
      <c r="F4937" s="715"/>
      <c r="G4937" s="715"/>
      <c r="I4937" s="715"/>
      <c r="J4937" s="737"/>
    </row>
    <row r="4938" spans="1:12" ht="9.1999999999999993" customHeight="1">
      <c r="E4938" s="715"/>
      <c r="F4938" s="715"/>
      <c r="G4938" s="715"/>
      <c r="I4938" s="715"/>
      <c r="J4938" s="737"/>
    </row>
    <row r="4939" spans="1:12" ht="9.1999999999999993" customHeight="1">
      <c r="E4939" s="715"/>
      <c r="F4939" s="715"/>
      <c r="G4939" s="715"/>
      <c r="I4939" s="715"/>
      <c r="J4939" s="737"/>
    </row>
    <row r="4940" spans="1:12" ht="9.1999999999999993" customHeight="1">
      <c r="E4940" s="715"/>
      <c r="F4940" s="715"/>
      <c r="G4940" s="715"/>
      <c r="I4940" s="715"/>
      <c r="J4940" s="737"/>
    </row>
    <row r="4941" spans="1:12" ht="9.1999999999999993" customHeight="1">
      <c r="E4941" s="715"/>
      <c r="F4941" s="715"/>
      <c r="G4941" s="715"/>
      <c r="I4941" s="715"/>
      <c r="J4941" s="737"/>
    </row>
    <row r="4942" spans="1:12" ht="9.1999999999999993" customHeight="1">
      <c r="C4942" s="696"/>
      <c r="D4942" s="696"/>
      <c r="E4942" s="697" t="str">
        <f>$E$2</f>
        <v>THẺ LƯƠNG THÁNG 08/2019</v>
      </c>
      <c r="F4942" s="698"/>
      <c r="G4942" s="698"/>
      <c r="H4942" s="698"/>
    </row>
    <row r="4943" spans="1:12" ht="9.1999999999999993" customHeight="1">
      <c r="B4943" s="699" t="s">
        <v>644</v>
      </c>
      <c r="C4943" s="848" t="s">
        <v>613</v>
      </c>
      <c r="D4943" s="701"/>
      <c r="F4943" s="702" t="s">
        <v>645</v>
      </c>
      <c r="G4943" s="689" t="str">
        <f>VLOOKUP(C4943,'Luong VP'!$B$10:$AP$210,2,0)</f>
        <v>Nguyễn Tấn Sang</v>
      </c>
    </row>
    <row r="4944" spans="1:12" ht="9.1999999999999993" customHeight="1">
      <c r="B4944" s="699" t="s">
        <v>646</v>
      </c>
      <c r="C4944" s="689" t="str">
        <f>VLOOKUP(C4943,'Luong VP'!$B$10:$AP$210,3,0)</f>
        <v>NV Giao nhận/ Phụ xe</v>
      </c>
      <c r="F4944" s="702" t="s">
        <v>647</v>
      </c>
      <c r="G4944" s="689">
        <f>VLOOKUP(C4943,'Luong VP'!$B$10:$AP$210,5,0)</f>
        <v>1</v>
      </c>
    </row>
    <row r="4945" spans="1:12" ht="9.1999999999999993" customHeight="1">
      <c r="B4945" s="703"/>
      <c r="C4945" s="704"/>
      <c r="D4945" s="705"/>
      <c r="F4945" s="706" t="s">
        <v>648</v>
      </c>
      <c r="G4945" s="706"/>
      <c r="H4945" s="706"/>
      <c r="I4945" s="725"/>
      <c r="J4945" s="726"/>
    </row>
    <row r="4946" spans="1:12" ht="9.1999999999999993" customHeight="1">
      <c r="A4946" s="707" t="s">
        <v>216</v>
      </c>
      <c r="B4946" s="707" t="s">
        <v>649</v>
      </c>
      <c r="C4946" s="708" t="s">
        <v>650</v>
      </c>
      <c r="D4946" s="709"/>
      <c r="E4946" s="710" t="s">
        <v>216</v>
      </c>
      <c r="F4946" s="711" t="s">
        <v>649</v>
      </c>
      <c r="G4946" s="710"/>
      <c r="H4946" s="710" t="s">
        <v>651</v>
      </c>
      <c r="I4946" s="727" t="s">
        <v>652</v>
      </c>
      <c r="J4946" s="714"/>
      <c r="L4946" s="694" t="s">
        <v>653</v>
      </c>
    </row>
    <row r="4947" spans="1:12" ht="9.1999999999999993" customHeight="1">
      <c r="A4947" s="712">
        <v>1</v>
      </c>
      <c r="B4947" s="713" t="s">
        <v>654</v>
      </c>
      <c r="C4947" s="714">
        <f>VLOOKUP(C4943,'Luong VP'!$B$10:$AP$210,9,0)</f>
        <v>4500</v>
      </c>
      <c r="D4947" s="715"/>
      <c r="E4947" s="710" t="s">
        <v>655</v>
      </c>
      <c r="F4947" s="716" t="s">
        <v>656</v>
      </c>
      <c r="G4947" s="710"/>
      <c r="H4947" s="710"/>
      <c r="I4947" s="727"/>
      <c r="J4947" s="714">
        <f>VLOOKUP(C4943,'Luong VP'!$B$10:$AP$210,21,0)</f>
        <v>4500</v>
      </c>
    </row>
    <row r="4948" spans="1:12" ht="9.1999999999999993" customHeight="1">
      <c r="A4948" s="712">
        <v>2</v>
      </c>
      <c r="B4948" s="713" t="s">
        <v>658</v>
      </c>
      <c r="C4948" s="714"/>
      <c r="D4948" s="717"/>
      <c r="E4948" s="710">
        <v>1</v>
      </c>
      <c r="F4948" s="718" t="s">
        <v>659</v>
      </c>
      <c r="G4948" s="718"/>
      <c r="H4948" s="710" t="s">
        <v>660</v>
      </c>
      <c r="I4948" s="727">
        <f>VLOOKUP(C4943,'Luong VP'!$B$10:$AP$210,22,0)</f>
        <v>26</v>
      </c>
      <c r="J4948" s="728">
        <f>J4947/'Cham cong'!$AS$3*I4948</f>
        <v>4500</v>
      </c>
    </row>
    <row r="4949" spans="1:12" ht="9.1999999999999993" customHeight="1">
      <c r="A4949" s="712">
        <v>3</v>
      </c>
      <c r="B4949" s="713" t="s">
        <v>661</v>
      </c>
      <c r="C4949" s="714">
        <f>VLOOKUP(C4943,'Luong VP'!$B$10:$AP$210,10,0)</f>
        <v>0</v>
      </c>
      <c r="D4949" s="717"/>
      <c r="E4949" s="710">
        <v>2</v>
      </c>
      <c r="F4949" s="718" t="s">
        <v>662</v>
      </c>
      <c r="G4949" s="718"/>
      <c r="H4949" s="710" t="s">
        <v>660</v>
      </c>
      <c r="I4949" s="727">
        <f>VLOOKUP(C4943,'Luong VP'!$B$10:$AP$210,27,0)</f>
        <v>0</v>
      </c>
      <c r="J4949" s="728">
        <f>J4947/'Cham cong'!$AS$3*I4949*3</f>
        <v>0</v>
      </c>
    </row>
    <row r="4950" spans="1:12" ht="9.1999999999999993" customHeight="1">
      <c r="A4950" s="712">
        <v>4</v>
      </c>
      <c r="B4950" s="713" t="s">
        <v>666</v>
      </c>
      <c r="C4950" s="714">
        <f>VLOOKUP(C4943,'Luong VP'!$B$10:$AP$210,11,0)</f>
        <v>0</v>
      </c>
      <c r="D4950" s="717"/>
      <c r="E4950" s="710">
        <v>3</v>
      </c>
      <c r="F4950" s="718" t="s">
        <v>667</v>
      </c>
      <c r="G4950" s="718"/>
      <c r="H4950" s="710" t="s">
        <v>668</v>
      </c>
      <c r="I4950" s="727">
        <f>VLOOKUP(C4943,'Luong VP'!$B$10:$AP$210,26,0)</f>
        <v>0</v>
      </c>
      <c r="J4950" s="728">
        <f>J4947/'Cham cong'!$AS$3*I4950/8*1.5</f>
        <v>0</v>
      </c>
    </row>
    <row r="4951" spans="1:12" ht="9.1999999999999993" customHeight="1">
      <c r="A4951" s="712">
        <v>5</v>
      </c>
      <c r="B4951" s="713" t="s">
        <v>670</v>
      </c>
      <c r="C4951" s="714">
        <f>VLOOKUP(C4943,'Luong VP'!$B$10:$AP$210,12,0)</f>
        <v>0</v>
      </c>
      <c r="D4951" s="717"/>
      <c r="E4951" s="710">
        <v>4</v>
      </c>
      <c r="F4951" s="718" t="s">
        <v>671</v>
      </c>
      <c r="G4951" s="718"/>
      <c r="H4951" s="710" t="s">
        <v>668</v>
      </c>
      <c r="I4951" s="727">
        <f>VLOOKUP(C4943,'Luong VP'!$B$10:$AP$210,25,0)</f>
        <v>0</v>
      </c>
      <c r="J4951" s="728">
        <f>J4947/'Cham cong'!$AS$3*I4951/8*2</f>
        <v>0</v>
      </c>
    </row>
    <row r="4952" spans="1:12" ht="9.1999999999999993" customHeight="1">
      <c r="A4952" s="712">
        <v>6</v>
      </c>
      <c r="B4952" s="713" t="s">
        <v>673</v>
      </c>
      <c r="C4952" s="714">
        <f>VLOOKUP(C4943,'Luong VP'!$B$10:$AP$210,13,0)</f>
        <v>0</v>
      </c>
      <c r="D4952" s="717"/>
      <c r="E4952" s="710">
        <v>5</v>
      </c>
      <c r="F4952" s="718" t="s">
        <v>674</v>
      </c>
      <c r="G4952" s="718"/>
      <c r="H4952" s="710" t="s">
        <v>660</v>
      </c>
      <c r="I4952" s="727">
        <f>VLOOKUP(C4943,'Luong VP'!$B$10:$AP$210,23,0)</f>
        <v>0</v>
      </c>
      <c r="J4952" s="728">
        <f>C4947/'Cham cong'!$AS$3*I4952</f>
        <v>0</v>
      </c>
      <c r="L4952" s="694" t="str">
        <f>G4943</f>
        <v>Nguyễn Tấn Sang</v>
      </c>
    </row>
    <row r="4953" spans="1:12" ht="9.1999999999999993" customHeight="1">
      <c r="A4953" s="712">
        <v>7</v>
      </c>
      <c r="B4953" s="713" t="s">
        <v>676</v>
      </c>
      <c r="C4953" s="714"/>
      <c r="D4953" s="717"/>
      <c r="E4953" s="710">
        <v>6</v>
      </c>
      <c r="F4953" s="718" t="s">
        <v>677</v>
      </c>
      <c r="G4953" s="718"/>
      <c r="H4953" s="710" t="s">
        <v>660</v>
      </c>
      <c r="I4953" s="727">
        <f>VLOOKUP(C4943,'Luong VP'!$B$10:$AP$210,24,0)</f>
        <v>1</v>
      </c>
      <c r="J4953" s="714">
        <f>C4947/'Cham cong'!$AS$3*I4953</f>
        <v>173.07692307692307</v>
      </c>
    </row>
    <row r="4954" spans="1:12" ht="9.1999999999999993" customHeight="1">
      <c r="A4954" s="712">
        <v>8</v>
      </c>
      <c r="B4954" s="713" t="s">
        <v>679</v>
      </c>
      <c r="C4954" s="714">
        <f>VLOOKUP(C4943,'Luong VP'!$B$10:$AP$210,14,0)</f>
        <v>0</v>
      </c>
      <c r="D4954" s="717"/>
      <c r="E4954" s="710">
        <v>7</v>
      </c>
      <c r="F4954" s="718" t="s">
        <v>680</v>
      </c>
      <c r="G4954" s="718"/>
      <c r="H4954" s="718"/>
      <c r="I4954" s="729"/>
      <c r="J4954" s="714">
        <f>VLOOKUP(C4943,'Luong VP'!$B$10:$AP$210,28,0)</f>
        <v>420</v>
      </c>
    </row>
    <row r="4955" spans="1:12" ht="9.1999999999999993" customHeight="1">
      <c r="A4955" s="712">
        <v>9</v>
      </c>
      <c r="B4955" s="713" t="s">
        <v>683</v>
      </c>
      <c r="C4955" s="714">
        <f>VLOOKUP(C4943,'Luong VP'!$B$10:$AP$210,15,0)</f>
        <v>0</v>
      </c>
      <c r="D4955" s="717"/>
      <c r="E4955" s="710" t="s">
        <v>686</v>
      </c>
      <c r="F4955" s="716" t="s">
        <v>687</v>
      </c>
      <c r="G4955" s="719"/>
      <c r="H4955" s="719"/>
      <c r="I4955" s="729"/>
      <c r="J4955" s="730"/>
    </row>
    <row r="4956" spans="1:12" ht="9.1999999999999993" customHeight="1">
      <c r="A4956" s="712">
        <v>10</v>
      </c>
      <c r="B4956" s="713" t="s">
        <v>685</v>
      </c>
      <c r="C4956" s="714">
        <f>VLOOKUP(C4943,'Luong VP'!$B$10:$AP$210,16,0)</f>
        <v>0</v>
      </c>
      <c r="D4956" s="717"/>
      <c r="E4956" s="710">
        <v>1</v>
      </c>
      <c r="F4956" s="716" t="s">
        <v>689</v>
      </c>
      <c r="G4956" s="719"/>
      <c r="H4956" s="719"/>
      <c r="I4956" s="714">
        <f>VLOOKUP(C4943,'Luong VP'!$B$10:$AP$209,29,0)</f>
        <v>134909.12500000006</v>
      </c>
      <c r="J4956" s="714">
        <f>VLOOKUP(C4943,'Luong VP'!$B$10:$AP$210,30,0)</f>
        <v>1618.9095000000007</v>
      </c>
    </row>
    <row r="4957" spans="1:12" ht="9.1999999999999993" customHeight="1">
      <c r="A4957" s="712">
        <v>11</v>
      </c>
      <c r="B4957" s="713" t="s">
        <v>688</v>
      </c>
      <c r="C4957" s="714">
        <f>VLOOKUP(C4943,'Luong VP'!$B$10:$AP$210,17,0)</f>
        <v>0</v>
      </c>
      <c r="D4957" s="717"/>
      <c r="E4957" s="710">
        <v>2</v>
      </c>
      <c r="F4957" s="716" t="s">
        <v>702</v>
      </c>
      <c r="G4957" s="719"/>
      <c r="H4957" s="719"/>
      <c r="I4957" s="729"/>
      <c r="J4957" s="714">
        <f>VLOOKUP(C4943,'Luong VP'!$B$10:$AP$210,32,0)</f>
        <v>0</v>
      </c>
      <c r="K4957" s="731"/>
      <c r="L4957" s="715"/>
    </row>
    <row r="4958" spans="1:12" ht="9.1999999999999993" customHeight="1">
      <c r="A4958" s="712">
        <v>12</v>
      </c>
      <c r="B4958" s="713" t="s">
        <v>691</v>
      </c>
      <c r="C4958" s="714">
        <f>VLOOKUP(C4943,'Luong VP'!$B$10:$AP$210,18,0)</f>
        <v>0</v>
      </c>
      <c r="D4958" s="717"/>
      <c r="E4958" s="710">
        <v>3</v>
      </c>
      <c r="F4958" s="718" t="s">
        <v>238</v>
      </c>
      <c r="G4958" s="718"/>
      <c r="H4958" s="710"/>
      <c r="I4958" s="729"/>
      <c r="J4958" s="714">
        <f>VLOOKUP(C4943,'Luong VP'!$B$10:$AP$210,33,0)</f>
        <v>0</v>
      </c>
      <c r="K4958" s="731"/>
      <c r="L4958" s="715"/>
    </row>
    <row r="4959" spans="1:12" ht="9.1999999999999993" customHeight="1">
      <c r="A4959" s="712">
        <v>13</v>
      </c>
      <c r="B4959" s="713" t="s">
        <v>692</v>
      </c>
      <c r="C4959" s="714">
        <f>VLOOKUP(C4943,'Luong VP'!$B$10:$AP$210,19,0)</f>
        <v>0</v>
      </c>
      <c r="D4959" s="717"/>
      <c r="E4959" s="710">
        <v>4</v>
      </c>
      <c r="F4959" s="718" t="s">
        <v>239</v>
      </c>
      <c r="G4959" s="718"/>
      <c r="H4959" s="718"/>
      <c r="I4959" s="727"/>
      <c r="J4959" s="728">
        <f>VLOOKUP(C4943,'Luong VP'!$B$10:$AP$210,34,0)</f>
        <v>0</v>
      </c>
      <c r="K4959" s="732"/>
      <c r="L4959" s="715"/>
    </row>
    <row r="4960" spans="1:12" ht="9.1999999999999993" customHeight="1">
      <c r="A4960" s="712">
        <v>14</v>
      </c>
      <c r="B4960" s="713" t="s">
        <v>694</v>
      </c>
      <c r="C4960" s="714">
        <f>VLOOKUP(C4943,'Luong VP'!$B$10:$AP$210,20,0)</f>
        <v>0</v>
      </c>
      <c r="D4960" s="717"/>
      <c r="E4960" s="710">
        <v>5</v>
      </c>
      <c r="F4960" s="718" t="s">
        <v>695</v>
      </c>
      <c r="G4960" s="719"/>
      <c r="H4960" s="719"/>
      <c r="I4960" s="729"/>
      <c r="J4960" s="714">
        <f>VLOOKUP(C4943,'Luong VP'!$B$10:$AP$210,35,0)</f>
        <v>0</v>
      </c>
      <c r="K4960" s="732"/>
      <c r="L4960" s="715"/>
    </row>
    <row r="4961" spans="1:13" ht="9.1999999999999993" customHeight="1">
      <c r="A4961" s="712"/>
      <c r="B4961" s="707" t="s">
        <v>656</v>
      </c>
      <c r="C4961" s="714">
        <f>SUM(C4947:C4960)-C4955</f>
        <v>4500</v>
      </c>
      <c r="D4961" s="717"/>
      <c r="E4961" s="710">
        <v>6</v>
      </c>
      <c r="F4961" s="716" t="s">
        <v>693</v>
      </c>
      <c r="G4961" s="719"/>
      <c r="H4961" s="719"/>
      <c r="I4961" s="729"/>
      <c r="J4961" s="714">
        <f>VLOOKUP(C4943,'Luong VP'!$B$10:$AP$210,40,0)</f>
        <v>0</v>
      </c>
      <c r="K4961" s="731"/>
      <c r="L4961" s="715"/>
    </row>
    <row r="4962" spans="1:13" ht="9.1999999999999993" customHeight="1">
      <c r="B4962" s="720"/>
      <c r="C4962" s="717"/>
      <c r="D4962" s="717"/>
      <c r="E4962" s="710"/>
      <c r="F4962" s="716" t="s">
        <v>241</v>
      </c>
      <c r="G4962" s="719"/>
      <c r="H4962" s="719"/>
      <c r="I4962" s="729"/>
      <c r="J4962" s="730">
        <f>SUM(J4948:J4961)+C4955</f>
        <v>6711.9864230769235</v>
      </c>
      <c r="K4962" s="732"/>
      <c r="L4962" s="715"/>
    </row>
    <row r="4963" spans="1:13" ht="9.1999999999999993" customHeight="1">
      <c r="B4963" s="720"/>
      <c r="C4963" s="717"/>
      <c r="D4963" s="717"/>
      <c r="E4963" s="710" t="s">
        <v>696</v>
      </c>
      <c r="F4963" s="711" t="s">
        <v>697</v>
      </c>
      <c r="G4963" s="710"/>
      <c r="H4963" s="710"/>
      <c r="I4963" s="729"/>
      <c r="J4963" s="730">
        <f>SUM(J4964:J4966)</f>
        <v>3000</v>
      </c>
      <c r="K4963" s="734"/>
      <c r="L4963" s="735"/>
    </row>
    <row r="4964" spans="1:13" ht="9.1999999999999993" customHeight="1">
      <c r="B4964" s="720"/>
      <c r="C4964" s="717"/>
      <c r="D4964" s="717"/>
      <c r="E4964" s="710">
        <v>1</v>
      </c>
      <c r="F4964" s="718" t="s">
        <v>698</v>
      </c>
      <c r="G4964" s="718"/>
      <c r="H4964" s="718"/>
      <c r="I4964" s="733"/>
      <c r="J4964" s="714">
        <f>VLOOKUP(C4943,'Luong VP'!$B$10:$AP$210,37,0)</f>
        <v>0</v>
      </c>
    </row>
    <row r="4965" spans="1:13" ht="9.1999999999999993" customHeight="1">
      <c r="B4965" s="720"/>
      <c r="C4965" s="717"/>
      <c r="D4965" s="717"/>
      <c r="E4965" s="710">
        <v>2</v>
      </c>
      <c r="F4965" s="718" t="s">
        <v>244</v>
      </c>
      <c r="G4965" s="718"/>
      <c r="H4965" s="718"/>
      <c r="I4965" s="729"/>
      <c r="J4965" s="714">
        <f>VLOOKUP(C4943,'Luong VP'!$B$10:$AP$210,39,0)</f>
        <v>3000</v>
      </c>
    </row>
    <row r="4966" spans="1:13" ht="9.1999999999999993" customHeight="1">
      <c r="B4966" s="720"/>
      <c r="C4966" s="717"/>
      <c r="D4966" s="717"/>
      <c r="E4966" s="710"/>
      <c r="F4966" s="718" t="s">
        <v>699</v>
      </c>
      <c r="G4966" s="718"/>
      <c r="H4966" s="718"/>
      <c r="I4966" s="729"/>
      <c r="J4966" s="714"/>
      <c r="K4966" s="714"/>
      <c r="L4966" s="736"/>
    </row>
    <row r="4967" spans="1:13" ht="9.1999999999999993" customHeight="1">
      <c r="B4967" s="720"/>
      <c r="C4967" s="717"/>
      <c r="D4967" s="717"/>
      <c r="E4967" s="710" t="s">
        <v>700</v>
      </c>
      <c r="F4967" s="710" t="s">
        <v>246</v>
      </c>
      <c r="G4967" s="710"/>
      <c r="H4967" s="710"/>
      <c r="I4967" s="729"/>
      <c r="J4967" s="728">
        <f>J4962-J4963</f>
        <v>3711.9864230769235</v>
      </c>
      <c r="K4967" s="728">
        <f>ROUND(J4967,-1)</f>
        <v>3710</v>
      </c>
      <c r="L4967" s="710"/>
    </row>
    <row r="4968" spans="1:13" ht="9.1999999999999993" customHeight="1">
      <c r="E4968" s="715"/>
      <c r="F4968" s="715"/>
      <c r="G4968" s="715"/>
      <c r="I4968" s="715" t="s">
        <v>701</v>
      </c>
      <c r="J4968" s="737"/>
    </row>
    <row r="4969" spans="1:13" ht="9.1999999999999993" customHeight="1">
      <c r="E4969" s="715"/>
      <c r="F4969" s="715"/>
      <c r="G4969" s="715"/>
      <c r="I4969" s="715"/>
      <c r="J4969" s="737"/>
    </row>
    <row r="4970" spans="1:13" ht="9.1999999999999993" customHeight="1">
      <c r="E4970" s="715"/>
      <c r="F4970" s="715"/>
      <c r="G4970" s="715"/>
      <c r="I4970" s="715"/>
      <c r="J4970" s="737"/>
    </row>
    <row r="4971" spans="1:13" ht="9.1999999999999993" customHeight="1">
      <c r="E4971" s="715"/>
      <c r="F4971" s="715"/>
      <c r="G4971" s="715"/>
      <c r="I4971" s="715"/>
      <c r="J4971" s="737"/>
    </row>
    <row r="4972" spans="1:13" s="693" customFormat="1" ht="9.1999999999999993" customHeight="1">
      <c r="A4972" s="850"/>
      <c r="B4972" s="850"/>
      <c r="C4972" s="851"/>
      <c r="D4972" s="851"/>
      <c r="E4972" s="852"/>
      <c r="F4972" s="852"/>
      <c r="G4972" s="852"/>
      <c r="H4972" s="851"/>
      <c r="I4972" s="852"/>
      <c r="J4972" s="853"/>
      <c r="K4972" s="851"/>
      <c r="L4972" s="854"/>
      <c r="M4972" s="850"/>
    </row>
    <row r="4973" spans="1:13" ht="9.1999999999999993" customHeight="1">
      <c r="C4973" s="696"/>
      <c r="D4973" s="696"/>
      <c r="E4973" s="697" t="str">
        <f>$E$2</f>
        <v>THẺ LƯƠNG THÁNG 08/2019</v>
      </c>
      <c r="F4973" s="698"/>
      <c r="G4973" s="698"/>
      <c r="H4973" s="698"/>
    </row>
    <row r="4974" spans="1:13" ht="9.1999999999999993" customHeight="1">
      <c r="B4974" s="699" t="s">
        <v>644</v>
      </c>
      <c r="C4974" s="700" t="s">
        <v>616</v>
      </c>
      <c r="D4974" s="701"/>
      <c r="F4974" s="702" t="s">
        <v>645</v>
      </c>
      <c r="G4974" s="689" t="str">
        <f>VLOOKUP(C4974,'Luong VP'!$B$10:$AP$352,2,0)</f>
        <v xml:space="preserve"> Nguyễn Hồng Hải (trưởng bộ phận) </v>
      </c>
    </row>
    <row r="4975" spans="1:13" ht="9.1999999999999993" customHeight="1">
      <c r="B4975" s="699" t="s">
        <v>646</v>
      </c>
      <c r="C4975" s="689" t="str">
        <f>VLOOKUP(C4974,'Luong VP'!$B$10:$AP$352,3,0)</f>
        <v>Trưởng đội giao nhận</v>
      </c>
      <c r="F4975" s="702" t="s">
        <v>647</v>
      </c>
      <c r="G4975" s="689">
        <f>VLOOKUP(C4974,'Luong VP'!$B$10:$AP$352,5,0)</f>
        <v>1</v>
      </c>
    </row>
    <row r="4976" spans="1:13" ht="9.1999999999999993" customHeight="1">
      <c r="B4976" s="703"/>
      <c r="C4976" s="704"/>
      <c r="D4976" s="705"/>
      <c r="F4976" s="706" t="s">
        <v>648</v>
      </c>
      <c r="G4976" s="706"/>
      <c r="H4976" s="706"/>
      <c r="I4976" s="725"/>
      <c r="J4976" s="726"/>
    </row>
    <row r="4977" spans="1:12" ht="9.1999999999999993" customHeight="1">
      <c r="A4977" s="707" t="s">
        <v>216</v>
      </c>
      <c r="B4977" s="707" t="s">
        <v>649</v>
      </c>
      <c r="C4977" s="708" t="s">
        <v>650</v>
      </c>
      <c r="D4977" s="709"/>
      <c r="E4977" s="710" t="s">
        <v>216</v>
      </c>
      <c r="F4977" s="711" t="s">
        <v>649</v>
      </c>
      <c r="G4977" s="710"/>
      <c r="H4977" s="710" t="s">
        <v>651</v>
      </c>
      <c r="I4977" s="727" t="s">
        <v>652</v>
      </c>
      <c r="J4977" s="714"/>
      <c r="L4977" s="694" t="s">
        <v>653</v>
      </c>
    </row>
    <row r="4978" spans="1:12" ht="9.1999999999999993" customHeight="1">
      <c r="A4978" s="712">
        <v>1</v>
      </c>
      <c r="B4978" s="713" t="s">
        <v>654</v>
      </c>
      <c r="C4978" s="714">
        <f>VLOOKUP(C4974,'Luong VP'!$B$10:$AP$352,9,0)</f>
        <v>7020</v>
      </c>
      <c r="D4978" s="715"/>
      <c r="E4978" s="710" t="s">
        <v>655</v>
      </c>
      <c r="F4978" s="716" t="s">
        <v>656</v>
      </c>
      <c r="G4978" s="710"/>
      <c r="H4978" s="710"/>
      <c r="I4978" s="727"/>
      <c r="J4978" s="714">
        <f>VLOOKUP(C4974,'Luong VP'!$B$10:$AP$352,21,0)</f>
        <v>11771</v>
      </c>
    </row>
    <row r="4979" spans="1:12" ht="9.1999999999999993" customHeight="1">
      <c r="A4979" s="712">
        <v>2</v>
      </c>
      <c r="B4979" s="713" t="s">
        <v>658</v>
      </c>
      <c r="C4979" s="714"/>
      <c r="D4979" s="717"/>
      <c r="E4979" s="710">
        <v>1</v>
      </c>
      <c r="F4979" s="718" t="s">
        <v>659</v>
      </c>
      <c r="G4979" s="718"/>
      <c r="H4979" s="710" t="s">
        <v>660</v>
      </c>
      <c r="I4979" s="727">
        <f>VLOOKUP(C4974,'Luong VP'!$B$10:$AP$352,22,0)</f>
        <v>26</v>
      </c>
      <c r="J4979" s="728">
        <f>J4978/'Cham cong'!$AS$3*I4979</f>
        <v>11771</v>
      </c>
    </row>
    <row r="4980" spans="1:12" ht="9.1999999999999993" customHeight="1">
      <c r="A4980" s="712">
        <v>3</v>
      </c>
      <c r="B4980" s="713" t="s">
        <v>661</v>
      </c>
      <c r="C4980" s="714">
        <f>VLOOKUP(C4974,'Luong VP'!$B$10:$AP$352,10,0)</f>
        <v>0</v>
      </c>
      <c r="D4980" s="717"/>
      <c r="E4980" s="710">
        <v>2</v>
      </c>
      <c r="F4980" s="718" t="s">
        <v>662</v>
      </c>
      <c r="G4980" s="718"/>
      <c r="H4980" s="710" t="s">
        <v>660</v>
      </c>
      <c r="I4980" s="727">
        <f>VLOOKUP(C4974,'Luong VP'!$B$10:$AP$352,27,0)</f>
        <v>0</v>
      </c>
      <c r="J4980" s="728">
        <f>J4978/'Cham cong'!$AS$3*I4980*3</f>
        <v>0</v>
      </c>
    </row>
    <row r="4981" spans="1:12" ht="9.1999999999999993" customHeight="1">
      <c r="A4981" s="712">
        <v>4</v>
      </c>
      <c r="B4981" s="713" t="s">
        <v>666</v>
      </c>
      <c r="C4981" s="714">
        <f>VLOOKUP(C4974,'Luong VP'!$B$10:$AP$352,11,0)</f>
        <v>500</v>
      </c>
      <c r="D4981" s="717"/>
      <c r="E4981" s="710">
        <v>3</v>
      </c>
      <c r="F4981" s="718" t="s">
        <v>667</v>
      </c>
      <c r="G4981" s="718"/>
      <c r="H4981" s="710" t="s">
        <v>668</v>
      </c>
      <c r="I4981" s="727">
        <f>VLOOKUP(C4974,'Luong VP'!$B$10:$AP$352,26,0)</f>
        <v>0</v>
      </c>
      <c r="J4981" s="728">
        <f>J4978/'Cham cong'!$AS$3*I4981/8*1.5</f>
        <v>0</v>
      </c>
    </row>
    <row r="4982" spans="1:12" ht="9.1999999999999993" customHeight="1">
      <c r="A4982" s="712">
        <v>5</v>
      </c>
      <c r="B4982" s="713" t="s">
        <v>670</v>
      </c>
      <c r="C4982" s="714">
        <f>VLOOKUP(C4974,'Luong VP'!$B$10:$AP$352,12,0)</f>
        <v>351</v>
      </c>
      <c r="D4982" s="717"/>
      <c r="E4982" s="710">
        <v>4</v>
      </c>
      <c r="F4982" s="718" t="s">
        <v>671</v>
      </c>
      <c r="G4982" s="718"/>
      <c r="H4982" s="710" t="s">
        <v>668</v>
      </c>
      <c r="I4982" s="727">
        <f>VLOOKUP(C4974,'Luong VP'!$B$10:$AP$352,25,0)</f>
        <v>0</v>
      </c>
      <c r="J4982" s="728">
        <f>J4978/'Cham cong'!$AS$3*I4982/8*2</f>
        <v>0</v>
      </c>
    </row>
    <row r="4983" spans="1:12" ht="9.1999999999999993" customHeight="1">
      <c r="A4983" s="712">
        <v>6</v>
      </c>
      <c r="B4983" s="713" t="s">
        <v>673</v>
      </c>
      <c r="C4983" s="714">
        <f>VLOOKUP(C4974,'Luong VP'!$B$10:$AP$352,13,0)</f>
        <v>0</v>
      </c>
      <c r="D4983" s="717"/>
      <c r="E4983" s="710">
        <v>5</v>
      </c>
      <c r="F4983" s="718" t="s">
        <v>674</v>
      </c>
      <c r="G4983" s="718"/>
      <c r="H4983" s="710" t="s">
        <v>660</v>
      </c>
      <c r="I4983" s="727">
        <f>VLOOKUP(C4974,'Luong VP'!$B$10:$AP$352,23,0)</f>
        <v>0</v>
      </c>
      <c r="J4983" s="728">
        <f>C4978/'Cham cong'!$AS$3*I4983</f>
        <v>0</v>
      </c>
      <c r="L4983" s="694" t="str">
        <f>G4974</f>
        <v xml:space="preserve"> Nguyễn Hồng Hải (trưởng bộ phận) </v>
      </c>
    </row>
    <row r="4984" spans="1:12" ht="9.1999999999999993" customHeight="1">
      <c r="A4984" s="712">
        <v>7</v>
      </c>
      <c r="B4984" s="713" t="s">
        <v>676</v>
      </c>
      <c r="C4984" s="714"/>
      <c r="D4984" s="717"/>
      <c r="E4984" s="710">
        <v>6</v>
      </c>
      <c r="F4984" s="718" t="s">
        <v>677</v>
      </c>
      <c r="G4984" s="718"/>
      <c r="H4984" s="710" t="s">
        <v>660</v>
      </c>
      <c r="I4984" s="727">
        <f>VLOOKUP(C4974,'Luong VP'!$B$10:$AP$352,24,0)</f>
        <v>1</v>
      </c>
      <c r="J4984" s="714">
        <f>C4978/'Cham cong'!$AS$3*I4984</f>
        <v>270</v>
      </c>
    </row>
    <row r="4985" spans="1:12" ht="9.1999999999999993" customHeight="1">
      <c r="A4985" s="712">
        <v>8</v>
      </c>
      <c r="B4985" s="713" t="s">
        <v>679</v>
      </c>
      <c r="C4985" s="714">
        <f>VLOOKUP(C4974,'Luong VP'!$B$10:$AP$352,14,0)</f>
        <v>200</v>
      </c>
      <c r="D4985" s="717"/>
      <c r="E4985" s="710">
        <v>7</v>
      </c>
      <c r="F4985" s="718" t="s">
        <v>680</v>
      </c>
      <c r="G4985" s="718"/>
      <c r="H4985" s="718"/>
      <c r="I4985" s="729"/>
      <c r="J4985" s="714">
        <f>VLOOKUP(C4974,'Luong VP'!$B$10:$AP$352,28,0)</f>
        <v>0</v>
      </c>
    </row>
    <row r="4986" spans="1:12" ht="9.1999999999999993" customHeight="1">
      <c r="A4986" s="712">
        <v>9</v>
      </c>
      <c r="B4986" s="713" t="s">
        <v>683</v>
      </c>
      <c r="C4986" s="714">
        <f>VLOOKUP(C4974,'Luong VP'!$B$10:$AP$352,15,0)</f>
        <v>300</v>
      </c>
      <c r="D4986" s="717"/>
      <c r="E4986" s="710" t="s">
        <v>686</v>
      </c>
      <c r="F4986" s="716" t="s">
        <v>687</v>
      </c>
      <c r="G4986" s="719"/>
      <c r="H4986" s="719"/>
      <c r="I4986" s="729"/>
      <c r="J4986" s="730"/>
    </row>
    <row r="4987" spans="1:12" ht="9.1999999999999993" customHeight="1">
      <c r="A4987" s="712">
        <v>10</v>
      </c>
      <c r="B4987" s="713" t="s">
        <v>685</v>
      </c>
      <c r="C4987" s="714">
        <f>VLOOKUP(C4974,'Luong VP'!$B$10:$AP$352,16,0)</f>
        <v>0</v>
      </c>
      <c r="D4987" s="717"/>
      <c r="E4987" s="710">
        <v>1</v>
      </c>
      <c r="F4987" s="716" t="s">
        <v>689</v>
      </c>
      <c r="G4987" s="719"/>
      <c r="H4987" s="719"/>
      <c r="I4987" s="714">
        <f>VLOOKUP(C4974,'Luong VP'!$B$10:$AP$209,29,0)</f>
        <v>0</v>
      </c>
      <c r="J4987" s="714">
        <f>VLOOKUP(C4974,'Luong VP'!$B$10:$AP$352,30,0)</f>
        <v>0</v>
      </c>
    </row>
    <row r="4988" spans="1:12" ht="9.1999999999999993" customHeight="1">
      <c r="A4988" s="712">
        <v>11</v>
      </c>
      <c r="B4988" s="713" t="s">
        <v>688</v>
      </c>
      <c r="C4988" s="714">
        <f>VLOOKUP(C4974,'Luong VP'!$B$10:$AP$352,17,0)</f>
        <v>0</v>
      </c>
      <c r="D4988" s="717"/>
      <c r="E4988" s="710">
        <v>2</v>
      </c>
      <c r="F4988" s="716" t="s">
        <v>702</v>
      </c>
      <c r="G4988" s="719"/>
      <c r="H4988" s="719"/>
      <c r="I4988" s="729"/>
      <c r="J4988" s="714">
        <f>VLOOKUP(C4974,'Luong VP'!$B$10:$AP$352,32,0)</f>
        <v>0</v>
      </c>
      <c r="K4988" s="731"/>
      <c r="L4988" s="715"/>
    </row>
    <row r="4989" spans="1:12" ht="9.1999999999999993" customHeight="1">
      <c r="A4989" s="712">
        <v>12</v>
      </c>
      <c r="B4989" s="713" t="s">
        <v>691</v>
      </c>
      <c r="C4989" s="714">
        <f>VLOOKUP(C4974,'Luong VP'!$B$10:$AP$352,18,0)</f>
        <v>0</v>
      </c>
      <c r="D4989" s="717"/>
      <c r="E4989" s="710">
        <v>3</v>
      </c>
      <c r="F4989" s="718" t="s">
        <v>238</v>
      </c>
      <c r="G4989" s="718"/>
      <c r="H4989" s="718"/>
      <c r="I4989" s="729"/>
      <c r="J4989" s="714">
        <f>VLOOKUP(C4974,'Luong VP'!$B$10:$AP$352,33,0)</f>
        <v>0</v>
      </c>
      <c r="K4989" s="731"/>
      <c r="L4989" s="715"/>
    </row>
    <row r="4990" spans="1:12" ht="9.1999999999999993" customHeight="1">
      <c r="A4990" s="712">
        <v>13</v>
      </c>
      <c r="B4990" s="713" t="s">
        <v>692</v>
      </c>
      <c r="C4990" s="714">
        <f>VLOOKUP(C4974,'Luong VP'!$B$10:$AP$352,19,0)</f>
        <v>3700</v>
      </c>
      <c r="D4990" s="717"/>
      <c r="E4990" s="710">
        <v>4</v>
      </c>
      <c r="F4990" s="718" t="s">
        <v>239</v>
      </c>
      <c r="G4990" s="718"/>
      <c r="H4990" s="718"/>
      <c r="I4990" s="727"/>
      <c r="J4990" s="728">
        <f>VLOOKUP(C4974,'Luong VP'!$B$10:$AP$352,34,0)</f>
        <v>0</v>
      </c>
      <c r="K4990" s="732"/>
      <c r="L4990" s="715"/>
    </row>
    <row r="4991" spans="1:12" ht="9.1999999999999993" customHeight="1">
      <c r="A4991" s="712">
        <v>14</v>
      </c>
      <c r="B4991" s="713" t="s">
        <v>694</v>
      </c>
      <c r="C4991" s="714">
        <f>VLOOKUP(C4974,'Luong VP'!$B$10:$AP$352,20,0)</f>
        <v>0</v>
      </c>
      <c r="D4991" s="717"/>
      <c r="E4991" s="710">
        <v>5</v>
      </c>
      <c r="F4991" s="718" t="s">
        <v>695</v>
      </c>
      <c r="G4991" s="719"/>
      <c r="H4991" s="719"/>
      <c r="I4991" s="729"/>
      <c r="J4991" s="714">
        <f>VLOOKUP(C4974,'Luong VP'!$B$10:$AP$352,35,0)</f>
        <v>0</v>
      </c>
      <c r="K4991" s="732"/>
      <c r="L4991" s="715"/>
    </row>
    <row r="4992" spans="1:12" ht="9.1999999999999993" customHeight="1">
      <c r="A4992" s="712"/>
      <c r="B4992" s="707" t="s">
        <v>656</v>
      </c>
      <c r="C4992" s="714">
        <f>SUM(C4978:C4991)-C4986</f>
        <v>11771</v>
      </c>
      <c r="D4992" s="717"/>
      <c r="E4992" s="710">
        <v>6</v>
      </c>
      <c r="F4992" s="716" t="s">
        <v>693</v>
      </c>
      <c r="G4992" s="719"/>
      <c r="H4992" s="719"/>
      <c r="I4992" s="729"/>
      <c r="J4992" s="714">
        <f>VLOOKUP(C4974,'Luong VP'!$B$10:$AP$352,40,0)</f>
        <v>0</v>
      </c>
      <c r="K4992" s="731"/>
      <c r="L4992" s="715"/>
    </row>
    <row r="4993" spans="1:12" ht="9.1999999999999993" customHeight="1">
      <c r="B4993" s="720"/>
      <c r="C4993" s="717"/>
      <c r="D4993" s="717"/>
      <c r="E4993" s="710"/>
      <c r="F4993" s="716" t="s">
        <v>241</v>
      </c>
      <c r="G4993" s="719"/>
      <c r="H4993" s="719"/>
      <c r="I4993" s="729"/>
      <c r="J4993" s="730">
        <f>SUM(J4979:J4992)+C4986</f>
        <v>12341</v>
      </c>
      <c r="K4993" s="732"/>
      <c r="L4993" s="715"/>
    </row>
    <row r="4994" spans="1:12" ht="9.1999999999999993" customHeight="1">
      <c r="B4994" s="720"/>
      <c r="C4994" s="717"/>
      <c r="D4994" s="717"/>
      <c r="E4994" s="710" t="s">
        <v>696</v>
      </c>
      <c r="F4994" s="711" t="s">
        <v>697</v>
      </c>
      <c r="G4994" s="710"/>
      <c r="H4994" s="710"/>
      <c r="I4994" s="729"/>
      <c r="J4994" s="730">
        <f>SUM(J4995:J4997)</f>
        <v>6535.5</v>
      </c>
      <c r="K4994" s="734"/>
      <c r="L4994" s="735"/>
    </row>
    <row r="4995" spans="1:12" ht="9.1999999999999993" customHeight="1">
      <c r="B4995" s="720"/>
      <c r="C4995" s="717"/>
      <c r="D4995" s="717"/>
      <c r="E4995" s="710">
        <v>1</v>
      </c>
      <c r="F4995" s="718" t="s">
        <v>698</v>
      </c>
      <c r="G4995" s="718"/>
      <c r="H4995" s="718"/>
      <c r="I4995" s="733"/>
      <c r="J4995" s="714">
        <f>VLOOKUP(C4974,'Luong VP'!$B$10:$AP$352,37,0)</f>
        <v>535.5</v>
      </c>
    </row>
    <row r="4996" spans="1:12" ht="9.1999999999999993" customHeight="1">
      <c r="B4996" s="720"/>
      <c r="C4996" s="717"/>
      <c r="D4996" s="717"/>
      <c r="E4996" s="710">
        <v>2</v>
      </c>
      <c r="F4996" s="718" t="s">
        <v>244</v>
      </c>
      <c r="G4996" s="718"/>
      <c r="H4996" s="718"/>
      <c r="I4996" s="729"/>
      <c r="J4996" s="714">
        <f>VLOOKUP(C4974,'Luong VP'!$B$10:$AP$352,39,0)</f>
        <v>6000</v>
      </c>
    </row>
    <row r="4997" spans="1:12" ht="9.1999999999999993" customHeight="1">
      <c r="B4997" s="720"/>
      <c r="C4997" s="717"/>
      <c r="D4997" s="717"/>
      <c r="E4997" s="710"/>
      <c r="F4997" s="718" t="s">
        <v>699</v>
      </c>
      <c r="G4997" s="718"/>
      <c r="H4997" s="718"/>
      <c r="I4997" s="729"/>
      <c r="J4997" s="714"/>
      <c r="K4997" s="714"/>
      <c r="L4997" s="736"/>
    </row>
    <row r="4998" spans="1:12" ht="9.1999999999999993" customHeight="1">
      <c r="B4998" s="720"/>
      <c r="C4998" s="717"/>
      <c r="D4998" s="717"/>
      <c r="E4998" s="710" t="s">
        <v>700</v>
      </c>
      <c r="F4998" s="710" t="s">
        <v>246</v>
      </c>
      <c r="G4998" s="710"/>
      <c r="H4998" s="710"/>
      <c r="I4998" s="729"/>
      <c r="J4998" s="728">
        <f>J4993-J4994</f>
        <v>5805.5</v>
      </c>
      <c r="K4998" s="728">
        <f>ROUND(J4998,-1)</f>
        <v>5810</v>
      </c>
      <c r="L4998" s="710"/>
    </row>
    <row r="4999" spans="1:12" ht="9.1999999999999993" customHeight="1">
      <c r="E4999" s="715"/>
      <c r="F4999" s="715"/>
      <c r="G4999" s="715"/>
      <c r="I4999" s="715" t="s">
        <v>701</v>
      </c>
      <c r="J4999" s="737"/>
    </row>
    <row r="5000" spans="1:12" ht="9.1999999999999993" customHeight="1">
      <c r="E5000" s="715"/>
      <c r="F5000" s="715"/>
      <c r="G5000" s="715"/>
      <c r="I5000" s="715"/>
      <c r="J5000" s="737"/>
    </row>
    <row r="5003" spans="1:12" ht="9.1999999999999993" customHeight="1">
      <c r="C5003" s="696"/>
      <c r="D5003" s="696"/>
      <c r="E5003" s="697" t="str">
        <f>$E$2</f>
        <v>THẺ LƯƠNG THÁNG 08/2019</v>
      </c>
      <c r="F5003" s="698"/>
      <c r="G5003" s="698"/>
      <c r="H5003" s="698"/>
    </row>
    <row r="5004" spans="1:12" ht="9.1999999999999993" customHeight="1">
      <c r="B5004" s="699" t="s">
        <v>644</v>
      </c>
      <c r="C5004" s="700" t="s">
        <v>618</v>
      </c>
      <c r="D5004" s="701"/>
      <c r="F5004" s="702" t="s">
        <v>645</v>
      </c>
      <c r="G5004" s="689" t="str">
        <f>VLOOKUP(C5004,'Luong VP'!$B$10:$AP$352,2,0)</f>
        <v xml:space="preserve"> Nguyễn Thành Ngoan </v>
      </c>
    </row>
    <row r="5005" spans="1:12" ht="9.1999999999999993" customHeight="1">
      <c r="B5005" s="699" t="s">
        <v>646</v>
      </c>
      <c r="C5005" s="689" t="str">
        <f>VLOOKUP(C5004,'Luong VP'!$B$10:$AP$352,3,0)</f>
        <v>NV Giao nhận/ Phụ xe</v>
      </c>
      <c r="F5005" s="702" t="s">
        <v>647</v>
      </c>
      <c r="G5005" s="689">
        <f>VLOOKUP(C5004,'Luong VP'!$B$10:$AP$352,5,0)</f>
        <v>2</v>
      </c>
    </row>
    <row r="5006" spans="1:12" ht="9.1999999999999993" customHeight="1">
      <c r="B5006" s="703"/>
      <c r="C5006" s="704"/>
      <c r="D5006" s="705"/>
      <c r="F5006" s="706" t="s">
        <v>648</v>
      </c>
      <c r="G5006" s="706"/>
      <c r="H5006" s="706"/>
      <c r="I5006" s="725"/>
      <c r="J5006" s="726"/>
    </row>
    <row r="5007" spans="1:12" ht="9.1999999999999993" customHeight="1">
      <c r="A5007" s="707" t="s">
        <v>216</v>
      </c>
      <c r="B5007" s="707" t="s">
        <v>649</v>
      </c>
      <c r="C5007" s="708" t="s">
        <v>650</v>
      </c>
      <c r="D5007" s="709"/>
      <c r="E5007" s="710" t="s">
        <v>216</v>
      </c>
      <c r="F5007" s="711" t="s">
        <v>649</v>
      </c>
      <c r="G5007" s="710"/>
      <c r="H5007" s="710" t="s">
        <v>651</v>
      </c>
      <c r="I5007" s="727" t="s">
        <v>652</v>
      </c>
      <c r="J5007" s="714"/>
      <c r="L5007" s="694" t="s">
        <v>653</v>
      </c>
    </row>
    <row r="5008" spans="1:12" ht="9.1999999999999993" customHeight="1">
      <c r="A5008" s="712">
        <v>1</v>
      </c>
      <c r="B5008" s="713" t="s">
        <v>654</v>
      </c>
      <c r="C5008" s="714">
        <f>VLOOKUP(C5004,'Luong VP'!$B$10:$AP$352,9,0)</f>
        <v>4730</v>
      </c>
      <c r="D5008" s="715"/>
      <c r="E5008" s="710" t="s">
        <v>655</v>
      </c>
      <c r="F5008" s="716" t="s">
        <v>656</v>
      </c>
      <c r="G5008" s="710"/>
      <c r="H5008" s="710"/>
      <c r="I5008" s="727"/>
      <c r="J5008" s="714">
        <f>VLOOKUP(C5004,'Luong VP'!$B$10:$AP$352,21,0)</f>
        <v>5166.5</v>
      </c>
    </row>
    <row r="5009" spans="1:12" ht="9.1999999999999993" customHeight="1">
      <c r="A5009" s="712">
        <v>2</v>
      </c>
      <c r="B5009" s="713" t="s">
        <v>658</v>
      </c>
      <c r="C5009" s="714"/>
      <c r="D5009" s="717"/>
      <c r="E5009" s="710">
        <v>1</v>
      </c>
      <c r="F5009" s="718" t="s">
        <v>659</v>
      </c>
      <c r="G5009" s="718"/>
      <c r="H5009" s="710" t="s">
        <v>660</v>
      </c>
      <c r="I5009" s="727">
        <f>VLOOKUP(C5004,'Luong VP'!$B$10:$AP$352,22,0)</f>
        <v>26</v>
      </c>
      <c r="J5009" s="728">
        <f>J5008/'Cham cong'!$AS$3*I5009</f>
        <v>5166.5</v>
      </c>
    </row>
    <row r="5010" spans="1:12" ht="9.1999999999999993" customHeight="1">
      <c r="A5010" s="712">
        <v>3</v>
      </c>
      <c r="B5010" s="713" t="s">
        <v>661</v>
      </c>
      <c r="C5010" s="714">
        <f>VLOOKUP(C5004,'Luong VP'!$B$10:$AP$352,10,0)</f>
        <v>0</v>
      </c>
      <c r="D5010" s="717"/>
      <c r="E5010" s="710">
        <v>2</v>
      </c>
      <c r="F5010" s="718" t="s">
        <v>662</v>
      </c>
      <c r="G5010" s="718"/>
      <c r="H5010" s="710" t="s">
        <v>660</v>
      </c>
      <c r="I5010" s="727">
        <f>VLOOKUP(C5004,'Luong VP'!$B$10:$AP$352,27,0)</f>
        <v>0</v>
      </c>
      <c r="J5010" s="728">
        <f>J5008/'Cham cong'!$AS$3*I5010*3</f>
        <v>0</v>
      </c>
    </row>
    <row r="5011" spans="1:12" ht="9.1999999999999993" customHeight="1">
      <c r="A5011" s="712">
        <v>4</v>
      </c>
      <c r="B5011" s="713" t="s">
        <v>666</v>
      </c>
      <c r="C5011" s="714">
        <f>VLOOKUP(C5004,'Luong VP'!$B$10:$AP$352,11,0)</f>
        <v>0</v>
      </c>
      <c r="D5011" s="717"/>
      <c r="E5011" s="710">
        <v>3</v>
      </c>
      <c r="F5011" s="718" t="s">
        <v>667</v>
      </c>
      <c r="G5011" s="718"/>
      <c r="H5011" s="710" t="s">
        <v>668</v>
      </c>
      <c r="I5011" s="727">
        <f>VLOOKUP(C5004,'Luong VP'!$B$10:$AP$352,26,0)</f>
        <v>0</v>
      </c>
      <c r="J5011" s="728">
        <f>J5008/'Cham cong'!$AS$3*I5011/8*1.5</f>
        <v>0</v>
      </c>
    </row>
    <row r="5012" spans="1:12" ht="9.1999999999999993" customHeight="1">
      <c r="A5012" s="712">
        <v>5</v>
      </c>
      <c r="B5012" s="713" t="s">
        <v>670</v>
      </c>
      <c r="C5012" s="714">
        <f>VLOOKUP(C5004,'Luong VP'!$B$10:$AP$352,12,0)</f>
        <v>236.5</v>
      </c>
      <c r="D5012" s="717"/>
      <c r="E5012" s="710">
        <v>4</v>
      </c>
      <c r="F5012" s="718" t="s">
        <v>671</v>
      </c>
      <c r="G5012" s="718"/>
      <c r="H5012" s="710" t="s">
        <v>668</v>
      </c>
      <c r="I5012" s="727">
        <f>VLOOKUP(C5004,'Luong VP'!$B$10:$AP$352,25,0)</f>
        <v>0</v>
      </c>
      <c r="J5012" s="728">
        <f>J5008/'Cham cong'!$AS$3*I5012/8*2</f>
        <v>0</v>
      </c>
    </row>
    <row r="5013" spans="1:12" ht="9.1999999999999993" customHeight="1">
      <c r="A5013" s="712">
        <v>6</v>
      </c>
      <c r="B5013" s="713" t="s">
        <v>673</v>
      </c>
      <c r="C5013" s="714">
        <f>VLOOKUP(C5004,'Luong VP'!$B$10:$AP$352,13,0)</f>
        <v>0</v>
      </c>
      <c r="D5013" s="717"/>
      <c r="E5013" s="710">
        <v>5</v>
      </c>
      <c r="F5013" s="718" t="s">
        <v>674</v>
      </c>
      <c r="G5013" s="718"/>
      <c r="H5013" s="710" t="s">
        <v>660</v>
      </c>
      <c r="I5013" s="727">
        <f>VLOOKUP(C5004,'Luong VP'!$B$10:$AP$352,23,0)</f>
        <v>0</v>
      </c>
      <c r="J5013" s="728">
        <f>C5008/'Cham cong'!$AS$3*I5013</f>
        <v>0</v>
      </c>
      <c r="L5013" s="694" t="str">
        <f>G5004</f>
        <v xml:space="preserve"> Nguyễn Thành Ngoan </v>
      </c>
    </row>
    <row r="5014" spans="1:12" ht="9.1999999999999993" customHeight="1">
      <c r="A5014" s="712">
        <v>7</v>
      </c>
      <c r="B5014" s="713" t="s">
        <v>676</v>
      </c>
      <c r="C5014" s="714"/>
      <c r="D5014" s="717"/>
      <c r="E5014" s="710">
        <v>6</v>
      </c>
      <c r="F5014" s="718" t="s">
        <v>677</v>
      </c>
      <c r="G5014" s="718"/>
      <c r="H5014" s="710" t="s">
        <v>660</v>
      </c>
      <c r="I5014" s="727">
        <f>VLOOKUP(C5004,'Luong VP'!$B$10:$AP$352,24,0)</f>
        <v>1</v>
      </c>
      <c r="J5014" s="714">
        <f>C5008/'Cham cong'!$AS$3*I5014</f>
        <v>181.92307692307693</v>
      </c>
    </row>
    <row r="5015" spans="1:12" ht="9.1999999999999993" customHeight="1">
      <c r="A5015" s="712">
        <v>8</v>
      </c>
      <c r="B5015" s="713" t="s">
        <v>679</v>
      </c>
      <c r="C5015" s="714">
        <f>VLOOKUP(C5004,'Luong VP'!$B$10:$AP$352,14,0)</f>
        <v>200</v>
      </c>
      <c r="D5015" s="717"/>
      <c r="E5015" s="710">
        <v>7</v>
      </c>
      <c r="F5015" s="718" t="s">
        <v>680</v>
      </c>
      <c r="G5015" s="718"/>
      <c r="H5015" s="718"/>
      <c r="I5015" s="729"/>
      <c r="J5015" s="714">
        <f>VLOOKUP(C5004,'Luong VP'!$B$10:$AP$352,28,0)</f>
        <v>0</v>
      </c>
    </row>
    <row r="5016" spans="1:12" ht="9.1999999999999993" customHeight="1">
      <c r="A5016" s="712">
        <v>9</v>
      </c>
      <c r="B5016" s="713" t="s">
        <v>683</v>
      </c>
      <c r="C5016" s="714">
        <f>VLOOKUP(C5004,'Luong VP'!$B$10:$AP$352,15,0)</f>
        <v>100</v>
      </c>
      <c r="D5016" s="717"/>
      <c r="E5016" s="710" t="s">
        <v>686</v>
      </c>
      <c r="F5016" s="716" t="s">
        <v>687</v>
      </c>
      <c r="G5016" s="719"/>
      <c r="H5016" s="719"/>
      <c r="I5016" s="729"/>
      <c r="J5016" s="730"/>
    </row>
    <row r="5017" spans="1:12" ht="9.1999999999999993" customHeight="1">
      <c r="A5017" s="712">
        <v>10</v>
      </c>
      <c r="B5017" s="713" t="s">
        <v>685</v>
      </c>
      <c r="C5017" s="714">
        <f>VLOOKUP(C5004,'Luong VP'!$B$10:$AP$352,16,0)</f>
        <v>0</v>
      </c>
      <c r="D5017" s="717"/>
      <c r="E5017" s="710">
        <v>1</v>
      </c>
      <c r="F5017" s="716" t="s">
        <v>689</v>
      </c>
      <c r="G5017" s="719"/>
      <c r="H5017" s="719"/>
      <c r="I5017" s="714">
        <f>VLOOKUP(C5004,'Luong VP'!$B$10:$AP$209,29,0)</f>
        <v>171152.66666666672</v>
      </c>
      <c r="J5017" s="714">
        <f>VLOOKUP(C5004,'Luong VP'!$B$10:$AP$352,30,0)</f>
        <v>2053.8320000000008</v>
      </c>
    </row>
    <row r="5018" spans="1:12" ht="9.1999999999999993" customHeight="1">
      <c r="A5018" s="712">
        <v>11</v>
      </c>
      <c r="B5018" s="713" t="s">
        <v>688</v>
      </c>
      <c r="C5018" s="714">
        <f>VLOOKUP(C5004,'Luong VP'!$B$10:$AP$352,17,0)</f>
        <v>0</v>
      </c>
      <c r="D5018" s="717"/>
      <c r="E5018" s="710">
        <v>2</v>
      </c>
      <c r="F5018" s="716" t="s">
        <v>702</v>
      </c>
      <c r="G5018" s="719"/>
      <c r="H5018" s="719"/>
      <c r="I5018" s="729"/>
      <c r="J5018" s="714">
        <f>VLOOKUP(C5004,'Luong VP'!$B$10:$AP$352,32,0)</f>
        <v>0</v>
      </c>
      <c r="K5018" s="731"/>
      <c r="L5018" s="715"/>
    </row>
    <row r="5019" spans="1:12" ht="9.1999999999999993" customHeight="1">
      <c r="A5019" s="712">
        <v>12</v>
      </c>
      <c r="B5019" s="713" t="s">
        <v>691</v>
      </c>
      <c r="C5019" s="714">
        <f>VLOOKUP(C5004,'Luong VP'!$B$10:$AP$352,18,0)</f>
        <v>0</v>
      </c>
      <c r="D5019" s="717"/>
      <c r="E5019" s="710">
        <v>3</v>
      </c>
      <c r="F5019" s="718" t="s">
        <v>238</v>
      </c>
      <c r="G5019" s="718"/>
      <c r="H5019" s="718"/>
      <c r="I5019" s="729"/>
      <c r="J5019" s="714">
        <f>VLOOKUP(C5004,'Luong VP'!$B$10:$AP$352,33,0)</f>
        <v>0</v>
      </c>
      <c r="K5019" s="731"/>
      <c r="L5019" s="715"/>
    </row>
    <row r="5020" spans="1:12" ht="9.1999999999999993" customHeight="1">
      <c r="A5020" s="712">
        <v>13</v>
      </c>
      <c r="B5020" s="713" t="s">
        <v>692</v>
      </c>
      <c r="C5020" s="714">
        <f>VLOOKUP(C5004,'Luong VP'!$B$10:$AP$352,19,0)</f>
        <v>0</v>
      </c>
      <c r="D5020" s="717"/>
      <c r="E5020" s="710">
        <v>4</v>
      </c>
      <c r="F5020" s="718" t="s">
        <v>239</v>
      </c>
      <c r="G5020" s="718"/>
      <c r="H5020" s="718"/>
      <c r="I5020" s="727"/>
      <c r="J5020" s="728">
        <f>VLOOKUP(C5004,'Luong VP'!$B$10:$AP$352,34,0)</f>
        <v>0</v>
      </c>
      <c r="K5020" s="732"/>
      <c r="L5020" s="715"/>
    </row>
    <row r="5021" spans="1:12" ht="9.1999999999999993" customHeight="1">
      <c r="A5021" s="712">
        <v>14</v>
      </c>
      <c r="B5021" s="713" t="s">
        <v>694</v>
      </c>
      <c r="C5021" s="714">
        <f>VLOOKUP(C5004,'Luong VP'!$B$10:$AP$352,20,0)</f>
        <v>0</v>
      </c>
      <c r="D5021" s="717"/>
      <c r="E5021" s="710">
        <v>5</v>
      </c>
      <c r="F5021" s="718" t="s">
        <v>695</v>
      </c>
      <c r="G5021" s="719"/>
      <c r="H5021" s="719"/>
      <c r="I5021" s="729"/>
      <c r="J5021" s="714">
        <f>VLOOKUP(C5004,'Luong VP'!$B$10:$AP$352,35,0)</f>
        <v>0</v>
      </c>
      <c r="K5021" s="732"/>
      <c r="L5021" s="715"/>
    </row>
    <row r="5022" spans="1:12" ht="9.1999999999999993" customHeight="1">
      <c r="A5022" s="712"/>
      <c r="B5022" s="707" t="s">
        <v>656</v>
      </c>
      <c r="C5022" s="714">
        <f>SUM(C5008:C5021)</f>
        <v>5266.5</v>
      </c>
      <c r="D5022" s="717"/>
      <c r="E5022" s="710">
        <v>6</v>
      </c>
      <c r="F5022" s="716" t="s">
        <v>693</v>
      </c>
      <c r="G5022" s="719"/>
      <c r="H5022" s="719"/>
      <c r="I5022" s="729"/>
      <c r="J5022" s="714">
        <f>VLOOKUP(C5004,'Luong VP'!$B$10:$AP$352,40,0)</f>
        <v>0</v>
      </c>
      <c r="K5022" s="731"/>
      <c r="L5022" s="715"/>
    </row>
    <row r="5023" spans="1:12" ht="9.1999999999999993" customHeight="1">
      <c r="B5023" s="720"/>
      <c r="C5023" s="717"/>
      <c r="D5023" s="717"/>
      <c r="E5023" s="710"/>
      <c r="F5023" s="716" t="s">
        <v>241</v>
      </c>
      <c r="G5023" s="719"/>
      <c r="H5023" s="719"/>
      <c r="I5023" s="729"/>
      <c r="J5023" s="730">
        <f>SUM(J5009:J5022)+C5016</f>
        <v>7502.2550769230784</v>
      </c>
      <c r="K5023" s="732"/>
      <c r="L5023" s="715"/>
    </row>
    <row r="5024" spans="1:12" ht="9.1999999999999993" customHeight="1">
      <c r="B5024" s="720"/>
      <c r="C5024" s="717"/>
      <c r="D5024" s="717"/>
      <c r="E5024" s="710" t="s">
        <v>696</v>
      </c>
      <c r="F5024" s="711" t="s">
        <v>697</v>
      </c>
      <c r="G5024" s="710"/>
      <c r="H5024" s="710"/>
      <c r="I5024" s="729"/>
      <c r="J5024" s="730">
        <f>SUM(J5025:J5027)</f>
        <v>4480.585</v>
      </c>
      <c r="K5024" s="734"/>
      <c r="L5024" s="735"/>
    </row>
    <row r="5025" spans="1:12" ht="9.1999999999999993" customHeight="1">
      <c r="B5025" s="720"/>
      <c r="C5025" s="717"/>
      <c r="D5025" s="717"/>
      <c r="E5025" s="710">
        <v>1</v>
      </c>
      <c r="F5025" s="718" t="s">
        <v>698</v>
      </c>
      <c r="G5025" s="718"/>
      <c r="H5025" s="718"/>
      <c r="I5025" s="733"/>
      <c r="J5025" s="714">
        <f>VLOOKUP(C5004,'Luong VP'!$B$10:$AP$352,37,0)</f>
        <v>480.58499999999998</v>
      </c>
    </row>
    <row r="5026" spans="1:12" ht="9.1999999999999993" customHeight="1">
      <c r="B5026" s="720"/>
      <c r="C5026" s="717"/>
      <c r="D5026" s="717"/>
      <c r="E5026" s="710">
        <v>2</v>
      </c>
      <c r="F5026" s="718" t="s">
        <v>244</v>
      </c>
      <c r="G5026" s="718"/>
      <c r="H5026" s="718"/>
      <c r="I5026" s="729"/>
      <c r="J5026" s="714">
        <f>VLOOKUP(C5004,'Luong VP'!$B$10:$AP$352,39,0)</f>
        <v>4000</v>
      </c>
    </row>
    <row r="5027" spans="1:12" ht="9.1999999999999993" customHeight="1">
      <c r="B5027" s="720"/>
      <c r="C5027" s="717"/>
      <c r="D5027" s="717"/>
      <c r="E5027" s="710"/>
      <c r="F5027" s="718" t="s">
        <v>699</v>
      </c>
      <c r="G5027" s="718"/>
      <c r="H5027" s="718"/>
      <c r="I5027" s="729"/>
      <c r="J5027" s="714"/>
      <c r="K5027" s="714"/>
      <c r="L5027" s="736"/>
    </row>
    <row r="5028" spans="1:12" ht="9.1999999999999993" customHeight="1">
      <c r="B5028" s="720"/>
      <c r="C5028" s="717"/>
      <c r="D5028" s="717"/>
      <c r="E5028" s="710" t="s">
        <v>700</v>
      </c>
      <c r="F5028" s="710" t="s">
        <v>246</v>
      </c>
      <c r="G5028" s="710"/>
      <c r="H5028" s="710"/>
      <c r="I5028" s="729"/>
      <c r="J5028" s="728">
        <f>J5023-J5024</f>
        <v>3021.6700769230783</v>
      </c>
      <c r="K5028" s="728">
        <f>ROUND(J5028,-1)</f>
        <v>3020</v>
      </c>
      <c r="L5028" s="710"/>
    </row>
    <row r="5029" spans="1:12" ht="9.1999999999999993" customHeight="1">
      <c r="E5029" s="715"/>
      <c r="F5029" s="715"/>
      <c r="G5029" s="715"/>
      <c r="I5029" s="715" t="s">
        <v>701</v>
      </c>
      <c r="J5029" s="737"/>
    </row>
    <row r="5034" spans="1:12" ht="9.1999999999999993" customHeight="1">
      <c r="C5034" s="696"/>
      <c r="D5034" s="696"/>
      <c r="E5034" s="697" t="str">
        <f>$E$2</f>
        <v>THẺ LƯƠNG THÁNG 08/2019</v>
      </c>
      <c r="F5034" s="698"/>
      <c r="G5034" s="698"/>
      <c r="H5034" s="698"/>
    </row>
    <row r="5035" spans="1:12" ht="9.1999999999999993" customHeight="1">
      <c r="B5035" s="699" t="s">
        <v>644</v>
      </c>
      <c r="C5035" s="700" t="s">
        <v>620</v>
      </c>
      <c r="D5035" s="701"/>
      <c r="F5035" s="702" t="s">
        <v>645</v>
      </c>
      <c r="G5035" s="689" t="str">
        <f>VLOOKUP(C5035,'Luong VP'!$B$10:$AP$352,2,0)</f>
        <v xml:space="preserve"> Trần Thanh Long </v>
      </c>
    </row>
    <row r="5036" spans="1:12" ht="9.1999999999999993" customHeight="1">
      <c r="B5036" s="699" t="s">
        <v>646</v>
      </c>
      <c r="C5036" s="689" t="str">
        <f>VLOOKUP(C5035,'Luong VP'!$B$10:$AP$352,3,0)</f>
        <v>NV Giao nhận/ Phụ xe</v>
      </c>
      <c r="F5036" s="702" t="s">
        <v>647</v>
      </c>
      <c r="G5036" s="689">
        <f>VLOOKUP(C5035,'Luong VP'!$B$10:$AP$352,5,0)</f>
        <v>2</v>
      </c>
    </row>
    <row r="5037" spans="1:12" ht="9.1999999999999993" customHeight="1">
      <c r="B5037" s="703"/>
      <c r="C5037" s="704"/>
      <c r="D5037" s="705"/>
      <c r="F5037" s="706" t="s">
        <v>648</v>
      </c>
      <c r="G5037" s="706"/>
      <c r="H5037" s="706"/>
      <c r="I5037" s="725"/>
      <c r="J5037" s="726"/>
    </row>
    <row r="5038" spans="1:12" ht="9.1999999999999993" customHeight="1">
      <c r="A5038" s="707" t="s">
        <v>216</v>
      </c>
      <c r="B5038" s="707" t="s">
        <v>649</v>
      </c>
      <c r="C5038" s="708" t="s">
        <v>650</v>
      </c>
      <c r="D5038" s="709"/>
      <c r="E5038" s="710" t="s">
        <v>216</v>
      </c>
      <c r="F5038" s="711" t="s">
        <v>649</v>
      </c>
      <c r="G5038" s="710"/>
      <c r="H5038" s="710" t="s">
        <v>651</v>
      </c>
      <c r="I5038" s="727" t="s">
        <v>652</v>
      </c>
      <c r="J5038" s="714"/>
      <c r="L5038" s="694" t="s">
        <v>653</v>
      </c>
    </row>
    <row r="5039" spans="1:12" ht="9.1999999999999993" customHeight="1">
      <c r="A5039" s="712">
        <v>1</v>
      </c>
      <c r="B5039" s="713" t="s">
        <v>654</v>
      </c>
      <c r="C5039" s="714">
        <f>VLOOKUP(C5035,'Luong VP'!$B$10:$AP$352,9,0)</f>
        <v>4730</v>
      </c>
      <c r="D5039" s="715"/>
      <c r="E5039" s="710" t="s">
        <v>655</v>
      </c>
      <c r="F5039" s="716" t="s">
        <v>656</v>
      </c>
      <c r="G5039" s="710"/>
      <c r="H5039" s="710"/>
      <c r="I5039" s="727"/>
      <c r="J5039" s="714">
        <f>VLOOKUP(C5035,'Luong VP'!$B$10:$AP$352,21,0)</f>
        <v>5071.8999999999996</v>
      </c>
    </row>
    <row r="5040" spans="1:12" ht="9.1999999999999993" customHeight="1">
      <c r="A5040" s="712">
        <v>2</v>
      </c>
      <c r="B5040" s="713" t="s">
        <v>658</v>
      </c>
      <c r="C5040" s="714"/>
      <c r="D5040" s="717"/>
      <c r="E5040" s="710">
        <v>1</v>
      </c>
      <c r="F5040" s="718" t="s">
        <v>659</v>
      </c>
      <c r="G5040" s="718"/>
      <c r="H5040" s="710" t="s">
        <v>660</v>
      </c>
      <c r="I5040" s="727">
        <f>VLOOKUP(C5035,'Luong VP'!$B$10:$AP$352,22,0)</f>
        <v>26</v>
      </c>
      <c r="J5040" s="728">
        <f>J5039/'Cham cong'!$AS$3*I5040</f>
        <v>5071.8999999999996</v>
      </c>
    </row>
    <row r="5041" spans="1:12" ht="9.1999999999999993" customHeight="1">
      <c r="A5041" s="712">
        <v>3</v>
      </c>
      <c r="B5041" s="713" t="s">
        <v>661</v>
      </c>
      <c r="C5041" s="714">
        <f>VLOOKUP(C5035,'Luong VP'!$B$10:$AP$352,10,0)</f>
        <v>0</v>
      </c>
      <c r="D5041" s="717"/>
      <c r="E5041" s="710">
        <v>2</v>
      </c>
      <c r="F5041" s="718" t="s">
        <v>662</v>
      </c>
      <c r="G5041" s="718"/>
      <c r="H5041" s="710" t="s">
        <v>660</v>
      </c>
      <c r="I5041" s="727">
        <f>VLOOKUP(C5035,'Luong VP'!$B$10:$AP$352,27,0)</f>
        <v>0</v>
      </c>
      <c r="J5041" s="728">
        <f>J5039/'Cham cong'!$AS$3*I5041*3</f>
        <v>0</v>
      </c>
    </row>
    <row r="5042" spans="1:12" ht="9.1999999999999993" customHeight="1">
      <c r="A5042" s="712">
        <v>4</v>
      </c>
      <c r="B5042" s="713" t="s">
        <v>666</v>
      </c>
      <c r="C5042" s="714">
        <f>VLOOKUP(C5035,'Luong VP'!$B$10:$AP$352,11,0)</f>
        <v>0</v>
      </c>
      <c r="D5042" s="717"/>
      <c r="E5042" s="710">
        <v>3</v>
      </c>
      <c r="F5042" s="718" t="s">
        <v>667</v>
      </c>
      <c r="G5042" s="718"/>
      <c r="H5042" s="710" t="s">
        <v>668</v>
      </c>
      <c r="I5042" s="727">
        <f>VLOOKUP(C5035,'Luong VP'!$B$10:$AP$352,26,0)</f>
        <v>0</v>
      </c>
      <c r="J5042" s="728">
        <f>J5039/'Cham cong'!$AS$3*I5042/8*1.5</f>
        <v>0</v>
      </c>
    </row>
    <row r="5043" spans="1:12" ht="9.1999999999999993" customHeight="1">
      <c r="A5043" s="712">
        <v>5</v>
      </c>
      <c r="B5043" s="713" t="s">
        <v>670</v>
      </c>
      <c r="C5043" s="714">
        <f>VLOOKUP(C5035,'Luong VP'!$B$10:$AP$352,12,0)</f>
        <v>141.9</v>
      </c>
      <c r="D5043" s="717"/>
      <c r="E5043" s="710">
        <v>4</v>
      </c>
      <c r="F5043" s="718" t="s">
        <v>671</v>
      </c>
      <c r="G5043" s="718"/>
      <c r="H5043" s="710" t="s">
        <v>668</v>
      </c>
      <c r="I5043" s="727">
        <f>VLOOKUP(C5035,'Luong VP'!$B$10:$AP$352,25,0)</f>
        <v>0</v>
      </c>
      <c r="J5043" s="728">
        <f>J5039/'Cham cong'!$AS$3*I5043/8*2</f>
        <v>0</v>
      </c>
    </row>
    <row r="5044" spans="1:12" ht="9.1999999999999993" customHeight="1">
      <c r="A5044" s="712">
        <v>6</v>
      </c>
      <c r="B5044" s="713" t="s">
        <v>673</v>
      </c>
      <c r="C5044" s="714">
        <f>VLOOKUP(C5035,'Luong VP'!$B$10:$AP$352,13,0)</f>
        <v>0</v>
      </c>
      <c r="D5044" s="717"/>
      <c r="E5044" s="710">
        <v>5</v>
      </c>
      <c r="F5044" s="718" t="s">
        <v>674</v>
      </c>
      <c r="G5044" s="718"/>
      <c r="H5044" s="710" t="s">
        <v>660</v>
      </c>
      <c r="I5044" s="727">
        <f>VLOOKUP(C5035,'Luong VP'!$B$10:$AP$352,23,0)</f>
        <v>0</v>
      </c>
      <c r="J5044" s="728">
        <f>C5039/'Cham cong'!$AS$3*I5044</f>
        <v>0</v>
      </c>
      <c r="L5044" s="694" t="str">
        <f>G5035</f>
        <v xml:space="preserve"> Trần Thanh Long </v>
      </c>
    </row>
    <row r="5045" spans="1:12" ht="9.1999999999999993" customHeight="1">
      <c r="A5045" s="712">
        <v>7</v>
      </c>
      <c r="B5045" s="713" t="s">
        <v>676</v>
      </c>
      <c r="C5045" s="714"/>
      <c r="D5045" s="717"/>
      <c r="E5045" s="710">
        <v>6</v>
      </c>
      <c r="F5045" s="718" t="s">
        <v>677</v>
      </c>
      <c r="G5045" s="718"/>
      <c r="H5045" s="710" t="s">
        <v>660</v>
      </c>
      <c r="I5045" s="727">
        <f>VLOOKUP(C5035,'Luong VP'!$B$10:$AP$352,24,0)</f>
        <v>1</v>
      </c>
      <c r="J5045" s="714">
        <f>C5039/'Cham cong'!$AS$3*I5045</f>
        <v>181.92307692307693</v>
      </c>
    </row>
    <row r="5046" spans="1:12" ht="9.1999999999999993" customHeight="1">
      <c r="A5046" s="712">
        <v>8</v>
      </c>
      <c r="B5046" s="713" t="s">
        <v>679</v>
      </c>
      <c r="C5046" s="714">
        <f>VLOOKUP(C5035,'Luong VP'!$B$10:$AP$352,14,0)</f>
        <v>200</v>
      </c>
      <c r="D5046" s="717"/>
      <c r="E5046" s="710">
        <v>7</v>
      </c>
      <c r="F5046" s="718" t="s">
        <v>680</v>
      </c>
      <c r="G5046" s="718"/>
      <c r="H5046" s="718"/>
      <c r="I5046" s="729"/>
      <c r="J5046" s="714">
        <f>VLOOKUP(C5035,'Luong VP'!$B$10:$AP$352,28,0)</f>
        <v>840</v>
      </c>
    </row>
    <row r="5047" spans="1:12" ht="9.1999999999999993" customHeight="1">
      <c r="A5047" s="712">
        <v>9</v>
      </c>
      <c r="B5047" s="713" t="s">
        <v>683</v>
      </c>
      <c r="C5047" s="714">
        <f>VLOOKUP(C5035,'Luong VP'!$B$10:$AP$352,15,0)</f>
        <v>100</v>
      </c>
      <c r="D5047" s="717"/>
      <c r="E5047" s="710" t="s">
        <v>686</v>
      </c>
      <c r="F5047" s="716" t="s">
        <v>687</v>
      </c>
      <c r="G5047" s="719"/>
      <c r="H5047" s="719"/>
      <c r="I5047" s="729"/>
      <c r="J5047" s="730"/>
    </row>
    <row r="5048" spans="1:12" ht="9.1999999999999993" customHeight="1">
      <c r="A5048" s="712">
        <v>10</v>
      </c>
      <c r="B5048" s="713" t="s">
        <v>685</v>
      </c>
      <c r="C5048" s="714">
        <f>VLOOKUP(C5035,'Luong VP'!$B$10:$AP$352,16,0)</f>
        <v>0</v>
      </c>
      <c r="D5048" s="717"/>
      <c r="E5048" s="710">
        <v>1</v>
      </c>
      <c r="F5048" s="716" t="s">
        <v>689</v>
      </c>
      <c r="G5048" s="719"/>
      <c r="H5048" s="719"/>
      <c r="I5048" s="714">
        <f>VLOOKUP(C5035,'Luong VP'!$B$10:$AP$209,29,0)</f>
        <v>148542.08333333334</v>
      </c>
      <c r="J5048" s="714">
        <f>VLOOKUP(C5035,'Luong VP'!$B$10:$AP$352,30,0)</f>
        <v>1782.5050000000003</v>
      </c>
    </row>
    <row r="5049" spans="1:12" ht="9.1999999999999993" customHeight="1">
      <c r="A5049" s="712">
        <v>11</v>
      </c>
      <c r="B5049" s="713" t="s">
        <v>688</v>
      </c>
      <c r="C5049" s="714">
        <f>VLOOKUP(C5035,'Luong VP'!$B$10:$AP$352,17,0)</f>
        <v>0</v>
      </c>
      <c r="D5049" s="717"/>
      <c r="E5049" s="710">
        <v>2</v>
      </c>
      <c r="F5049" s="716" t="s">
        <v>702</v>
      </c>
      <c r="G5049" s="719"/>
      <c r="H5049" s="719"/>
      <c r="I5049" s="729"/>
      <c r="J5049" s="714">
        <f>VLOOKUP(C5035,'Luong VP'!$B$10:$AP$352,32,0)</f>
        <v>0</v>
      </c>
      <c r="K5049" s="731"/>
      <c r="L5049" s="715"/>
    </row>
    <row r="5050" spans="1:12" ht="9.1999999999999993" customHeight="1">
      <c r="A5050" s="712">
        <v>12</v>
      </c>
      <c r="B5050" s="713" t="s">
        <v>691</v>
      </c>
      <c r="C5050" s="714">
        <f>VLOOKUP(C5035,'Luong VP'!$B$10:$AP$352,18,0)</f>
        <v>0</v>
      </c>
      <c r="D5050" s="717"/>
      <c r="E5050" s="710">
        <v>3</v>
      </c>
      <c r="F5050" s="718" t="s">
        <v>238</v>
      </c>
      <c r="G5050" s="718"/>
      <c r="H5050" s="718"/>
      <c r="I5050" s="729"/>
      <c r="J5050" s="714">
        <f>VLOOKUP(C5035,'Luong VP'!$B$10:$AP$352,33,0)</f>
        <v>0</v>
      </c>
      <c r="K5050" s="731"/>
      <c r="L5050" s="715"/>
    </row>
    <row r="5051" spans="1:12" ht="9.1999999999999993" customHeight="1">
      <c r="A5051" s="712">
        <v>13</v>
      </c>
      <c r="B5051" s="713" t="s">
        <v>692</v>
      </c>
      <c r="C5051" s="714">
        <f>VLOOKUP(C5035,'Luong VP'!$B$10:$AP$352,19,0)</f>
        <v>0</v>
      </c>
      <c r="D5051" s="717"/>
      <c r="E5051" s="710">
        <v>4</v>
      </c>
      <c r="F5051" s="718" t="s">
        <v>239</v>
      </c>
      <c r="G5051" s="718"/>
      <c r="H5051" s="718"/>
      <c r="I5051" s="727"/>
      <c r="J5051" s="728">
        <f>VLOOKUP(C5035,'Luong VP'!$B$10:$AP$352,34,0)</f>
        <v>0</v>
      </c>
      <c r="K5051" s="732"/>
      <c r="L5051" s="715"/>
    </row>
    <row r="5052" spans="1:12" ht="9.1999999999999993" customHeight="1">
      <c r="A5052" s="712">
        <v>14</v>
      </c>
      <c r="B5052" s="713" t="s">
        <v>694</v>
      </c>
      <c r="C5052" s="714">
        <f>VLOOKUP(C5035,'Luong VP'!$B$10:$AP$352,20,0)</f>
        <v>0</v>
      </c>
      <c r="D5052" s="717"/>
      <c r="E5052" s="710">
        <v>5</v>
      </c>
      <c r="F5052" s="718" t="s">
        <v>695</v>
      </c>
      <c r="G5052" s="719"/>
      <c r="H5052" s="719"/>
      <c r="I5052" s="729"/>
      <c r="J5052" s="714">
        <f>VLOOKUP(C5035,'Luong VP'!$B$10:$AP$352,35,0)</f>
        <v>0</v>
      </c>
      <c r="K5052" s="732"/>
      <c r="L5052" s="715"/>
    </row>
    <row r="5053" spans="1:12" ht="9.1999999999999993" customHeight="1">
      <c r="A5053" s="712"/>
      <c r="B5053" s="707" t="s">
        <v>656</v>
      </c>
      <c r="C5053" s="714">
        <f>SUM(C5039:C5052)</f>
        <v>5171.8999999999996</v>
      </c>
      <c r="D5053" s="717"/>
      <c r="E5053" s="710">
        <v>6</v>
      </c>
      <c r="F5053" s="716" t="s">
        <v>693</v>
      </c>
      <c r="G5053" s="719"/>
      <c r="H5053" s="719"/>
      <c r="I5053" s="729"/>
      <c r="J5053" s="714">
        <f>VLOOKUP(C5035,'Luong VP'!$B$10:$AP$352,40,0)</f>
        <v>0</v>
      </c>
      <c r="K5053" s="731"/>
      <c r="L5053" s="715"/>
    </row>
    <row r="5054" spans="1:12" ht="9.1999999999999993" customHeight="1">
      <c r="B5054" s="720"/>
      <c r="C5054" s="717"/>
      <c r="D5054" s="717"/>
      <c r="E5054" s="710"/>
      <c r="F5054" s="716" t="s">
        <v>241</v>
      </c>
      <c r="G5054" s="719"/>
      <c r="H5054" s="719"/>
      <c r="I5054" s="729"/>
      <c r="J5054" s="730">
        <f>SUM(J5040:J5053)+C5047</f>
        <v>7976.3280769230769</v>
      </c>
      <c r="K5054" s="732"/>
      <c r="L5054" s="715"/>
    </row>
    <row r="5055" spans="1:12" ht="9.1999999999999993" customHeight="1">
      <c r="B5055" s="720"/>
      <c r="C5055" s="717"/>
      <c r="D5055" s="717"/>
      <c r="E5055" s="710" t="s">
        <v>696</v>
      </c>
      <c r="F5055" s="711" t="s">
        <v>697</v>
      </c>
      <c r="G5055" s="710"/>
      <c r="H5055" s="710"/>
      <c r="I5055" s="729"/>
      <c r="J5055" s="730">
        <f>SUM(J5056:J5058)</f>
        <v>3480.585</v>
      </c>
      <c r="K5055" s="734"/>
      <c r="L5055" s="735"/>
    </row>
    <row r="5056" spans="1:12" ht="9.1999999999999993" customHeight="1">
      <c r="B5056" s="720"/>
      <c r="C5056" s="717"/>
      <c r="D5056" s="717"/>
      <c r="E5056" s="710">
        <v>1</v>
      </c>
      <c r="F5056" s="718" t="s">
        <v>698</v>
      </c>
      <c r="G5056" s="718"/>
      <c r="H5056" s="718"/>
      <c r="I5056" s="733"/>
      <c r="J5056" s="714">
        <f>VLOOKUP(C5035,'Luong VP'!$B$10:$AP$352,37,0)</f>
        <v>480.58499999999998</v>
      </c>
    </row>
    <row r="5057" spans="1:12" ht="9.1999999999999993" customHeight="1">
      <c r="B5057" s="720"/>
      <c r="C5057" s="717"/>
      <c r="D5057" s="717"/>
      <c r="E5057" s="710">
        <v>2</v>
      </c>
      <c r="F5057" s="718" t="s">
        <v>244</v>
      </c>
      <c r="G5057" s="718"/>
      <c r="H5057" s="718"/>
      <c r="I5057" s="729"/>
      <c r="J5057" s="714">
        <f>VLOOKUP(C5035,'Luong VP'!$B$10:$AP$352,39,0)</f>
        <v>3000</v>
      </c>
    </row>
    <row r="5058" spans="1:12" ht="9.1999999999999993" customHeight="1">
      <c r="B5058" s="720"/>
      <c r="C5058" s="717"/>
      <c r="D5058" s="717"/>
      <c r="E5058" s="710"/>
      <c r="F5058" s="718" t="s">
        <v>699</v>
      </c>
      <c r="G5058" s="718"/>
      <c r="H5058" s="718"/>
      <c r="I5058" s="729"/>
      <c r="J5058" s="714"/>
      <c r="K5058" s="714"/>
      <c r="L5058" s="736"/>
    </row>
    <row r="5059" spans="1:12" ht="9.1999999999999993" customHeight="1">
      <c r="B5059" s="720"/>
      <c r="C5059" s="717"/>
      <c r="D5059" s="717"/>
      <c r="E5059" s="710" t="s">
        <v>700</v>
      </c>
      <c r="F5059" s="710" t="s">
        <v>246</v>
      </c>
      <c r="G5059" s="710"/>
      <c r="H5059" s="710"/>
      <c r="I5059" s="729"/>
      <c r="J5059" s="728">
        <f>J5054-J5055</f>
        <v>4495.7430769230768</v>
      </c>
      <c r="K5059" s="728">
        <f>ROUND(J5059,-1)</f>
        <v>4500</v>
      </c>
      <c r="L5059" s="710"/>
    </row>
    <row r="5060" spans="1:12" ht="9.1999999999999993" customHeight="1">
      <c r="E5060" s="715"/>
      <c r="F5060" s="715"/>
      <c r="G5060" s="715"/>
      <c r="I5060" s="715" t="s">
        <v>701</v>
      </c>
      <c r="J5060" s="737"/>
    </row>
    <row r="5061" spans="1:12" ht="9.1999999999999993" customHeight="1">
      <c r="E5061" s="715"/>
      <c r="F5061" s="715"/>
      <c r="G5061" s="715"/>
      <c r="I5061" s="715"/>
      <c r="J5061" s="737"/>
    </row>
    <row r="5064" spans="1:12" ht="9.1999999999999993" customHeight="1">
      <c r="C5064" s="696"/>
      <c r="D5064" s="696"/>
      <c r="E5064" s="697" t="str">
        <f>$E$2</f>
        <v>THẺ LƯƠNG THÁNG 08/2019</v>
      </c>
      <c r="F5064" s="698"/>
      <c r="G5064" s="698"/>
      <c r="H5064" s="698"/>
    </row>
    <row r="5065" spans="1:12" ht="9.1999999999999993" customHeight="1">
      <c r="B5065" s="699" t="s">
        <v>644</v>
      </c>
      <c r="C5065" s="700" t="s">
        <v>622</v>
      </c>
      <c r="D5065" s="701"/>
      <c r="F5065" s="702" t="s">
        <v>645</v>
      </c>
      <c r="G5065" s="689" t="str">
        <f>VLOOKUP(C5065,'Luong VP'!$B$10:$AP$352,2,0)</f>
        <v xml:space="preserve"> Dương Nguyễn Vũ Bảo </v>
      </c>
    </row>
    <row r="5066" spans="1:12" ht="9.1999999999999993" customHeight="1">
      <c r="B5066" s="699" t="s">
        <v>646</v>
      </c>
      <c r="C5066" s="689" t="str">
        <f>VLOOKUP(C5065,'Luong VP'!$B$10:$AP$352,3,0)</f>
        <v>NV Giao nhận/ Phụ xe</v>
      </c>
      <c r="F5066" s="702" t="s">
        <v>647</v>
      </c>
      <c r="G5066" s="689">
        <f>VLOOKUP(C5065,'Luong VP'!$B$10:$AP$352,5,0)</f>
        <v>2</v>
      </c>
    </row>
    <row r="5067" spans="1:12" ht="9.1999999999999993" customHeight="1">
      <c r="B5067" s="703"/>
      <c r="C5067" s="704"/>
      <c r="D5067" s="705"/>
      <c r="F5067" s="706" t="s">
        <v>648</v>
      </c>
      <c r="G5067" s="706"/>
      <c r="H5067" s="706"/>
      <c r="I5067" s="725"/>
      <c r="J5067" s="726"/>
    </row>
    <row r="5068" spans="1:12" ht="9.1999999999999993" customHeight="1">
      <c r="A5068" s="707" t="s">
        <v>216</v>
      </c>
      <c r="B5068" s="707" t="s">
        <v>649</v>
      </c>
      <c r="C5068" s="708" t="s">
        <v>650</v>
      </c>
      <c r="D5068" s="709"/>
      <c r="E5068" s="710" t="s">
        <v>216</v>
      </c>
      <c r="F5068" s="711" t="s">
        <v>649</v>
      </c>
      <c r="G5068" s="710"/>
      <c r="H5068" s="710" t="s">
        <v>651</v>
      </c>
      <c r="I5068" s="727" t="s">
        <v>652</v>
      </c>
      <c r="J5068" s="714"/>
      <c r="L5068" s="694" t="s">
        <v>653</v>
      </c>
    </row>
    <row r="5069" spans="1:12" ht="9.1999999999999993" customHeight="1">
      <c r="A5069" s="712">
        <v>1</v>
      </c>
      <c r="B5069" s="713" t="s">
        <v>654</v>
      </c>
      <c r="C5069" s="714">
        <f>VLOOKUP(C5065,'Luong VP'!$B$10:$AP$352,9,0)</f>
        <v>4730</v>
      </c>
      <c r="D5069" s="715"/>
      <c r="E5069" s="710" t="s">
        <v>655</v>
      </c>
      <c r="F5069" s="716" t="s">
        <v>656</v>
      </c>
      <c r="G5069" s="710"/>
      <c r="H5069" s="710"/>
      <c r="I5069" s="727"/>
      <c r="J5069" s="714">
        <f>VLOOKUP(C5065,'Luong VP'!$B$10:$AP$352,21,0)</f>
        <v>4930</v>
      </c>
    </row>
    <row r="5070" spans="1:12" ht="9.1999999999999993" customHeight="1">
      <c r="A5070" s="712">
        <v>2</v>
      </c>
      <c r="B5070" s="713" t="s">
        <v>658</v>
      </c>
      <c r="C5070" s="714"/>
      <c r="D5070" s="717"/>
      <c r="E5070" s="710">
        <v>1</v>
      </c>
      <c r="F5070" s="718" t="s">
        <v>659</v>
      </c>
      <c r="G5070" s="718"/>
      <c r="H5070" s="710" t="s">
        <v>660</v>
      </c>
      <c r="I5070" s="727">
        <f>VLOOKUP(C5065,'Luong VP'!$B$10:$AP$352,22,0)</f>
        <v>26</v>
      </c>
      <c r="J5070" s="728">
        <f>J5069/'Cham cong'!$AS$3*I5070</f>
        <v>4930</v>
      </c>
    </row>
    <row r="5071" spans="1:12" ht="9.1999999999999993" customHeight="1">
      <c r="A5071" s="712">
        <v>3</v>
      </c>
      <c r="B5071" s="713" t="s">
        <v>661</v>
      </c>
      <c r="C5071" s="714">
        <f>VLOOKUP(C5065,'Luong VP'!$B$10:$AP$352,10,0)</f>
        <v>0</v>
      </c>
      <c r="D5071" s="717"/>
      <c r="E5071" s="710">
        <v>2</v>
      </c>
      <c r="F5071" s="718" t="s">
        <v>662</v>
      </c>
      <c r="G5071" s="718"/>
      <c r="H5071" s="710" t="s">
        <v>660</v>
      </c>
      <c r="I5071" s="727">
        <f>VLOOKUP(C5065,'Luong VP'!$B$10:$AP$352,27,0)</f>
        <v>0</v>
      </c>
      <c r="J5071" s="728">
        <f>J5069/'Cham cong'!$AS$3*I5071*3</f>
        <v>0</v>
      </c>
    </row>
    <row r="5072" spans="1:12" ht="9.1999999999999993" customHeight="1">
      <c r="A5072" s="712">
        <v>4</v>
      </c>
      <c r="B5072" s="713" t="s">
        <v>666</v>
      </c>
      <c r="C5072" s="714">
        <f>VLOOKUP(C5065,'Luong VP'!$B$10:$AP$352,11,0)</f>
        <v>0</v>
      </c>
      <c r="D5072" s="717"/>
      <c r="E5072" s="710">
        <v>3</v>
      </c>
      <c r="F5072" s="718" t="s">
        <v>667</v>
      </c>
      <c r="G5072" s="718"/>
      <c r="H5072" s="710" t="s">
        <v>668</v>
      </c>
      <c r="I5072" s="727">
        <f>VLOOKUP(C5065,'Luong VP'!$B$10:$AP$352,26,0)</f>
        <v>0</v>
      </c>
      <c r="J5072" s="728">
        <f>J5069/'Cham cong'!$AS$3*I5072/8*1.5</f>
        <v>0</v>
      </c>
    </row>
    <row r="5073" spans="1:12" ht="9.1999999999999993" customHeight="1">
      <c r="A5073" s="712">
        <v>5</v>
      </c>
      <c r="B5073" s="713" t="s">
        <v>670</v>
      </c>
      <c r="C5073" s="714">
        <f>VLOOKUP(C5065,'Luong VP'!$B$10:$AP$352,12,0)</f>
        <v>0</v>
      </c>
      <c r="D5073" s="717"/>
      <c r="E5073" s="710">
        <v>4</v>
      </c>
      <c r="F5073" s="718" t="s">
        <v>671</v>
      </c>
      <c r="G5073" s="718"/>
      <c r="H5073" s="710" t="s">
        <v>668</v>
      </c>
      <c r="I5073" s="727">
        <f>VLOOKUP(C5065,'Luong VP'!$B$10:$AP$352,25,0)</f>
        <v>0</v>
      </c>
      <c r="J5073" s="728">
        <f>J5069/'Cham cong'!$AS$3*I5073/8*2</f>
        <v>0</v>
      </c>
    </row>
    <row r="5074" spans="1:12" ht="9.1999999999999993" customHeight="1">
      <c r="A5074" s="712">
        <v>6</v>
      </c>
      <c r="B5074" s="713" t="s">
        <v>673</v>
      </c>
      <c r="C5074" s="714">
        <f>VLOOKUP(C5065,'Luong VP'!$B$10:$AP$352,13,0)</f>
        <v>0</v>
      </c>
      <c r="D5074" s="717"/>
      <c r="E5074" s="710">
        <v>5</v>
      </c>
      <c r="F5074" s="718" t="s">
        <v>674</v>
      </c>
      <c r="G5074" s="718"/>
      <c r="H5074" s="710" t="s">
        <v>660</v>
      </c>
      <c r="I5074" s="727">
        <f>VLOOKUP(C5065,'Luong VP'!$B$10:$AP$352,23,0)</f>
        <v>0</v>
      </c>
      <c r="J5074" s="728">
        <f>C5069/'Cham cong'!$AS$3*I5074</f>
        <v>0</v>
      </c>
      <c r="L5074" s="694" t="str">
        <f>G5065</f>
        <v xml:space="preserve"> Dương Nguyễn Vũ Bảo </v>
      </c>
    </row>
    <row r="5075" spans="1:12" ht="9.1999999999999993" customHeight="1">
      <c r="A5075" s="712">
        <v>7</v>
      </c>
      <c r="B5075" s="713" t="s">
        <v>676</v>
      </c>
      <c r="C5075" s="714"/>
      <c r="D5075" s="717"/>
      <c r="E5075" s="710">
        <v>6</v>
      </c>
      <c r="F5075" s="718" t="s">
        <v>677</v>
      </c>
      <c r="G5075" s="718"/>
      <c r="H5075" s="710" t="s">
        <v>660</v>
      </c>
      <c r="I5075" s="727">
        <f>VLOOKUP(C5065,'Luong VP'!$B$10:$AP$352,24,0)</f>
        <v>1</v>
      </c>
      <c r="J5075" s="714">
        <f>C5069/'Cham cong'!$AS$3*I5075</f>
        <v>181.92307692307693</v>
      </c>
    </row>
    <row r="5076" spans="1:12" ht="9.1999999999999993" customHeight="1">
      <c r="A5076" s="712">
        <v>8</v>
      </c>
      <c r="B5076" s="713" t="s">
        <v>679</v>
      </c>
      <c r="C5076" s="714">
        <f>VLOOKUP(C5065,'Luong VP'!$B$10:$AP$352,14,0)</f>
        <v>200</v>
      </c>
      <c r="D5076" s="717"/>
      <c r="E5076" s="710">
        <v>7</v>
      </c>
      <c r="F5076" s="718" t="s">
        <v>680</v>
      </c>
      <c r="G5076" s="718"/>
      <c r="H5076" s="718"/>
      <c r="I5076" s="729"/>
      <c r="J5076" s="714">
        <f>VLOOKUP(C5065,'Luong VP'!$B$10:$AP$352,28,0)</f>
        <v>780</v>
      </c>
    </row>
    <row r="5077" spans="1:12" ht="9.1999999999999993" customHeight="1">
      <c r="A5077" s="712">
        <v>9</v>
      </c>
      <c r="B5077" s="713" t="s">
        <v>683</v>
      </c>
      <c r="C5077" s="714">
        <f>VLOOKUP(C5065,'Luong VP'!$B$10:$AP$352,15,0)</f>
        <v>100</v>
      </c>
      <c r="D5077" s="717"/>
      <c r="E5077" s="710" t="s">
        <v>686</v>
      </c>
      <c r="F5077" s="716" t="s">
        <v>687</v>
      </c>
      <c r="G5077" s="719"/>
      <c r="H5077" s="719"/>
      <c r="I5077" s="729"/>
      <c r="J5077" s="730"/>
    </row>
    <row r="5078" spans="1:12" ht="9.1999999999999993" customHeight="1">
      <c r="A5078" s="712">
        <v>10</v>
      </c>
      <c r="B5078" s="713" t="s">
        <v>685</v>
      </c>
      <c r="C5078" s="714">
        <f>VLOOKUP(C5065,'Luong VP'!$B$10:$AP$352,16,0)</f>
        <v>0</v>
      </c>
      <c r="D5078" s="717"/>
      <c r="E5078" s="710">
        <v>1</v>
      </c>
      <c r="F5078" s="716" t="s">
        <v>689</v>
      </c>
      <c r="G5078" s="719"/>
      <c r="H5078" s="719"/>
      <c r="I5078" s="714">
        <f>VLOOKUP(C5065,'Luong VP'!$B$10:$AP$209,29,0)</f>
        <v>154826.66666666672</v>
      </c>
      <c r="J5078" s="714">
        <f>VLOOKUP(C5065,'Luong VP'!$B$10:$AP$352,30,0)</f>
        <v>1857.9200000000008</v>
      </c>
    </row>
    <row r="5079" spans="1:12" ht="9.1999999999999993" customHeight="1">
      <c r="A5079" s="712">
        <v>11</v>
      </c>
      <c r="B5079" s="713" t="s">
        <v>688</v>
      </c>
      <c r="C5079" s="714">
        <f>VLOOKUP(C5065,'Luong VP'!$B$10:$AP$352,17,0)</f>
        <v>0</v>
      </c>
      <c r="D5079" s="717"/>
      <c r="E5079" s="710">
        <v>2</v>
      </c>
      <c r="F5079" s="716" t="s">
        <v>702</v>
      </c>
      <c r="G5079" s="719"/>
      <c r="H5079" s="719"/>
      <c r="I5079" s="729"/>
      <c r="J5079" s="714">
        <f>VLOOKUP(C5065,'Luong VP'!$B$10:$AP$352,32,0)</f>
        <v>0</v>
      </c>
      <c r="K5079" s="731"/>
      <c r="L5079" s="715"/>
    </row>
    <row r="5080" spans="1:12" ht="9.1999999999999993" customHeight="1">
      <c r="A5080" s="712">
        <v>12</v>
      </c>
      <c r="B5080" s="713" t="s">
        <v>691</v>
      </c>
      <c r="C5080" s="714">
        <f>VLOOKUP(C5065,'Luong VP'!$B$10:$AP$352,18,0)</f>
        <v>0</v>
      </c>
      <c r="D5080" s="717"/>
      <c r="E5080" s="710">
        <v>3</v>
      </c>
      <c r="F5080" s="718" t="s">
        <v>238</v>
      </c>
      <c r="G5080" s="718"/>
      <c r="H5080" s="718"/>
      <c r="I5080" s="729"/>
      <c r="J5080" s="714">
        <f>VLOOKUP(C5065,'Luong VP'!$B$10:$AP$352,33,0)</f>
        <v>0</v>
      </c>
      <c r="K5080" s="731"/>
      <c r="L5080" s="715"/>
    </row>
    <row r="5081" spans="1:12" ht="9.1999999999999993" customHeight="1">
      <c r="A5081" s="712">
        <v>13</v>
      </c>
      <c r="B5081" s="713" t="s">
        <v>692</v>
      </c>
      <c r="C5081" s="714">
        <f>VLOOKUP(C5065,'Luong VP'!$B$10:$AP$352,19,0)</f>
        <v>0</v>
      </c>
      <c r="D5081" s="717"/>
      <c r="E5081" s="710">
        <v>4</v>
      </c>
      <c r="F5081" s="718" t="s">
        <v>239</v>
      </c>
      <c r="G5081" s="718"/>
      <c r="H5081" s="718"/>
      <c r="I5081" s="727"/>
      <c r="J5081" s="728">
        <f>VLOOKUP(C5065,'Luong VP'!$B$10:$AP$352,34,0)</f>
        <v>0</v>
      </c>
      <c r="K5081" s="732"/>
      <c r="L5081" s="715"/>
    </row>
    <row r="5082" spans="1:12" ht="9.1999999999999993" customHeight="1">
      <c r="A5082" s="712">
        <v>14</v>
      </c>
      <c r="B5082" s="713" t="s">
        <v>694</v>
      </c>
      <c r="C5082" s="714">
        <f>VLOOKUP(C5065,'Luong VP'!$B$10:$AP$352,20,0)</f>
        <v>0</v>
      </c>
      <c r="D5082" s="717"/>
      <c r="E5082" s="710">
        <v>5</v>
      </c>
      <c r="F5082" s="718" t="s">
        <v>695</v>
      </c>
      <c r="G5082" s="719"/>
      <c r="H5082" s="719"/>
      <c r="I5082" s="729"/>
      <c r="J5082" s="714">
        <f>VLOOKUP(C5065,'Luong VP'!$B$10:$AP$352,35,0)</f>
        <v>0</v>
      </c>
      <c r="K5082" s="732"/>
      <c r="L5082" s="715"/>
    </row>
    <row r="5083" spans="1:12" ht="9.1999999999999993" customHeight="1">
      <c r="A5083" s="712"/>
      <c r="B5083" s="707" t="s">
        <v>656</v>
      </c>
      <c r="C5083" s="714">
        <f>SUM(C5069:C5082)</f>
        <v>5030</v>
      </c>
      <c r="D5083" s="717"/>
      <c r="E5083" s="710">
        <v>6</v>
      </c>
      <c r="F5083" s="716" t="s">
        <v>693</v>
      </c>
      <c r="G5083" s="719"/>
      <c r="H5083" s="719"/>
      <c r="I5083" s="729"/>
      <c r="J5083" s="714">
        <f>VLOOKUP(C5065,'Luong VP'!$B$10:$AP$352,40,0)</f>
        <v>0</v>
      </c>
      <c r="K5083" s="731"/>
      <c r="L5083" s="715"/>
    </row>
    <row r="5084" spans="1:12" ht="9.1999999999999993" customHeight="1">
      <c r="B5084" s="720"/>
      <c r="C5084" s="717"/>
      <c r="D5084" s="717"/>
      <c r="E5084" s="710"/>
      <c r="F5084" s="716" t="s">
        <v>241</v>
      </c>
      <c r="G5084" s="719"/>
      <c r="H5084" s="719"/>
      <c r="I5084" s="729"/>
      <c r="J5084" s="730">
        <f>SUM(J5070:J5083)+C5077</f>
        <v>7849.8430769230781</v>
      </c>
      <c r="K5084" s="732"/>
      <c r="L5084" s="715"/>
    </row>
    <row r="5085" spans="1:12" ht="9.1999999999999993" customHeight="1">
      <c r="B5085" s="720"/>
      <c r="C5085" s="717"/>
      <c r="D5085" s="717"/>
      <c r="E5085" s="710" t="s">
        <v>696</v>
      </c>
      <c r="F5085" s="711" t="s">
        <v>697</v>
      </c>
      <c r="G5085" s="710"/>
      <c r="H5085" s="710"/>
      <c r="I5085" s="729"/>
      <c r="J5085" s="730">
        <f>SUM(J5086:J5088)</f>
        <v>4480.585</v>
      </c>
      <c r="K5085" s="734"/>
      <c r="L5085" s="735"/>
    </row>
    <row r="5086" spans="1:12" ht="9.1999999999999993" customHeight="1">
      <c r="B5086" s="720"/>
      <c r="C5086" s="717"/>
      <c r="D5086" s="717"/>
      <c r="E5086" s="710">
        <v>1</v>
      </c>
      <c r="F5086" s="718" t="s">
        <v>698</v>
      </c>
      <c r="G5086" s="718"/>
      <c r="H5086" s="718"/>
      <c r="I5086" s="733"/>
      <c r="J5086" s="714">
        <f>VLOOKUP(C5065,'Luong VP'!$B$10:$AP$352,37,0)</f>
        <v>480.58499999999998</v>
      </c>
    </row>
    <row r="5087" spans="1:12" ht="9.1999999999999993" customHeight="1">
      <c r="B5087" s="720"/>
      <c r="C5087" s="717"/>
      <c r="D5087" s="717"/>
      <c r="E5087" s="710">
        <v>2</v>
      </c>
      <c r="F5087" s="718" t="s">
        <v>244</v>
      </c>
      <c r="G5087" s="718"/>
      <c r="H5087" s="718"/>
      <c r="I5087" s="729"/>
      <c r="J5087" s="714">
        <f>VLOOKUP(C5065,'Luong VP'!$B$10:$AP$352,39,0)</f>
        <v>4000</v>
      </c>
    </row>
    <row r="5088" spans="1:12" ht="9.1999999999999993" customHeight="1">
      <c r="B5088" s="720"/>
      <c r="C5088" s="717"/>
      <c r="D5088" s="717"/>
      <c r="E5088" s="710"/>
      <c r="F5088" s="718" t="s">
        <v>699</v>
      </c>
      <c r="G5088" s="718"/>
      <c r="H5088" s="718"/>
      <c r="I5088" s="729"/>
      <c r="J5088" s="714"/>
      <c r="K5088" s="714"/>
      <c r="L5088" s="736"/>
    </row>
    <row r="5089" spans="1:12" ht="9.1999999999999993" customHeight="1">
      <c r="B5089" s="720"/>
      <c r="C5089" s="717"/>
      <c r="D5089" s="717"/>
      <c r="E5089" s="710" t="s">
        <v>700</v>
      </c>
      <c r="F5089" s="710" t="s">
        <v>246</v>
      </c>
      <c r="G5089" s="710"/>
      <c r="H5089" s="710"/>
      <c r="I5089" s="729"/>
      <c r="J5089" s="728">
        <f>J5084-J5085</f>
        <v>3369.2580769230781</v>
      </c>
      <c r="K5089" s="728">
        <f>ROUND(J5089,-1)</f>
        <v>3370</v>
      </c>
      <c r="L5089" s="710"/>
    </row>
    <row r="5090" spans="1:12" ht="9.1999999999999993" customHeight="1">
      <c r="E5090" s="715"/>
      <c r="F5090" s="715"/>
      <c r="G5090" s="715"/>
      <c r="I5090" s="715" t="s">
        <v>701</v>
      </c>
      <c r="J5090" s="737"/>
    </row>
    <row r="5094" spans="1:12" ht="9.1999999999999993" customHeight="1">
      <c r="C5094" s="696"/>
      <c r="D5094" s="696"/>
      <c r="E5094" s="697" t="str">
        <f>$E$2</f>
        <v>THẺ LƯƠNG THÁNG 08/2019</v>
      </c>
      <c r="F5094" s="698"/>
      <c r="G5094" s="698"/>
      <c r="H5094" s="698"/>
    </row>
    <row r="5095" spans="1:12" ht="9.1999999999999993" customHeight="1">
      <c r="B5095" s="699" t="s">
        <v>644</v>
      </c>
      <c r="C5095" s="700" t="s">
        <v>624</v>
      </c>
      <c r="D5095" s="701"/>
      <c r="F5095" s="702" t="s">
        <v>645</v>
      </c>
      <c r="G5095" s="689" t="str">
        <f>VLOOKUP(C5095,'Luong VP'!$B$10:$AP$352,2,0)</f>
        <v xml:space="preserve"> Phan Thành Phúc </v>
      </c>
    </row>
    <row r="5096" spans="1:12" ht="9.1999999999999993" customHeight="1">
      <c r="B5096" s="699" t="s">
        <v>646</v>
      </c>
      <c r="C5096" s="689" t="str">
        <f>VLOOKUP(C5095,'Luong VP'!$B$10:$AP$352,3,0)</f>
        <v>NV Giao nhận/ Phụ xe</v>
      </c>
      <c r="F5096" s="702" t="s">
        <v>647</v>
      </c>
      <c r="G5096" s="689">
        <f>VLOOKUP(C5095,'Luong VP'!$B$10:$AP$352,5,0)</f>
        <v>2</v>
      </c>
    </row>
    <row r="5097" spans="1:12" ht="9.1999999999999993" customHeight="1">
      <c r="B5097" s="703"/>
      <c r="C5097" s="704"/>
      <c r="D5097" s="705"/>
      <c r="F5097" s="706" t="s">
        <v>648</v>
      </c>
      <c r="G5097" s="706"/>
      <c r="H5097" s="706"/>
      <c r="I5097" s="725"/>
      <c r="J5097" s="726"/>
    </row>
    <row r="5098" spans="1:12" ht="9.1999999999999993" customHeight="1">
      <c r="A5098" s="707" t="s">
        <v>216</v>
      </c>
      <c r="B5098" s="707" t="s">
        <v>649</v>
      </c>
      <c r="C5098" s="708" t="s">
        <v>650</v>
      </c>
      <c r="D5098" s="709"/>
      <c r="E5098" s="710" t="s">
        <v>216</v>
      </c>
      <c r="F5098" s="711" t="s">
        <v>649</v>
      </c>
      <c r="G5098" s="710"/>
      <c r="H5098" s="710" t="s">
        <v>651</v>
      </c>
      <c r="I5098" s="727" t="s">
        <v>652</v>
      </c>
      <c r="J5098" s="714"/>
      <c r="L5098" s="694" t="s">
        <v>653</v>
      </c>
    </row>
    <row r="5099" spans="1:12" ht="9.1999999999999993" customHeight="1">
      <c r="A5099" s="712">
        <v>1</v>
      </c>
      <c r="B5099" s="713" t="s">
        <v>654</v>
      </c>
      <c r="C5099" s="714">
        <f>VLOOKUP(C5095,'Luong VP'!$B$10:$AP$352,9,0)</f>
        <v>4730</v>
      </c>
      <c r="D5099" s="715"/>
      <c r="E5099" s="710" t="s">
        <v>655</v>
      </c>
      <c r="F5099" s="716" t="s">
        <v>656</v>
      </c>
      <c r="G5099" s="710"/>
      <c r="H5099" s="710"/>
      <c r="I5099" s="727"/>
      <c r="J5099" s="714">
        <f>VLOOKUP(C5095,'Luong VP'!$B$10:$AP$352,21,0)</f>
        <v>4930</v>
      </c>
    </row>
    <row r="5100" spans="1:12" ht="9.1999999999999993" customHeight="1">
      <c r="A5100" s="712">
        <v>2</v>
      </c>
      <c r="B5100" s="713" t="s">
        <v>658</v>
      </c>
      <c r="C5100" s="714"/>
      <c r="D5100" s="717"/>
      <c r="E5100" s="710">
        <v>1</v>
      </c>
      <c r="F5100" s="718" t="s">
        <v>659</v>
      </c>
      <c r="G5100" s="718"/>
      <c r="H5100" s="710" t="s">
        <v>660</v>
      </c>
      <c r="I5100" s="727">
        <f>VLOOKUP(C5095,'Luong VP'!$B$10:$AP$352,22,0)</f>
        <v>26</v>
      </c>
      <c r="J5100" s="728">
        <f>J5099/'Cham cong'!$AS$3*I5100</f>
        <v>4930</v>
      </c>
    </row>
    <row r="5101" spans="1:12" ht="9.1999999999999993" customHeight="1">
      <c r="A5101" s="712">
        <v>3</v>
      </c>
      <c r="B5101" s="713" t="s">
        <v>661</v>
      </c>
      <c r="C5101" s="714">
        <f>VLOOKUP(C5095,'Luong VP'!$B$10:$AP$352,10,0)</f>
        <v>0</v>
      </c>
      <c r="D5101" s="717"/>
      <c r="E5101" s="710">
        <v>2</v>
      </c>
      <c r="F5101" s="718" t="s">
        <v>662</v>
      </c>
      <c r="G5101" s="718"/>
      <c r="H5101" s="710" t="s">
        <v>660</v>
      </c>
      <c r="I5101" s="727">
        <f>VLOOKUP(C5095,'Luong VP'!$B$10:$AP$352,27,0)</f>
        <v>0</v>
      </c>
      <c r="J5101" s="728">
        <f>J5099/'Cham cong'!$AS$3*I5101*3</f>
        <v>0</v>
      </c>
    </row>
    <row r="5102" spans="1:12" ht="9.1999999999999993" customHeight="1">
      <c r="A5102" s="712">
        <v>4</v>
      </c>
      <c r="B5102" s="713" t="s">
        <v>666</v>
      </c>
      <c r="C5102" s="714">
        <f>VLOOKUP(C5095,'Luong VP'!$B$10:$AP$352,11,0)</f>
        <v>0</v>
      </c>
      <c r="D5102" s="717"/>
      <c r="E5102" s="710">
        <v>3</v>
      </c>
      <c r="F5102" s="718" t="s">
        <v>667</v>
      </c>
      <c r="G5102" s="718"/>
      <c r="H5102" s="710" t="s">
        <v>668</v>
      </c>
      <c r="I5102" s="727">
        <f>VLOOKUP(C5095,'Luong VP'!$B$10:$AP$352,26,0)</f>
        <v>0</v>
      </c>
      <c r="J5102" s="728">
        <f>J5099/'Cham cong'!$AS$3*I5102/8*1.5</f>
        <v>0</v>
      </c>
    </row>
    <row r="5103" spans="1:12" ht="9.1999999999999993" customHeight="1">
      <c r="A5103" s="712">
        <v>5</v>
      </c>
      <c r="B5103" s="713" t="s">
        <v>670</v>
      </c>
      <c r="C5103" s="714">
        <f>VLOOKUP(C5095,'Luong VP'!$B$10:$AP$352,12,0)</f>
        <v>0</v>
      </c>
      <c r="D5103" s="717"/>
      <c r="E5103" s="710">
        <v>4</v>
      </c>
      <c r="F5103" s="718" t="s">
        <v>671</v>
      </c>
      <c r="G5103" s="718"/>
      <c r="H5103" s="710" t="s">
        <v>668</v>
      </c>
      <c r="I5103" s="727">
        <f>VLOOKUP(C5095,'Luong VP'!$B$10:$AP$352,25,0)</f>
        <v>0</v>
      </c>
      <c r="J5103" s="728">
        <f>J5099/'Cham cong'!$AS$3*I5103/8*2</f>
        <v>0</v>
      </c>
    </row>
    <row r="5104" spans="1:12" ht="9.1999999999999993" customHeight="1">
      <c r="A5104" s="712">
        <v>6</v>
      </c>
      <c r="B5104" s="713" t="s">
        <v>673</v>
      </c>
      <c r="C5104" s="714">
        <f>VLOOKUP(C5095,'Luong VP'!$B$10:$AP$352,13,0)</f>
        <v>0</v>
      </c>
      <c r="D5104" s="717"/>
      <c r="E5104" s="710">
        <v>5</v>
      </c>
      <c r="F5104" s="718" t="s">
        <v>674</v>
      </c>
      <c r="G5104" s="718"/>
      <c r="H5104" s="710" t="s">
        <v>660</v>
      </c>
      <c r="I5104" s="727">
        <f>VLOOKUP(C5095,'Luong VP'!$B$10:$AP$352,23,0)</f>
        <v>0</v>
      </c>
      <c r="J5104" s="728">
        <f>C5099/'Cham cong'!$AS$3*I5104</f>
        <v>0</v>
      </c>
      <c r="L5104" s="694" t="str">
        <f>G5095</f>
        <v xml:space="preserve"> Phan Thành Phúc </v>
      </c>
    </row>
    <row r="5105" spans="1:12" ht="9.1999999999999993" customHeight="1">
      <c r="A5105" s="712">
        <v>7</v>
      </c>
      <c r="B5105" s="713" t="s">
        <v>676</v>
      </c>
      <c r="C5105" s="714"/>
      <c r="D5105" s="717"/>
      <c r="E5105" s="710">
        <v>6</v>
      </c>
      <c r="F5105" s="718" t="s">
        <v>677</v>
      </c>
      <c r="G5105" s="718"/>
      <c r="H5105" s="710" t="s">
        <v>660</v>
      </c>
      <c r="I5105" s="727">
        <f>VLOOKUP(C5095,'Luong VP'!$B$10:$AP$352,24,0)</f>
        <v>1</v>
      </c>
      <c r="J5105" s="714">
        <f>C5099/'Cham cong'!$AS$3*I5105</f>
        <v>181.92307692307693</v>
      </c>
    </row>
    <row r="5106" spans="1:12" ht="9.1999999999999993" customHeight="1">
      <c r="A5106" s="712">
        <v>8</v>
      </c>
      <c r="B5106" s="713" t="s">
        <v>679</v>
      </c>
      <c r="C5106" s="714">
        <f>VLOOKUP(C5095,'Luong VP'!$B$10:$AP$352,14,0)</f>
        <v>200</v>
      </c>
      <c r="D5106" s="717"/>
      <c r="E5106" s="710">
        <v>7</v>
      </c>
      <c r="F5106" s="718" t="s">
        <v>680</v>
      </c>
      <c r="G5106" s="718"/>
      <c r="H5106" s="718"/>
      <c r="I5106" s="729"/>
      <c r="J5106" s="714">
        <f>VLOOKUP(C5095,'Luong VP'!$B$10:$AP$352,28,0)</f>
        <v>60</v>
      </c>
    </row>
    <row r="5107" spans="1:12" ht="9.1999999999999993" customHeight="1">
      <c r="A5107" s="712">
        <v>9</v>
      </c>
      <c r="B5107" s="713" t="s">
        <v>683</v>
      </c>
      <c r="C5107" s="714">
        <f>VLOOKUP(C5095,'Luong VP'!$B$10:$AP$352,15,0)</f>
        <v>100</v>
      </c>
      <c r="D5107" s="717"/>
      <c r="E5107" s="710" t="s">
        <v>686</v>
      </c>
      <c r="F5107" s="716" t="s">
        <v>687</v>
      </c>
      <c r="G5107" s="719"/>
      <c r="H5107" s="719"/>
      <c r="I5107" s="729"/>
      <c r="J5107" s="730"/>
    </row>
    <row r="5108" spans="1:12" ht="9.1999999999999993" customHeight="1">
      <c r="A5108" s="712">
        <v>10</v>
      </c>
      <c r="B5108" s="713" t="s">
        <v>685</v>
      </c>
      <c r="C5108" s="714">
        <f>VLOOKUP(C5095,'Luong VP'!$B$10:$AP$352,16,0)</f>
        <v>0</v>
      </c>
      <c r="D5108" s="717"/>
      <c r="E5108" s="710">
        <v>1</v>
      </c>
      <c r="F5108" s="716" t="s">
        <v>689</v>
      </c>
      <c r="G5108" s="719"/>
      <c r="H5108" s="719"/>
      <c r="I5108" s="714">
        <f>VLOOKUP(C5095,'Luong VP'!$B$10:$AP$209,29,0)</f>
        <v>177481.49999999997</v>
      </c>
      <c r="J5108" s="714">
        <f>VLOOKUP(C5095,'Luong VP'!$B$10:$AP$352,30,0)</f>
        <v>2129.7779999999993</v>
      </c>
    </row>
    <row r="5109" spans="1:12" ht="9.1999999999999993" customHeight="1">
      <c r="A5109" s="712">
        <v>11</v>
      </c>
      <c r="B5109" s="713" t="s">
        <v>688</v>
      </c>
      <c r="C5109" s="714">
        <f>VLOOKUP(C5095,'Luong VP'!$B$10:$AP$352,17,0)</f>
        <v>0</v>
      </c>
      <c r="D5109" s="717"/>
      <c r="E5109" s="710">
        <v>2</v>
      </c>
      <c r="F5109" s="716" t="s">
        <v>702</v>
      </c>
      <c r="G5109" s="719"/>
      <c r="H5109" s="719"/>
      <c r="I5109" s="729"/>
      <c r="J5109" s="714">
        <f>VLOOKUP(C5095,'Luong VP'!$B$10:$AP$352,32,0)</f>
        <v>0</v>
      </c>
      <c r="K5109" s="731"/>
      <c r="L5109" s="715"/>
    </row>
    <row r="5110" spans="1:12" ht="9.1999999999999993" customHeight="1">
      <c r="A5110" s="712">
        <v>12</v>
      </c>
      <c r="B5110" s="713" t="s">
        <v>691</v>
      </c>
      <c r="C5110" s="714">
        <f>VLOOKUP(C5095,'Luong VP'!$B$10:$AP$352,18,0)</f>
        <v>0</v>
      </c>
      <c r="D5110" s="717"/>
      <c r="E5110" s="710">
        <v>3</v>
      </c>
      <c r="F5110" s="718" t="s">
        <v>238</v>
      </c>
      <c r="G5110" s="718"/>
      <c r="H5110" s="718"/>
      <c r="I5110" s="729"/>
      <c r="J5110" s="714">
        <f>VLOOKUP(C5095,'Luong VP'!$B$10:$AP$352,33,0)</f>
        <v>0</v>
      </c>
      <c r="K5110" s="731"/>
      <c r="L5110" s="715"/>
    </row>
    <row r="5111" spans="1:12" ht="9.1999999999999993" customHeight="1">
      <c r="A5111" s="712">
        <v>13</v>
      </c>
      <c r="B5111" s="713" t="s">
        <v>692</v>
      </c>
      <c r="C5111" s="714">
        <f>VLOOKUP(C5095,'Luong VP'!$B$10:$AP$352,19,0)</f>
        <v>0</v>
      </c>
      <c r="D5111" s="717"/>
      <c r="E5111" s="710">
        <v>4</v>
      </c>
      <c r="F5111" s="718" t="s">
        <v>239</v>
      </c>
      <c r="G5111" s="718"/>
      <c r="H5111" s="718"/>
      <c r="I5111" s="727"/>
      <c r="J5111" s="728">
        <f>VLOOKUP(C5095,'Luong VP'!$B$10:$AP$352,34,0)</f>
        <v>0</v>
      </c>
      <c r="K5111" s="732"/>
      <c r="L5111" s="715"/>
    </row>
    <row r="5112" spans="1:12" ht="9.1999999999999993" customHeight="1">
      <c r="A5112" s="712">
        <v>14</v>
      </c>
      <c r="B5112" s="713" t="s">
        <v>694</v>
      </c>
      <c r="C5112" s="714">
        <f>VLOOKUP(C5095,'Luong VP'!$B$10:$AP$352,20,0)</f>
        <v>0</v>
      </c>
      <c r="D5112" s="717"/>
      <c r="E5112" s="710">
        <v>5</v>
      </c>
      <c r="F5112" s="718" t="s">
        <v>695</v>
      </c>
      <c r="G5112" s="719"/>
      <c r="H5112" s="719"/>
      <c r="I5112" s="729"/>
      <c r="J5112" s="714">
        <f>VLOOKUP(C5095,'Luong VP'!$B$10:$AP$352,35,0)</f>
        <v>0</v>
      </c>
      <c r="K5112" s="732"/>
      <c r="L5112" s="715"/>
    </row>
    <row r="5113" spans="1:12" ht="9.1999999999999993" customHeight="1">
      <c r="A5113" s="712"/>
      <c r="B5113" s="707" t="s">
        <v>656</v>
      </c>
      <c r="C5113" s="714">
        <f>SUM(C5099:C5112)</f>
        <v>5030</v>
      </c>
      <c r="D5113" s="717"/>
      <c r="E5113" s="710">
        <v>6</v>
      </c>
      <c r="F5113" s="716" t="s">
        <v>693</v>
      </c>
      <c r="G5113" s="719"/>
      <c r="H5113" s="719"/>
      <c r="I5113" s="729"/>
      <c r="J5113" s="714">
        <f>VLOOKUP(C5095,'Luong VP'!$B$10:$AP$352,40,0)</f>
        <v>0</v>
      </c>
      <c r="K5113" s="731"/>
      <c r="L5113" s="715"/>
    </row>
    <row r="5114" spans="1:12" ht="9.1999999999999993" customHeight="1">
      <c r="B5114" s="720"/>
      <c r="C5114" s="717"/>
      <c r="D5114" s="717"/>
      <c r="E5114" s="710"/>
      <c r="F5114" s="716" t="s">
        <v>241</v>
      </c>
      <c r="G5114" s="719"/>
      <c r="H5114" s="719"/>
      <c r="I5114" s="729"/>
      <c r="J5114" s="730">
        <f>SUM(J5100:J5113)+C5107</f>
        <v>7401.7010769230765</v>
      </c>
      <c r="K5114" s="732"/>
      <c r="L5114" s="715"/>
    </row>
    <row r="5115" spans="1:12" ht="9.1999999999999993" customHeight="1">
      <c r="B5115" s="720"/>
      <c r="C5115" s="717"/>
      <c r="D5115" s="717"/>
      <c r="E5115" s="710" t="s">
        <v>696</v>
      </c>
      <c r="F5115" s="711" t="s">
        <v>697</v>
      </c>
      <c r="G5115" s="710"/>
      <c r="H5115" s="710"/>
      <c r="I5115" s="729"/>
      <c r="J5115" s="730">
        <f>SUM(J5116:J5118)</f>
        <v>3480.585</v>
      </c>
      <c r="K5115" s="734"/>
      <c r="L5115" s="735"/>
    </row>
    <row r="5116" spans="1:12" ht="9.1999999999999993" customHeight="1">
      <c r="B5116" s="720"/>
      <c r="C5116" s="717"/>
      <c r="D5116" s="717"/>
      <c r="E5116" s="710">
        <v>1</v>
      </c>
      <c r="F5116" s="718" t="s">
        <v>698</v>
      </c>
      <c r="G5116" s="718"/>
      <c r="H5116" s="718"/>
      <c r="I5116" s="733"/>
      <c r="J5116" s="714">
        <f>VLOOKUP(C5095,'Luong VP'!$B$10:$AP$352,37,0)</f>
        <v>480.58499999999998</v>
      </c>
    </row>
    <row r="5117" spans="1:12" ht="9.1999999999999993" customHeight="1">
      <c r="B5117" s="720"/>
      <c r="C5117" s="717"/>
      <c r="D5117" s="717"/>
      <c r="E5117" s="710">
        <v>2</v>
      </c>
      <c r="F5117" s="718" t="s">
        <v>244</v>
      </c>
      <c r="G5117" s="718"/>
      <c r="H5117" s="718"/>
      <c r="I5117" s="729"/>
      <c r="J5117" s="714">
        <f>VLOOKUP(C5095,'Luong VP'!$B$10:$AP$352,39,0)</f>
        <v>3000</v>
      </c>
    </row>
    <row r="5118" spans="1:12" ht="9.1999999999999993" customHeight="1">
      <c r="B5118" s="720"/>
      <c r="C5118" s="717"/>
      <c r="D5118" s="717"/>
      <c r="E5118" s="710"/>
      <c r="F5118" s="718" t="s">
        <v>699</v>
      </c>
      <c r="G5118" s="718"/>
      <c r="H5118" s="718"/>
      <c r="I5118" s="729"/>
      <c r="J5118" s="714"/>
      <c r="K5118" s="714"/>
      <c r="L5118" s="736"/>
    </row>
    <row r="5119" spans="1:12" ht="9.1999999999999993" customHeight="1">
      <c r="B5119" s="720"/>
      <c r="C5119" s="717"/>
      <c r="D5119" s="717"/>
      <c r="E5119" s="710" t="s">
        <v>700</v>
      </c>
      <c r="F5119" s="710" t="s">
        <v>246</v>
      </c>
      <c r="G5119" s="710"/>
      <c r="H5119" s="710"/>
      <c r="I5119" s="729"/>
      <c r="J5119" s="728">
        <f>J5114-J5115</f>
        <v>3921.1160769230764</v>
      </c>
      <c r="K5119" s="728">
        <f>ROUND(J5119,-1)</f>
        <v>3920</v>
      </c>
      <c r="L5119" s="710"/>
    </row>
    <row r="5120" spans="1:12" ht="9.1999999999999993" customHeight="1">
      <c r="E5120" s="715"/>
      <c r="F5120" s="715"/>
      <c r="G5120" s="715"/>
      <c r="I5120" s="715" t="s">
        <v>701</v>
      </c>
      <c r="J5120" s="737"/>
    </row>
    <row r="5121" spans="1:12" ht="9.1999999999999993" customHeight="1">
      <c r="E5121" s="715"/>
      <c r="F5121" s="715"/>
      <c r="G5121" s="715"/>
      <c r="I5121" s="715"/>
      <c r="J5121" s="737"/>
    </row>
    <row r="5122" spans="1:12" ht="9.1999999999999993" customHeight="1">
      <c r="E5122" s="715"/>
      <c r="F5122" s="715"/>
      <c r="G5122" s="715"/>
      <c r="I5122" s="715"/>
      <c r="J5122" s="737"/>
    </row>
    <row r="5126" spans="1:12" ht="9.1999999999999993" customHeight="1">
      <c r="C5126" s="696"/>
      <c r="D5126" s="696"/>
      <c r="E5126" s="697" t="str">
        <f>$E$2</f>
        <v>THẺ LƯƠNG THÁNG 08/2019</v>
      </c>
      <c r="F5126" s="698"/>
      <c r="G5126" s="698"/>
      <c r="H5126" s="698"/>
    </row>
    <row r="5127" spans="1:12" ht="9.1999999999999993" customHeight="1">
      <c r="B5127" s="699" t="s">
        <v>644</v>
      </c>
      <c r="C5127" s="700" t="s">
        <v>628</v>
      </c>
      <c r="D5127" s="701"/>
      <c r="F5127" s="702" t="s">
        <v>645</v>
      </c>
      <c r="G5127" s="689" t="str">
        <f>VLOOKUP(C5127,'Luong VP'!$B$10:$AP$352,2,0)</f>
        <v xml:space="preserve"> Lê Hoàng Phúc </v>
      </c>
    </row>
    <row r="5128" spans="1:12" ht="9.1999999999999993" customHeight="1">
      <c r="B5128" s="699" t="s">
        <v>646</v>
      </c>
      <c r="C5128" s="689" t="str">
        <f>VLOOKUP(C5127,'Luong VP'!$B$10:$AP$352,3,0)</f>
        <v>NV Giao nhận/ Phụ xe</v>
      </c>
      <c r="F5128" s="702" t="s">
        <v>647</v>
      </c>
      <c r="G5128" s="689">
        <f>VLOOKUP(C5127,'Luong VP'!$B$10:$AP$352,5,0)</f>
        <v>2</v>
      </c>
    </row>
    <row r="5129" spans="1:12" ht="9.1999999999999993" customHeight="1">
      <c r="B5129" s="703"/>
      <c r="C5129" s="704"/>
      <c r="D5129" s="705"/>
      <c r="F5129" s="706" t="s">
        <v>648</v>
      </c>
      <c r="G5129" s="706"/>
      <c r="H5129" s="706"/>
      <c r="I5129" s="725"/>
      <c r="J5129" s="726"/>
    </row>
    <row r="5130" spans="1:12" ht="9.1999999999999993" customHeight="1">
      <c r="A5130" s="707" t="s">
        <v>216</v>
      </c>
      <c r="B5130" s="707" t="s">
        <v>649</v>
      </c>
      <c r="C5130" s="708" t="s">
        <v>650</v>
      </c>
      <c r="D5130" s="709"/>
      <c r="E5130" s="710" t="s">
        <v>216</v>
      </c>
      <c r="F5130" s="711" t="s">
        <v>649</v>
      </c>
      <c r="G5130" s="710"/>
      <c r="H5130" s="710" t="s">
        <v>651</v>
      </c>
      <c r="I5130" s="727" t="s">
        <v>652</v>
      </c>
      <c r="J5130" s="714"/>
      <c r="L5130" s="694" t="s">
        <v>653</v>
      </c>
    </row>
    <row r="5131" spans="1:12" ht="9.1999999999999993" customHeight="1">
      <c r="A5131" s="712">
        <v>1</v>
      </c>
      <c r="B5131" s="713" t="s">
        <v>654</v>
      </c>
      <c r="C5131" s="714">
        <f>VLOOKUP(C5127,'Luong VP'!$B$10:$AP$352,9,0)</f>
        <v>4730</v>
      </c>
      <c r="D5131" s="715"/>
      <c r="E5131" s="710" t="s">
        <v>655</v>
      </c>
      <c r="F5131" s="716" t="s">
        <v>656</v>
      </c>
      <c r="G5131" s="710"/>
      <c r="H5131" s="710"/>
      <c r="I5131" s="727"/>
      <c r="J5131" s="714">
        <f>VLOOKUP(C5127,'Luong VP'!$B$10:$AP$352,21,0)</f>
        <v>5166.5</v>
      </c>
    </row>
    <row r="5132" spans="1:12" ht="9.1999999999999993" customHeight="1">
      <c r="A5132" s="712">
        <v>2</v>
      </c>
      <c r="B5132" s="713" t="s">
        <v>658</v>
      </c>
      <c r="C5132" s="714"/>
      <c r="D5132" s="717"/>
      <c r="E5132" s="710">
        <v>1</v>
      </c>
      <c r="F5132" s="718" t="s">
        <v>659</v>
      </c>
      <c r="G5132" s="718"/>
      <c r="H5132" s="710" t="s">
        <v>660</v>
      </c>
      <c r="I5132" s="727">
        <f>VLOOKUP(C5127,'Luong VP'!$B$10:$AP$352,22,0)</f>
        <v>26</v>
      </c>
      <c r="J5132" s="728">
        <f>J5131/'Cham cong'!$AS$3*I5132</f>
        <v>5166.5</v>
      </c>
    </row>
    <row r="5133" spans="1:12" ht="9.1999999999999993" customHeight="1">
      <c r="A5133" s="712">
        <v>3</v>
      </c>
      <c r="B5133" s="713" t="s">
        <v>661</v>
      </c>
      <c r="C5133" s="714">
        <f>VLOOKUP(C5127,'Luong VP'!$B$10:$AP$352,10,0)</f>
        <v>0</v>
      </c>
      <c r="D5133" s="717"/>
      <c r="E5133" s="710">
        <v>2</v>
      </c>
      <c r="F5133" s="718" t="s">
        <v>662</v>
      </c>
      <c r="G5133" s="718"/>
      <c r="H5133" s="710" t="s">
        <v>660</v>
      </c>
      <c r="I5133" s="727">
        <f>VLOOKUP(C5127,'Luong VP'!$B$10:$AP$352,27,0)</f>
        <v>0</v>
      </c>
      <c r="J5133" s="728">
        <f>J5131/'Cham cong'!$AS$3*I5133*3</f>
        <v>0</v>
      </c>
    </row>
    <row r="5134" spans="1:12" ht="9.1999999999999993" customHeight="1">
      <c r="A5134" s="712">
        <v>4</v>
      </c>
      <c r="B5134" s="713" t="s">
        <v>666</v>
      </c>
      <c r="C5134" s="714">
        <f>VLOOKUP(C5127,'Luong VP'!$B$10:$AP$352,11,0)</f>
        <v>0</v>
      </c>
      <c r="D5134" s="717"/>
      <c r="E5134" s="710">
        <v>3</v>
      </c>
      <c r="F5134" s="718" t="s">
        <v>667</v>
      </c>
      <c r="G5134" s="718"/>
      <c r="H5134" s="710" t="s">
        <v>668</v>
      </c>
      <c r="I5134" s="727">
        <f>VLOOKUP(C5127,'Luong VP'!$B$10:$AP$352,26,0)</f>
        <v>0</v>
      </c>
      <c r="J5134" s="728">
        <f>J5131/'Cham cong'!$AS$3*I5134/8*1.5</f>
        <v>0</v>
      </c>
    </row>
    <row r="5135" spans="1:12" ht="9.1999999999999993" customHeight="1">
      <c r="A5135" s="712">
        <v>5</v>
      </c>
      <c r="B5135" s="713" t="s">
        <v>670</v>
      </c>
      <c r="C5135" s="714">
        <f>VLOOKUP(C5127,'Luong VP'!$B$10:$AP$352,12,0)</f>
        <v>236.5</v>
      </c>
      <c r="D5135" s="717"/>
      <c r="E5135" s="710">
        <v>4</v>
      </c>
      <c r="F5135" s="718" t="s">
        <v>671</v>
      </c>
      <c r="G5135" s="718"/>
      <c r="H5135" s="710" t="s">
        <v>668</v>
      </c>
      <c r="I5135" s="727">
        <f>VLOOKUP(C5127,'Luong VP'!$B$10:$AP$352,25,0)</f>
        <v>0</v>
      </c>
      <c r="J5135" s="728">
        <f>J5131/'Cham cong'!$AS$3*I5135/8*2</f>
        <v>0</v>
      </c>
    </row>
    <row r="5136" spans="1:12" ht="9.1999999999999993" customHeight="1">
      <c r="A5136" s="712">
        <v>6</v>
      </c>
      <c r="B5136" s="713" t="s">
        <v>673</v>
      </c>
      <c r="C5136" s="714">
        <f>VLOOKUP(C5127,'Luong VP'!$B$10:$AP$352,13,0)</f>
        <v>0</v>
      </c>
      <c r="D5136" s="717"/>
      <c r="E5136" s="710">
        <v>5</v>
      </c>
      <c r="F5136" s="718" t="s">
        <v>674</v>
      </c>
      <c r="G5136" s="718"/>
      <c r="H5136" s="710" t="s">
        <v>660</v>
      </c>
      <c r="I5136" s="727">
        <f>VLOOKUP(C5127,'Luong VP'!$B$10:$AP$352,23,0)</f>
        <v>0</v>
      </c>
      <c r="J5136" s="728">
        <f>C5131/'Cham cong'!$AS$3*I5136</f>
        <v>0</v>
      </c>
      <c r="L5136" s="694" t="str">
        <f>G5127</f>
        <v xml:space="preserve"> Lê Hoàng Phúc </v>
      </c>
    </row>
    <row r="5137" spans="1:12" ht="9.1999999999999993" customHeight="1">
      <c r="A5137" s="712">
        <v>7</v>
      </c>
      <c r="B5137" s="713" t="s">
        <v>676</v>
      </c>
      <c r="C5137" s="714"/>
      <c r="D5137" s="717"/>
      <c r="E5137" s="710">
        <v>6</v>
      </c>
      <c r="F5137" s="718" t="s">
        <v>677</v>
      </c>
      <c r="G5137" s="718"/>
      <c r="H5137" s="710" t="s">
        <v>660</v>
      </c>
      <c r="I5137" s="727">
        <f>VLOOKUP(C5127,'Luong VP'!$B$10:$AP$352,24,0)</f>
        <v>1</v>
      </c>
      <c r="J5137" s="714">
        <f>C5131/'Cham cong'!$AS$3*I5137</f>
        <v>181.92307692307693</v>
      </c>
    </row>
    <row r="5138" spans="1:12" ht="9.1999999999999993" customHeight="1">
      <c r="A5138" s="712">
        <v>8</v>
      </c>
      <c r="B5138" s="713" t="s">
        <v>679</v>
      </c>
      <c r="C5138" s="714">
        <f>VLOOKUP(C5127,'Luong VP'!$B$10:$AP$352,14,0)</f>
        <v>200</v>
      </c>
      <c r="D5138" s="717"/>
      <c r="E5138" s="710">
        <v>7</v>
      </c>
      <c r="F5138" s="718" t="s">
        <v>680</v>
      </c>
      <c r="G5138" s="718"/>
      <c r="H5138" s="718"/>
      <c r="I5138" s="729"/>
      <c r="J5138" s="714">
        <f>VLOOKUP(C5127,'Luong VP'!$B$10:$AP$352,28,0)</f>
        <v>60</v>
      </c>
    </row>
    <row r="5139" spans="1:12" ht="9.1999999999999993" customHeight="1">
      <c r="A5139" s="712">
        <v>9</v>
      </c>
      <c r="B5139" s="713" t="s">
        <v>683</v>
      </c>
      <c r="C5139" s="714">
        <f>VLOOKUP(C5127,'Luong VP'!$B$10:$AP$352,15,0)</f>
        <v>100</v>
      </c>
      <c r="D5139" s="717"/>
      <c r="E5139" s="710" t="s">
        <v>686</v>
      </c>
      <c r="F5139" s="716" t="s">
        <v>687</v>
      </c>
      <c r="G5139" s="719"/>
      <c r="H5139" s="719"/>
      <c r="I5139" s="729"/>
      <c r="J5139" s="730"/>
    </row>
    <row r="5140" spans="1:12" ht="9.1999999999999993" customHeight="1">
      <c r="A5140" s="712">
        <v>10</v>
      </c>
      <c r="B5140" s="713" t="s">
        <v>685</v>
      </c>
      <c r="C5140" s="714">
        <f>VLOOKUP(C5127,'Luong VP'!$B$10:$AP$352,16,0)</f>
        <v>0</v>
      </c>
      <c r="D5140" s="717"/>
      <c r="E5140" s="710">
        <v>1</v>
      </c>
      <c r="F5140" s="716" t="s">
        <v>689</v>
      </c>
      <c r="G5140" s="719"/>
      <c r="H5140" s="719"/>
      <c r="I5140" s="714">
        <f>VLOOKUP(C5127,'Luong VP'!$B$10:$AP$209,29,0)</f>
        <v>177144.91666666663</v>
      </c>
      <c r="J5140" s="714">
        <f>VLOOKUP(C5127,'Luong VP'!$B$10:$AP$352,30,0)</f>
        <v>2125.7389999999996</v>
      </c>
    </row>
    <row r="5141" spans="1:12" ht="9.1999999999999993" customHeight="1">
      <c r="A5141" s="712">
        <v>11</v>
      </c>
      <c r="B5141" s="713" t="s">
        <v>688</v>
      </c>
      <c r="C5141" s="714">
        <f>VLOOKUP(C5127,'Luong VP'!$B$10:$AP$352,17,0)</f>
        <v>0</v>
      </c>
      <c r="D5141" s="717"/>
      <c r="E5141" s="710">
        <v>2</v>
      </c>
      <c r="F5141" s="716" t="s">
        <v>702</v>
      </c>
      <c r="G5141" s="719"/>
      <c r="H5141" s="719"/>
      <c r="I5141" s="729"/>
      <c r="J5141" s="714">
        <f>VLOOKUP(C5127,'Luong VP'!$B$10:$AP$352,32,0)</f>
        <v>0</v>
      </c>
      <c r="K5141" s="731"/>
      <c r="L5141" s="715"/>
    </row>
    <row r="5142" spans="1:12" ht="9.1999999999999993" customHeight="1">
      <c r="A5142" s="712">
        <v>12</v>
      </c>
      <c r="B5142" s="713" t="s">
        <v>691</v>
      </c>
      <c r="C5142" s="714">
        <f>VLOOKUP(C5127,'Luong VP'!$B$10:$AP$352,18,0)</f>
        <v>0</v>
      </c>
      <c r="D5142" s="717"/>
      <c r="E5142" s="710">
        <v>3</v>
      </c>
      <c r="F5142" s="718" t="s">
        <v>238</v>
      </c>
      <c r="G5142" s="718"/>
      <c r="H5142" s="718"/>
      <c r="I5142" s="729"/>
      <c r="J5142" s="714">
        <f>VLOOKUP(C5127,'Luong VP'!$B$10:$AP$352,33,0)</f>
        <v>0</v>
      </c>
      <c r="K5142" s="731"/>
      <c r="L5142" s="715"/>
    </row>
    <row r="5143" spans="1:12" ht="9.1999999999999993" customHeight="1">
      <c r="A5143" s="712">
        <v>13</v>
      </c>
      <c r="B5143" s="713" t="s">
        <v>692</v>
      </c>
      <c r="C5143" s="714">
        <f>VLOOKUP(C5127,'Luong VP'!$B$10:$AP$352,19,0)</f>
        <v>0</v>
      </c>
      <c r="D5143" s="717"/>
      <c r="E5143" s="710">
        <v>4</v>
      </c>
      <c r="F5143" s="718" t="s">
        <v>239</v>
      </c>
      <c r="G5143" s="718"/>
      <c r="H5143" s="718"/>
      <c r="I5143" s="727"/>
      <c r="J5143" s="728">
        <f>VLOOKUP(C5127,'Luong VP'!$B$10:$AP$352,34,0)</f>
        <v>0</v>
      </c>
      <c r="K5143" s="732"/>
      <c r="L5143" s="715"/>
    </row>
    <row r="5144" spans="1:12" ht="9.1999999999999993" customHeight="1">
      <c r="A5144" s="712">
        <v>14</v>
      </c>
      <c r="B5144" s="713" t="s">
        <v>694</v>
      </c>
      <c r="C5144" s="714">
        <f>VLOOKUP(C5127,'Luong VP'!$B$10:$AP$352,20,0)</f>
        <v>0</v>
      </c>
      <c r="D5144" s="717"/>
      <c r="E5144" s="710">
        <v>5</v>
      </c>
      <c r="F5144" s="718" t="s">
        <v>695</v>
      </c>
      <c r="G5144" s="719"/>
      <c r="H5144" s="719"/>
      <c r="I5144" s="729"/>
      <c r="J5144" s="714">
        <f>VLOOKUP(C5127,'Luong VP'!$B$10:$AP$352,35,0)</f>
        <v>0</v>
      </c>
      <c r="K5144" s="732"/>
      <c r="L5144" s="715"/>
    </row>
    <row r="5145" spans="1:12" ht="9.1999999999999993" customHeight="1">
      <c r="A5145" s="712"/>
      <c r="B5145" s="707" t="s">
        <v>656</v>
      </c>
      <c r="C5145" s="714">
        <f>SUM(C5131:C5144)</f>
        <v>5266.5</v>
      </c>
      <c r="D5145" s="717"/>
      <c r="E5145" s="710">
        <v>6</v>
      </c>
      <c r="F5145" s="716" t="s">
        <v>693</v>
      </c>
      <c r="G5145" s="719"/>
      <c r="H5145" s="719"/>
      <c r="I5145" s="729"/>
      <c r="J5145" s="714">
        <f>VLOOKUP(C5127,'Luong VP'!$B$10:$AP$352,40,0)</f>
        <v>0</v>
      </c>
      <c r="K5145" s="731"/>
      <c r="L5145" s="715"/>
    </row>
    <row r="5146" spans="1:12" ht="9.1999999999999993" customHeight="1">
      <c r="B5146" s="720"/>
      <c r="C5146" s="717"/>
      <c r="D5146" s="717"/>
      <c r="E5146" s="710"/>
      <c r="F5146" s="716" t="s">
        <v>241</v>
      </c>
      <c r="G5146" s="719"/>
      <c r="H5146" s="719"/>
      <c r="I5146" s="729"/>
      <c r="J5146" s="730">
        <f>SUM(J5132:J5145)+C5139</f>
        <v>7634.1620769230767</v>
      </c>
      <c r="K5146" s="732"/>
      <c r="L5146" s="715"/>
    </row>
    <row r="5147" spans="1:12" ht="9.1999999999999993" customHeight="1">
      <c r="B5147" s="720"/>
      <c r="C5147" s="717"/>
      <c r="D5147" s="717"/>
      <c r="E5147" s="710" t="s">
        <v>696</v>
      </c>
      <c r="F5147" s="711" t="s">
        <v>697</v>
      </c>
      <c r="G5147" s="710"/>
      <c r="H5147" s="710"/>
      <c r="I5147" s="729"/>
      <c r="J5147" s="730">
        <f>SUM(J5148:J5150)</f>
        <v>4480.585</v>
      </c>
      <c r="K5147" s="734"/>
      <c r="L5147" s="735"/>
    </row>
    <row r="5148" spans="1:12" ht="9.1999999999999993" customHeight="1">
      <c r="B5148" s="720"/>
      <c r="C5148" s="717"/>
      <c r="D5148" s="717"/>
      <c r="E5148" s="710">
        <v>1</v>
      </c>
      <c r="F5148" s="718" t="s">
        <v>698</v>
      </c>
      <c r="G5148" s="718"/>
      <c r="H5148" s="718"/>
      <c r="I5148" s="733"/>
      <c r="J5148" s="714">
        <f>VLOOKUP(C5127,'Luong VP'!$B$10:$AP$352,37,0)</f>
        <v>480.58499999999998</v>
      </c>
    </row>
    <row r="5149" spans="1:12" ht="9.1999999999999993" customHeight="1">
      <c r="B5149" s="720"/>
      <c r="C5149" s="717"/>
      <c r="D5149" s="717"/>
      <c r="E5149" s="710">
        <v>2</v>
      </c>
      <c r="F5149" s="718" t="s">
        <v>244</v>
      </c>
      <c r="G5149" s="718"/>
      <c r="H5149" s="718"/>
      <c r="I5149" s="729"/>
      <c r="J5149" s="714">
        <f>VLOOKUP(C5127,'Luong VP'!$B$10:$AP$352,39,0)</f>
        <v>4000</v>
      </c>
    </row>
    <row r="5150" spans="1:12" ht="9.1999999999999993" customHeight="1">
      <c r="B5150" s="720"/>
      <c r="C5150" s="717"/>
      <c r="D5150" s="717"/>
      <c r="E5150" s="710"/>
      <c r="F5150" s="718" t="s">
        <v>699</v>
      </c>
      <c r="G5150" s="718"/>
      <c r="H5150" s="718"/>
      <c r="I5150" s="729"/>
      <c r="J5150" s="714"/>
      <c r="K5150" s="714"/>
      <c r="L5150" s="736"/>
    </row>
    <row r="5151" spans="1:12" ht="9.1999999999999993" customHeight="1">
      <c r="B5151" s="720"/>
      <c r="C5151" s="717"/>
      <c r="D5151" s="717"/>
      <c r="E5151" s="710" t="s">
        <v>700</v>
      </c>
      <c r="F5151" s="710" t="s">
        <v>246</v>
      </c>
      <c r="G5151" s="710"/>
      <c r="H5151" s="710"/>
      <c r="I5151" s="729"/>
      <c r="J5151" s="728">
        <f>J5146-J5147</f>
        <v>3153.5770769230767</v>
      </c>
      <c r="K5151" s="728">
        <f>ROUND(J5151,-1)</f>
        <v>3150</v>
      </c>
      <c r="L5151" s="710"/>
    </row>
    <row r="5152" spans="1:12" ht="9.1999999999999993" customHeight="1">
      <c r="E5152" s="715"/>
      <c r="F5152" s="715"/>
      <c r="G5152" s="715"/>
      <c r="I5152" s="715" t="s">
        <v>701</v>
      </c>
      <c r="J5152" s="737"/>
    </row>
    <row r="5156" spans="1:12" ht="9.1999999999999993" customHeight="1">
      <c r="C5156" s="696"/>
      <c r="D5156" s="696"/>
      <c r="E5156" s="697" t="str">
        <f>$E$2</f>
        <v>THẺ LƯƠNG THÁNG 08/2019</v>
      </c>
      <c r="F5156" s="698"/>
      <c r="G5156" s="698"/>
      <c r="H5156" s="698"/>
    </row>
    <row r="5157" spans="1:12" ht="9.1999999999999993" customHeight="1">
      <c r="B5157" s="699" t="s">
        <v>644</v>
      </c>
      <c r="C5157" s="700" t="s">
        <v>632</v>
      </c>
      <c r="D5157" s="701"/>
      <c r="F5157" s="702" t="s">
        <v>645</v>
      </c>
      <c r="G5157" s="689" t="str">
        <f>VLOOKUP(C5157,'Luong VP'!$B$10:$AP$352,2,0)</f>
        <v>Lê Trần Hoàng Dương</v>
      </c>
    </row>
    <row r="5158" spans="1:12" ht="9.1999999999999993" customHeight="1">
      <c r="B5158" s="699" t="s">
        <v>646</v>
      </c>
      <c r="C5158" s="689" t="str">
        <f>VLOOKUP(C5157,'Luong VP'!$B$10:$AP$352,3,0)</f>
        <v>NV Giao nhận/ Phụ xe</v>
      </c>
      <c r="F5158" s="702" t="s">
        <v>647</v>
      </c>
      <c r="G5158" s="689">
        <f>VLOOKUP(C5157,'Luong VP'!$B$10:$AP$352,5,0)</f>
        <v>2</v>
      </c>
    </row>
    <row r="5159" spans="1:12" ht="9.1999999999999993" customHeight="1">
      <c r="B5159" s="703"/>
      <c r="C5159" s="704"/>
      <c r="D5159" s="705"/>
      <c r="F5159" s="706" t="s">
        <v>648</v>
      </c>
      <c r="G5159" s="706"/>
      <c r="H5159" s="706"/>
      <c r="I5159" s="725"/>
      <c r="J5159" s="726"/>
    </row>
    <row r="5160" spans="1:12" ht="9.1999999999999993" customHeight="1">
      <c r="A5160" s="707" t="s">
        <v>216</v>
      </c>
      <c r="B5160" s="707" t="s">
        <v>649</v>
      </c>
      <c r="C5160" s="708" t="s">
        <v>650</v>
      </c>
      <c r="D5160" s="709"/>
      <c r="E5160" s="710" t="s">
        <v>216</v>
      </c>
      <c r="F5160" s="711" t="s">
        <v>649</v>
      </c>
      <c r="G5160" s="710"/>
      <c r="H5160" s="710" t="s">
        <v>651</v>
      </c>
      <c r="I5160" s="727" t="s">
        <v>652</v>
      </c>
      <c r="J5160" s="714"/>
      <c r="L5160" s="694" t="s">
        <v>653</v>
      </c>
    </row>
    <row r="5161" spans="1:12" ht="9.1999999999999993" customHeight="1">
      <c r="A5161" s="712">
        <v>1</v>
      </c>
      <c r="B5161" s="713" t="s">
        <v>654</v>
      </c>
      <c r="C5161" s="714">
        <f>VLOOKUP(C5157,'Luong VP'!$B$10:$AP$352,9,0)</f>
        <v>4730</v>
      </c>
      <c r="D5161" s="715"/>
      <c r="E5161" s="710" t="s">
        <v>655</v>
      </c>
      <c r="F5161" s="716" t="s">
        <v>656</v>
      </c>
      <c r="G5161" s="710"/>
      <c r="H5161" s="710"/>
      <c r="I5161" s="727"/>
      <c r="J5161" s="714">
        <f>VLOOKUP(C5157,'Luong VP'!$B$10:$AP$352,21,0)</f>
        <v>4930</v>
      </c>
    </row>
    <row r="5162" spans="1:12" ht="9.1999999999999993" customHeight="1">
      <c r="A5162" s="712">
        <v>2</v>
      </c>
      <c r="B5162" s="713" t="s">
        <v>658</v>
      </c>
      <c r="C5162" s="714"/>
      <c r="D5162" s="717"/>
      <c r="E5162" s="710">
        <v>1</v>
      </c>
      <c r="F5162" s="718" t="s">
        <v>659</v>
      </c>
      <c r="G5162" s="718"/>
      <c r="H5162" s="710" t="s">
        <v>660</v>
      </c>
      <c r="I5162" s="727">
        <f>VLOOKUP(C5157,'Luong VP'!$B$10:$AP$352,22,0)</f>
        <v>26</v>
      </c>
      <c r="J5162" s="728">
        <f>J5161/'Cham cong'!$AS$3*I5162</f>
        <v>4930</v>
      </c>
    </row>
    <row r="5163" spans="1:12" ht="9.1999999999999993" customHeight="1">
      <c r="A5163" s="712">
        <v>3</v>
      </c>
      <c r="B5163" s="713" t="s">
        <v>661</v>
      </c>
      <c r="C5163" s="714">
        <f>VLOOKUP(C5157,'Luong VP'!$B$10:$AP$352,10,0)</f>
        <v>0</v>
      </c>
      <c r="D5163" s="717"/>
      <c r="E5163" s="710">
        <v>2</v>
      </c>
      <c r="F5163" s="718" t="s">
        <v>662</v>
      </c>
      <c r="G5163" s="718"/>
      <c r="H5163" s="710" t="s">
        <v>660</v>
      </c>
      <c r="I5163" s="727">
        <f>VLOOKUP(C5157,'Luong VP'!$B$10:$AP$352,27,0)</f>
        <v>0</v>
      </c>
      <c r="J5163" s="728">
        <f>J5161/'Cham cong'!$AS$3*I5163*3</f>
        <v>0</v>
      </c>
    </row>
    <row r="5164" spans="1:12" ht="9.1999999999999993" customHeight="1">
      <c r="A5164" s="712">
        <v>4</v>
      </c>
      <c r="B5164" s="713" t="s">
        <v>666</v>
      </c>
      <c r="C5164" s="714">
        <f>VLOOKUP(C5157,'Luong VP'!$B$10:$AP$352,11,0)</f>
        <v>0</v>
      </c>
      <c r="D5164" s="717"/>
      <c r="E5164" s="710">
        <v>3</v>
      </c>
      <c r="F5164" s="718" t="s">
        <v>667</v>
      </c>
      <c r="G5164" s="718"/>
      <c r="H5164" s="710" t="s">
        <v>668</v>
      </c>
      <c r="I5164" s="727">
        <f>VLOOKUP(C5157,'Luong VP'!$B$10:$AP$352,26,0)</f>
        <v>0</v>
      </c>
      <c r="J5164" s="728">
        <f>J5161/'Cham cong'!$AS$3*I5164/8*1.5</f>
        <v>0</v>
      </c>
    </row>
    <row r="5165" spans="1:12" ht="9.1999999999999993" customHeight="1">
      <c r="A5165" s="712">
        <v>5</v>
      </c>
      <c r="B5165" s="713" t="s">
        <v>670</v>
      </c>
      <c r="C5165" s="714">
        <f>VLOOKUP(C5157,'Luong VP'!$B$10:$AP$352,12,0)</f>
        <v>0</v>
      </c>
      <c r="D5165" s="717"/>
      <c r="E5165" s="710">
        <v>4</v>
      </c>
      <c r="F5165" s="718" t="s">
        <v>671</v>
      </c>
      <c r="G5165" s="718"/>
      <c r="H5165" s="710" t="s">
        <v>668</v>
      </c>
      <c r="I5165" s="727">
        <f>VLOOKUP(C5157,'Luong VP'!$B$10:$AP$352,25,0)</f>
        <v>0</v>
      </c>
      <c r="J5165" s="728">
        <f>J5161/'Cham cong'!$AS$3*I5165/8*2</f>
        <v>0</v>
      </c>
    </row>
    <row r="5166" spans="1:12" ht="9.1999999999999993" customHeight="1">
      <c r="A5166" s="712">
        <v>6</v>
      </c>
      <c r="B5166" s="713" t="s">
        <v>673</v>
      </c>
      <c r="C5166" s="714">
        <f>VLOOKUP(C5157,'Luong VP'!$B$10:$AP$352,13,0)</f>
        <v>0</v>
      </c>
      <c r="D5166" s="717"/>
      <c r="E5166" s="710">
        <v>5</v>
      </c>
      <c r="F5166" s="718" t="s">
        <v>674</v>
      </c>
      <c r="G5166" s="718"/>
      <c r="H5166" s="710" t="s">
        <v>660</v>
      </c>
      <c r="I5166" s="727">
        <f>VLOOKUP(C5157,'Luong VP'!$B$10:$AP$352,23,0)</f>
        <v>0</v>
      </c>
      <c r="J5166" s="728">
        <f>C5161/'Cham cong'!$AS$3*I5166</f>
        <v>0</v>
      </c>
      <c r="L5166" s="694" t="str">
        <f>G5157</f>
        <v>Lê Trần Hoàng Dương</v>
      </c>
    </row>
    <row r="5167" spans="1:12" ht="9.1999999999999993" customHeight="1">
      <c r="A5167" s="712">
        <v>7</v>
      </c>
      <c r="B5167" s="713" t="s">
        <v>676</v>
      </c>
      <c r="C5167" s="714"/>
      <c r="D5167" s="717"/>
      <c r="E5167" s="710">
        <v>6</v>
      </c>
      <c r="F5167" s="718" t="s">
        <v>677</v>
      </c>
      <c r="G5167" s="718"/>
      <c r="H5167" s="710" t="s">
        <v>660</v>
      </c>
      <c r="I5167" s="727">
        <f>VLOOKUP(C5157,'Luong VP'!$B$10:$AP$352,24,0)</f>
        <v>1</v>
      </c>
      <c r="J5167" s="714">
        <f>C5161/'Cham cong'!$AS$3*I5167</f>
        <v>181.92307692307693</v>
      </c>
    </row>
    <row r="5168" spans="1:12" ht="9.1999999999999993" customHeight="1">
      <c r="A5168" s="712">
        <v>8</v>
      </c>
      <c r="B5168" s="713" t="s">
        <v>679</v>
      </c>
      <c r="C5168" s="714">
        <f>VLOOKUP(C5157,'Luong VP'!$B$10:$AP$352,14,0)</f>
        <v>200</v>
      </c>
      <c r="D5168" s="717"/>
      <c r="E5168" s="710">
        <v>7</v>
      </c>
      <c r="F5168" s="718" t="s">
        <v>680</v>
      </c>
      <c r="G5168" s="718"/>
      <c r="H5168" s="718"/>
      <c r="I5168" s="729"/>
      <c r="J5168" s="714">
        <f>VLOOKUP(C5157,'Luong VP'!$B$10:$AP$352,28,0)</f>
        <v>360</v>
      </c>
    </row>
    <row r="5169" spans="1:12" ht="9.1999999999999993" customHeight="1">
      <c r="A5169" s="712">
        <v>9</v>
      </c>
      <c r="B5169" s="713" t="s">
        <v>683</v>
      </c>
      <c r="C5169" s="714">
        <f>VLOOKUP(C5157,'Luong VP'!$B$10:$AP$352,15,0)</f>
        <v>100</v>
      </c>
      <c r="D5169" s="717"/>
      <c r="E5169" s="710" t="s">
        <v>686</v>
      </c>
      <c r="F5169" s="716" t="s">
        <v>687</v>
      </c>
      <c r="G5169" s="719"/>
      <c r="H5169" s="719"/>
      <c r="I5169" s="729"/>
      <c r="J5169" s="730"/>
    </row>
    <row r="5170" spans="1:12" ht="9.1999999999999993" customHeight="1">
      <c r="A5170" s="712">
        <v>10</v>
      </c>
      <c r="B5170" s="713" t="s">
        <v>685</v>
      </c>
      <c r="C5170" s="714">
        <f>VLOOKUP(C5157,'Luong VP'!$B$10:$AP$352,16,0)</f>
        <v>0</v>
      </c>
      <c r="D5170" s="717"/>
      <c r="E5170" s="710">
        <v>1</v>
      </c>
      <c r="F5170" s="716" t="s">
        <v>689</v>
      </c>
      <c r="G5170" s="719"/>
      <c r="H5170" s="719"/>
      <c r="I5170" s="714">
        <v>0</v>
      </c>
      <c r="J5170" s="714">
        <f>VLOOKUP(C5157,'Luong VP'!$B$10:$AP$352,30,0)</f>
        <v>1687.9410000000005</v>
      </c>
    </row>
    <row r="5171" spans="1:12" ht="9.1999999999999993" customHeight="1">
      <c r="A5171" s="712">
        <v>11</v>
      </c>
      <c r="B5171" s="713" t="s">
        <v>688</v>
      </c>
      <c r="C5171" s="714">
        <f>VLOOKUP(C5157,'Luong VP'!$B$10:$AP$352,17,0)</f>
        <v>0</v>
      </c>
      <c r="D5171" s="717"/>
      <c r="E5171" s="710">
        <v>2</v>
      </c>
      <c r="F5171" s="716" t="s">
        <v>702</v>
      </c>
      <c r="G5171" s="719"/>
      <c r="H5171" s="719"/>
      <c r="I5171" s="729"/>
      <c r="J5171" s="714">
        <f>VLOOKUP(C5157,'Luong VP'!$B$10:$AP$352,32,0)</f>
        <v>0</v>
      </c>
      <c r="K5171" s="731"/>
      <c r="L5171" s="715"/>
    </row>
    <row r="5172" spans="1:12" ht="9.1999999999999993" customHeight="1">
      <c r="A5172" s="712">
        <v>12</v>
      </c>
      <c r="B5172" s="713" t="s">
        <v>691</v>
      </c>
      <c r="C5172" s="714">
        <f>VLOOKUP(C5157,'Luong VP'!$B$10:$AP$352,18,0)</f>
        <v>0</v>
      </c>
      <c r="D5172" s="717"/>
      <c r="E5172" s="710">
        <v>3</v>
      </c>
      <c r="F5172" s="718" t="s">
        <v>238</v>
      </c>
      <c r="G5172" s="718"/>
      <c r="H5172" s="718"/>
      <c r="I5172" s="729"/>
      <c r="J5172" s="714">
        <f>VLOOKUP(C5157,'Luong VP'!$B$10:$AP$352,33,0)</f>
        <v>0</v>
      </c>
      <c r="K5172" s="731"/>
      <c r="L5172" s="715"/>
    </row>
    <row r="5173" spans="1:12" ht="9.1999999999999993" customHeight="1">
      <c r="A5173" s="712">
        <v>13</v>
      </c>
      <c r="B5173" s="713" t="s">
        <v>692</v>
      </c>
      <c r="C5173" s="714">
        <f>VLOOKUP(C5157,'Luong VP'!$B$10:$AP$352,19,0)</f>
        <v>0</v>
      </c>
      <c r="D5173" s="717"/>
      <c r="E5173" s="710">
        <v>4</v>
      </c>
      <c r="F5173" s="718" t="s">
        <v>239</v>
      </c>
      <c r="G5173" s="718"/>
      <c r="H5173" s="718"/>
      <c r="I5173" s="727"/>
      <c r="J5173" s="728">
        <f>VLOOKUP(C5157,'Luong VP'!$B$10:$AP$352,34,0)</f>
        <v>0</v>
      </c>
      <c r="K5173" s="732"/>
      <c r="L5173" s="715"/>
    </row>
    <row r="5174" spans="1:12" ht="9.1999999999999993" customHeight="1">
      <c r="A5174" s="712">
        <v>14</v>
      </c>
      <c r="B5174" s="713" t="s">
        <v>694</v>
      </c>
      <c r="C5174" s="714">
        <f>VLOOKUP(C5157,'Luong VP'!$B$10:$AP$352,20,0)</f>
        <v>0</v>
      </c>
      <c r="D5174" s="717"/>
      <c r="E5174" s="710">
        <v>5</v>
      </c>
      <c r="F5174" s="718" t="s">
        <v>695</v>
      </c>
      <c r="G5174" s="719"/>
      <c r="H5174" s="719"/>
      <c r="I5174" s="729"/>
      <c r="J5174" s="714">
        <f>VLOOKUP(C5157,'Luong VP'!$B$10:$AP$352,35,0)</f>
        <v>0</v>
      </c>
      <c r="K5174" s="732"/>
      <c r="L5174" s="715"/>
    </row>
    <row r="5175" spans="1:12" ht="9.1999999999999993" customHeight="1">
      <c r="A5175" s="712"/>
      <c r="B5175" s="707" t="s">
        <v>656</v>
      </c>
      <c r="C5175" s="714">
        <f>SUM(C5161:C5174)</f>
        <v>5030</v>
      </c>
      <c r="D5175" s="717"/>
      <c r="E5175" s="710">
        <v>6</v>
      </c>
      <c r="F5175" s="716" t="s">
        <v>693</v>
      </c>
      <c r="G5175" s="719"/>
      <c r="H5175" s="719"/>
      <c r="I5175" s="729"/>
      <c r="J5175" s="714">
        <f>VLOOKUP(C5157,'Luong VP'!$B$10:$AP$352,40,0)</f>
        <v>0</v>
      </c>
      <c r="K5175" s="731"/>
      <c r="L5175" s="715"/>
    </row>
    <row r="5176" spans="1:12" ht="9.1999999999999993" customHeight="1">
      <c r="B5176" s="720"/>
      <c r="C5176" s="717"/>
      <c r="D5176" s="717"/>
      <c r="E5176" s="710"/>
      <c r="F5176" s="716" t="s">
        <v>241</v>
      </c>
      <c r="G5176" s="719"/>
      <c r="H5176" s="719"/>
      <c r="I5176" s="729"/>
      <c r="J5176" s="730">
        <f>SUM(J5162:J5175)+C5169</f>
        <v>7259.8640769230778</v>
      </c>
      <c r="K5176" s="732"/>
      <c r="L5176" s="715"/>
    </row>
    <row r="5177" spans="1:12" ht="9.1999999999999993" customHeight="1">
      <c r="B5177" s="720"/>
      <c r="C5177" s="717"/>
      <c r="D5177" s="717"/>
      <c r="E5177" s="710" t="s">
        <v>696</v>
      </c>
      <c r="F5177" s="711" t="s">
        <v>697</v>
      </c>
      <c r="G5177" s="710"/>
      <c r="H5177" s="710"/>
      <c r="I5177" s="729"/>
      <c r="J5177" s="730">
        <f>SUM(J5178:J5180)</f>
        <v>480.58499999999998</v>
      </c>
      <c r="K5177" s="734"/>
      <c r="L5177" s="735"/>
    </row>
    <row r="5178" spans="1:12" ht="9.1999999999999993" customHeight="1">
      <c r="B5178" s="720"/>
      <c r="C5178" s="717"/>
      <c r="D5178" s="717"/>
      <c r="E5178" s="710">
        <v>1</v>
      </c>
      <c r="F5178" s="718" t="s">
        <v>698</v>
      </c>
      <c r="G5178" s="718"/>
      <c r="H5178" s="718"/>
      <c r="I5178" s="733"/>
      <c r="J5178" s="714">
        <f>VLOOKUP(C5157,'Luong VP'!$B$10:$AP$352,37,0)</f>
        <v>480.58499999999998</v>
      </c>
    </row>
    <row r="5179" spans="1:12" ht="9.1999999999999993" customHeight="1">
      <c r="B5179" s="720"/>
      <c r="C5179" s="717"/>
      <c r="D5179" s="717"/>
      <c r="E5179" s="710">
        <v>2</v>
      </c>
      <c r="F5179" s="718" t="s">
        <v>244</v>
      </c>
      <c r="G5179" s="718"/>
      <c r="H5179" s="718"/>
      <c r="I5179" s="729"/>
      <c r="J5179" s="714">
        <f>VLOOKUP(C5157,'Luong VP'!$B$10:$AP$352,39,0)</f>
        <v>0</v>
      </c>
    </row>
    <row r="5180" spans="1:12" ht="9.1999999999999993" customHeight="1">
      <c r="B5180" s="720"/>
      <c r="C5180" s="717"/>
      <c r="D5180" s="717"/>
      <c r="E5180" s="710"/>
      <c r="F5180" s="718" t="s">
        <v>699</v>
      </c>
      <c r="G5180" s="718"/>
      <c r="H5180" s="718"/>
      <c r="I5180" s="729"/>
      <c r="J5180" s="714"/>
      <c r="K5180" s="714"/>
      <c r="L5180" s="736"/>
    </row>
    <row r="5181" spans="1:12" ht="9.1999999999999993" customHeight="1">
      <c r="B5181" s="720"/>
      <c r="C5181" s="717"/>
      <c r="D5181" s="717"/>
      <c r="E5181" s="710" t="s">
        <v>700</v>
      </c>
      <c r="F5181" s="710" t="s">
        <v>246</v>
      </c>
      <c r="G5181" s="710"/>
      <c r="H5181" s="710"/>
      <c r="I5181" s="729"/>
      <c r="J5181" s="728">
        <f>J5176-J5177</f>
        <v>6779.2790769230778</v>
      </c>
      <c r="K5181" s="728">
        <f>ROUND(J5181,-1)</f>
        <v>6780</v>
      </c>
      <c r="L5181" s="710"/>
    </row>
    <row r="5182" spans="1:12" ht="9.1999999999999993" customHeight="1">
      <c r="E5182" s="715"/>
      <c r="F5182" s="715"/>
      <c r="G5182" s="715"/>
      <c r="I5182" s="715" t="s">
        <v>701</v>
      </c>
      <c r="J5182" s="737"/>
    </row>
    <row r="5186" spans="1:12" ht="9.1999999999999993" customHeight="1">
      <c r="C5186" s="696"/>
      <c r="D5186" s="696"/>
      <c r="E5186" s="697" t="str">
        <f>$E$2</f>
        <v>THẺ LƯƠNG THÁNG 08/2019</v>
      </c>
      <c r="F5186" s="698"/>
      <c r="G5186" s="698"/>
      <c r="H5186" s="698"/>
    </row>
    <row r="5187" spans="1:12" ht="9.1999999999999993" customHeight="1">
      <c r="B5187" s="699" t="s">
        <v>644</v>
      </c>
      <c r="C5187" s="700" t="s">
        <v>630</v>
      </c>
      <c r="D5187" s="701"/>
      <c r="F5187" s="702" t="s">
        <v>645</v>
      </c>
      <c r="G5187" s="689" t="str">
        <f>VLOOKUP(C5187,'Luong VP'!$B$10:$AP$352,2,0)</f>
        <v>Lê Hoàng Sơn</v>
      </c>
    </row>
    <row r="5188" spans="1:12" ht="9.1999999999999993" customHeight="1">
      <c r="B5188" s="699" t="s">
        <v>646</v>
      </c>
      <c r="C5188" s="689" t="str">
        <f>VLOOKUP(C5187,'Luong VP'!$B$10:$AP$352,3,0)</f>
        <v>NV Giao nhận/ Phụ xe</v>
      </c>
      <c r="F5188" s="702" t="s">
        <v>647</v>
      </c>
      <c r="G5188" s="689">
        <f>VLOOKUP(C5187,'Luong VP'!$B$10:$AP$352,5,0)</f>
        <v>2</v>
      </c>
    </row>
    <row r="5189" spans="1:12" ht="9.1999999999999993" customHeight="1">
      <c r="B5189" s="703"/>
      <c r="C5189" s="704"/>
      <c r="D5189" s="705"/>
      <c r="F5189" s="706" t="s">
        <v>648</v>
      </c>
      <c r="G5189" s="706"/>
      <c r="H5189" s="706"/>
      <c r="I5189" s="725"/>
      <c r="J5189" s="726"/>
    </row>
    <row r="5190" spans="1:12" ht="9.1999999999999993" customHeight="1">
      <c r="A5190" s="707" t="s">
        <v>216</v>
      </c>
      <c r="B5190" s="707" t="s">
        <v>649</v>
      </c>
      <c r="C5190" s="708" t="s">
        <v>650</v>
      </c>
      <c r="D5190" s="709"/>
      <c r="E5190" s="710" t="s">
        <v>216</v>
      </c>
      <c r="F5190" s="711" t="s">
        <v>649</v>
      </c>
      <c r="G5190" s="710"/>
      <c r="H5190" s="710" t="s">
        <v>651</v>
      </c>
      <c r="I5190" s="727" t="s">
        <v>652</v>
      </c>
      <c r="J5190" s="714"/>
      <c r="L5190" s="694" t="s">
        <v>653</v>
      </c>
    </row>
    <row r="5191" spans="1:12" ht="9.1999999999999993" customHeight="1">
      <c r="A5191" s="712">
        <v>1</v>
      </c>
      <c r="B5191" s="713" t="s">
        <v>654</v>
      </c>
      <c r="C5191" s="714">
        <f>VLOOKUP(C5187,'Luong VP'!$B$10:$AP$352,9,0)</f>
        <v>4730</v>
      </c>
      <c r="D5191" s="715"/>
      <c r="E5191" s="710" t="s">
        <v>655</v>
      </c>
      <c r="F5191" s="716" t="s">
        <v>656</v>
      </c>
      <c r="G5191" s="710"/>
      <c r="H5191" s="710"/>
      <c r="I5191" s="727"/>
      <c r="J5191" s="714">
        <f>VLOOKUP(C5187,'Luong VP'!$B$10:$AP$352,21,0)</f>
        <v>4930</v>
      </c>
    </row>
    <row r="5192" spans="1:12" ht="9.1999999999999993" customHeight="1">
      <c r="A5192" s="712">
        <v>2</v>
      </c>
      <c r="B5192" s="713" t="s">
        <v>658</v>
      </c>
      <c r="C5192" s="714"/>
      <c r="D5192" s="717"/>
      <c r="E5192" s="710">
        <v>1</v>
      </c>
      <c r="F5192" s="718" t="s">
        <v>659</v>
      </c>
      <c r="G5192" s="718"/>
      <c r="H5192" s="710" t="s">
        <v>660</v>
      </c>
      <c r="I5192" s="727">
        <f>VLOOKUP(C5187,'Luong VP'!$B$10:$AP$352,22,0)</f>
        <v>26</v>
      </c>
      <c r="J5192" s="728">
        <f>J5191/'Cham cong'!$AS$3*I5192</f>
        <v>4930</v>
      </c>
    </row>
    <row r="5193" spans="1:12" ht="9.1999999999999993" customHeight="1">
      <c r="A5193" s="712">
        <v>3</v>
      </c>
      <c r="B5193" s="713" t="s">
        <v>661</v>
      </c>
      <c r="C5193" s="714">
        <f>VLOOKUP(C5187,'Luong VP'!$B$10:$AP$352,10,0)</f>
        <v>0</v>
      </c>
      <c r="D5193" s="717"/>
      <c r="E5193" s="710">
        <v>2</v>
      </c>
      <c r="F5193" s="718" t="s">
        <v>662</v>
      </c>
      <c r="G5193" s="718"/>
      <c r="H5193" s="710" t="s">
        <v>660</v>
      </c>
      <c r="I5193" s="727">
        <f>VLOOKUP(C5187,'Luong VP'!$B$10:$AP$352,27,0)</f>
        <v>0</v>
      </c>
      <c r="J5193" s="728">
        <f>J5191/'Cham cong'!$AS$3*I5193*3</f>
        <v>0</v>
      </c>
    </row>
    <row r="5194" spans="1:12" ht="9.1999999999999993" customHeight="1">
      <c r="A5194" s="712">
        <v>4</v>
      </c>
      <c r="B5194" s="713" t="s">
        <v>666</v>
      </c>
      <c r="C5194" s="714">
        <f>VLOOKUP(C5187,'Luong VP'!$B$10:$AP$352,11,0)</f>
        <v>0</v>
      </c>
      <c r="D5194" s="717"/>
      <c r="E5194" s="710">
        <v>3</v>
      </c>
      <c r="F5194" s="718" t="s">
        <v>667</v>
      </c>
      <c r="G5194" s="718"/>
      <c r="H5194" s="710" t="s">
        <v>668</v>
      </c>
      <c r="I5194" s="727">
        <f>VLOOKUP(C5187,'Luong VP'!$B$10:$AP$352,26,0)</f>
        <v>0</v>
      </c>
      <c r="J5194" s="728">
        <f>J5191/'Cham cong'!$AS$3*I5194/8*1.5</f>
        <v>0</v>
      </c>
    </row>
    <row r="5195" spans="1:12" ht="9.1999999999999993" customHeight="1">
      <c r="A5195" s="712">
        <v>5</v>
      </c>
      <c r="B5195" s="713" t="s">
        <v>670</v>
      </c>
      <c r="C5195" s="714">
        <f>VLOOKUP(C5187,'Luong VP'!$B$10:$AP$352,12,0)</f>
        <v>0</v>
      </c>
      <c r="D5195" s="717"/>
      <c r="E5195" s="710">
        <v>4</v>
      </c>
      <c r="F5195" s="718" t="s">
        <v>671</v>
      </c>
      <c r="G5195" s="718"/>
      <c r="H5195" s="710" t="s">
        <v>668</v>
      </c>
      <c r="I5195" s="727">
        <f>VLOOKUP(C5187,'Luong VP'!$B$10:$AP$352,25,0)</f>
        <v>0</v>
      </c>
      <c r="J5195" s="728">
        <f>J5191/'Cham cong'!$AS$3*I5195/8*2</f>
        <v>0</v>
      </c>
    </row>
    <row r="5196" spans="1:12" ht="9.1999999999999993" customHeight="1">
      <c r="A5196" s="712">
        <v>6</v>
      </c>
      <c r="B5196" s="713" t="s">
        <v>673</v>
      </c>
      <c r="C5196" s="714">
        <f>VLOOKUP(C5187,'Luong VP'!$B$10:$AP$352,13,0)</f>
        <v>0</v>
      </c>
      <c r="D5196" s="717"/>
      <c r="E5196" s="710">
        <v>5</v>
      </c>
      <c r="F5196" s="718" t="s">
        <v>674</v>
      </c>
      <c r="G5196" s="718"/>
      <c r="H5196" s="710" t="s">
        <v>660</v>
      </c>
      <c r="I5196" s="727">
        <f>VLOOKUP(C5187,'Luong VP'!$B$10:$AP$352,23,0)</f>
        <v>0</v>
      </c>
      <c r="J5196" s="728">
        <f>C5191/'Cham cong'!$AS$3*I5196</f>
        <v>0</v>
      </c>
      <c r="L5196" s="694" t="str">
        <f>G5187</f>
        <v>Lê Hoàng Sơn</v>
      </c>
    </row>
    <row r="5197" spans="1:12" ht="9.1999999999999993" customHeight="1">
      <c r="A5197" s="712">
        <v>7</v>
      </c>
      <c r="B5197" s="713" t="s">
        <v>676</v>
      </c>
      <c r="C5197" s="714"/>
      <c r="D5197" s="717"/>
      <c r="E5197" s="710">
        <v>6</v>
      </c>
      <c r="F5197" s="718" t="s">
        <v>677</v>
      </c>
      <c r="G5197" s="718"/>
      <c r="H5197" s="710" t="s">
        <v>660</v>
      </c>
      <c r="I5197" s="727">
        <f>VLOOKUP(C5187,'Luong VP'!$B$10:$AP$352,24,0)</f>
        <v>1</v>
      </c>
      <c r="J5197" s="714">
        <f>C5191/'Cham cong'!$AS$3*I5197</f>
        <v>181.92307692307693</v>
      </c>
    </row>
    <row r="5198" spans="1:12" ht="9.1999999999999993" customHeight="1">
      <c r="A5198" s="712">
        <v>8</v>
      </c>
      <c r="B5198" s="713" t="s">
        <v>679</v>
      </c>
      <c r="C5198" s="714">
        <f>VLOOKUP(C5187,'Luong VP'!$B$10:$AP$352,14,0)</f>
        <v>200</v>
      </c>
      <c r="D5198" s="717"/>
      <c r="E5198" s="710">
        <v>7</v>
      </c>
      <c r="F5198" s="718" t="s">
        <v>680</v>
      </c>
      <c r="G5198" s="718"/>
      <c r="H5198" s="718"/>
      <c r="I5198" s="729"/>
      <c r="J5198" s="714">
        <f>VLOOKUP(C5187,'Luong VP'!$B$10:$AP$352,28,0)</f>
        <v>480</v>
      </c>
    </row>
    <row r="5199" spans="1:12" ht="9.1999999999999993" customHeight="1">
      <c r="A5199" s="712">
        <v>9</v>
      </c>
      <c r="B5199" s="713" t="s">
        <v>683</v>
      </c>
      <c r="C5199" s="714">
        <f>VLOOKUP(C5187,'Luong VP'!$B$10:$AP$352,15,0)</f>
        <v>100</v>
      </c>
      <c r="D5199" s="717"/>
      <c r="E5199" s="710" t="s">
        <v>686</v>
      </c>
      <c r="F5199" s="716" t="s">
        <v>687</v>
      </c>
      <c r="G5199" s="719"/>
      <c r="H5199" s="719"/>
      <c r="I5199" s="729"/>
      <c r="J5199" s="730"/>
    </row>
    <row r="5200" spans="1:12" ht="9.1999999999999993" customHeight="1">
      <c r="A5200" s="712">
        <v>10</v>
      </c>
      <c r="B5200" s="713" t="s">
        <v>685</v>
      </c>
      <c r="C5200" s="714">
        <f>VLOOKUP(C5187,'Luong VP'!$B$10:$AP$352,16,0)</f>
        <v>0</v>
      </c>
      <c r="D5200" s="717"/>
      <c r="E5200" s="710">
        <v>1</v>
      </c>
      <c r="F5200" s="716" t="s">
        <v>689</v>
      </c>
      <c r="G5200" s="719"/>
      <c r="H5200" s="719"/>
      <c r="I5200" s="714">
        <v>0</v>
      </c>
      <c r="J5200" s="714">
        <f>VLOOKUP(C5187,'Luong VP'!$B$10:$AP$352,30,0)</f>
        <v>1093.9600000000003</v>
      </c>
    </row>
    <row r="5201" spans="1:12" ht="9.1999999999999993" customHeight="1">
      <c r="A5201" s="712">
        <v>11</v>
      </c>
      <c r="B5201" s="713" t="s">
        <v>688</v>
      </c>
      <c r="C5201" s="714">
        <f>VLOOKUP(C5187,'Luong VP'!$B$10:$AP$352,17,0)</f>
        <v>0</v>
      </c>
      <c r="D5201" s="717"/>
      <c r="E5201" s="710">
        <v>2</v>
      </c>
      <c r="F5201" s="716" t="s">
        <v>702</v>
      </c>
      <c r="G5201" s="719"/>
      <c r="H5201" s="719"/>
      <c r="I5201" s="729"/>
      <c r="J5201" s="714">
        <f>VLOOKUP(C5187,'Luong VP'!$B$10:$AP$352,32,0)</f>
        <v>0</v>
      </c>
      <c r="K5201" s="731"/>
      <c r="L5201" s="715"/>
    </row>
    <row r="5202" spans="1:12" ht="9.1999999999999993" customHeight="1">
      <c r="A5202" s="712">
        <v>12</v>
      </c>
      <c r="B5202" s="713" t="s">
        <v>691</v>
      </c>
      <c r="C5202" s="714">
        <f>VLOOKUP(C5187,'Luong VP'!$B$10:$AP$352,18,0)</f>
        <v>0</v>
      </c>
      <c r="D5202" s="717"/>
      <c r="E5202" s="710">
        <v>3</v>
      </c>
      <c r="F5202" s="718" t="s">
        <v>238</v>
      </c>
      <c r="G5202" s="718"/>
      <c r="H5202" s="718"/>
      <c r="I5202" s="729"/>
      <c r="J5202" s="714">
        <f>VLOOKUP(C5187,'Luong VP'!$B$10:$AP$352,33,0)</f>
        <v>0</v>
      </c>
      <c r="K5202" s="731"/>
      <c r="L5202" s="715"/>
    </row>
    <row r="5203" spans="1:12" ht="9.1999999999999993" customHeight="1">
      <c r="A5203" s="712">
        <v>13</v>
      </c>
      <c r="B5203" s="713" t="s">
        <v>692</v>
      </c>
      <c r="C5203" s="714">
        <f>VLOOKUP(C5187,'Luong VP'!$B$10:$AP$352,19,0)</f>
        <v>0</v>
      </c>
      <c r="D5203" s="717"/>
      <c r="E5203" s="710">
        <v>4</v>
      </c>
      <c r="F5203" s="718" t="s">
        <v>239</v>
      </c>
      <c r="G5203" s="718"/>
      <c r="H5203" s="718"/>
      <c r="I5203" s="727"/>
      <c r="J5203" s="728">
        <f>VLOOKUP(C5187,'Luong VP'!$B$10:$AP$352,34,0)</f>
        <v>0</v>
      </c>
      <c r="K5203" s="732"/>
      <c r="L5203" s="715"/>
    </row>
    <row r="5204" spans="1:12" ht="9.1999999999999993" customHeight="1">
      <c r="A5204" s="712">
        <v>14</v>
      </c>
      <c r="B5204" s="713" t="s">
        <v>694</v>
      </c>
      <c r="C5204" s="714">
        <f>VLOOKUP(C5187,'Luong VP'!$B$10:$AP$352,20,0)</f>
        <v>0</v>
      </c>
      <c r="D5204" s="717"/>
      <c r="E5204" s="710">
        <v>5</v>
      </c>
      <c r="F5204" s="718" t="s">
        <v>695</v>
      </c>
      <c r="G5204" s="719"/>
      <c r="H5204" s="719"/>
      <c r="I5204" s="729"/>
      <c r="J5204" s="714">
        <f>VLOOKUP(C5187,'Luong VP'!$B$10:$AP$352,35,0)</f>
        <v>0</v>
      </c>
      <c r="K5204" s="732"/>
      <c r="L5204" s="715"/>
    </row>
    <row r="5205" spans="1:12" ht="9.1999999999999993" customHeight="1">
      <c r="A5205" s="712"/>
      <c r="B5205" s="707" t="s">
        <v>656</v>
      </c>
      <c r="C5205" s="714">
        <f>SUM(C5191:C5204)</f>
        <v>5030</v>
      </c>
      <c r="D5205" s="717"/>
      <c r="E5205" s="710">
        <v>6</v>
      </c>
      <c r="F5205" s="716" t="s">
        <v>693</v>
      </c>
      <c r="G5205" s="719"/>
      <c r="H5205" s="719"/>
      <c r="I5205" s="729"/>
      <c r="J5205" s="714">
        <f>VLOOKUP(C5187,'Luong VP'!$B$10:$AP$352,40,0)</f>
        <v>0</v>
      </c>
      <c r="K5205" s="731"/>
      <c r="L5205" s="715"/>
    </row>
    <row r="5206" spans="1:12" ht="9.1999999999999993" customHeight="1">
      <c r="B5206" s="720"/>
      <c r="C5206" s="717"/>
      <c r="D5206" s="717"/>
      <c r="E5206" s="710"/>
      <c r="F5206" s="716" t="s">
        <v>241</v>
      </c>
      <c r="G5206" s="719"/>
      <c r="H5206" s="719"/>
      <c r="I5206" s="729"/>
      <c r="J5206" s="730">
        <f>SUM(J5192:J5205)+C5199</f>
        <v>6785.8830769230772</v>
      </c>
      <c r="K5206" s="732"/>
      <c r="L5206" s="715"/>
    </row>
    <row r="5207" spans="1:12" ht="9.1999999999999993" customHeight="1">
      <c r="B5207" s="720"/>
      <c r="C5207" s="717"/>
      <c r="D5207" s="717"/>
      <c r="E5207" s="710" t="s">
        <v>696</v>
      </c>
      <c r="F5207" s="711" t="s">
        <v>697</v>
      </c>
      <c r="G5207" s="710"/>
      <c r="H5207" s="710"/>
      <c r="I5207" s="729"/>
      <c r="J5207" s="730">
        <f>SUM(J5208:J5210)</f>
        <v>3000</v>
      </c>
      <c r="K5207" s="734"/>
      <c r="L5207" s="735"/>
    </row>
    <row r="5208" spans="1:12" ht="9.1999999999999993" customHeight="1">
      <c r="B5208" s="720"/>
      <c r="C5208" s="717"/>
      <c r="D5208" s="717"/>
      <c r="E5208" s="710">
        <v>1</v>
      </c>
      <c r="F5208" s="718" t="s">
        <v>698</v>
      </c>
      <c r="G5208" s="718"/>
      <c r="H5208" s="718"/>
      <c r="I5208" s="733"/>
      <c r="J5208" s="714">
        <f>VLOOKUP(C5187,'Luong VP'!$B$10:$AP$352,37,0)</f>
        <v>0</v>
      </c>
    </row>
    <row r="5209" spans="1:12" ht="9.1999999999999993" customHeight="1">
      <c r="B5209" s="720"/>
      <c r="C5209" s="717"/>
      <c r="D5209" s="717"/>
      <c r="E5209" s="710">
        <v>2</v>
      </c>
      <c r="F5209" s="718" t="s">
        <v>244</v>
      </c>
      <c r="G5209" s="718"/>
      <c r="H5209" s="718"/>
      <c r="I5209" s="729"/>
      <c r="J5209" s="714">
        <f>VLOOKUP(C5187,'Luong VP'!$B$10:$AP$352,39,0)</f>
        <v>3000</v>
      </c>
    </row>
    <row r="5210" spans="1:12" ht="9.1999999999999993" customHeight="1">
      <c r="B5210" s="720"/>
      <c r="C5210" s="717"/>
      <c r="D5210" s="717"/>
      <c r="E5210" s="710"/>
      <c r="F5210" s="718" t="s">
        <v>699</v>
      </c>
      <c r="G5210" s="718"/>
      <c r="H5210" s="718"/>
      <c r="I5210" s="729"/>
      <c r="J5210" s="714"/>
      <c r="K5210" s="714"/>
      <c r="L5210" s="736"/>
    </row>
    <row r="5211" spans="1:12" ht="9.1999999999999993" customHeight="1">
      <c r="B5211" s="720"/>
      <c r="C5211" s="717"/>
      <c r="D5211" s="717"/>
      <c r="E5211" s="710" t="s">
        <v>700</v>
      </c>
      <c r="F5211" s="710" t="s">
        <v>246</v>
      </c>
      <c r="G5211" s="710"/>
      <c r="H5211" s="710"/>
      <c r="I5211" s="729"/>
      <c r="J5211" s="728">
        <f>J5206-J5207</f>
        <v>3785.8830769230772</v>
      </c>
      <c r="K5211" s="728">
        <f>ROUND(J5211,-1)</f>
        <v>3790</v>
      </c>
      <c r="L5211" s="710"/>
    </row>
    <row r="5212" spans="1:12" ht="9.1999999999999993" customHeight="1">
      <c r="E5212" s="715"/>
      <c r="F5212" s="715"/>
      <c r="G5212" s="715"/>
      <c r="I5212" s="715" t="s">
        <v>701</v>
      </c>
      <c r="J5212" s="737"/>
    </row>
  </sheetData>
  <mergeCells count="14">
    <mergeCell ref="I395:J395"/>
    <mergeCell ref="G578:J578"/>
    <mergeCell ref="F2524:J2524"/>
    <mergeCell ref="I2525:J2525"/>
    <mergeCell ref="H2586:J2586"/>
    <mergeCell ref="H2916:J2916"/>
    <mergeCell ref="J4250:K4250"/>
    <mergeCell ref="F4375:J4375"/>
    <mergeCell ref="F4748:J4748"/>
    <mergeCell ref="H2616:J2616"/>
    <mergeCell ref="H2705:J2705"/>
    <mergeCell ref="H2824:J2824"/>
    <mergeCell ref="H2855:J2855"/>
    <mergeCell ref="H2886:J2886"/>
  </mergeCells>
  <dataValidations count="1">
    <dataValidation type="list" allowBlank="1" showInputMessage="1" showErrorMessage="1" sqref="C34 C65 C94 C125 C156 C185 C215 C246 C275 C306 C337 C369 C401 C432 C463 C494 C524 C554 C584 C614 C674 C705 C736 C768 C798 C828 C888 C918 C950 C981 C1011 C1042 C1073 C1135 C1165 C1197 C1226 C1255 C1286 C1317 C1348 C1470 C1501 C1534 C1564 C1595 C1626 C1656 C1716 C1747 C1777 C1807 C1869 C1899 C1929 C1959 C2019 C2049 C2079 C2139 C2169 C2199 C2259 C2289 C2319 C2349 C2379 C2409 C2439 C2469 C2500 C2531 C2562 C2592 C2622 C2651 C2681 C2711 C2740 C2770 C2800 C2831 C2862 C2892 C2924 C2954 C2984 C3014 C3044 C3075 C3105 C3136 C3166 C3196 C3226 C3256 C3286 C3317 C3348 C3379 C3439 C3469 C3499 C3529 C3560 C3620 C3650 C3680 C3712 C3742 C3773 C3803 C3834 C3864 C3894 C3923 C3953 C3982 C4011 C4042 C4073 C4103 C4133 C4163 C4194 C4225 C4256 C4287 C4318 C4350 C4381 C4413 C4443 C4474 C4506 C4538 C4569 C4599 C4629 C4660 C4691 C4723 C4754 C4786 C4817 C4848 C4879 C4911 C4943 C4974 C5004 C5035 C5065 C5095 C5127 C5157 C5187 C1410 C1104 C1838 C2229 C858 C1440 C2109 C3590 C644 C1379 C1686 C1989 C3409">
      <formula1>$B$10:$B$160</formula1>
    </dataValidation>
  </dataValidations>
  <pageMargins left="0.196527777777778" right="0.118055555555556" top="0" bottom="0" header="0.31458333333333299" footer="0.70833333333333304"/>
  <pageSetup paperSize="9" scale="95" fitToHeight="0" orientation="portrait" r:id="rId1"/>
  <headerFooter differentOddEven="1"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'Luong VP'!$B$9:$B$208</xm:f>
          </x14:formula1>
          <xm:sqref>C3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A222"/>
  <sheetViews>
    <sheetView tabSelected="1" zoomScaleNormal="100" workbookViewId="0">
      <pane xSplit="4" ySplit="6" topLeftCell="AM82" activePane="bottomRight" state="frozen"/>
      <selection pane="topRight"/>
      <selection pane="bottomLeft"/>
      <selection pane="bottomRight" activeCell="BM92" sqref="BM92"/>
    </sheetView>
  </sheetViews>
  <sheetFormatPr defaultColWidth="9.140625" defaultRowHeight="12.75"/>
  <cols>
    <col min="1" max="1" width="4.85546875" style="550" customWidth="1"/>
    <col min="2" max="2" width="8.28515625" style="551" customWidth="1"/>
    <col min="3" max="3" width="21.42578125" style="552" customWidth="1"/>
    <col min="4" max="4" width="15.5703125" style="553" customWidth="1"/>
    <col min="5" max="10" width="3.42578125" style="553" customWidth="1"/>
    <col min="11" max="11" width="3.42578125" style="554" customWidth="1"/>
    <col min="12" max="17" width="3.42578125" style="555" customWidth="1"/>
    <col min="18" max="18" width="3.42578125" style="556" customWidth="1"/>
    <col min="19" max="35" width="3.42578125" style="555" customWidth="1"/>
    <col min="36" max="39" width="6.28515625" style="557" customWidth="1"/>
    <col min="40" max="40" width="8.42578125" style="558" customWidth="1"/>
    <col min="41" max="41" width="3.28515625" style="553" customWidth="1"/>
    <col min="42" max="43" width="3.85546875" style="553" customWidth="1"/>
    <col min="44" max="44" width="3.28515625" style="553" customWidth="1"/>
    <col min="45" max="45" width="3.28515625" style="550" customWidth="1"/>
    <col min="46" max="71" width="3.28515625" style="553" customWidth="1"/>
    <col min="72" max="73" width="7" style="553" customWidth="1"/>
    <col min="74" max="74" width="3.28515625" style="558" customWidth="1"/>
    <col min="75" max="75" width="14.42578125" style="553" customWidth="1"/>
    <col min="76" max="76" width="14" style="553" customWidth="1"/>
    <col min="77" max="77" width="12.140625" style="553" customWidth="1"/>
    <col min="78" max="16384" width="9.140625" style="553"/>
  </cols>
  <sheetData>
    <row r="1" spans="1:78">
      <c r="A1" s="559" t="s">
        <v>703</v>
      </c>
      <c r="B1" s="560"/>
      <c r="C1" s="561"/>
      <c r="D1" s="562"/>
      <c r="E1" s="562"/>
      <c r="F1" s="562"/>
      <c r="G1" s="562"/>
      <c r="H1" s="562"/>
      <c r="I1" s="562"/>
      <c r="J1" s="562"/>
      <c r="K1" s="588"/>
      <c r="L1" s="589"/>
      <c r="M1" s="590"/>
      <c r="N1" s="589"/>
      <c r="O1" s="589"/>
      <c r="P1" s="589"/>
      <c r="R1" s="592"/>
      <c r="S1" s="589"/>
      <c r="T1" s="589"/>
      <c r="U1" s="589"/>
      <c r="V1" s="589"/>
      <c r="W1" s="589"/>
      <c r="X1" s="589"/>
      <c r="Y1" s="589"/>
      <c r="Z1" s="589"/>
      <c r="AA1" s="588" t="s">
        <v>704</v>
      </c>
      <c r="AB1" s="589"/>
      <c r="AC1" s="589"/>
      <c r="AD1" s="589"/>
      <c r="AE1" s="589"/>
      <c r="AF1" s="589"/>
      <c r="AG1" s="589"/>
      <c r="AH1" s="589"/>
      <c r="AI1" s="589"/>
      <c r="AJ1" s="595"/>
      <c r="AK1" s="596"/>
      <c r="AL1" s="595"/>
      <c r="AM1" s="595"/>
      <c r="AN1" s="597"/>
      <c r="AO1" s="610" t="s">
        <v>705</v>
      </c>
      <c r="AP1" s="611">
        <v>8</v>
      </c>
      <c r="AQ1" s="611">
        <v>9</v>
      </c>
      <c r="AR1" s="1609" t="s">
        <v>706</v>
      </c>
      <c r="AS1" s="550" t="s">
        <v>707</v>
      </c>
      <c r="AT1" s="553" t="s">
        <v>708</v>
      </c>
    </row>
    <row r="2" spans="1:78">
      <c r="A2" s="559"/>
      <c r="B2" s="560"/>
      <c r="C2" s="561"/>
      <c r="D2" s="562"/>
      <c r="E2" s="562"/>
      <c r="F2" s="562"/>
      <c r="G2" s="562"/>
      <c r="H2" s="562"/>
      <c r="I2" s="562"/>
      <c r="J2" s="562"/>
      <c r="K2" s="588"/>
      <c r="L2" s="589"/>
      <c r="M2" s="589"/>
      <c r="N2" s="589"/>
      <c r="O2" s="589"/>
      <c r="P2" s="589"/>
      <c r="Q2" s="588"/>
      <c r="R2" s="593" t="s">
        <v>709</v>
      </c>
      <c r="S2" s="1613"/>
      <c r="T2" s="1613"/>
      <c r="U2" s="1613"/>
      <c r="V2" s="1613"/>
      <c r="W2" s="594" t="s">
        <v>710</v>
      </c>
      <c r="X2" s="1614">
        <v>43733</v>
      </c>
      <c r="Y2" s="1614"/>
      <c r="Z2" s="1614"/>
      <c r="AA2" s="1614"/>
      <c r="AB2" s="1614"/>
      <c r="AC2" s="1614"/>
      <c r="AD2" s="1614"/>
      <c r="AE2" s="589"/>
      <c r="AF2" s="589"/>
      <c r="AG2" s="589"/>
      <c r="AH2" s="589"/>
      <c r="AI2" s="589"/>
      <c r="AJ2" s="595"/>
      <c r="AK2" s="595"/>
      <c r="AL2" s="595"/>
      <c r="AM2" s="595"/>
      <c r="AN2" s="597"/>
      <c r="AO2" s="610" t="s">
        <v>711</v>
      </c>
      <c r="AP2" s="1486">
        <v>2019</v>
      </c>
      <c r="AQ2" s="1486">
        <v>2019</v>
      </c>
      <c r="AR2" s="1609"/>
    </row>
    <row r="3" spans="1:78" ht="22.5">
      <c r="A3" s="559"/>
      <c r="B3" s="560"/>
      <c r="C3" s="561"/>
      <c r="D3" s="560"/>
      <c r="E3" s="560"/>
      <c r="F3" s="560"/>
      <c r="G3" s="560"/>
      <c r="H3" s="560"/>
      <c r="I3" s="560"/>
      <c r="J3" s="560"/>
      <c r="K3" s="591"/>
      <c r="L3" s="561"/>
      <c r="M3" s="561"/>
      <c r="N3" s="561"/>
      <c r="O3" s="561"/>
      <c r="P3" s="561"/>
      <c r="Q3" s="561"/>
      <c r="R3" s="561"/>
      <c r="S3" s="561"/>
      <c r="T3" s="561"/>
      <c r="U3" s="561"/>
      <c r="V3" s="561"/>
      <c r="W3" s="561"/>
      <c r="X3" s="561"/>
      <c r="Y3" s="561"/>
      <c r="Z3" s="561"/>
      <c r="AA3" s="561"/>
      <c r="AB3" s="561"/>
      <c r="AC3" s="561"/>
      <c r="AD3" s="561"/>
      <c r="AE3" s="561"/>
      <c r="AF3" s="561"/>
      <c r="AG3" s="561"/>
      <c r="AH3" s="561"/>
      <c r="AI3" s="561"/>
      <c r="AJ3" s="560"/>
      <c r="AK3" s="560"/>
      <c r="AL3" s="560"/>
      <c r="AM3" s="560"/>
      <c r="AN3" s="598"/>
      <c r="AO3" s="612" t="s">
        <v>712</v>
      </c>
      <c r="AP3" s="613">
        <f>DAY(DATE(AP2,AP1+1,0))</f>
        <v>31</v>
      </c>
      <c r="AQ3" s="613">
        <f>DAY(DATE(AQ2,AQ1+1,0))</f>
        <v>30</v>
      </c>
      <c r="AR3" s="614">
        <v>27</v>
      </c>
      <c r="AS3" s="615">
        <v>26</v>
      </c>
      <c r="AT3" s="614">
        <v>30</v>
      </c>
      <c r="AV3" s="616" t="s">
        <v>1325</v>
      </c>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30"/>
      <c r="BW3" s="631" t="s">
        <v>713</v>
      </c>
      <c r="BX3" s="631"/>
      <c r="BY3" s="631"/>
    </row>
    <row r="4" spans="1:78" s="543" customFormat="1" ht="18.75" customHeight="1">
      <c r="A4" s="1617" t="s">
        <v>216</v>
      </c>
      <c r="B4" s="1620" t="s">
        <v>217</v>
      </c>
      <c r="C4" s="1621" t="s">
        <v>714</v>
      </c>
      <c r="D4" s="1624" t="s">
        <v>219</v>
      </c>
      <c r="E4" s="563"/>
      <c r="F4" s="563"/>
      <c r="G4" s="563"/>
      <c r="H4" s="563"/>
      <c r="I4" s="563"/>
      <c r="J4" s="563"/>
      <c r="K4" s="1615" t="s">
        <v>715</v>
      </c>
      <c r="L4" s="1616"/>
      <c r="M4" s="1616"/>
      <c r="N4" s="1616"/>
      <c r="O4" s="1616"/>
      <c r="P4" s="1616"/>
      <c r="Q4" s="1616"/>
      <c r="R4" s="1616"/>
      <c r="S4" s="1616"/>
      <c r="T4" s="1616"/>
      <c r="U4" s="1616"/>
      <c r="V4" s="1616"/>
      <c r="W4" s="1616"/>
      <c r="X4" s="1616"/>
      <c r="Y4" s="1616"/>
      <c r="Z4" s="1616"/>
      <c r="AA4" s="1616"/>
      <c r="AB4" s="1616"/>
      <c r="AC4" s="1616"/>
      <c r="AD4" s="1616"/>
      <c r="AE4" s="1616"/>
      <c r="AF4" s="1616"/>
      <c r="AG4" s="1616"/>
      <c r="AH4" s="1616"/>
      <c r="AI4" s="1616"/>
      <c r="AJ4" s="1607" t="s">
        <v>716</v>
      </c>
      <c r="AK4" s="1608"/>
      <c r="AL4" s="1607" t="s">
        <v>717</v>
      </c>
      <c r="AM4" s="1608"/>
      <c r="AN4" s="1604" t="s">
        <v>718</v>
      </c>
      <c r="AO4" s="1610" t="s">
        <v>719</v>
      </c>
      <c r="AP4" s="1611"/>
      <c r="AQ4" s="1611"/>
      <c r="AR4" s="1611"/>
      <c r="AS4" s="1611"/>
      <c r="AT4" s="1611"/>
      <c r="AU4" s="1611"/>
      <c r="AV4" s="1611"/>
      <c r="AW4" s="1611"/>
      <c r="AX4" s="1611"/>
      <c r="AY4" s="1611"/>
      <c r="AZ4" s="1611"/>
      <c r="BA4" s="1611"/>
      <c r="BB4" s="1611"/>
      <c r="BC4" s="1611"/>
      <c r="BD4" s="1611"/>
      <c r="BE4" s="1611"/>
      <c r="BF4" s="1611"/>
      <c r="BG4" s="1611"/>
      <c r="BH4" s="1611"/>
      <c r="BI4" s="1611"/>
      <c r="BJ4" s="1611"/>
      <c r="BK4" s="1611"/>
      <c r="BL4" s="1611"/>
      <c r="BM4" s="1611"/>
      <c r="BN4" s="1611"/>
      <c r="BO4" s="1611"/>
      <c r="BP4" s="1611"/>
      <c r="BQ4" s="1611"/>
      <c r="BR4" s="1611"/>
      <c r="BS4" s="1612"/>
      <c r="BV4" s="632"/>
    </row>
    <row r="5" spans="1:78" s="543" customFormat="1" ht="18.75" customHeight="1">
      <c r="A5" s="1618"/>
      <c r="B5" s="1620"/>
      <c r="C5" s="1622"/>
      <c r="D5" s="1624"/>
      <c r="E5" s="564" t="str">
        <f>CHOOSE(WEEKDAY(DATE($AP$2,$AP$1,E$6),1),"CN","T2","T3","T4","T5","T6","T7")</f>
        <v>T2</v>
      </c>
      <c r="F5" s="564" t="str">
        <f t="shared" ref="F5:I5" si="0">CHOOSE(WEEKDAY(DATE($AP$2,$AP$1,F$6),1),"CN","T2","T3","T4","T5","T6","T7")</f>
        <v>T3</v>
      </c>
      <c r="G5" s="564" t="str">
        <f t="shared" si="0"/>
        <v>T4</v>
      </c>
      <c r="H5" s="564" t="str">
        <f t="shared" si="0"/>
        <v>T5</v>
      </c>
      <c r="I5" s="564" t="str">
        <f t="shared" si="0"/>
        <v>T6</v>
      </c>
      <c r="J5" s="564" t="str">
        <f>CHOOSE(WEEKDAY(DATE($AP$2,$AP$1,J$6),1),"CN","T2","T3","T4","T5","T6","T7")</f>
        <v>T7</v>
      </c>
      <c r="K5" s="564" t="str">
        <f>CHOOSE(WEEKDAY(DATE($AQ$2,$AQ$1,K$6),1),"CN","T2","T3","T4","T5","T6","T7")</f>
        <v>CN</v>
      </c>
      <c r="L5" s="564" t="s">
        <v>720</v>
      </c>
      <c r="M5" s="564" t="str">
        <f t="shared" ref="M5:AI5" si="1">CHOOSE(WEEKDAY(DATE($AQ$2,$AQ$1,M$6),1),"CN","T2","T3","T4","T5","T6","T7")</f>
        <v>T3</v>
      </c>
      <c r="N5" s="564" t="str">
        <f t="shared" si="1"/>
        <v>T4</v>
      </c>
      <c r="O5" s="564" t="str">
        <f t="shared" si="1"/>
        <v>T5</v>
      </c>
      <c r="P5" s="564" t="str">
        <f t="shared" si="1"/>
        <v>T6</v>
      </c>
      <c r="Q5" s="564" t="str">
        <f t="shared" si="1"/>
        <v>T7</v>
      </c>
      <c r="R5" s="564" t="str">
        <f t="shared" si="1"/>
        <v>CN</v>
      </c>
      <c r="S5" s="564" t="str">
        <f t="shared" si="1"/>
        <v>T2</v>
      </c>
      <c r="T5" s="564" t="str">
        <f t="shared" si="1"/>
        <v>T3</v>
      </c>
      <c r="U5" s="564" t="str">
        <f t="shared" si="1"/>
        <v>T4</v>
      </c>
      <c r="V5" s="564" t="str">
        <f t="shared" si="1"/>
        <v>T5</v>
      </c>
      <c r="W5" s="564" t="str">
        <f t="shared" si="1"/>
        <v>T6</v>
      </c>
      <c r="X5" s="564" t="str">
        <f t="shared" si="1"/>
        <v>T7</v>
      </c>
      <c r="Y5" s="564" t="str">
        <f t="shared" si="1"/>
        <v>CN</v>
      </c>
      <c r="Z5" s="564" t="str">
        <f t="shared" si="1"/>
        <v>T2</v>
      </c>
      <c r="AA5" s="564" t="str">
        <f t="shared" si="1"/>
        <v>T3</v>
      </c>
      <c r="AB5" s="564" t="str">
        <f t="shared" si="1"/>
        <v>T4</v>
      </c>
      <c r="AC5" s="564" t="str">
        <f t="shared" si="1"/>
        <v>T5</v>
      </c>
      <c r="AD5" s="564" t="str">
        <f t="shared" si="1"/>
        <v>T6</v>
      </c>
      <c r="AE5" s="564" t="str">
        <f t="shared" si="1"/>
        <v>T7</v>
      </c>
      <c r="AF5" s="564" t="str">
        <f t="shared" si="1"/>
        <v>CN</v>
      </c>
      <c r="AG5" s="564" t="str">
        <f t="shared" si="1"/>
        <v>T2</v>
      </c>
      <c r="AH5" s="564" t="str">
        <f t="shared" si="1"/>
        <v>T3</v>
      </c>
      <c r="AI5" s="564" t="str">
        <f t="shared" si="1"/>
        <v>T4</v>
      </c>
      <c r="AJ5" s="1603" t="s">
        <v>706</v>
      </c>
      <c r="AK5" s="1603" t="s">
        <v>722</v>
      </c>
      <c r="AL5" s="1603" t="s">
        <v>723</v>
      </c>
      <c r="AM5" s="1603" t="s">
        <v>722</v>
      </c>
      <c r="AN5" s="1605"/>
      <c r="AO5" s="564" t="str">
        <f t="shared" ref="AO5:AT5" si="2">CHOOSE(WEEKDAY(DATE($AP$2,$AP$1,AO$6),1),"CN","T2","T3","T4","T5","T6","T7")</f>
        <v>T2</v>
      </c>
      <c r="AP5" s="564" t="str">
        <f t="shared" si="2"/>
        <v>T3</v>
      </c>
      <c r="AQ5" s="564" t="str">
        <f t="shared" si="2"/>
        <v>T4</v>
      </c>
      <c r="AR5" s="564" t="str">
        <f t="shared" si="2"/>
        <v>T5</v>
      </c>
      <c r="AS5" s="564" t="str">
        <f t="shared" si="2"/>
        <v>T6</v>
      </c>
      <c r="AT5" s="564" t="str">
        <f t="shared" si="2"/>
        <v>T7</v>
      </c>
      <c r="AU5" s="564" t="str">
        <f>CHOOSE(WEEKDAY(DATE($AQ$2,$AQ$1,AU$6),1),"CN","T2","T3","T4","T5","T6","T7")</f>
        <v>CN</v>
      </c>
      <c r="AV5" s="564" t="str">
        <f t="shared" ref="AV5:BS5" si="3">CHOOSE(WEEKDAY(DATE($AQ$2,$AQ$1,AV$6),1),"CN","T2","T3","T4","T5","T6","T7")</f>
        <v>T2</v>
      </c>
      <c r="AW5" s="564" t="str">
        <f t="shared" si="3"/>
        <v>T3</v>
      </c>
      <c r="AX5" s="564" t="str">
        <f t="shared" si="3"/>
        <v>T4</v>
      </c>
      <c r="AY5" s="564" t="str">
        <f t="shared" si="3"/>
        <v>T5</v>
      </c>
      <c r="AZ5" s="564" t="str">
        <f t="shared" si="3"/>
        <v>T6</v>
      </c>
      <c r="BA5" s="564" t="str">
        <f t="shared" si="3"/>
        <v>T7</v>
      </c>
      <c r="BB5" s="564" t="str">
        <f t="shared" si="3"/>
        <v>CN</v>
      </c>
      <c r="BC5" s="564" t="str">
        <f t="shared" si="3"/>
        <v>T2</v>
      </c>
      <c r="BD5" s="564" t="str">
        <f t="shared" si="3"/>
        <v>T3</v>
      </c>
      <c r="BE5" s="564" t="str">
        <f t="shared" si="3"/>
        <v>T4</v>
      </c>
      <c r="BF5" s="564" t="str">
        <f t="shared" si="3"/>
        <v>T5</v>
      </c>
      <c r="BG5" s="564" t="str">
        <f t="shared" si="3"/>
        <v>T6</v>
      </c>
      <c r="BH5" s="564" t="str">
        <f t="shared" si="3"/>
        <v>T7</v>
      </c>
      <c r="BI5" s="564" t="str">
        <f t="shared" si="3"/>
        <v>CN</v>
      </c>
      <c r="BJ5" s="564" t="str">
        <f t="shared" si="3"/>
        <v>T2</v>
      </c>
      <c r="BK5" s="564" t="str">
        <f t="shared" si="3"/>
        <v>T3</v>
      </c>
      <c r="BL5" s="564" t="str">
        <f t="shared" si="3"/>
        <v>T4</v>
      </c>
      <c r="BM5" s="564" t="str">
        <f t="shared" si="3"/>
        <v>T5</v>
      </c>
      <c r="BN5" s="564" t="str">
        <f t="shared" si="3"/>
        <v>T6</v>
      </c>
      <c r="BO5" s="564" t="str">
        <f t="shared" si="3"/>
        <v>T7</v>
      </c>
      <c r="BP5" s="564" t="str">
        <f t="shared" si="3"/>
        <v>CN</v>
      </c>
      <c r="BQ5" s="564" t="str">
        <f t="shared" si="3"/>
        <v>T2</v>
      </c>
      <c r="BR5" s="564" t="str">
        <f t="shared" si="3"/>
        <v>T3</v>
      </c>
      <c r="BS5" s="564" t="str">
        <f t="shared" si="3"/>
        <v>T4</v>
      </c>
      <c r="BT5" s="1601" t="s">
        <v>724</v>
      </c>
      <c r="BU5" s="1602"/>
      <c r="BV5" s="632"/>
    </row>
    <row r="6" spans="1:78" s="543" customFormat="1" ht="25.5">
      <c r="A6" s="1619"/>
      <c r="B6" s="1620"/>
      <c r="C6" s="1623"/>
      <c r="D6" s="1624"/>
      <c r="E6" s="565">
        <v>26</v>
      </c>
      <c r="F6" s="565">
        <v>27</v>
      </c>
      <c r="G6" s="565">
        <v>28</v>
      </c>
      <c r="H6" s="565">
        <v>29</v>
      </c>
      <c r="I6" s="565">
        <v>30</v>
      </c>
      <c r="J6" s="565">
        <v>31</v>
      </c>
      <c r="K6" s="565">
        <v>1</v>
      </c>
      <c r="L6" s="565">
        <v>2</v>
      </c>
      <c r="M6" s="565">
        <v>3</v>
      </c>
      <c r="N6" s="565">
        <v>4</v>
      </c>
      <c r="O6" s="565">
        <v>5</v>
      </c>
      <c r="P6" s="565">
        <v>6</v>
      </c>
      <c r="Q6" s="565">
        <v>7</v>
      </c>
      <c r="R6" s="565">
        <v>8</v>
      </c>
      <c r="S6" s="565">
        <v>9</v>
      </c>
      <c r="T6" s="565">
        <v>10</v>
      </c>
      <c r="U6" s="565">
        <v>11</v>
      </c>
      <c r="V6" s="565">
        <v>12</v>
      </c>
      <c r="W6" s="565">
        <v>13</v>
      </c>
      <c r="X6" s="565">
        <v>14</v>
      </c>
      <c r="Y6" s="565">
        <v>15</v>
      </c>
      <c r="Z6" s="565">
        <v>16</v>
      </c>
      <c r="AA6" s="565">
        <v>17</v>
      </c>
      <c r="AB6" s="565">
        <v>18</v>
      </c>
      <c r="AC6" s="565">
        <v>19</v>
      </c>
      <c r="AD6" s="565">
        <v>20</v>
      </c>
      <c r="AE6" s="565">
        <v>21</v>
      </c>
      <c r="AF6" s="565">
        <v>22</v>
      </c>
      <c r="AG6" s="565">
        <v>23</v>
      </c>
      <c r="AH6" s="565">
        <v>24</v>
      </c>
      <c r="AI6" s="565">
        <v>25</v>
      </c>
      <c r="AJ6" s="1603"/>
      <c r="AK6" s="1603"/>
      <c r="AL6" s="1603"/>
      <c r="AM6" s="1603"/>
      <c r="AN6" s="1606"/>
      <c r="AO6" s="617">
        <v>26</v>
      </c>
      <c r="AP6" s="617">
        <v>27</v>
      </c>
      <c r="AQ6" s="617">
        <v>28</v>
      </c>
      <c r="AR6" s="617">
        <v>29</v>
      </c>
      <c r="AS6" s="617">
        <v>30</v>
      </c>
      <c r="AT6" s="617">
        <v>31</v>
      </c>
      <c r="AU6" s="564">
        <v>1</v>
      </c>
      <c r="AV6" s="564">
        <v>2</v>
      </c>
      <c r="AW6" s="564">
        <v>3</v>
      </c>
      <c r="AX6" s="564">
        <v>4</v>
      </c>
      <c r="AY6" s="564">
        <v>5</v>
      </c>
      <c r="AZ6" s="564">
        <v>6</v>
      </c>
      <c r="BA6" s="564">
        <v>7</v>
      </c>
      <c r="BB6" s="564">
        <v>8</v>
      </c>
      <c r="BC6" s="564">
        <v>9</v>
      </c>
      <c r="BD6" s="564">
        <v>10</v>
      </c>
      <c r="BE6" s="564">
        <v>11</v>
      </c>
      <c r="BF6" s="564">
        <v>12</v>
      </c>
      <c r="BG6" s="564">
        <v>13</v>
      </c>
      <c r="BH6" s="564">
        <v>14</v>
      </c>
      <c r="BI6" s="564">
        <v>15</v>
      </c>
      <c r="BJ6" s="564">
        <v>16</v>
      </c>
      <c r="BK6" s="564">
        <v>17</v>
      </c>
      <c r="BL6" s="564">
        <v>18</v>
      </c>
      <c r="BM6" s="564">
        <v>19</v>
      </c>
      <c r="BN6" s="564">
        <v>20</v>
      </c>
      <c r="BO6" s="564">
        <v>21</v>
      </c>
      <c r="BP6" s="564">
        <v>22</v>
      </c>
      <c r="BQ6" s="564">
        <v>23</v>
      </c>
      <c r="BR6" s="564">
        <v>24</v>
      </c>
      <c r="BS6" s="564">
        <v>25</v>
      </c>
      <c r="BT6" s="628" t="s">
        <v>725</v>
      </c>
      <c r="BU6" s="628" t="s">
        <v>721</v>
      </c>
      <c r="BV6" s="632"/>
      <c r="BW6" s="617" t="s">
        <v>726</v>
      </c>
      <c r="BX6" s="617" t="s">
        <v>727</v>
      </c>
      <c r="BY6" s="617" t="s">
        <v>728</v>
      </c>
    </row>
    <row r="7" spans="1:78" s="544" customFormat="1">
      <c r="A7" s="566"/>
      <c r="B7" s="567" t="s">
        <v>262</v>
      </c>
      <c r="C7" s="568"/>
      <c r="D7" s="568"/>
      <c r="E7" s="569"/>
      <c r="F7" s="569"/>
      <c r="G7" s="569"/>
      <c r="H7" s="569"/>
      <c r="I7" s="569"/>
      <c r="J7" s="569"/>
      <c r="K7" s="569"/>
      <c r="L7" s="569"/>
      <c r="M7" s="569"/>
      <c r="N7" s="569"/>
      <c r="O7" s="569"/>
      <c r="P7" s="569"/>
      <c r="Q7" s="569"/>
      <c r="R7" s="569"/>
      <c r="S7" s="569"/>
      <c r="T7" s="569"/>
      <c r="U7" s="569"/>
      <c r="V7" s="569"/>
      <c r="W7" s="569"/>
      <c r="X7" s="569"/>
      <c r="Y7" s="569"/>
      <c r="Z7" s="569"/>
      <c r="AA7" s="569"/>
      <c r="AB7" s="569"/>
      <c r="AC7" s="569"/>
      <c r="AD7" s="569"/>
      <c r="AE7" s="569"/>
      <c r="AF7" s="569"/>
      <c r="AG7" s="569"/>
      <c r="AH7" s="569"/>
      <c r="AI7" s="569"/>
      <c r="AJ7" s="599"/>
      <c r="AK7" s="599"/>
      <c r="AL7" s="599"/>
      <c r="AM7" s="600"/>
      <c r="AN7" s="601"/>
      <c r="AO7" s="618"/>
      <c r="AP7" s="618"/>
      <c r="AQ7" s="618"/>
      <c r="AR7" s="618"/>
      <c r="AS7" s="618"/>
      <c r="AT7" s="618"/>
      <c r="AU7" s="618"/>
      <c r="AV7" s="618"/>
      <c r="AW7" s="618"/>
      <c r="AX7" s="618"/>
      <c r="AY7" s="618"/>
      <c r="AZ7" s="618"/>
      <c r="BA7" s="618"/>
      <c r="BB7" s="618"/>
      <c r="BC7" s="618"/>
      <c r="BD7" s="618"/>
      <c r="BE7" s="618"/>
      <c r="BF7" s="618"/>
      <c r="BG7" s="618"/>
      <c r="BH7" s="618"/>
      <c r="BI7" s="618"/>
      <c r="BJ7" s="618"/>
      <c r="BK7" s="618"/>
      <c r="BL7" s="618"/>
      <c r="BM7" s="618"/>
      <c r="BN7" s="618"/>
      <c r="BO7" s="618"/>
      <c r="BP7" s="618"/>
      <c r="BQ7" s="629"/>
      <c r="BR7" s="629"/>
      <c r="BS7" s="629"/>
      <c r="BT7" s="599"/>
      <c r="BU7" s="599"/>
      <c r="BV7" s="633"/>
      <c r="BW7" s="634"/>
      <c r="BX7" s="634"/>
      <c r="BY7" s="634"/>
    </row>
    <row r="8" spans="1:78" s="544" customFormat="1">
      <c r="A8" s="570"/>
      <c r="B8" s="109"/>
      <c r="C8" s="95" t="s">
        <v>263</v>
      </c>
      <c r="D8" s="96"/>
      <c r="E8" s="571"/>
      <c r="F8" s="571"/>
      <c r="G8" s="571"/>
      <c r="H8" s="571"/>
      <c r="I8" s="571"/>
      <c r="J8" s="571"/>
      <c r="K8" s="571"/>
      <c r="L8" s="571"/>
      <c r="M8" s="571"/>
      <c r="N8" s="571"/>
      <c r="O8" s="571"/>
      <c r="P8" s="571"/>
      <c r="Q8" s="571"/>
      <c r="R8" s="571"/>
      <c r="S8" s="571"/>
      <c r="T8" s="571"/>
      <c r="U8" s="571"/>
      <c r="V8" s="571"/>
      <c r="W8" s="571"/>
      <c r="X8" s="571"/>
      <c r="Y8" s="571"/>
      <c r="Z8" s="571"/>
      <c r="AA8" s="571"/>
      <c r="AB8" s="571"/>
      <c r="AC8" s="571"/>
      <c r="AD8" s="571"/>
      <c r="AE8" s="571"/>
      <c r="AF8" s="571"/>
      <c r="AG8" s="571"/>
      <c r="AH8" s="571"/>
      <c r="AI8" s="571"/>
      <c r="AJ8" s="602"/>
      <c r="AK8" s="603"/>
      <c r="AL8" s="603"/>
      <c r="AM8" s="602"/>
      <c r="AN8" s="601"/>
      <c r="AO8" s="619"/>
      <c r="AP8" s="620"/>
      <c r="AQ8" s="620"/>
      <c r="AR8" s="620"/>
      <c r="AS8" s="620"/>
      <c r="AT8" s="620"/>
      <c r="AU8" s="620"/>
      <c r="AV8" s="620"/>
      <c r="AW8" s="620"/>
      <c r="AX8" s="620"/>
      <c r="AY8" s="620"/>
      <c r="AZ8" s="620"/>
      <c r="BA8" s="620"/>
      <c r="BB8" s="620"/>
      <c r="BC8" s="620"/>
      <c r="BD8" s="620"/>
      <c r="BE8" s="620"/>
      <c r="BF8" s="620"/>
      <c r="BG8" s="620"/>
      <c r="BH8" s="620"/>
      <c r="BI8" s="620"/>
      <c r="BJ8" s="620"/>
      <c r="BK8" s="620"/>
      <c r="BL8" s="620"/>
      <c r="BM8" s="620"/>
      <c r="BN8" s="620"/>
      <c r="BO8" s="620"/>
      <c r="BP8" s="620"/>
      <c r="BQ8" s="620"/>
      <c r="BR8" s="620"/>
      <c r="BS8" s="620"/>
      <c r="BT8" s="603"/>
      <c r="BU8" s="603"/>
      <c r="BV8" s="633"/>
      <c r="BW8" s="635"/>
      <c r="BX8" s="635"/>
      <c r="BY8" s="635"/>
    </row>
    <row r="9" spans="1:78" s="545" customFormat="1">
      <c r="A9" s="572">
        <v>1</v>
      </c>
      <c r="B9" s="98" t="s">
        <v>264</v>
      </c>
      <c r="C9" s="573" t="str">
        <f>VLOOKUP(B9,'Luong VP'!$B$10:$D$250,2,0)</f>
        <v xml:space="preserve"> Ngô Pa Ri </v>
      </c>
      <c r="D9" s="574" t="str">
        <f>VLOOKUP(B9,'Luong VP'!$B$10:$D$250,3,0)</f>
        <v>CHỦ TỊCH</v>
      </c>
      <c r="E9" s="575">
        <v>1</v>
      </c>
      <c r="F9" s="575">
        <v>1</v>
      </c>
      <c r="G9" s="575">
        <v>1</v>
      </c>
      <c r="H9" s="575">
        <v>1</v>
      </c>
      <c r="I9" s="575">
        <v>1</v>
      </c>
      <c r="J9" s="575">
        <v>1</v>
      </c>
      <c r="K9" s="575"/>
      <c r="L9" s="1524" t="s">
        <v>720</v>
      </c>
      <c r="M9" s="575">
        <v>1</v>
      </c>
      <c r="N9" s="575">
        <v>1</v>
      </c>
      <c r="O9" s="575">
        <v>1</v>
      </c>
      <c r="P9" s="575">
        <v>1</v>
      </c>
      <c r="Q9" s="575">
        <v>1</v>
      </c>
      <c r="R9" s="575"/>
      <c r="S9" s="575">
        <v>1</v>
      </c>
      <c r="T9" s="575">
        <v>1</v>
      </c>
      <c r="U9" s="575">
        <v>1</v>
      </c>
      <c r="V9" s="575">
        <v>1</v>
      </c>
      <c r="W9" s="575">
        <v>1</v>
      </c>
      <c r="X9" s="575">
        <v>1</v>
      </c>
      <c r="Y9" s="575"/>
      <c r="Z9" s="575">
        <v>1</v>
      </c>
      <c r="AA9" s="575">
        <v>1</v>
      </c>
      <c r="AB9" s="575">
        <v>1</v>
      </c>
      <c r="AC9" s="575">
        <v>1</v>
      </c>
      <c r="AD9" s="575">
        <v>1</v>
      </c>
      <c r="AE9" s="575">
        <v>1</v>
      </c>
      <c r="AF9" s="575"/>
      <c r="AG9" s="575">
        <v>1</v>
      </c>
      <c r="AH9" s="575">
        <v>1</v>
      </c>
      <c r="AI9" s="575">
        <v>1</v>
      </c>
      <c r="AJ9" s="604">
        <f t="shared" ref="AJ9:AJ12" si="4">SUM(E9:AI9)-AK9</f>
        <v>26</v>
      </c>
      <c r="AK9" s="604">
        <f>SUMIF($E$5:$AI$5,"LT",E9:AI9)</f>
        <v>0</v>
      </c>
      <c r="AL9" s="604">
        <f t="shared" ref="AL9:AL12" si="5">COUNTIF(E9:AI9,"P")</f>
        <v>0</v>
      </c>
      <c r="AM9" s="604">
        <f t="shared" ref="AM9:AM12" si="6">COUNTIF(E9:AI9,"LT")+MOD(AK9,1)</f>
        <v>1</v>
      </c>
      <c r="AN9" s="605"/>
      <c r="AO9" s="621"/>
      <c r="AP9" s="622"/>
      <c r="AQ9" s="622"/>
      <c r="AR9" s="622"/>
      <c r="AS9" s="622"/>
      <c r="AT9" s="622"/>
      <c r="AU9" s="622"/>
      <c r="AV9" s="622"/>
      <c r="AW9" s="622"/>
      <c r="AX9" s="622"/>
      <c r="AY9" s="622"/>
      <c r="AZ9" s="622"/>
      <c r="BA9" s="622"/>
      <c r="BB9" s="622"/>
      <c r="BC9" s="622"/>
      <c r="BD9" s="622"/>
      <c r="BE9" s="622"/>
      <c r="BF9" s="622"/>
      <c r="BG9" s="622"/>
      <c r="BH9" s="622"/>
      <c r="BI9" s="622"/>
      <c r="BJ9" s="622"/>
      <c r="BK9" s="622"/>
      <c r="BL9" s="622"/>
      <c r="BM9" s="622"/>
      <c r="BN9" s="622"/>
      <c r="BO9" s="622"/>
      <c r="BP9" s="622"/>
      <c r="BQ9" s="622"/>
      <c r="BR9" s="622"/>
      <c r="BS9" s="622"/>
      <c r="BT9" s="604">
        <f>SUM(AO9:BS9)-BU9</f>
        <v>0</v>
      </c>
      <c r="BU9" s="604">
        <f>SUMIF($AO$5:$BS$5,"CN",AO9:BS9)</f>
        <v>0</v>
      </c>
      <c r="BV9" s="636"/>
      <c r="BW9" s="637">
        <v>0</v>
      </c>
      <c r="BX9" s="637">
        <f>BW9</f>
        <v>0</v>
      </c>
      <c r="BY9" s="638">
        <v>0</v>
      </c>
    </row>
    <row r="10" spans="1:78" s="545" customFormat="1">
      <c r="A10" s="572">
        <v>2</v>
      </c>
      <c r="B10" s="91" t="s">
        <v>266</v>
      </c>
      <c r="C10" s="573" t="str">
        <f>VLOOKUP(B10,'Luong VP'!$B$10:$D$250,2,0)</f>
        <v xml:space="preserve"> Nguyễn Văn Thảo </v>
      </c>
      <c r="D10" s="574" t="str">
        <f>VLOOKUP(B10,'Luong VP'!$B$10:$D$250,3,0)</f>
        <v>TỔNG GIÁM ĐỐC</v>
      </c>
      <c r="E10" s="575">
        <v>1</v>
      </c>
      <c r="F10" s="575">
        <v>1</v>
      </c>
      <c r="G10" s="575">
        <v>1</v>
      </c>
      <c r="H10" s="575">
        <v>1</v>
      </c>
      <c r="I10" s="575">
        <v>1</v>
      </c>
      <c r="J10" s="575">
        <v>1</v>
      </c>
      <c r="K10" s="575"/>
      <c r="L10" s="1524" t="s">
        <v>720</v>
      </c>
      <c r="M10" s="575">
        <v>1</v>
      </c>
      <c r="N10" s="575">
        <v>1</v>
      </c>
      <c r="O10" s="575">
        <v>1</v>
      </c>
      <c r="P10" s="575">
        <v>1</v>
      </c>
      <c r="Q10" s="575">
        <v>1</v>
      </c>
      <c r="R10" s="575"/>
      <c r="S10" s="575">
        <v>1</v>
      </c>
      <c r="T10" s="575">
        <v>1</v>
      </c>
      <c r="U10" s="575">
        <v>1</v>
      </c>
      <c r="V10" s="575">
        <v>1</v>
      </c>
      <c r="W10" s="575">
        <v>1</v>
      </c>
      <c r="X10" s="575">
        <v>1</v>
      </c>
      <c r="Y10" s="575"/>
      <c r="Z10" s="575">
        <v>1</v>
      </c>
      <c r="AA10" s="575">
        <v>1</v>
      </c>
      <c r="AB10" s="575">
        <v>1</v>
      </c>
      <c r="AC10" s="575">
        <v>1</v>
      </c>
      <c r="AD10" s="575">
        <v>1</v>
      </c>
      <c r="AE10" s="575">
        <v>1</v>
      </c>
      <c r="AF10" s="575"/>
      <c r="AG10" s="575">
        <v>1</v>
      </c>
      <c r="AH10" s="575">
        <v>1</v>
      </c>
      <c r="AI10" s="575">
        <v>1</v>
      </c>
      <c r="AJ10" s="604">
        <f t="shared" ref="AJ10" si="7">SUM(E10:AI10)-AK10</f>
        <v>26</v>
      </c>
      <c r="AK10" s="604">
        <f>SUMIF($E$5:$AI$5,"LT",E10:AI10)</f>
        <v>0</v>
      </c>
      <c r="AL10" s="604">
        <f t="shared" ref="AL10" si="8">COUNTIF(E10:AI10,"P")</f>
        <v>0</v>
      </c>
      <c r="AM10" s="604">
        <f t="shared" ref="AM10" si="9">COUNTIF(E10:AI10,"LT")+MOD(AK10,1)</f>
        <v>1</v>
      </c>
      <c r="AN10" s="605"/>
      <c r="AO10" s="621"/>
      <c r="AP10" s="622"/>
      <c r="AQ10" s="622"/>
      <c r="AR10" s="622"/>
      <c r="AS10" s="622"/>
      <c r="AT10" s="622"/>
      <c r="AU10" s="622"/>
      <c r="AV10" s="622"/>
      <c r="AW10" s="622"/>
      <c r="AX10" s="622"/>
      <c r="AY10" s="622"/>
      <c r="AZ10" s="622"/>
      <c r="BA10" s="622"/>
      <c r="BB10" s="622"/>
      <c r="BC10" s="622"/>
      <c r="BD10" s="622"/>
      <c r="BE10" s="622"/>
      <c r="BF10" s="622"/>
      <c r="BG10" s="622"/>
      <c r="BH10" s="622"/>
      <c r="BI10" s="622"/>
      <c r="BJ10" s="622"/>
      <c r="BK10" s="622"/>
      <c r="BL10" s="622"/>
      <c r="BM10" s="622"/>
      <c r="BN10" s="622"/>
      <c r="BO10" s="622"/>
      <c r="BP10" s="622"/>
      <c r="BQ10" s="622"/>
      <c r="BR10" s="622"/>
      <c r="BS10" s="622"/>
      <c r="BT10" s="604">
        <f t="shared" ref="BT10:BT44" si="10">SUM(AO10:BS10)-BU10</f>
        <v>0</v>
      </c>
      <c r="BU10" s="604">
        <f t="shared" ref="BU10:BU44" si="11">SUMIF($AO$5:$BS$5,"CN",AO10:BS10)</f>
        <v>0</v>
      </c>
      <c r="BV10" s="636"/>
      <c r="BW10" s="637">
        <v>0</v>
      </c>
      <c r="BX10" s="637">
        <f>BW10</f>
        <v>0</v>
      </c>
      <c r="BY10" s="638">
        <v>0</v>
      </c>
    </row>
    <row r="11" spans="1:78" s="544" customFormat="1">
      <c r="A11" s="570"/>
      <c r="B11" s="109"/>
      <c r="C11" s="95" t="s">
        <v>268</v>
      </c>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606"/>
      <c r="AO11" s="571"/>
      <c r="AP11" s="623"/>
      <c r="AQ11" s="623"/>
      <c r="AR11" s="623"/>
      <c r="AS11" s="623"/>
      <c r="AT11" s="623"/>
      <c r="AU11" s="623"/>
      <c r="AV11" s="623"/>
      <c r="AW11" s="623"/>
      <c r="AX11" s="623"/>
      <c r="AY11" s="623"/>
      <c r="AZ11" s="623"/>
      <c r="BA11" s="623"/>
      <c r="BB11" s="623"/>
      <c r="BC11" s="623"/>
      <c r="BD11" s="623"/>
      <c r="BE11" s="623"/>
      <c r="BF11" s="623"/>
      <c r="BG11" s="623"/>
      <c r="BH11" s="623"/>
      <c r="BI11" s="623"/>
      <c r="BJ11" s="623"/>
      <c r="BK11" s="623"/>
      <c r="BL11" s="623"/>
      <c r="BM11" s="623"/>
      <c r="BN11" s="623"/>
      <c r="BO11" s="623"/>
      <c r="BP11" s="623"/>
      <c r="BQ11" s="623"/>
      <c r="BR11" s="623"/>
      <c r="BS11" s="623"/>
      <c r="BT11" s="571"/>
      <c r="BU11" s="571"/>
      <c r="BV11" s="571"/>
      <c r="BW11" s="571"/>
      <c r="BX11" s="571"/>
      <c r="BY11" s="571"/>
    </row>
    <row r="12" spans="1:78" s="544" customFormat="1">
      <c r="A12" s="572">
        <v>3</v>
      </c>
      <c r="B12" s="98" t="s">
        <v>269</v>
      </c>
      <c r="C12" s="573" t="str">
        <f>VLOOKUP(B12,'Luong VP'!$B$10:$D$250,2,0)</f>
        <v xml:space="preserve"> Nguyễn Đỗ Q. Phương </v>
      </c>
      <c r="D12" s="574" t="str">
        <f>VLOOKUP(B12,'Luong VP'!$B$10:$D$250,3,0)</f>
        <v>GIÁM ĐỐC HCNS</v>
      </c>
      <c r="E12" s="575">
        <v>1</v>
      </c>
      <c r="F12" s="575">
        <v>1</v>
      </c>
      <c r="G12" s="575">
        <v>1</v>
      </c>
      <c r="H12" s="575">
        <v>1</v>
      </c>
      <c r="I12" s="575">
        <v>1</v>
      </c>
      <c r="J12" s="575">
        <v>1</v>
      </c>
      <c r="K12" s="575"/>
      <c r="L12" s="1524" t="s">
        <v>720</v>
      </c>
      <c r="M12" s="575">
        <v>1</v>
      </c>
      <c r="N12" s="575">
        <v>1</v>
      </c>
      <c r="O12" s="575">
        <v>1</v>
      </c>
      <c r="P12" s="575">
        <v>1</v>
      </c>
      <c r="Q12" s="575">
        <v>1</v>
      </c>
      <c r="R12" s="575"/>
      <c r="S12" s="575">
        <v>1</v>
      </c>
      <c r="T12" s="575">
        <v>1</v>
      </c>
      <c r="U12" s="575">
        <v>1</v>
      </c>
      <c r="V12" s="575">
        <v>1</v>
      </c>
      <c r="W12" s="575">
        <v>1</v>
      </c>
      <c r="X12" s="575">
        <v>1</v>
      </c>
      <c r="Y12" s="575"/>
      <c r="Z12" s="575">
        <v>1</v>
      </c>
      <c r="AA12" s="575">
        <v>1</v>
      </c>
      <c r="AB12" s="575">
        <v>1</v>
      </c>
      <c r="AC12" s="575">
        <v>1</v>
      </c>
      <c r="AD12" s="575">
        <v>1</v>
      </c>
      <c r="AE12" s="575">
        <v>1</v>
      </c>
      <c r="AF12" s="575"/>
      <c r="AG12" s="575">
        <v>1</v>
      </c>
      <c r="AH12" s="575">
        <v>1</v>
      </c>
      <c r="AI12" s="575">
        <v>1</v>
      </c>
      <c r="AJ12" s="604">
        <f t="shared" si="4"/>
        <v>26</v>
      </c>
      <c r="AK12" s="604">
        <f>SUMIF($E$5:$AI$5,"LT",E12:AI12)</f>
        <v>0</v>
      </c>
      <c r="AL12" s="604">
        <f t="shared" si="5"/>
        <v>0</v>
      </c>
      <c r="AM12" s="604">
        <f t="shared" si="6"/>
        <v>1</v>
      </c>
      <c r="AN12" s="601"/>
      <c r="AO12" s="621"/>
      <c r="AP12" s="622"/>
      <c r="AQ12" s="622"/>
      <c r="AR12" s="622"/>
      <c r="AS12" s="622"/>
      <c r="AT12" s="622"/>
      <c r="AU12" s="622"/>
      <c r="AV12" s="622"/>
      <c r="AW12" s="622"/>
      <c r="AX12" s="622"/>
      <c r="AY12" s="622"/>
      <c r="AZ12" s="622"/>
      <c r="BA12" s="622"/>
      <c r="BB12" s="622"/>
      <c r="BC12" s="622"/>
      <c r="BD12" s="622"/>
      <c r="BE12" s="622"/>
      <c r="BF12" s="622"/>
      <c r="BG12" s="622"/>
      <c r="BH12" s="622"/>
      <c r="BI12" s="622"/>
      <c r="BJ12" s="622"/>
      <c r="BK12" s="622"/>
      <c r="BL12" s="622"/>
      <c r="BM12" s="622"/>
      <c r="BN12" s="622"/>
      <c r="BO12" s="622"/>
      <c r="BP12" s="622"/>
      <c r="BQ12" s="622"/>
      <c r="BR12" s="622"/>
      <c r="BS12" s="622"/>
      <c r="BT12" s="604">
        <f t="shared" si="10"/>
        <v>0</v>
      </c>
      <c r="BU12" s="604">
        <f t="shared" si="11"/>
        <v>0</v>
      </c>
      <c r="BV12" s="633"/>
      <c r="BW12" s="637">
        <v>0</v>
      </c>
      <c r="BX12" s="637">
        <f>BW12</f>
        <v>0</v>
      </c>
      <c r="BY12" s="638">
        <v>0</v>
      </c>
    </row>
    <row r="13" spans="1:78" s="546" customFormat="1">
      <c r="A13" s="576">
        <v>4</v>
      </c>
      <c r="B13" s="91" t="s">
        <v>271</v>
      </c>
      <c r="C13" s="577" t="str">
        <f>VLOOKUP(B13,'Luong VP'!$B$10:$D$250,2,0)</f>
        <v xml:space="preserve"> Lê Hoàng Tuấn </v>
      </c>
      <c r="D13" s="106" t="str">
        <f>VLOOKUP(B13,'Luong VP'!$B$10:$D$250,3,0)</f>
        <v>Bảo vệ</v>
      </c>
      <c r="E13" s="575">
        <v>1</v>
      </c>
      <c r="F13" s="575">
        <v>1</v>
      </c>
      <c r="G13" s="575">
        <v>1</v>
      </c>
      <c r="H13" s="575">
        <v>1</v>
      </c>
      <c r="I13" s="575">
        <v>1</v>
      </c>
      <c r="J13" s="575">
        <v>1</v>
      </c>
      <c r="K13" s="575">
        <v>1</v>
      </c>
      <c r="L13" s="1524" t="s">
        <v>720</v>
      </c>
      <c r="M13" s="575">
        <v>1</v>
      </c>
      <c r="N13" s="575">
        <v>1</v>
      </c>
      <c r="O13" s="575">
        <v>1</v>
      </c>
      <c r="P13" s="575">
        <v>1</v>
      </c>
      <c r="Q13" s="575">
        <v>1</v>
      </c>
      <c r="R13" s="575">
        <v>1</v>
      </c>
      <c r="S13" s="575">
        <v>1</v>
      </c>
      <c r="T13" s="575">
        <v>1</v>
      </c>
      <c r="U13" s="575">
        <v>1</v>
      </c>
      <c r="V13" s="575">
        <v>1</v>
      </c>
      <c r="W13" s="575">
        <v>1</v>
      </c>
      <c r="X13" s="575">
        <v>1</v>
      </c>
      <c r="Y13" s="575">
        <v>1</v>
      </c>
      <c r="Z13" s="575">
        <v>1</v>
      </c>
      <c r="AA13" s="575">
        <v>1</v>
      </c>
      <c r="AB13" s="575">
        <v>1</v>
      </c>
      <c r="AC13" s="575">
        <v>1</v>
      </c>
      <c r="AD13" s="575">
        <v>1</v>
      </c>
      <c r="AE13" s="575">
        <v>1</v>
      </c>
      <c r="AF13" s="575">
        <v>1</v>
      </c>
      <c r="AG13" s="575">
        <v>1</v>
      </c>
      <c r="AH13" s="575">
        <v>1</v>
      </c>
      <c r="AI13" s="575">
        <v>1</v>
      </c>
      <c r="AJ13" s="604">
        <f t="shared" ref="AJ13:AJ22" si="12">SUM(E13:AI13)-AK13</f>
        <v>30</v>
      </c>
      <c r="AK13" s="604">
        <f t="shared" ref="AK13:AK22" si="13">SUMIF($E$5:$AI$5,"LT",E13:AI13)</f>
        <v>0</v>
      </c>
      <c r="AL13" s="604">
        <f t="shared" ref="AL13:AL22" si="14">COUNTIF(E13:AI13,"P")</f>
        <v>0</v>
      </c>
      <c r="AM13" s="604">
        <f t="shared" ref="AM13:AM22" si="15">COUNTIF(E13:AI13,"LT")+MOD(AK13,1)</f>
        <v>1</v>
      </c>
      <c r="AN13" s="607"/>
      <c r="AO13" s="621"/>
      <c r="AP13" s="622"/>
      <c r="AQ13" s="622"/>
      <c r="AR13" s="622"/>
      <c r="AS13" s="622"/>
      <c r="AT13" s="622"/>
      <c r="AU13" s="622"/>
      <c r="AV13" s="622"/>
      <c r="AW13" s="622"/>
      <c r="AX13" s="622"/>
      <c r="AY13" s="622"/>
      <c r="AZ13" s="622"/>
      <c r="BA13" s="622"/>
      <c r="BB13" s="622"/>
      <c r="BC13" s="622"/>
      <c r="BD13" s="622"/>
      <c r="BE13" s="622"/>
      <c r="BF13" s="622"/>
      <c r="BG13" s="622"/>
      <c r="BH13" s="622"/>
      <c r="BI13" s="622"/>
      <c r="BJ13" s="622"/>
      <c r="BK13" s="622"/>
      <c r="BL13" s="622"/>
      <c r="BM13" s="622"/>
      <c r="BN13" s="622"/>
      <c r="BO13" s="622"/>
      <c r="BP13" s="622"/>
      <c r="BQ13" s="622"/>
      <c r="BR13" s="622"/>
      <c r="BS13" s="622"/>
      <c r="BT13" s="604">
        <f t="shared" si="10"/>
        <v>0</v>
      </c>
      <c r="BU13" s="604">
        <f t="shared" si="11"/>
        <v>0</v>
      </c>
      <c r="BV13" s="639"/>
      <c r="BW13" s="1513">
        <v>2000</v>
      </c>
      <c r="BX13" s="637">
        <f>BW13</f>
        <v>2000</v>
      </c>
      <c r="BY13" s="638">
        <v>0</v>
      </c>
    </row>
    <row r="14" spans="1:78" s="546" customFormat="1">
      <c r="A14" s="572">
        <v>5</v>
      </c>
      <c r="B14" s="91" t="s">
        <v>273</v>
      </c>
      <c r="C14" s="577" t="str">
        <f>VLOOKUP(B14,'Luong VP'!$B$10:$D$250,2,0)</f>
        <v xml:space="preserve"> Nguyễn T. Hồng Anh </v>
      </c>
      <c r="D14" s="106" t="str">
        <f>VLOOKUP(B14,'Luong VP'!$B$10:$D$250,3,0)</f>
        <v>Nhân viên hành chính/ HCNS NM</v>
      </c>
      <c r="E14" s="575">
        <v>1</v>
      </c>
      <c r="F14" s="575">
        <v>1</v>
      </c>
      <c r="G14" s="575">
        <v>1</v>
      </c>
      <c r="H14" s="575">
        <v>1</v>
      </c>
      <c r="I14" s="575">
        <v>1</v>
      </c>
      <c r="J14" s="575">
        <v>1</v>
      </c>
      <c r="K14" s="575"/>
      <c r="L14" s="1524" t="s">
        <v>720</v>
      </c>
      <c r="M14" s="575">
        <v>1</v>
      </c>
      <c r="N14" s="575">
        <v>1</v>
      </c>
      <c r="O14" s="575">
        <v>1</v>
      </c>
      <c r="P14" s="575">
        <v>1</v>
      </c>
      <c r="Q14" s="575">
        <v>1</v>
      </c>
      <c r="R14" s="575"/>
      <c r="S14" s="575">
        <v>1</v>
      </c>
      <c r="T14" s="575">
        <v>1</v>
      </c>
      <c r="U14" s="575">
        <v>1</v>
      </c>
      <c r="V14" s="575">
        <v>1</v>
      </c>
      <c r="W14" s="575">
        <v>1</v>
      </c>
      <c r="X14" s="575">
        <v>1</v>
      </c>
      <c r="Y14" s="575"/>
      <c r="Z14" s="575">
        <v>1</v>
      </c>
      <c r="AA14" s="575">
        <v>1</v>
      </c>
      <c r="AB14" s="575">
        <v>1</v>
      </c>
      <c r="AC14" s="575">
        <v>1</v>
      </c>
      <c r="AD14" s="575">
        <v>1</v>
      </c>
      <c r="AE14" s="575">
        <v>1</v>
      </c>
      <c r="AF14" s="575"/>
      <c r="AG14" s="575">
        <v>1</v>
      </c>
      <c r="AH14" s="575">
        <v>1</v>
      </c>
      <c r="AI14" s="575">
        <v>1</v>
      </c>
      <c r="AJ14" s="604">
        <f t="shared" si="12"/>
        <v>26</v>
      </c>
      <c r="AK14" s="604">
        <f t="shared" si="13"/>
        <v>0</v>
      </c>
      <c r="AL14" s="604">
        <f t="shared" si="14"/>
        <v>0</v>
      </c>
      <c r="AM14" s="604">
        <f t="shared" si="15"/>
        <v>1</v>
      </c>
      <c r="AN14" s="607"/>
      <c r="AO14" s="621"/>
      <c r="AP14" s="622"/>
      <c r="AQ14" s="622"/>
      <c r="AR14" s="622"/>
      <c r="AS14" s="622"/>
      <c r="AT14" s="622"/>
      <c r="AU14" s="622"/>
      <c r="AV14" s="622"/>
      <c r="AW14" s="622"/>
      <c r="AX14" s="627"/>
      <c r="AY14" s="622"/>
      <c r="AZ14" s="622"/>
      <c r="BA14" s="622"/>
      <c r="BB14" s="622"/>
      <c r="BC14" s="622"/>
      <c r="BD14" s="622"/>
      <c r="BE14" s="622"/>
      <c r="BF14" s="622"/>
      <c r="BG14" s="622"/>
      <c r="BH14" s="622"/>
      <c r="BI14" s="622"/>
      <c r="BJ14" s="622"/>
      <c r="BK14" s="622"/>
      <c r="BL14" s="622"/>
      <c r="BM14" s="622"/>
      <c r="BN14" s="622"/>
      <c r="BO14" s="622"/>
      <c r="BP14" s="622"/>
      <c r="BQ14" s="622"/>
      <c r="BR14" s="622"/>
      <c r="BS14" s="622"/>
      <c r="BT14" s="604">
        <f t="shared" si="10"/>
        <v>0</v>
      </c>
      <c r="BU14" s="604">
        <f t="shared" si="11"/>
        <v>0</v>
      </c>
      <c r="BV14" s="639"/>
      <c r="BW14" s="637">
        <v>0</v>
      </c>
      <c r="BX14" s="637">
        <v>0</v>
      </c>
      <c r="BY14" s="638">
        <v>0</v>
      </c>
      <c r="BZ14" s="546" t="s">
        <v>729</v>
      </c>
    </row>
    <row r="15" spans="1:78" s="544" customFormat="1">
      <c r="A15" s="576">
        <v>6</v>
      </c>
      <c r="B15" s="91" t="s">
        <v>275</v>
      </c>
      <c r="C15" s="577" t="str">
        <f>VLOOKUP(B15,'Luong VP'!$B$10:$D$250,2,0)</f>
        <v xml:space="preserve"> Đỗ Ngọc Thiên Thanh </v>
      </c>
      <c r="D15" s="106" t="str">
        <f>VLOOKUP(B15,'Luong VP'!$B$10:$D$250,3,0)</f>
        <v>Nhân viên hành chính/ HCNS NM</v>
      </c>
      <c r="E15" s="575">
        <v>1</v>
      </c>
      <c r="F15" s="575">
        <v>1</v>
      </c>
      <c r="G15" s="575">
        <v>1</v>
      </c>
      <c r="H15" s="575">
        <v>1</v>
      </c>
      <c r="I15" s="575">
        <v>1</v>
      </c>
      <c r="J15" s="575">
        <v>1</v>
      </c>
      <c r="K15" s="575"/>
      <c r="L15" s="1524" t="s">
        <v>720</v>
      </c>
      <c r="M15" s="575">
        <v>1</v>
      </c>
      <c r="N15" s="575">
        <v>1</v>
      </c>
      <c r="O15" s="575">
        <v>1</v>
      </c>
      <c r="P15" s="575">
        <v>1</v>
      </c>
      <c r="Q15" s="575">
        <v>1</v>
      </c>
      <c r="R15" s="575"/>
      <c r="S15" s="575">
        <v>1</v>
      </c>
      <c r="T15" s="575">
        <v>1</v>
      </c>
      <c r="U15" s="575">
        <v>1</v>
      </c>
      <c r="V15" s="575">
        <v>1</v>
      </c>
      <c r="W15" s="575">
        <v>1</v>
      </c>
      <c r="X15" s="575">
        <v>1</v>
      </c>
      <c r="Y15" s="575"/>
      <c r="Z15" s="575">
        <v>1</v>
      </c>
      <c r="AA15" s="575">
        <v>1</v>
      </c>
      <c r="AB15" s="575">
        <v>1</v>
      </c>
      <c r="AC15" s="575">
        <v>1</v>
      </c>
      <c r="AD15" s="575">
        <v>1</v>
      </c>
      <c r="AE15" s="575">
        <v>1</v>
      </c>
      <c r="AF15" s="575"/>
      <c r="AG15" s="575">
        <v>1</v>
      </c>
      <c r="AH15" s="575">
        <v>1</v>
      </c>
      <c r="AI15" s="575">
        <v>1</v>
      </c>
      <c r="AJ15" s="604">
        <f t="shared" si="12"/>
        <v>26</v>
      </c>
      <c r="AK15" s="604">
        <f t="shared" si="13"/>
        <v>0</v>
      </c>
      <c r="AL15" s="604">
        <f t="shared" si="14"/>
        <v>0</v>
      </c>
      <c r="AM15" s="604">
        <f t="shared" si="15"/>
        <v>1</v>
      </c>
      <c r="AN15" s="601"/>
      <c r="AO15" s="621"/>
      <c r="AP15" s="622"/>
      <c r="AQ15" s="622"/>
      <c r="AR15" s="622"/>
      <c r="AS15" s="622"/>
      <c r="AT15" s="622"/>
      <c r="AU15" s="622"/>
      <c r="AV15" s="622"/>
      <c r="AW15" s="622"/>
      <c r="AX15" s="622"/>
      <c r="AY15" s="622"/>
      <c r="AZ15" s="622"/>
      <c r="BA15" s="622"/>
      <c r="BB15" s="622"/>
      <c r="BC15" s="622"/>
      <c r="BD15" s="622"/>
      <c r="BE15" s="622"/>
      <c r="BF15" s="622"/>
      <c r="BG15" s="622"/>
      <c r="BH15" s="622"/>
      <c r="BI15" s="622"/>
      <c r="BJ15" s="622"/>
      <c r="BK15" s="622"/>
      <c r="BL15" s="622"/>
      <c r="BM15" s="622"/>
      <c r="BN15" s="622"/>
      <c r="BO15" s="622"/>
      <c r="BP15" s="622"/>
      <c r="BQ15" s="622"/>
      <c r="BR15" s="622"/>
      <c r="BS15" s="622"/>
      <c r="BT15" s="604">
        <f t="shared" si="10"/>
        <v>0</v>
      </c>
      <c r="BU15" s="604">
        <f t="shared" si="11"/>
        <v>0</v>
      </c>
      <c r="BV15" s="633"/>
      <c r="BW15" s="637">
        <v>0</v>
      </c>
      <c r="BX15" s="637">
        <f t="shared" ref="BX15:BX22" si="16">BW15</f>
        <v>0</v>
      </c>
      <c r="BY15" s="638">
        <v>0</v>
      </c>
    </row>
    <row r="16" spans="1:78" s="544" customFormat="1">
      <c r="A16" s="572">
        <v>7</v>
      </c>
      <c r="B16" s="91" t="s">
        <v>277</v>
      </c>
      <c r="C16" s="577" t="str">
        <f>VLOOKUP(B16,'Luong VP'!$B$10:$D$250,2,0)</f>
        <v xml:space="preserve"> Nguyễn Chu Thy </v>
      </c>
      <c r="D16" s="106" t="str">
        <f>VLOOKUP(B16,'Luong VP'!$B$10:$D$250,3,0)</f>
        <v>Chuyên viên IT</v>
      </c>
      <c r="E16" s="575">
        <v>1</v>
      </c>
      <c r="F16" s="575">
        <v>1</v>
      </c>
      <c r="G16" s="575">
        <v>1</v>
      </c>
      <c r="H16" s="575">
        <v>1</v>
      </c>
      <c r="I16" s="575">
        <v>1</v>
      </c>
      <c r="J16" s="575">
        <v>1</v>
      </c>
      <c r="K16" s="575"/>
      <c r="L16" s="1524" t="s">
        <v>720</v>
      </c>
      <c r="M16" s="575">
        <v>1</v>
      </c>
      <c r="N16" s="575">
        <v>1</v>
      </c>
      <c r="O16" s="575">
        <v>1</v>
      </c>
      <c r="P16" s="575">
        <v>1</v>
      </c>
      <c r="Q16" s="575">
        <v>1</v>
      </c>
      <c r="R16" s="575"/>
      <c r="S16" s="575">
        <v>1</v>
      </c>
      <c r="T16" s="575">
        <v>1</v>
      </c>
      <c r="U16" s="575">
        <v>1</v>
      </c>
      <c r="V16" s="575">
        <v>1</v>
      </c>
      <c r="W16" s="575">
        <v>1</v>
      </c>
      <c r="X16" s="575">
        <v>1</v>
      </c>
      <c r="Y16" s="575"/>
      <c r="Z16" s="575">
        <v>1</v>
      </c>
      <c r="AA16" s="575">
        <v>1</v>
      </c>
      <c r="AB16" s="575">
        <v>1</v>
      </c>
      <c r="AC16" s="575">
        <v>1</v>
      </c>
      <c r="AD16" s="575">
        <v>1</v>
      </c>
      <c r="AE16" s="575">
        <v>1</v>
      </c>
      <c r="AF16" s="575"/>
      <c r="AG16" s="575">
        <v>1</v>
      </c>
      <c r="AH16" s="575">
        <v>1</v>
      </c>
      <c r="AI16" s="575">
        <v>1</v>
      </c>
      <c r="AJ16" s="604">
        <f t="shared" si="12"/>
        <v>26</v>
      </c>
      <c r="AK16" s="604">
        <f t="shared" si="13"/>
        <v>0</v>
      </c>
      <c r="AL16" s="604">
        <f t="shared" si="14"/>
        <v>0</v>
      </c>
      <c r="AM16" s="604">
        <f t="shared" si="15"/>
        <v>1</v>
      </c>
      <c r="AN16" s="601"/>
      <c r="AO16" s="621"/>
      <c r="AP16" s="622"/>
      <c r="AQ16" s="622"/>
      <c r="AR16" s="622"/>
      <c r="AS16" s="622"/>
      <c r="AT16" s="622"/>
      <c r="AU16" s="622"/>
      <c r="AV16" s="622"/>
      <c r="AW16" s="622"/>
      <c r="AX16" s="622"/>
      <c r="AY16" s="622"/>
      <c r="AZ16" s="622"/>
      <c r="BA16" s="622"/>
      <c r="BB16" s="622"/>
      <c r="BC16" s="622"/>
      <c r="BD16" s="622"/>
      <c r="BE16" s="622"/>
      <c r="BF16" s="622"/>
      <c r="BG16" s="622"/>
      <c r="BH16" s="622"/>
      <c r="BI16" s="622"/>
      <c r="BJ16" s="622"/>
      <c r="BK16" s="622"/>
      <c r="BL16" s="622"/>
      <c r="BM16" s="622"/>
      <c r="BN16" s="622"/>
      <c r="BO16" s="622"/>
      <c r="BP16" s="622"/>
      <c r="BQ16" s="622"/>
      <c r="BR16" s="622"/>
      <c r="BS16" s="622"/>
      <c r="BT16" s="604">
        <f t="shared" si="10"/>
        <v>0</v>
      </c>
      <c r="BU16" s="604">
        <f t="shared" si="11"/>
        <v>0</v>
      </c>
      <c r="BV16" s="633"/>
      <c r="BW16" s="637"/>
      <c r="BX16" s="637">
        <f t="shared" si="16"/>
        <v>0</v>
      </c>
      <c r="BY16" s="638">
        <v>0</v>
      </c>
    </row>
    <row r="17" spans="1:77" s="544" customFormat="1">
      <c r="A17" s="572">
        <v>7</v>
      </c>
      <c r="B17" s="91" t="s">
        <v>279</v>
      </c>
      <c r="C17" s="577" t="s">
        <v>280</v>
      </c>
      <c r="D17" s="106" t="str">
        <f>VLOOKUP(B17,'Luong VP'!$B$10:$D$250,3,0)</f>
        <v>Chuyên viên IT</v>
      </c>
      <c r="E17" s="575">
        <v>1</v>
      </c>
      <c r="F17" s="575">
        <v>1</v>
      </c>
      <c r="G17" s="575">
        <v>1</v>
      </c>
      <c r="H17" s="575">
        <v>1</v>
      </c>
      <c r="I17" s="575">
        <v>1</v>
      </c>
      <c r="J17" s="575">
        <v>1</v>
      </c>
      <c r="K17" s="575"/>
      <c r="L17" s="1524" t="s">
        <v>720</v>
      </c>
      <c r="M17" s="575">
        <v>1</v>
      </c>
      <c r="N17" s="575">
        <v>1</v>
      </c>
      <c r="O17" s="575">
        <v>1</v>
      </c>
      <c r="P17" s="575">
        <v>1</v>
      </c>
      <c r="Q17" s="575">
        <v>1</v>
      </c>
      <c r="R17" s="575"/>
      <c r="S17" s="575">
        <v>1</v>
      </c>
      <c r="T17" s="575">
        <v>1</v>
      </c>
      <c r="U17" s="575">
        <v>1</v>
      </c>
      <c r="V17" s="575">
        <v>1</v>
      </c>
      <c r="W17" s="575">
        <v>1</v>
      </c>
      <c r="X17" s="575">
        <v>1</v>
      </c>
      <c r="Y17" s="575"/>
      <c r="Z17" s="575">
        <v>1</v>
      </c>
      <c r="AA17" s="575">
        <v>1</v>
      </c>
      <c r="AB17" s="575">
        <v>1</v>
      </c>
      <c r="AC17" s="575">
        <v>1</v>
      </c>
      <c r="AD17" s="575">
        <v>1</v>
      </c>
      <c r="AE17" s="575">
        <v>1</v>
      </c>
      <c r="AF17" s="575"/>
      <c r="AG17" s="575">
        <v>1</v>
      </c>
      <c r="AH17" s="575">
        <v>1</v>
      </c>
      <c r="AI17" s="575">
        <v>1</v>
      </c>
      <c r="AJ17" s="604">
        <f t="shared" si="12"/>
        <v>26</v>
      </c>
      <c r="AK17" s="604">
        <f t="shared" si="13"/>
        <v>0</v>
      </c>
      <c r="AL17" s="604">
        <f t="shared" si="14"/>
        <v>0</v>
      </c>
      <c r="AM17" s="604">
        <f t="shared" si="15"/>
        <v>1</v>
      </c>
      <c r="AN17" s="601"/>
      <c r="AO17" s="621"/>
      <c r="AP17" s="622"/>
      <c r="AQ17" s="622"/>
      <c r="AR17" s="622"/>
      <c r="AS17" s="622"/>
      <c r="AT17" s="622"/>
      <c r="AU17" s="622"/>
      <c r="AV17" s="622"/>
      <c r="AW17" s="622"/>
      <c r="AX17" s="622"/>
      <c r="AY17" s="622"/>
      <c r="AZ17" s="622"/>
      <c r="BA17" s="622"/>
      <c r="BB17" s="622"/>
      <c r="BC17" s="622"/>
      <c r="BD17" s="622"/>
      <c r="BE17" s="622"/>
      <c r="BF17" s="622"/>
      <c r="BG17" s="622"/>
      <c r="BH17" s="622"/>
      <c r="BI17" s="622"/>
      <c r="BJ17" s="622"/>
      <c r="BK17" s="622"/>
      <c r="BL17" s="622"/>
      <c r="BM17" s="622"/>
      <c r="BN17" s="622"/>
      <c r="BO17" s="622"/>
      <c r="BP17" s="622"/>
      <c r="BQ17" s="622"/>
      <c r="BR17" s="622"/>
      <c r="BS17" s="622"/>
      <c r="BT17" s="604">
        <f t="shared" si="10"/>
        <v>0</v>
      </c>
      <c r="BU17" s="604">
        <f t="shared" si="11"/>
        <v>0</v>
      </c>
      <c r="BV17" s="633"/>
      <c r="BW17" s="637"/>
      <c r="BX17" s="637">
        <f t="shared" si="16"/>
        <v>0</v>
      </c>
      <c r="BY17" s="638">
        <v>0</v>
      </c>
    </row>
    <row r="18" spans="1:77" s="544" customFormat="1">
      <c r="A18" s="572">
        <v>9</v>
      </c>
      <c r="B18" s="91" t="s">
        <v>281</v>
      </c>
      <c r="C18" s="577" t="str">
        <f>VLOOKUP(B18,'Luong VP'!$B$10:$D$250,2,0)</f>
        <v>Nguyễn Đức Cường</v>
      </c>
      <c r="D18" s="106" t="str">
        <f>VLOOKUP(B18,'Luong VP'!$B$10:$D$250,3,0)</f>
        <v>Tài xế</v>
      </c>
      <c r="E18" s="575">
        <v>1</v>
      </c>
      <c r="F18" s="575">
        <v>1</v>
      </c>
      <c r="G18" s="575">
        <v>1</v>
      </c>
      <c r="H18" s="575">
        <v>1</v>
      </c>
      <c r="I18" s="575">
        <v>1</v>
      </c>
      <c r="J18" s="575">
        <v>1</v>
      </c>
      <c r="K18" s="575"/>
      <c r="L18" s="1524" t="s">
        <v>720</v>
      </c>
      <c r="M18" s="575">
        <v>1</v>
      </c>
      <c r="N18" s="575">
        <v>1</v>
      </c>
      <c r="O18" s="575">
        <v>1</v>
      </c>
      <c r="P18" s="575">
        <v>1</v>
      </c>
      <c r="Q18" s="575">
        <v>1</v>
      </c>
      <c r="R18" s="575"/>
      <c r="S18" s="575">
        <v>1</v>
      </c>
      <c r="T18" s="575">
        <v>1</v>
      </c>
      <c r="U18" s="575">
        <v>1</v>
      </c>
      <c r="V18" s="575">
        <v>1</v>
      </c>
      <c r="W18" s="575">
        <v>1</v>
      </c>
      <c r="X18" s="575">
        <v>1</v>
      </c>
      <c r="Y18" s="575"/>
      <c r="Z18" s="575">
        <v>1</v>
      </c>
      <c r="AA18" s="575">
        <v>1</v>
      </c>
      <c r="AB18" s="575">
        <v>1</v>
      </c>
      <c r="AC18" s="575">
        <v>1</v>
      </c>
      <c r="AD18" s="575">
        <v>1</v>
      </c>
      <c r="AE18" s="575">
        <v>1</v>
      </c>
      <c r="AF18" s="575"/>
      <c r="AG18" s="575">
        <v>1</v>
      </c>
      <c r="AH18" s="575">
        <v>1</v>
      </c>
      <c r="AI18" s="575">
        <v>1</v>
      </c>
      <c r="AJ18" s="604">
        <f t="shared" si="12"/>
        <v>26</v>
      </c>
      <c r="AK18" s="604">
        <f t="shared" si="13"/>
        <v>0</v>
      </c>
      <c r="AL18" s="604">
        <f t="shared" si="14"/>
        <v>0</v>
      </c>
      <c r="AM18" s="604">
        <f t="shared" si="15"/>
        <v>1</v>
      </c>
      <c r="AN18" s="601"/>
      <c r="AO18" s="621"/>
      <c r="AP18" s="622"/>
      <c r="AQ18" s="622"/>
      <c r="AR18" s="622"/>
      <c r="AS18" s="622"/>
      <c r="AT18" s="622"/>
      <c r="AU18" s="622"/>
      <c r="AV18" s="622"/>
      <c r="AW18" s="622"/>
      <c r="AX18" s="622"/>
      <c r="AY18" s="622"/>
      <c r="AZ18" s="622"/>
      <c r="BA18" s="622"/>
      <c r="BB18" s="622"/>
      <c r="BC18" s="622"/>
      <c r="BD18" s="622"/>
      <c r="BE18" s="622"/>
      <c r="BF18" s="622"/>
      <c r="BG18" s="622"/>
      <c r="BH18" s="622"/>
      <c r="BI18" s="622"/>
      <c r="BJ18" s="622"/>
      <c r="BK18" s="622"/>
      <c r="BL18" s="622"/>
      <c r="BM18" s="622"/>
      <c r="BN18" s="622"/>
      <c r="BO18" s="622"/>
      <c r="BP18" s="622"/>
      <c r="BQ18" s="622"/>
      <c r="BR18" s="622"/>
      <c r="BS18" s="622"/>
      <c r="BT18" s="604">
        <f t="shared" si="10"/>
        <v>0</v>
      </c>
      <c r="BU18" s="604">
        <f t="shared" si="11"/>
        <v>0</v>
      </c>
      <c r="BV18" s="633"/>
      <c r="BW18" s="1513">
        <v>4000</v>
      </c>
      <c r="BX18" s="637">
        <f t="shared" si="16"/>
        <v>4000</v>
      </c>
      <c r="BY18" s="638">
        <v>0</v>
      </c>
    </row>
    <row r="19" spans="1:77" s="544" customFormat="1">
      <c r="A19" s="578">
        <v>9</v>
      </c>
      <c r="B19" s="91" t="s">
        <v>283</v>
      </c>
      <c r="C19" s="577" t="str">
        <f>VLOOKUP(B19,'Luong VP'!$B$10:$D$250,2,0)</f>
        <v>Lê Hà</v>
      </c>
      <c r="D19" s="106" t="str">
        <f>VLOOKUP(B19,'Luong VP'!$B$10:$D$250,3,0)</f>
        <v>Tài xế</v>
      </c>
      <c r="E19" s="575">
        <v>1</v>
      </c>
      <c r="F19" s="575">
        <v>1</v>
      </c>
      <c r="G19" s="575">
        <v>1</v>
      </c>
      <c r="H19" s="575">
        <v>1</v>
      </c>
      <c r="I19" s="575">
        <v>1</v>
      </c>
      <c r="J19" s="575">
        <v>1</v>
      </c>
      <c r="K19" s="575"/>
      <c r="L19" s="1524" t="s">
        <v>720</v>
      </c>
      <c r="M19" s="575">
        <v>1</v>
      </c>
      <c r="N19" s="575">
        <v>1</v>
      </c>
      <c r="O19" s="575">
        <v>1</v>
      </c>
      <c r="P19" s="575">
        <v>1</v>
      </c>
      <c r="Q19" s="575">
        <v>1</v>
      </c>
      <c r="R19" s="575"/>
      <c r="S19" s="575">
        <v>1</v>
      </c>
      <c r="T19" s="575">
        <v>1</v>
      </c>
      <c r="U19" s="575">
        <v>1</v>
      </c>
      <c r="V19" s="575">
        <v>1</v>
      </c>
      <c r="W19" s="575">
        <v>1</v>
      </c>
      <c r="X19" s="575">
        <v>1</v>
      </c>
      <c r="Y19" s="575"/>
      <c r="Z19" s="575">
        <v>1</v>
      </c>
      <c r="AA19" s="575">
        <v>1</v>
      </c>
      <c r="AB19" s="575">
        <v>1</v>
      </c>
      <c r="AC19" s="575">
        <v>1</v>
      </c>
      <c r="AD19" s="575">
        <v>1</v>
      </c>
      <c r="AE19" s="575">
        <v>1</v>
      </c>
      <c r="AF19" s="575"/>
      <c r="AG19" s="575">
        <v>1</v>
      </c>
      <c r="AH19" s="575">
        <v>1</v>
      </c>
      <c r="AI19" s="575">
        <v>1</v>
      </c>
      <c r="AJ19" s="604">
        <f t="shared" si="12"/>
        <v>26</v>
      </c>
      <c r="AK19" s="604">
        <f t="shared" si="13"/>
        <v>0</v>
      </c>
      <c r="AL19" s="604">
        <f t="shared" si="14"/>
        <v>0</v>
      </c>
      <c r="AM19" s="604">
        <f t="shared" si="15"/>
        <v>1</v>
      </c>
      <c r="AN19" s="601"/>
      <c r="AO19" s="622"/>
      <c r="AP19" s="622"/>
      <c r="AQ19" s="622"/>
      <c r="AR19" s="622"/>
      <c r="AS19" s="622"/>
      <c r="AT19" s="622"/>
      <c r="AU19" s="622"/>
      <c r="AV19" s="622"/>
      <c r="AW19" s="622"/>
      <c r="AX19" s="622"/>
      <c r="AY19" s="622"/>
      <c r="AZ19" s="622"/>
      <c r="BA19" s="622"/>
      <c r="BB19" s="622"/>
      <c r="BC19" s="622"/>
      <c r="BD19" s="622"/>
      <c r="BE19" s="622"/>
      <c r="BF19" s="622"/>
      <c r="BG19" s="622"/>
      <c r="BH19" s="622"/>
      <c r="BI19" s="622"/>
      <c r="BJ19" s="622"/>
      <c r="BK19" s="622"/>
      <c r="BL19" s="622"/>
      <c r="BM19" s="622"/>
      <c r="BN19" s="622"/>
      <c r="BO19" s="622"/>
      <c r="BP19" s="622"/>
      <c r="BQ19" s="622"/>
      <c r="BR19" s="622"/>
      <c r="BS19" s="622"/>
      <c r="BT19" s="604">
        <f t="shared" si="10"/>
        <v>0</v>
      </c>
      <c r="BU19" s="604">
        <f t="shared" si="11"/>
        <v>0</v>
      </c>
      <c r="BV19" s="633"/>
      <c r="BW19" s="637">
        <v>0</v>
      </c>
      <c r="BX19" s="637">
        <f t="shared" si="16"/>
        <v>0</v>
      </c>
      <c r="BY19" s="638">
        <v>0</v>
      </c>
    </row>
    <row r="20" spans="1:77" s="544" customFormat="1">
      <c r="A20" s="578">
        <v>9</v>
      </c>
      <c r="B20" s="91" t="s">
        <v>285</v>
      </c>
      <c r="C20" s="577" t="str">
        <f>VLOOKUP(B20,'Luong VP'!$B$10:$D$250,2,0)</f>
        <v>Lê Viết Thuật</v>
      </c>
      <c r="D20" s="106" t="str">
        <f>VLOOKUP(B20,'Luong VP'!$B$10:$D$250,3,0)</f>
        <v>Tài xế</v>
      </c>
      <c r="E20" s="575">
        <v>1</v>
      </c>
      <c r="F20" s="575">
        <v>1</v>
      </c>
      <c r="G20" s="575">
        <v>1</v>
      </c>
      <c r="H20" s="575">
        <v>1</v>
      </c>
      <c r="I20" s="575">
        <v>1</v>
      </c>
      <c r="J20" s="575">
        <v>1</v>
      </c>
      <c r="K20" s="575"/>
      <c r="L20" s="1524" t="s">
        <v>720</v>
      </c>
      <c r="M20" s="575">
        <v>1</v>
      </c>
      <c r="N20" s="575">
        <v>1</v>
      </c>
      <c r="O20" s="575">
        <v>1</v>
      </c>
      <c r="P20" s="575">
        <v>1</v>
      </c>
      <c r="Q20" s="575">
        <v>1</v>
      </c>
      <c r="R20" s="575"/>
      <c r="S20" s="575">
        <v>1</v>
      </c>
      <c r="T20" s="575">
        <v>1</v>
      </c>
      <c r="U20" s="575">
        <v>1</v>
      </c>
      <c r="V20" s="575">
        <v>1</v>
      </c>
      <c r="W20" s="575">
        <v>1</v>
      </c>
      <c r="X20" s="575">
        <v>1</v>
      </c>
      <c r="Y20" s="575"/>
      <c r="Z20" s="575">
        <v>1</v>
      </c>
      <c r="AA20" s="575">
        <v>1</v>
      </c>
      <c r="AB20" s="575">
        <v>1</v>
      </c>
      <c r="AC20" s="575">
        <v>1</v>
      </c>
      <c r="AD20" s="575">
        <v>1</v>
      </c>
      <c r="AE20" s="575">
        <v>1</v>
      </c>
      <c r="AF20" s="575"/>
      <c r="AG20" s="575">
        <v>1</v>
      </c>
      <c r="AH20" s="575">
        <v>1</v>
      </c>
      <c r="AI20" s="575">
        <v>1</v>
      </c>
      <c r="AJ20" s="604">
        <f t="shared" si="12"/>
        <v>26</v>
      </c>
      <c r="AK20" s="604">
        <f t="shared" si="13"/>
        <v>0</v>
      </c>
      <c r="AL20" s="604">
        <f t="shared" si="14"/>
        <v>0</v>
      </c>
      <c r="AM20" s="604">
        <f t="shared" si="15"/>
        <v>1</v>
      </c>
      <c r="AN20" s="601"/>
      <c r="AO20" s="622"/>
      <c r="AP20" s="622"/>
      <c r="AQ20" s="622"/>
      <c r="AR20" s="622"/>
      <c r="AS20" s="622"/>
      <c r="AT20" s="622"/>
      <c r="AU20" s="622"/>
      <c r="AV20" s="622"/>
      <c r="AW20" s="622"/>
      <c r="AX20" s="622"/>
      <c r="AY20" s="622"/>
      <c r="AZ20" s="622"/>
      <c r="BA20" s="622"/>
      <c r="BB20" s="622"/>
      <c r="BC20" s="622"/>
      <c r="BD20" s="622"/>
      <c r="BE20" s="622"/>
      <c r="BF20" s="622"/>
      <c r="BG20" s="622"/>
      <c r="BH20" s="622"/>
      <c r="BI20" s="622"/>
      <c r="BJ20" s="622"/>
      <c r="BK20" s="622"/>
      <c r="BL20" s="622"/>
      <c r="BM20" s="622"/>
      <c r="BN20" s="622"/>
      <c r="BO20" s="622"/>
      <c r="BP20" s="622"/>
      <c r="BQ20" s="622"/>
      <c r="BR20" s="622"/>
      <c r="BS20" s="622"/>
      <c r="BT20" s="604">
        <f t="shared" si="10"/>
        <v>0</v>
      </c>
      <c r="BU20" s="604">
        <f t="shared" si="11"/>
        <v>0</v>
      </c>
      <c r="BV20" s="633"/>
      <c r="BW20" s="1513">
        <v>4000</v>
      </c>
      <c r="BX20" s="637">
        <f t="shared" si="16"/>
        <v>4000</v>
      </c>
      <c r="BY20" s="638">
        <v>0</v>
      </c>
    </row>
    <row r="21" spans="1:77" s="547" customFormat="1">
      <c r="A21" s="579">
        <v>9</v>
      </c>
      <c r="B21" s="580" t="s">
        <v>287</v>
      </c>
      <c r="C21" s="581" t="str">
        <f>VLOOKUP(B21,'Luong VP'!$B$10:$D$250,2,0)</f>
        <v>Nguyễn Trung Kiên</v>
      </c>
      <c r="D21" s="582" t="str">
        <f>VLOOKUP(B21,'Luong VP'!$B$10:$D$250,3,0)</f>
        <v>Tài xế</v>
      </c>
      <c r="E21" s="575">
        <v>1</v>
      </c>
      <c r="F21" s="575">
        <v>1</v>
      </c>
      <c r="G21" s="575">
        <v>1</v>
      </c>
      <c r="H21" s="575">
        <v>1</v>
      </c>
      <c r="I21" s="575">
        <v>1</v>
      </c>
      <c r="J21" s="575">
        <v>1</v>
      </c>
      <c r="K21" s="575"/>
      <c r="L21" s="1524" t="s">
        <v>720</v>
      </c>
      <c r="M21" s="575">
        <v>1</v>
      </c>
      <c r="N21" s="575">
        <v>1</v>
      </c>
      <c r="O21" s="575">
        <v>1</v>
      </c>
      <c r="P21" s="575">
        <v>1</v>
      </c>
      <c r="Q21" s="575">
        <v>1</v>
      </c>
      <c r="R21" s="575"/>
      <c r="S21" s="575">
        <v>1</v>
      </c>
      <c r="T21" s="575">
        <v>1</v>
      </c>
      <c r="U21" s="575">
        <v>1</v>
      </c>
      <c r="V21" s="575">
        <v>1</v>
      </c>
      <c r="W21" s="575">
        <v>1</v>
      </c>
      <c r="X21" s="575">
        <v>1</v>
      </c>
      <c r="Y21" s="575"/>
      <c r="Z21" s="575">
        <v>1</v>
      </c>
      <c r="AA21" s="575">
        <v>1</v>
      </c>
      <c r="AB21" s="575">
        <v>1</v>
      </c>
      <c r="AC21" s="575">
        <v>1</v>
      </c>
      <c r="AD21" s="575">
        <v>1</v>
      </c>
      <c r="AE21" s="575">
        <v>1</v>
      </c>
      <c r="AF21" s="575"/>
      <c r="AG21" s="575">
        <v>1</v>
      </c>
      <c r="AH21" s="575">
        <v>1</v>
      </c>
      <c r="AI21" s="575">
        <v>1</v>
      </c>
      <c r="AJ21" s="604">
        <f t="shared" si="12"/>
        <v>26</v>
      </c>
      <c r="AK21" s="604">
        <f t="shared" si="13"/>
        <v>0</v>
      </c>
      <c r="AL21" s="604">
        <f t="shared" si="14"/>
        <v>0</v>
      </c>
      <c r="AM21" s="604">
        <f t="shared" si="15"/>
        <v>1</v>
      </c>
      <c r="AN21" s="609"/>
      <c r="AO21" s="624"/>
      <c r="AP21" s="624"/>
      <c r="AQ21" s="624"/>
      <c r="AR21" s="624"/>
      <c r="AS21" s="624"/>
      <c r="AT21" s="624"/>
      <c r="AU21" s="624"/>
      <c r="AV21" s="624"/>
      <c r="AW21" s="624"/>
      <c r="AX21" s="624"/>
      <c r="AY21" s="624"/>
      <c r="AZ21" s="624"/>
      <c r="BA21" s="624"/>
      <c r="BB21" s="624"/>
      <c r="BC21" s="624"/>
      <c r="BD21" s="624"/>
      <c r="BE21" s="624"/>
      <c r="BF21" s="624"/>
      <c r="BG21" s="624"/>
      <c r="BH21" s="624"/>
      <c r="BI21" s="624"/>
      <c r="BJ21" s="624"/>
      <c r="BK21" s="624"/>
      <c r="BL21" s="624"/>
      <c r="BM21" s="624"/>
      <c r="BN21" s="624"/>
      <c r="BO21" s="624"/>
      <c r="BP21" s="624"/>
      <c r="BQ21" s="624"/>
      <c r="BR21" s="624"/>
      <c r="BS21" s="624"/>
      <c r="BT21" s="608">
        <f t="shared" si="10"/>
        <v>0</v>
      </c>
      <c r="BU21" s="608">
        <f t="shared" si="11"/>
        <v>0</v>
      </c>
      <c r="BV21" s="640"/>
      <c r="BW21" s="641">
        <v>0</v>
      </c>
      <c r="BX21" s="641">
        <f t="shared" si="16"/>
        <v>0</v>
      </c>
      <c r="BY21" s="642">
        <v>0</v>
      </c>
    </row>
    <row r="22" spans="1:77" s="544" customFormat="1">
      <c r="A22" s="578">
        <v>10</v>
      </c>
      <c r="B22" s="91" t="s">
        <v>289</v>
      </c>
      <c r="C22" s="577" t="str">
        <f>VLOOKUP(B22,'Luong VP'!$B$10:$D$250,2,0)</f>
        <v>Cao Thị Minh Thoa</v>
      </c>
      <c r="D22" s="106" t="str">
        <f>VLOOKUP(B22,'Luong VP'!$B$10:$D$250,3,0)</f>
        <v>Nhân viên hành chính/ HCNS NM</v>
      </c>
      <c r="E22" s="575">
        <v>1</v>
      </c>
      <c r="F22" s="575">
        <v>1</v>
      </c>
      <c r="G22" s="575">
        <v>1</v>
      </c>
      <c r="H22" s="575">
        <v>1</v>
      </c>
      <c r="I22" s="575">
        <v>1</v>
      </c>
      <c r="J22" s="575">
        <v>1</v>
      </c>
      <c r="K22" s="575"/>
      <c r="L22" s="1524" t="s">
        <v>720</v>
      </c>
      <c r="M22" s="575">
        <v>1</v>
      </c>
      <c r="N22" s="575">
        <v>1</v>
      </c>
      <c r="O22" s="575">
        <v>1</v>
      </c>
      <c r="P22" s="575">
        <v>1</v>
      </c>
      <c r="Q22" s="575">
        <v>1</v>
      </c>
      <c r="R22" s="575"/>
      <c r="S22" s="575">
        <v>1</v>
      </c>
      <c r="T22" s="575">
        <v>1</v>
      </c>
      <c r="U22" s="575">
        <v>1</v>
      </c>
      <c r="V22" s="575">
        <v>1</v>
      </c>
      <c r="W22" s="575">
        <v>1</v>
      </c>
      <c r="X22" s="575">
        <v>1</v>
      </c>
      <c r="Y22" s="575"/>
      <c r="Z22" s="575">
        <v>1</v>
      </c>
      <c r="AA22" s="575">
        <v>1</v>
      </c>
      <c r="AB22" s="575">
        <v>1</v>
      </c>
      <c r="AC22" s="575">
        <v>1</v>
      </c>
      <c r="AD22" s="575">
        <v>1</v>
      </c>
      <c r="AE22" s="575">
        <v>1</v>
      </c>
      <c r="AF22" s="575"/>
      <c r="AG22" s="575">
        <v>1</v>
      </c>
      <c r="AH22" s="575">
        <v>1</v>
      </c>
      <c r="AI22" s="575">
        <v>1</v>
      </c>
      <c r="AJ22" s="604">
        <f t="shared" si="12"/>
        <v>26</v>
      </c>
      <c r="AK22" s="604">
        <f t="shared" si="13"/>
        <v>0</v>
      </c>
      <c r="AL22" s="604">
        <f t="shared" si="14"/>
        <v>0</v>
      </c>
      <c r="AM22" s="604">
        <f t="shared" si="15"/>
        <v>1</v>
      </c>
      <c r="AN22" s="601"/>
      <c r="AO22" s="622"/>
      <c r="AP22" s="622"/>
      <c r="AQ22" s="622"/>
      <c r="AR22" s="622"/>
      <c r="AS22" s="622"/>
      <c r="AT22" s="622"/>
      <c r="AU22" s="622"/>
      <c r="AV22" s="622"/>
      <c r="AW22" s="622"/>
      <c r="AX22" s="622"/>
      <c r="AY22" s="622"/>
      <c r="AZ22" s="622"/>
      <c r="BA22" s="622"/>
      <c r="BB22" s="622"/>
      <c r="BC22" s="622"/>
      <c r="BD22" s="622"/>
      <c r="BE22" s="622"/>
      <c r="BF22" s="622"/>
      <c r="BG22" s="622"/>
      <c r="BH22" s="622"/>
      <c r="BI22" s="622"/>
      <c r="BJ22" s="622"/>
      <c r="BK22" s="622"/>
      <c r="BL22" s="622"/>
      <c r="BM22" s="622"/>
      <c r="BN22" s="622"/>
      <c r="BO22" s="622"/>
      <c r="BP22" s="622"/>
      <c r="BQ22" s="622"/>
      <c r="BR22" s="622"/>
      <c r="BS22" s="622"/>
      <c r="BT22" s="604">
        <f t="shared" si="10"/>
        <v>0</v>
      </c>
      <c r="BU22" s="604">
        <f t="shared" si="11"/>
        <v>0</v>
      </c>
      <c r="BV22" s="633"/>
      <c r="BW22" s="1514">
        <v>3000</v>
      </c>
      <c r="BX22" s="637">
        <f t="shared" si="16"/>
        <v>3000</v>
      </c>
      <c r="BY22" s="638">
        <v>0</v>
      </c>
    </row>
    <row r="23" spans="1:77" s="544" customFormat="1">
      <c r="A23" s="570"/>
      <c r="B23" s="109"/>
      <c r="C23" s="95" t="s">
        <v>293</v>
      </c>
      <c r="D23" s="96"/>
      <c r="E23" s="96"/>
      <c r="F23" s="96"/>
      <c r="G23" s="96"/>
      <c r="H23" s="96"/>
      <c r="I23" s="96"/>
      <c r="J23" s="96"/>
      <c r="K23" s="96"/>
      <c r="L23" s="96"/>
      <c r="M23" s="96"/>
      <c r="N23" s="96"/>
      <c r="O23" s="96"/>
      <c r="P23" s="96"/>
      <c r="Q23" s="96"/>
      <c r="R23" s="96"/>
      <c r="S23" s="96"/>
      <c r="T23" s="96"/>
      <c r="U23" s="96"/>
      <c r="V23" s="96"/>
      <c r="W23" s="96"/>
      <c r="X23" s="96"/>
      <c r="Y23" s="96"/>
      <c r="Z23" s="96"/>
      <c r="AA23" s="96"/>
      <c r="AB23" s="96"/>
      <c r="AC23" s="96"/>
      <c r="AD23" s="96"/>
      <c r="AE23" s="96"/>
      <c r="AF23" s="96"/>
      <c r="AG23" s="96"/>
      <c r="AH23" s="96"/>
      <c r="AI23" s="96"/>
      <c r="AJ23" s="96"/>
      <c r="AK23" s="96"/>
      <c r="AL23" s="96"/>
      <c r="AM23" s="571"/>
      <c r="AN23" s="606"/>
      <c r="AO23" s="571"/>
      <c r="AP23" s="623"/>
      <c r="AQ23" s="623"/>
      <c r="AR23" s="623"/>
      <c r="AS23" s="623"/>
      <c r="AT23" s="623"/>
      <c r="AU23" s="623"/>
      <c r="AV23" s="623"/>
      <c r="AW23" s="623"/>
      <c r="AX23" s="623"/>
      <c r="AY23" s="623"/>
      <c r="AZ23" s="623"/>
      <c r="BA23" s="623"/>
      <c r="BB23" s="623"/>
      <c r="BC23" s="623"/>
      <c r="BD23" s="623"/>
      <c r="BE23" s="623"/>
      <c r="BF23" s="623"/>
      <c r="BG23" s="623"/>
      <c r="BH23" s="623"/>
      <c r="BI23" s="623"/>
      <c r="BJ23" s="623"/>
      <c r="BK23" s="623"/>
      <c r="BL23" s="623"/>
      <c r="BM23" s="623"/>
      <c r="BN23" s="623"/>
      <c r="BO23" s="623"/>
      <c r="BP23" s="623"/>
      <c r="BQ23" s="623"/>
      <c r="BR23" s="623"/>
      <c r="BS23" s="623"/>
      <c r="BT23" s="571"/>
      <c r="BU23" s="571"/>
      <c r="BV23" s="571"/>
      <c r="BW23" s="571"/>
      <c r="BX23" s="571"/>
      <c r="BY23" s="571"/>
    </row>
    <row r="24" spans="1:77" s="545" customFormat="1">
      <c r="A24" s="572">
        <v>12</v>
      </c>
      <c r="B24" s="91" t="s">
        <v>294</v>
      </c>
      <c r="C24" s="577" t="str">
        <f>VLOOKUP(B24,'Luong VP'!$B$10:$D$250,2,0)</f>
        <v xml:space="preserve"> Nguyễn Trinh Nguyên </v>
      </c>
      <c r="D24" s="106" t="str">
        <f>VLOOKUP(B24,'Luong VP'!$B$10:$D$250,3,0)</f>
        <v>Chuyên viên pháp chế</v>
      </c>
      <c r="E24" s="575">
        <v>1</v>
      </c>
      <c r="F24" s="575">
        <v>1</v>
      </c>
      <c r="G24" s="575">
        <v>1</v>
      </c>
      <c r="H24" s="575">
        <v>1</v>
      </c>
      <c r="I24" s="575">
        <v>1</v>
      </c>
      <c r="J24" s="575">
        <v>1</v>
      </c>
      <c r="K24" s="575"/>
      <c r="L24" s="1524" t="s">
        <v>720</v>
      </c>
      <c r="M24" s="575">
        <v>1</v>
      </c>
      <c r="N24" s="575">
        <v>1</v>
      </c>
      <c r="O24" s="575">
        <v>1</v>
      </c>
      <c r="P24" s="575">
        <v>1</v>
      </c>
      <c r="Q24" s="575">
        <v>1</v>
      </c>
      <c r="R24" s="575"/>
      <c r="S24" s="575">
        <v>1</v>
      </c>
      <c r="T24" s="575">
        <v>1</v>
      </c>
      <c r="U24" s="575">
        <v>1</v>
      </c>
      <c r="V24" s="575">
        <v>1</v>
      </c>
      <c r="W24" s="575">
        <v>1</v>
      </c>
      <c r="X24" s="575">
        <v>1</v>
      </c>
      <c r="Y24" s="575"/>
      <c r="Z24" s="575">
        <v>1</v>
      </c>
      <c r="AA24" s="575">
        <v>1</v>
      </c>
      <c r="AB24" s="575">
        <v>1</v>
      </c>
      <c r="AC24" s="575">
        <v>1</v>
      </c>
      <c r="AD24" s="575">
        <v>1</v>
      </c>
      <c r="AE24" s="575">
        <v>1</v>
      </c>
      <c r="AF24" s="575"/>
      <c r="AG24" s="575">
        <v>1</v>
      </c>
      <c r="AH24" s="575">
        <v>1</v>
      </c>
      <c r="AI24" s="575">
        <v>1</v>
      </c>
      <c r="AJ24" s="604">
        <f t="shared" ref="AJ24:AJ27" si="17">SUM(E24:AI24)-AK24</f>
        <v>26</v>
      </c>
      <c r="AK24" s="604">
        <f>SUMIF($E$5:$AI$5,"LT",E24:AI24)</f>
        <v>0</v>
      </c>
      <c r="AL24" s="604">
        <f t="shared" ref="AL24:AL27" si="18">COUNTIF(E24:AI24,"P")</f>
        <v>0</v>
      </c>
      <c r="AM24" s="604">
        <f t="shared" ref="AM24:AM27" si="19">COUNTIF(E24:AI24,"LT")+MOD(AK24,1)</f>
        <v>1</v>
      </c>
      <c r="AN24" s="605"/>
      <c r="AO24" s="621"/>
      <c r="AP24" s="622"/>
      <c r="AQ24" s="622"/>
      <c r="AR24" s="622"/>
      <c r="AS24" s="622"/>
      <c r="AT24" s="622"/>
      <c r="AU24" s="622"/>
      <c r="AV24" s="622"/>
      <c r="AW24" s="622"/>
      <c r="AX24" s="622"/>
      <c r="AY24" s="622"/>
      <c r="AZ24" s="622"/>
      <c r="BA24" s="622"/>
      <c r="BB24" s="622"/>
      <c r="BC24" s="622"/>
      <c r="BD24" s="622"/>
      <c r="BE24" s="622"/>
      <c r="BF24" s="622"/>
      <c r="BG24" s="622"/>
      <c r="BH24" s="622"/>
      <c r="BI24" s="622"/>
      <c r="BJ24" s="622"/>
      <c r="BK24" s="622"/>
      <c r="BL24" s="622"/>
      <c r="BM24" s="622"/>
      <c r="BN24" s="622"/>
      <c r="BO24" s="622"/>
      <c r="BP24" s="622"/>
      <c r="BQ24" s="622"/>
      <c r="BR24" s="622"/>
      <c r="BS24" s="622"/>
      <c r="BT24" s="604">
        <f t="shared" si="10"/>
        <v>0</v>
      </c>
      <c r="BU24" s="604">
        <f t="shared" si="11"/>
        <v>0</v>
      </c>
      <c r="BV24" s="636"/>
      <c r="BW24" s="637"/>
      <c r="BX24" s="637">
        <f>BW24</f>
        <v>0</v>
      </c>
      <c r="BY24" s="638">
        <v>0</v>
      </c>
    </row>
    <row r="25" spans="1:77" s="545" customFormat="1">
      <c r="A25" s="572">
        <v>12</v>
      </c>
      <c r="B25" s="91" t="s">
        <v>291</v>
      </c>
      <c r="C25" s="577" t="str">
        <f>VLOOKUP(B25,'Luong VP'!$B$10:$D$250,2,0)</f>
        <v>Ngô Thị Minh Tâm</v>
      </c>
      <c r="D25" s="106" t="str">
        <f>VLOOKUP(B25,'Luong VP'!$B$10:$D$250,3,0)</f>
        <v>Thư ký Chủ tịch</v>
      </c>
      <c r="E25" s="575">
        <v>1</v>
      </c>
      <c r="F25" s="575">
        <v>1</v>
      </c>
      <c r="G25" s="575">
        <v>1</v>
      </c>
      <c r="H25" s="575">
        <v>1</v>
      </c>
      <c r="I25" s="575">
        <v>1</v>
      </c>
      <c r="J25" s="575">
        <v>1</v>
      </c>
      <c r="K25" s="575"/>
      <c r="L25" s="1524" t="s">
        <v>720</v>
      </c>
      <c r="M25" s="575">
        <v>1</v>
      </c>
      <c r="N25" s="575">
        <v>1</v>
      </c>
      <c r="O25" s="575">
        <v>1</v>
      </c>
      <c r="P25" s="575">
        <v>1</v>
      </c>
      <c r="Q25" s="575">
        <v>1</v>
      </c>
      <c r="R25" s="575"/>
      <c r="S25" s="575">
        <v>1</v>
      </c>
      <c r="T25" s="575">
        <v>1</v>
      </c>
      <c r="U25" s="575">
        <v>1</v>
      </c>
      <c r="V25" s="575">
        <v>1</v>
      </c>
      <c r="W25" s="575">
        <v>1</v>
      </c>
      <c r="X25" s="575">
        <v>1</v>
      </c>
      <c r="Y25" s="575"/>
      <c r="Z25" s="575">
        <v>1</v>
      </c>
      <c r="AA25" s="575">
        <v>1</v>
      </c>
      <c r="AB25" s="575">
        <v>1</v>
      </c>
      <c r="AC25" s="575">
        <v>1</v>
      </c>
      <c r="AD25" s="575">
        <v>1</v>
      </c>
      <c r="AE25" s="575">
        <v>1</v>
      </c>
      <c r="AF25" s="575"/>
      <c r="AG25" s="575">
        <v>1</v>
      </c>
      <c r="AH25" s="575">
        <v>1</v>
      </c>
      <c r="AI25" s="575">
        <v>1</v>
      </c>
      <c r="AJ25" s="604">
        <f t="shared" ref="AJ25" si="20">SUM(E25:AI25)-AK25</f>
        <v>26</v>
      </c>
      <c r="AK25" s="604">
        <f>SUMIF($E$5:$AI$5,"LT",E25:AI25)</f>
        <v>0</v>
      </c>
      <c r="AL25" s="604">
        <f t="shared" ref="AL25" si="21">COUNTIF(E25:AI25,"P")</f>
        <v>0</v>
      </c>
      <c r="AM25" s="604">
        <f t="shared" ref="AM25" si="22">COUNTIF(E25:AI25,"LT")+MOD(AK25,1)</f>
        <v>1</v>
      </c>
      <c r="AN25" s="605"/>
      <c r="AO25" s="621"/>
      <c r="AP25" s="622"/>
      <c r="AQ25" s="622"/>
      <c r="AR25" s="622"/>
      <c r="AS25" s="622"/>
      <c r="AT25" s="622"/>
      <c r="AU25" s="622"/>
      <c r="AV25" s="622"/>
      <c r="AW25" s="622"/>
      <c r="AX25" s="622"/>
      <c r="AY25" s="622"/>
      <c r="AZ25" s="622"/>
      <c r="BA25" s="622"/>
      <c r="BB25" s="622"/>
      <c r="BC25" s="622"/>
      <c r="BD25" s="622"/>
      <c r="BE25" s="622"/>
      <c r="BF25" s="622"/>
      <c r="BG25" s="622"/>
      <c r="BH25" s="622"/>
      <c r="BI25" s="622"/>
      <c r="BJ25" s="622"/>
      <c r="BK25" s="622"/>
      <c r="BL25" s="622"/>
      <c r="BM25" s="622"/>
      <c r="BN25" s="622"/>
      <c r="BO25" s="622"/>
      <c r="BP25" s="622"/>
      <c r="BQ25" s="622"/>
      <c r="BR25" s="622"/>
      <c r="BS25" s="622"/>
      <c r="BT25" s="604">
        <f t="shared" si="10"/>
        <v>0</v>
      </c>
      <c r="BU25" s="604">
        <f t="shared" si="11"/>
        <v>0</v>
      </c>
      <c r="BV25" s="636"/>
      <c r="BW25" s="637"/>
      <c r="BX25" s="637">
        <f>BW25</f>
        <v>0</v>
      </c>
      <c r="BY25" s="638">
        <v>0</v>
      </c>
    </row>
    <row r="26" spans="1:77" s="544" customFormat="1">
      <c r="A26" s="570"/>
      <c r="B26" s="109"/>
      <c r="C26" s="95" t="s">
        <v>300</v>
      </c>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571"/>
      <c r="AM26" s="571"/>
      <c r="AN26" s="606"/>
      <c r="AO26" s="571"/>
      <c r="AP26" s="623"/>
      <c r="AQ26" s="623"/>
      <c r="AR26" s="623"/>
      <c r="AS26" s="623"/>
      <c r="AT26" s="623"/>
      <c r="AU26" s="623"/>
      <c r="AV26" s="623"/>
      <c r="AW26" s="623"/>
      <c r="AX26" s="623"/>
      <c r="AY26" s="623"/>
      <c r="AZ26" s="623"/>
      <c r="BA26" s="623"/>
      <c r="BB26" s="623"/>
      <c r="BC26" s="623"/>
      <c r="BD26" s="623"/>
      <c r="BE26" s="623"/>
      <c r="BF26" s="623"/>
      <c r="BG26" s="623"/>
      <c r="BH26" s="623"/>
      <c r="BI26" s="623"/>
      <c r="BJ26" s="623"/>
      <c r="BK26" s="623"/>
      <c r="BL26" s="623"/>
      <c r="BM26" s="623"/>
      <c r="BN26" s="623"/>
      <c r="BO26" s="623"/>
      <c r="BP26" s="623"/>
      <c r="BQ26" s="623"/>
      <c r="BR26" s="623"/>
      <c r="BS26" s="623"/>
      <c r="BT26" s="571"/>
      <c r="BU26" s="571"/>
      <c r="BV26" s="571"/>
      <c r="BW26" s="571"/>
      <c r="BX26" s="571"/>
      <c r="BY26" s="635"/>
    </row>
    <row r="27" spans="1:77" s="544" customFormat="1">
      <c r="A27" s="572">
        <v>13</v>
      </c>
      <c r="B27" s="98" t="s">
        <v>301</v>
      </c>
      <c r="C27" s="573" t="str">
        <f>VLOOKUP(B27,'Luong VP'!$B$10:$D$250,2,0)</f>
        <v xml:space="preserve"> Nguyễn Văn Bảy </v>
      </c>
      <c r="D27" s="93" t="str">
        <f>VLOOKUP(B27,'Luong VP'!$B$10:$D$250,3,0)</f>
        <v>GIÁM ĐỐC TCKT</v>
      </c>
      <c r="E27" s="575">
        <v>1</v>
      </c>
      <c r="F27" s="575">
        <v>1</v>
      </c>
      <c r="G27" s="575">
        <v>1</v>
      </c>
      <c r="H27" s="575">
        <v>1</v>
      </c>
      <c r="I27" s="575">
        <v>1</v>
      </c>
      <c r="J27" s="575">
        <v>1</v>
      </c>
      <c r="K27" s="575"/>
      <c r="L27" s="1524" t="s">
        <v>720</v>
      </c>
      <c r="M27" s="575">
        <v>1</v>
      </c>
      <c r="N27" s="575">
        <v>1</v>
      </c>
      <c r="O27" s="575">
        <v>1</v>
      </c>
      <c r="P27" s="575">
        <v>1</v>
      </c>
      <c r="Q27" s="575">
        <v>1</v>
      </c>
      <c r="R27" s="575"/>
      <c r="S27" s="575">
        <v>1</v>
      </c>
      <c r="T27" s="575">
        <v>1</v>
      </c>
      <c r="U27" s="575">
        <v>1</v>
      </c>
      <c r="V27" s="575">
        <v>1</v>
      </c>
      <c r="W27" s="575">
        <v>1</v>
      </c>
      <c r="X27" s="575">
        <v>1</v>
      </c>
      <c r="Y27" s="575"/>
      <c r="Z27" s="575">
        <v>1</v>
      </c>
      <c r="AA27" s="575">
        <v>1</v>
      </c>
      <c r="AB27" s="575">
        <v>1</v>
      </c>
      <c r="AC27" s="575">
        <v>1</v>
      </c>
      <c r="AD27" s="575">
        <v>1</v>
      </c>
      <c r="AE27" s="575">
        <v>1</v>
      </c>
      <c r="AF27" s="575"/>
      <c r="AG27" s="575">
        <v>1</v>
      </c>
      <c r="AH27" s="575">
        <v>1</v>
      </c>
      <c r="AI27" s="575">
        <v>1</v>
      </c>
      <c r="AJ27" s="604">
        <f t="shared" si="17"/>
        <v>26</v>
      </c>
      <c r="AK27" s="604">
        <f>SUMIF($E$5:$AI$5,"LT",E27:AI27)</f>
        <v>0</v>
      </c>
      <c r="AL27" s="604">
        <f t="shared" si="18"/>
        <v>0</v>
      </c>
      <c r="AM27" s="604">
        <f t="shared" si="19"/>
        <v>1</v>
      </c>
      <c r="AN27" s="601"/>
      <c r="AO27" s="621"/>
      <c r="AP27" s="622"/>
      <c r="AQ27" s="622"/>
      <c r="AR27" s="622"/>
      <c r="AS27" s="622"/>
      <c r="AT27" s="622"/>
      <c r="AU27" s="622"/>
      <c r="AV27" s="622"/>
      <c r="AW27" s="622"/>
      <c r="AX27" s="622"/>
      <c r="AY27" s="622"/>
      <c r="AZ27" s="622"/>
      <c r="BA27" s="622"/>
      <c r="BB27" s="622"/>
      <c r="BC27" s="622"/>
      <c r="BD27" s="622"/>
      <c r="BE27" s="622"/>
      <c r="BF27" s="622"/>
      <c r="BG27" s="622"/>
      <c r="BH27" s="622"/>
      <c r="BI27" s="622"/>
      <c r="BJ27" s="622"/>
      <c r="BK27" s="622"/>
      <c r="BL27" s="622"/>
      <c r="BM27" s="622"/>
      <c r="BN27" s="622"/>
      <c r="BO27" s="622"/>
      <c r="BP27" s="622"/>
      <c r="BQ27" s="622"/>
      <c r="BR27" s="622"/>
      <c r="BS27" s="622"/>
      <c r="BT27" s="604">
        <f t="shared" si="10"/>
        <v>0</v>
      </c>
      <c r="BU27" s="604">
        <f t="shared" si="11"/>
        <v>0</v>
      </c>
      <c r="BV27" s="633"/>
      <c r="BW27" s="637"/>
      <c r="BX27" s="637">
        <f>BW27</f>
        <v>0</v>
      </c>
      <c r="BY27" s="638">
        <v>0</v>
      </c>
    </row>
    <row r="28" spans="1:77" s="544" customFormat="1">
      <c r="A28" s="578">
        <v>14</v>
      </c>
      <c r="B28" s="91" t="s">
        <v>303</v>
      </c>
      <c r="C28" s="577" t="str">
        <f>VLOOKUP(B28,'Luong VP'!$B$10:$D$250,2,0)</f>
        <v xml:space="preserve"> Ninh Phương Hạnh </v>
      </c>
      <c r="D28" s="106" t="str">
        <f>VLOOKUP(B28,'Luong VP'!$B$10:$D$250,3,0)</f>
        <v>Thủ quỹ</v>
      </c>
      <c r="E28" s="575">
        <v>1</v>
      </c>
      <c r="F28" s="575">
        <v>1</v>
      </c>
      <c r="G28" s="575">
        <v>1</v>
      </c>
      <c r="H28" s="575">
        <v>1</v>
      </c>
      <c r="I28" s="575">
        <v>1</v>
      </c>
      <c r="J28" s="575">
        <v>1</v>
      </c>
      <c r="K28" s="575"/>
      <c r="L28" s="1524" t="s">
        <v>720</v>
      </c>
      <c r="M28" s="575">
        <v>1</v>
      </c>
      <c r="N28" s="575">
        <v>1</v>
      </c>
      <c r="O28" s="575">
        <v>1</v>
      </c>
      <c r="P28" s="575">
        <v>1</v>
      </c>
      <c r="Q28" s="575">
        <v>1</v>
      </c>
      <c r="R28" s="575"/>
      <c r="S28" s="575">
        <v>1</v>
      </c>
      <c r="T28" s="575">
        <v>1</v>
      </c>
      <c r="U28" s="575">
        <v>1</v>
      </c>
      <c r="V28" s="575">
        <v>1</v>
      </c>
      <c r="W28" s="575">
        <v>1</v>
      </c>
      <c r="X28" s="575">
        <v>1</v>
      </c>
      <c r="Y28" s="575"/>
      <c r="Z28" s="575">
        <v>1</v>
      </c>
      <c r="AA28" s="575">
        <v>1</v>
      </c>
      <c r="AB28" s="575">
        <v>1</v>
      </c>
      <c r="AC28" s="575">
        <v>1</v>
      </c>
      <c r="AD28" s="575">
        <v>1</v>
      </c>
      <c r="AE28" s="575">
        <v>1</v>
      </c>
      <c r="AF28" s="575"/>
      <c r="AG28" s="575">
        <v>1</v>
      </c>
      <c r="AH28" s="575">
        <v>1</v>
      </c>
      <c r="AI28" s="575">
        <v>1</v>
      </c>
      <c r="AJ28" s="604">
        <f t="shared" ref="AJ28:AJ38" si="23">SUM(E28:AI28)-AK28</f>
        <v>26</v>
      </c>
      <c r="AK28" s="604">
        <f t="shared" ref="AK28:AK38" si="24">SUMIF($E$5:$AI$5,"LT",E28:AI28)</f>
        <v>0</v>
      </c>
      <c r="AL28" s="604">
        <f t="shared" ref="AL28:AL38" si="25">COUNTIF(E28:AI28,"P")</f>
        <v>0</v>
      </c>
      <c r="AM28" s="604">
        <f t="shared" ref="AM28:AM38" si="26">COUNTIF(E28:AI28,"LT")+MOD(AK28,1)</f>
        <v>1</v>
      </c>
      <c r="AN28" s="601"/>
      <c r="AO28" s="621"/>
      <c r="AP28" s="622"/>
      <c r="AQ28" s="622"/>
      <c r="AR28" s="622"/>
      <c r="AS28" s="622"/>
      <c r="AT28" s="622"/>
      <c r="AU28" s="622"/>
      <c r="AV28" s="622"/>
      <c r="AW28" s="622"/>
      <c r="AX28" s="622"/>
      <c r="AY28" s="622"/>
      <c r="AZ28" s="622"/>
      <c r="BA28" s="622"/>
      <c r="BB28" s="622"/>
      <c r="BC28" s="622"/>
      <c r="BD28" s="622"/>
      <c r="BE28" s="622"/>
      <c r="BF28" s="622"/>
      <c r="BG28" s="622"/>
      <c r="BH28" s="622"/>
      <c r="BI28" s="622"/>
      <c r="BJ28" s="622"/>
      <c r="BK28" s="622"/>
      <c r="BL28" s="622"/>
      <c r="BM28" s="622"/>
      <c r="BN28" s="622"/>
      <c r="BO28" s="622"/>
      <c r="BP28" s="622"/>
      <c r="BQ28" s="622"/>
      <c r="BR28" s="622"/>
      <c r="BS28" s="622"/>
      <c r="BT28" s="604">
        <f t="shared" si="10"/>
        <v>0</v>
      </c>
      <c r="BU28" s="604">
        <f t="shared" si="11"/>
        <v>0</v>
      </c>
      <c r="BV28" s="633"/>
      <c r="BW28" s="637"/>
      <c r="BX28" s="637">
        <f>BW28</f>
        <v>0</v>
      </c>
      <c r="BY28" s="638">
        <v>0</v>
      </c>
    </row>
    <row r="29" spans="1:77" s="545" customFormat="1">
      <c r="A29" s="572">
        <v>15</v>
      </c>
      <c r="B29" s="91" t="s">
        <v>305</v>
      </c>
      <c r="C29" s="577" t="str">
        <f>VLOOKUP(B29,'Luong VP'!$B$10:$D$250,2,0)</f>
        <v xml:space="preserve"> Nguyễn Thái Ngân  </v>
      </c>
      <c r="D29" s="106" t="str">
        <f>VLOOKUP(B29,'Luong VP'!$B$10:$D$250,3,0)</f>
        <v xml:space="preserve"> Kế toán nội bộ</v>
      </c>
      <c r="E29" s="575">
        <v>1</v>
      </c>
      <c r="F29" s="575">
        <v>1</v>
      </c>
      <c r="G29" s="575">
        <v>1</v>
      </c>
      <c r="H29" s="575">
        <v>1</v>
      </c>
      <c r="I29" s="575">
        <v>1</v>
      </c>
      <c r="J29" s="575">
        <v>1</v>
      </c>
      <c r="K29" s="575"/>
      <c r="L29" s="1524" t="s">
        <v>720</v>
      </c>
      <c r="M29" s="575">
        <v>1</v>
      </c>
      <c r="N29" s="575">
        <v>1</v>
      </c>
      <c r="O29" s="575">
        <v>1</v>
      </c>
      <c r="P29" s="575">
        <v>1</v>
      </c>
      <c r="Q29" s="575">
        <v>1</v>
      </c>
      <c r="R29" s="575"/>
      <c r="S29" s="575">
        <v>1</v>
      </c>
      <c r="T29" s="575">
        <v>1</v>
      </c>
      <c r="U29" s="575">
        <v>1</v>
      </c>
      <c r="V29" s="575">
        <v>1</v>
      </c>
      <c r="W29" s="575">
        <v>1</v>
      </c>
      <c r="X29" s="575">
        <v>1</v>
      </c>
      <c r="Y29" s="575"/>
      <c r="Z29" s="575">
        <v>1</v>
      </c>
      <c r="AA29" s="575">
        <v>1</v>
      </c>
      <c r="AB29" s="575">
        <v>1</v>
      </c>
      <c r="AC29" s="575">
        <v>1</v>
      </c>
      <c r="AD29" s="575">
        <v>1</v>
      </c>
      <c r="AE29" s="575">
        <v>1</v>
      </c>
      <c r="AF29" s="575"/>
      <c r="AG29" s="575">
        <v>1</v>
      </c>
      <c r="AH29" s="575">
        <v>1</v>
      </c>
      <c r="AI29" s="575">
        <v>1</v>
      </c>
      <c r="AJ29" s="604">
        <f t="shared" si="23"/>
        <v>26</v>
      </c>
      <c r="AK29" s="604">
        <f t="shared" si="24"/>
        <v>0</v>
      </c>
      <c r="AL29" s="604">
        <f t="shared" si="25"/>
        <v>0</v>
      </c>
      <c r="AM29" s="604">
        <f t="shared" si="26"/>
        <v>1</v>
      </c>
      <c r="AN29" s="605"/>
      <c r="AO29" s="621"/>
      <c r="AP29" s="622"/>
      <c r="AQ29" s="622"/>
      <c r="AR29" s="622"/>
      <c r="AS29" s="622"/>
      <c r="AT29" s="622"/>
      <c r="AU29" s="622"/>
      <c r="AV29" s="622"/>
      <c r="AW29" s="622"/>
      <c r="AX29" s="622"/>
      <c r="AY29" s="622"/>
      <c r="AZ29" s="622"/>
      <c r="BA29" s="622"/>
      <c r="BB29" s="622"/>
      <c r="BC29" s="622"/>
      <c r="BD29" s="622"/>
      <c r="BE29" s="622"/>
      <c r="BF29" s="622"/>
      <c r="BG29" s="622"/>
      <c r="BH29" s="622"/>
      <c r="BI29" s="622"/>
      <c r="BJ29" s="622"/>
      <c r="BK29" s="622"/>
      <c r="BL29" s="622"/>
      <c r="BM29" s="622"/>
      <c r="BN29" s="622"/>
      <c r="BO29" s="622"/>
      <c r="BP29" s="622"/>
      <c r="BQ29" s="622"/>
      <c r="BR29" s="622"/>
      <c r="BS29" s="622"/>
      <c r="BT29" s="604">
        <f t="shared" si="10"/>
        <v>0</v>
      </c>
      <c r="BU29" s="604">
        <f t="shared" si="11"/>
        <v>0</v>
      </c>
      <c r="BV29" s="636"/>
      <c r="BW29" s="637"/>
      <c r="BX29" s="637">
        <f>BW29</f>
        <v>0</v>
      </c>
      <c r="BY29" s="638">
        <v>0</v>
      </c>
    </row>
    <row r="30" spans="1:77" s="544" customFormat="1">
      <c r="A30" s="578" t="s">
        <v>730</v>
      </c>
      <c r="B30" s="91" t="s">
        <v>307</v>
      </c>
      <c r="C30" s="577" t="str">
        <f>VLOOKUP(B30,'Luong VP'!$B$10:$D$250,2,0)</f>
        <v xml:space="preserve"> Từ Thị Hoàng Oanh </v>
      </c>
      <c r="D30" s="106" t="str">
        <f>VLOOKUP(B30,'Luong VP'!$B$10:$D$250,3,0)</f>
        <v xml:space="preserve"> Kế toán nội bộ</v>
      </c>
      <c r="E30" s="575">
        <v>1</v>
      </c>
      <c r="F30" s="575">
        <v>1</v>
      </c>
      <c r="G30" s="575">
        <v>1</v>
      </c>
      <c r="H30" s="575">
        <v>1</v>
      </c>
      <c r="I30" s="575">
        <v>1</v>
      </c>
      <c r="J30" s="575">
        <v>1</v>
      </c>
      <c r="K30" s="575"/>
      <c r="L30" s="1524" t="s">
        <v>720</v>
      </c>
      <c r="M30" s="575">
        <v>1</v>
      </c>
      <c r="N30" s="575">
        <v>1</v>
      </c>
      <c r="O30" s="575">
        <v>1</v>
      </c>
      <c r="P30" s="575">
        <v>1</v>
      </c>
      <c r="Q30" s="575">
        <v>1</v>
      </c>
      <c r="R30" s="575"/>
      <c r="S30" s="575">
        <v>1</v>
      </c>
      <c r="T30" s="575">
        <v>1</v>
      </c>
      <c r="U30" s="575">
        <v>1</v>
      </c>
      <c r="V30" s="575">
        <v>1</v>
      </c>
      <c r="W30" s="575">
        <v>1</v>
      </c>
      <c r="X30" s="575">
        <v>1</v>
      </c>
      <c r="Y30" s="575"/>
      <c r="Z30" s="575">
        <v>1</v>
      </c>
      <c r="AA30" s="575">
        <v>1</v>
      </c>
      <c r="AB30" s="575">
        <v>1</v>
      </c>
      <c r="AC30" s="575">
        <v>1</v>
      </c>
      <c r="AD30" s="575">
        <v>1</v>
      </c>
      <c r="AE30" s="575">
        <v>1</v>
      </c>
      <c r="AF30" s="575"/>
      <c r="AG30" s="575">
        <v>1</v>
      </c>
      <c r="AH30" s="575">
        <v>1</v>
      </c>
      <c r="AI30" s="575">
        <v>1</v>
      </c>
      <c r="AJ30" s="604">
        <f t="shared" si="23"/>
        <v>26</v>
      </c>
      <c r="AK30" s="604">
        <f t="shared" si="24"/>
        <v>0</v>
      </c>
      <c r="AL30" s="604">
        <f t="shared" si="25"/>
        <v>0</v>
      </c>
      <c r="AM30" s="604">
        <f t="shared" si="26"/>
        <v>1</v>
      </c>
      <c r="AN30" s="601"/>
      <c r="AO30" s="621"/>
      <c r="AP30" s="622"/>
      <c r="AQ30" s="622"/>
      <c r="AR30" s="622"/>
      <c r="AS30" s="622"/>
      <c r="AT30" s="622"/>
      <c r="AU30" s="622"/>
      <c r="AV30" s="622"/>
      <c r="AW30" s="622"/>
      <c r="AX30" s="622"/>
      <c r="AY30" s="622"/>
      <c r="AZ30" s="622"/>
      <c r="BA30" s="622"/>
      <c r="BB30" s="622"/>
      <c r="BC30" s="622"/>
      <c r="BD30" s="622"/>
      <c r="BE30" s="622"/>
      <c r="BF30" s="622"/>
      <c r="BG30" s="622"/>
      <c r="BH30" s="622"/>
      <c r="BI30" s="622"/>
      <c r="BJ30" s="622"/>
      <c r="BK30" s="622"/>
      <c r="BL30" s="622"/>
      <c r="BM30" s="622"/>
      <c r="BN30" s="622"/>
      <c r="BO30" s="622"/>
      <c r="BP30" s="622"/>
      <c r="BQ30" s="622"/>
      <c r="BR30" s="622"/>
      <c r="BS30" s="622"/>
      <c r="BT30" s="604">
        <f t="shared" si="10"/>
        <v>0</v>
      </c>
      <c r="BU30" s="604">
        <f t="shared" si="11"/>
        <v>0</v>
      </c>
      <c r="BV30" s="633"/>
      <c r="BW30" s="637"/>
      <c r="BX30" s="637">
        <f>BW30</f>
        <v>0</v>
      </c>
      <c r="BY30" s="638">
        <v>0</v>
      </c>
    </row>
    <row r="31" spans="1:77" s="544" customFormat="1">
      <c r="A31" s="572">
        <v>17</v>
      </c>
      <c r="B31" s="91" t="s">
        <v>309</v>
      </c>
      <c r="C31" s="577" t="str">
        <f>VLOOKUP(B31,'Luong VP'!$B$10:$D$250,2,0)</f>
        <v xml:space="preserve"> Kiều Thị Thủy Tiên </v>
      </c>
      <c r="D31" s="106" t="str">
        <f>VLOOKUP(B31,'Luong VP'!$B$10:$D$250,3,0)</f>
        <v>Kế toán quản lý thuế</v>
      </c>
      <c r="E31" s="575">
        <v>1</v>
      </c>
      <c r="F31" s="575">
        <v>1</v>
      </c>
      <c r="G31" s="575">
        <v>1</v>
      </c>
      <c r="H31" s="575">
        <v>1</v>
      </c>
      <c r="I31" s="575">
        <v>1</v>
      </c>
      <c r="J31" s="575">
        <v>1</v>
      </c>
      <c r="K31" s="575"/>
      <c r="L31" s="1524" t="s">
        <v>720</v>
      </c>
      <c r="M31" s="575">
        <v>1</v>
      </c>
      <c r="N31" s="575">
        <v>1</v>
      </c>
      <c r="O31" s="575">
        <v>1</v>
      </c>
      <c r="P31" s="575">
        <v>1</v>
      </c>
      <c r="Q31" s="575">
        <v>1</v>
      </c>
      <c r="R31" s="575"/>
      <c r="S31" s="575">
        <v>1</v>
      </c>
      <c r="T31" s="575">
        <v>1</v>
      </c>
      <c r="U31" s="575">
        <v>1</v>
      </c>
      <c r="V31" s="575">
        <v>1</v>
      </c>
      <c r="W31" s="575">
        <v>1</v>
      </c>
      <c r="X31" s="575">
        <v>1</v>
      </c>
      <c r="Y31" s="575"/>
      <c r="Z31" s="575">
        <v>1</v>
      </c>
      <c r="AA31" s="575">
        <v>1</v>
      </c>
      <c r="AB31" s="575">
        <v>1</v>
      </c>
      <c r="AC31" s="575">
        <v>1</v>
      </c>
      <c r="AD31" s="575">
        <v>1</v>
      </c>
      <c r="AE31" s="575">
        <v>1</v>
      </c>
      <c r="AF31" s="575"/>
      <c r="AG31" s="575">
        <v>1</v>
      </c>
      <c r="AH31" s="575">
        <v>1</v>
      </c>
      <c r="AI31" s="575">
        <v>1</v>
      </c>
      <c r="AJ31" s="604">
        <f t="shared" si="23"/>
        <v>26</v>
      </c>
      <c r="AK31" s="604">
        <f t="shared" si="24"/>
        <v>0</v>
      </c>
      <c r="AL31" s="604">
        <f t="shared" si="25"/>
        <v>0</v>
      </c>
      <c r="AM31" s="604">
        <f t="shared" si="26"/>
        <v>1</v>
      </c>
      <c r="AN31" s="601"/>
      <c r="AO31" s="621"/>
      <c r="AP31" s="622"/>
      <c r="AQ31" s="622"/>
      <c r="AR31" s="622"/>
      <c r="AS31" s="622"/>
      <c r="AT31" s="622"/>
      <c r="AU31" s="622"/>
      <c r="AV31" s="622"/>
      <c r="AW31" s="622"/>
      <c r="AX31" s="622"/>
      <c r="AY31" s="622"/>
      <c r="AZ31" s="622"/>
      <c r="BA31" s="622"/>
      <c r="BB31" s="622"/>
      <c r="BC31" s="622"/>
      <c r="BD31" s="622"/>
      <c r="BE31" s="622"/>
      <c r="BF31" s="622"/>
      <c r="BG31" s="622"/>
      <c r="BH31" s="622"/>
      <c r="BI31" s="622"/>
      <c r="BJ31" s="622"/>
      <c r="BK31" s="622"/>
      <c r="BL31" s="622"/>
      <c r="BM31" s="622"/>
      <c r="BN31" s="622"/>
      <c r="BO31" s="622"/>
      <c r="BP31" s="622"/>
      <c r="BQ31" s="622"/>
      <c r="BR31" s="622"/>
      <c r="BS31" s="622"/>
      <c r="BT31" s="604">
        <f t="shared" si="10"/>
        <v>0</v>
      </c>
      <c r="BU31" s="604">
        <f t="shared" si="11"/>
        <v>0</v>
      </c>
      <c r="BV31" s="633"/>
      <c r="BW31" s="637"/>
      <c r="BX31" s="643">
        <f>BW31+3000</f>
        <v>3000</v>
      </c>
      <c r="BY31" s="644" t="s">
        <v>731</v>
      </c>
    </row>
    <row r="32" spans="1:77" s="548" customFormat="1">
      <c r="A32" s="658">
        <v>17</v>
      </c>
      <c r="B32" s="1498" t="s">
        <v>1319</v>
      </c>
      <c r="C32" s="660" t="str">
        <f>VLOOKUP(B32,'Luong VP'!$B$10:$D$250,2,0)</f>
        <v>Hồ Thị Tuyết Hoa</v>
      </c>
      <c r="D32" s="661" t="str">
        <f>VLOOKUP(B32,'Luong VP'!$B$10:$D$250,3,0)</f>
        <v>Kế toán thuế</v>
      </c>
      <c r="E32" s="575">
        <v>1</v>
      </c>
      <c r="F32" s="575">
        <v>1</v>
      </c>
      <c r="G32" s="575">
        <v>1</v>
      </c>
      <c r="H32" s="575">
        <v>1</v>
      </c>
      <c r="I32" s="575">
        <v>1</v>
      </c>
      <c r="J32" s="575">
        <v>1</v>
      </c>
      <c r="K32" s="575"/>
      <c r="L32" s="1524" t="s">
        <v>720</v>
      </c>
      <c r="M32" s="575">
        <v>1</v>
      </c>
      <c r="N32" s="575">
        <v>1</v>
      </c>
      <c r="O32" s="575">
        <v>1</v>
      </c>
      <c r="P32" s="575">
        <v>1</v>
      </c>
      <c r="Q32" s="575">
        <v>1</v>
      </c>
      <c r="R32" s="575"/>
      <c r="S32" s="575">
        <v>1</v>
      </c>
      <c r="T32" s="575">
        <v>1</v>
      </c>
      <c r="U32" s="575">
        <v>1</v>
      </c>
      <c r="V32" s="575">
        <v>1</v>
      </c>
      <c r="W32" s="575">
        <v>1</v>
      </c>
      <c r="X32" s="575">
        <v>1</v>
      </c>
      <c r="Y32" s="575"/>
      <c r="Z32" s="575">
        <v>1</v>
      </c>
      <c r="AA32" s="575">
        <v>1</v>
      </c>
      <c r="AB32" s="575">
        <v>1</v>
      </c>
      <c r="AC32" s="575">
        <v>1</v>
      </c>
      <c r="AD32" s="575">
        <v>1</v>
      </c>
      <c r="AE32" s="575">
        <v>1</v>
      </c>
      <c r="AF32" s="575"/>
      <c r="AG32" s="575">
        <v>1</v>
      </c>
      <c r="AH32" s="575">
        <v>1</v>
      </c>
      <c r="AI32" s="575">
        <v>1</v>
      </c>
      <c r="AJ32" s="662">
        <f t="shared" ref="AJ32" si="27">SUM(E32:AI32)-AK32</f>
        <v>26</v>
      </c>
      <c r="AK32" s="662">
        <f t="shared" ref="AK32" si="28">SUMIF($E$5:$AI$5,"LT",E32:AI32)</f>
        <v>0</v>
      </c>
      <c r="AL32" s="662">
        <f t="shared" ref="AL32" si="29">COUNTIF(E32:AI32,"P")</f>
        <v>0</v>
      </c>
      <c r="AM32" s="662">
        <f t="shared" ref="AM32" si="30">COUNTIF(E32:AI32,"LT")+MOD(AK32,1)</f>
        <v>1</v>
      </c>
      <c r="AN32" s="663"/>
      <c r="AO32" s="664"/>
      <c r="AP32" s="664"/>
      <c r="AQ32" s="664"/>
      <c r="AR32" s="664"/>
      <c r="AS32" s="664"/>
      <c r="AT32" s="664"/>
      <c r="AU32" s="664"/>
      <c r="AV32" s="664"/>
      <c r="AW32" s="664"/>
      <c r="AX32" s="664"/>
      <c r="AY32" s="664"/>
      <c r="AZ32" s="664"/>
      <c r="BA32" s="664"/>
      <c r="BB32" s="664"/>
      <c r="BC32" s="664"/>
      <c r="BD32" s="664"/>
      <c r="BE32" s="664"/>
      <c r="BF32" s="664"/>
      <c r="BG32" s="664"/>
      <c r="BH32" s="664"/>
      <c r="BI32" s="664"/>
      <c r="BJ32" s="664"/>
      <c r="BK32" s="664"/>
      <c r="BL32" s="664"/>
      <c r="BM32" s="664"/>
      <c r="BN32" s="664"/>
      <c r="BO32" s="664"/>
      <c r="BP32" s="664"/>
      <c r="BQ32" s="664"/>
      <c r="BR32" s="664"/>
      <c r="BS32" s="664"/>
      <c r="BT32" s="662">
        <f t="shared" ref="BT32" si="31">SUM(AO32:BS32)-BU32</f>
        <v>0</v>
      </c>
      <c r="BU32" s="662">
        <f t="shared" ref="BU32" si="32">SUMIF($AO$5:$BS$5,"CN",AO32:BS32)</f>
        <v>0</v>
      </c>
      <c r="BV32" s="665"/>
      <c r="BW32" s="667"/>
      <c r="BX32" s="637">
        <f>BW32</f>
        <v>0</v>
      </c>
      <c r="BY32" s="638">
        <v>0</v>
      </c>
    </row>
    <row r="33" spans="1:78" s="544" customFormat="1">
      <c r="A33" s="578">
        <v>18</v>
      </c>
      <c r="B33" s="91" t="s">
        <v>311</v>
      </c>
      <c r="C33" s="577" t="str">
        <f>VLOOKUP(B33,'Luong VP'!$B$10:$D$250,2,0)</f>
        <v xml:space="preserve"> Huỳnh Ngọc Giang </v>
      </c>
      <c r="D33" s="106" t="str">
        <f>VLOOKUP(B33,'Luong VP'!$B$10:$D$250,3,0)</f>
        <v>Kế toán quản trị</v>
      </c>
      <c r="E33" s="575">
        <v>1</v>
      </c>
      <c r="F33" s="575">
        <v>1</v>
      </c>
      <c r="G33" s="575">
        <v>1</v>
      </c>
      <c r="H33" s="575">
        <v>1</v>
      </c>
      <c r="I33" s="575">
        <v>1</v>
      </c>
      <c r="J33" s="575">
        <v>1</v>
      </c>
      <c r="K33" s="575"/>
      <c r="L33" s="1524" t="s">
        <v>720</v>
      </c>
      <c r="M33" s="575">
        <v>1</v>
      </c>
      <c r="N33" s="575">
        <v>1</v>
      </c>
      <c r="O33" s="575">
        <v>1</v>
      </c>
      <c r="P33" s="575">
        <v>1</v>
      </c>
      <c r="Q33" s="575">
        <v>1</v>
      </c>
      <c r="R33" s="575"/>
      <c r="S33" s="575">
        <v>1</v>
      </c>
      <c r="T33" s="575">
        <v>1</v>
      </c>
      <c r="U33" s="575">
        <v>1</v>
      </c>
      <c r="V33" s="575">
        <v>1</v>
      </c>
      <c r="W33" s="575">
        <v>1</v>
      </c>
      <c r="X33" s="575">
        <v>1</v>
      </c>
      <c r="Y33" s="575"/>
      <c r="Z33" s="575">
        <v>1</v>
      </c>
      <c r="AA33" s="575">
        <v>1</v>
      </c>
      <c r="AB33" s="575">
        <v>1</v>
      </c>
      <c r="AC33" s="575">
        <v>1</v>
      </c>
      <c r="AD33" s="575">
        <v>1</v>
      </c>
      <c r="AE33" s="575">
        <v>1</v>
      </c>
      <c r="AF33" s="575"/>
      <c r="AG33" s="575">
        <v>1</v>
      </c>
      <c r="AH33" s="575">
        <v>1</v>
      </c>
      <c r="AI33" s="575">
        <v>1</v>
      </c>
      <c r="AJ33" s="604">
        <f t="shared" si="23"/>
        <v>26</v>
      </c>
      <c r="AK33" s="604">
        <f t="shared" si="24"/>
        <v>0</v>
      </c>
      <c r="AL33" s="604">
        <f t="shared" si="25"/>
        <v>0</v>
      </c>
      <c r="AM33" s="604">
        <f t="shared" si="26"/>
        <v>1</v>
      </c>
      <c r="AN33" s="601"/>
      <c r="AO33" s="622"/>
      <c r="AP33" s="622"/>
      <c r="AQ33" s="622"/>
      <c r="AR33" s="622"/>
      <c r="AS33" s="622"/>
      <c r="AT33" s="622"/>
      <c r="AU33" s="622"/>
      <c r="AV33" s="622"/>
      <c r="AW33" s="622"/>
      <c r="AX33" s="622"/>
      <c r="AY33" s="622"/>
      <c r="AZ33" s="622"/>
      <c r="BA33" s="622"/>
      <c r="BB33" s="622"/>
      <c r="BC33" s="622"/>
      <c r="BD33" s="622"/>
      <c r="BE33" s="622"/>
      <c r="BF33" s="622"/>
      <c r="BG33" s="622"/>
      <c r="BH33" s="622"/>
      <c r="BI33" s="622"/>
      <c r="BJ33" s="622"/>
      <c r="BK33" s="622"/>
      <c r="BL33" s="622"/>
      <c r="BM33" s="622"/>
      <c r="BN33" s="622"/>
      <c r="BO33" s="622"/>
      <c r="BP33" s="622"/>
      <c r="BQ33" s="622"/>
      <c r="BR33" s="622"/>
      <c r="BS33" s="622"/>
      <c r="BT33" s="604">
        <f t="shared" si="10"/>
        <v>0</v>
      </c>
      <c r="BU33" s="604">
        <f t="shared" si="11"/>
        <v>0</v>
      </c>
      <c r="BV33" s="633"/>
      <c r="BW33" s="637"/>
      <c r="BX33" s="637">
        <f>BW33</f>
        <v>0</v>
      </c>
      <c r="BY33" s="638">
        <v>0</v>
      </c>
    </row>
    <row r="34" spans="1:78" s="544" customFormat="1">
      <c r="A34" s="578">
        <v>20</v>
      </c>
      <c r="B34" s="583" t="s">
        <v>313</v>
      </c>
      <c r="C34" s="577" t="str">
        <f>VLOOKUP(B34,'Luong VP'!$B$10:$D$250,2,0)</f>
        <v>Nguyễn Thị Phượng Nhi</v>
      </c>
      <c r="D34" s="106" t="str">
        <f>VLOOKUP(B34,'Luong VP'!$B$10:$D$250,3,0)</f>
        <v xml:space="preserve"> Kế toán nội bộ</v>
      </c>
      <c r="E34" s="575">
        <v>1</v>
      </c>
      <c r="F34" s="575">
        <v>1</v>
      </c>
      <c r="G34" s="575">
        <v>1</v>
      </c>
      <c r="H34" s="575">
        <v>1</v>
      </c>
      <c r="I34" s="575">
        <v>1</v>
      </c>
      <c r="J34" s="575">
        <v>1</v>
      </c>
      <c r="K34" s="575"/>
      <c r="L34" s="1524" t="s">
        <v>720</v>
      </c>
      <c r="M34" s="575">
        <v>1</v>
      </c>
      <c r="N34" s="575">
        <v>1</v>
      </c>
      <c r="O34" s="575">
        <v>1</v>
      </c>
      <c r="P34" s="575">
        <v>1</v>
      </c>
      <c r="Q34" s="575">
        <v>1</v>
      </c>
      <c r="R34" s="575"/>
      <c r="S34" s="575">
        <v>1</v>
      </c>
      <c r="T34" s="575">
        <v>1</v>
      </c>
      <c r="U34" s="575">
        <v>1</v>
      </c>
      <c r="V34" s="575">
        <v>1</v>
      </c>
      <c r="W34" s="575">
        <v>1</v>
      </c>
      <c r="X34" s="575">
        <v>1</v>
      </c>
      <c r="Y34" s="575"/>
      <c r="Z34" s="575">
        <v>1</v>
      </c>
      <c r="AA34" s="575">
        <v>1</v>
      </c>
      <c r="AB34" s="575">
        <v>1</v>
      </c>
      <c r="AC34" s="575">
        <v>1</v>
      </c>
      <c r="AD34" s="575">
        <v>1</v>
      </c>
      <c r="AE34" s="575">
        <v>1</v>
      </c>
      <c r="AF34" s="575"/>
      <c r="AG34" s="575">
        <v>1</v>
      </c>
      <c r="AH34" s="575">
        <v>1</v>
      </c>
      <c r="AI34" s="575">
        <v>1</v>
      </c>
      <c r="AJ34" s="604">
        <f t="shared" si="23"/>
        <v>26</v>
      </c>
      <c r="AK34" s="604">
        <f t="shared" si="24"/>
        <v>0</v>
      </c>
      <c r="AL34" s="604">
        <f t="shared" si="25"/>
        <v>0</v>
      </c>
      <c r="AM34" s="604">
        <f t="shared" si="26"/>
        <v>1</v>
      </c>
      <c r="AN34" s="601"/>
      <c r="AO34" s="622"/>
      <c r="AP34" s="622"/>
      <c r="AQ34" s="622"/>
      <c r="AR34" s="622"/>
      <c r="AS34" s="622"/>
      <c r="AT34" s="622"/>
      <c r="AU34" s="622"/>
      <c r="AV34" s="622"/>
      <c r="AW34" s="622"/>
      <c r="AX34" s="622"/>
      <c r="AY34" s="622"/>
      <c r="AZ34" s="622"/>
      <c r="BA34" s="622"/>
      <c r="BB34" s="622"/>
      <c r="BC34" s="622"/>
      <c r="BD34" s="622"/>
      <c r="BE34" s="622"/>
      <c r="BF34" s="622"/>
      <c r="BG34" s="622"/>
      <c r="BH34" s="622"/>
      <c r="BI34" s="622"/>
      <c r="BJ34" s="622"/>
      <c r="BK34" s="622"/>
      <c r="BL34" s="622"/>
      <c r="BM34" s="622"/>
      <c r="BN34" s="622"/>
      <c r="BO34" s="622"/>
      <c r="BP34" s="622"/>
      <c r="BQ34" s="622"/>
      <c r="BR34" s="622"/>
      <c r="BS34" s="622"/>
      <c r="BT34" s="604">
        <f t="shared" si="10"/>
        <v>0</v>
      </c>
      <c r="BU34" s="604">
        <f t="shared" si="11"/>
        <v>0</v>
      </c>
      <c r="BV34" s="633"/>
      <c r="BW34" s="637"/>
      <c r="BX34" s="637">
        <f>BW34</f>
        <v>0</v>
      </c>
      <c r="BY34" s="638">
        <v>0</v>
      </c>
    </row>
    <row r="35" spans="1:78" s="544" customFormat="1">
      <c r="A35" s="578">
        <v>20</v>
      </c>
      <c r="B35" s="583" t="s">
        <v>315</v>
      </c>
      <c r="C35" s="577" t="str">
        <f>VLOOKUP(B35,'Luong VP'!$B$10:$D$250,2,0)</f>
        <v>Trần Ngọc Bảo Long</v>
      </c>
      <c r="D35" s="106" t="str">
        <f>VLOOKUP(B35,'Luong VP'!$B$10:$D$250,3,0)</f>
        <v>Nhân viên vật giá</v>
      </c>
      <c r="E35" s="575">
        <v>1</v>
      </c>
      <c r="F35" s="575">
        <v>1</v>
      </c>
      <c r="G35" s="575">
        <v>1</v>
      </c>
      <c r="H35" s="575">
        <v>1</v>
      </c>
      <c r="I35" s="575">
        <v>1</v>
      </c>
      <c r="J35" s="575">
        <v>1</v>
      </c>
      <c r="K35" s="575"/>
      <c r="L35" s="1524" t="s">
        <v>720</v>
      </c>
      <c r="M35" s="575">
        <v>1</v>
      </c>
      <c r="N35" s="575">
        <v>1</v>
      </c>
      <c r="O35" s="575">
        <v>1</v>
      </c>
      <c r="P35" s="575">
        <v>1</v>
      </c>
      <c r="Q35" s="575">
        <v>1</v>
      </c>
      <c r="R35" s="575"/>
      <c r="S35" s="575">
        <v>1</v>
      </c>
      <c r="T35" s="575">
        <v>1</v>
      </c>
      <c r="U35" s="575">
        <v>1</v>
      </c>
      <c r="V35" s="575">
        <v>1</v>
      </c>
      <c r="W35" s="575">
        <v>1</v>
      </c>
      <c r="X35" s="575">
        <v>1</v>
      </c>
      <c r="Y35" s="575"/>
      <c r="Z35" s="575">
        <v>1</v>
      </c>
      <c r="AA35" s="575">
        <v>1</v>
      </c>
      <c r="AB35" s="575">
        <v>1</v>
      </c>
      <c r="AC35" s="575">
        <v>1</v>
      </c>
      <c r="AD35" s="575">
        <v>1</v>
      </c>
      <c r="AE35" s="575">
        <v>1</v>
      </c>
      <c r="AF35" s="575"/>
      <c r="AG35" s="575">
        <v>1</v>
      </c>
      <c r="AH35" s="575">
        <v>1</v>
      </c>
      <c r="AI35" s="575">
        <v>1</v>
      </c>
      <c r="AJ35" s="604">
        <f t="shared" si="23"/>
        <v>26</v>
      </c>
      <c r="AK35" s="604">
        <f t="shared" si="24"/>
        <v>0</v>
      </c>
      <c r="AL35" s="604">
        <f t="shared" si="25"/>
        <v>0</v>
      </c>
      <c r="AM35" s="604">
        <f t="shared" si="26"/>
        <v>1</v>
      </c>
      <c r="AN35" s="601"/>
      <c r="AO35" s="622"/>
      <c r="AP35" s="622"/>
      <c r="AQ35" s="622"/>
      <c r="AR35" s="622"/>
      <c r="AS35" s="622"/>
      <c r="AT35" s="622"/>
      <c r="AU35" s="622"/>
      <c r="AV35" s="622"/>
      <c r="AW35" s="622"/>
      <c r="AX35" s="622"/>
      <c r="AY35" s="622"/>
      <c r="AZ35" s="622"/>
      <c r="BA35" s="622"/>
      <c r="BB35" s="622"/>
      <c r="BC35" s="622"/>
      <c r="BD35" s="622"/>
      <c r="BE35" s="622"/>
      <c r="BF35" s="622"/>
      <c r="BG35" s="622"/>
      <c r="BH35" s="622"/>
      <c r="BI35" s="622"/>
      <c r="BJ35" s="622"/>
      <c r="BK35" s="622"/>
      <c r="BL35" s="622"/>
      <c r="BM35" s="622"/>
      <c r="BN35" s="622"/>
      <c r="BO35" s="622"/>
      <c r="BP35" s="622"/>
      <c r="BQ35" s="622"/>
      <c r="BR35" s="622"/>
      <c r="BS35" s="622"/>
      <c r="BT35" s="604">
        <f t="shared" si="10"/>
        <v>0</v>
      </c>
      <c r="BU35" s="604">
        <f t="shared" si="11"/>
        <v>0</v>
      </c>
      <c r="BV35" s="633"/>
      <c r="BW35" s="637"/>
      <c r="BX35" s="637">
        <f>BW35</f>
        <v>0</v>
      </c>
      <c r="BY35" s="638">
        <v>0</v>
      </c>
    </row>
    <row r="36" spans="1:78" s="544" customFormat="1">
      <c r="A36" s="578">
        <v>20</v>
      </c>
      <c r="B36" s="583" t="s">
        <v>317</v>
      </c>
      <c r="C36" s="577" t="str">
        <f>VLOOKUP(B36,'Luong VP'!$B$10:$D$250,2,0)</f>
        <v>Nguyễn Anh Phương</v>
      </c>
      <c r="D36" s="106" t="str">
        <f>VLOOKUP(B36,'Luong VP'!$B$10:$D$250,3,0)</f>
        <v>Chuyên viên tài chính</v>
      </c>
      <c r="E36" s="575">
        <v>1</v>
      </c>
      <c r="F36" s="575">
        <v>1</v>
      </c>
      <c r="G36" s="575">
        <v>1</v>
      </c>
      <c r="H36" s="575">
        <v>1</v>
      </c>
      <c r="I36" s="575">
        <v>1</v>
      </c>
      <c r="J36" s="575">
        <v>1</v>
      </c>
      <c r="K36" s="575"/>
      <c r="L36" s="1524" t="s">
        <v>720</v>
      </c>
      <c r="M36" s="575">
        <v>1</v>
      </c>
      <c r="N36" s="575">
        <v>1</v>
      </c>
      <c r="O36" s="575">
        <v>1</v>
      </c>
      <c r="P36" s="575">
        <v>1</v>
      </c>
      <c r="Q36" s="575">
        <v>1</v>
      </c>
      <c r="R36" s="575"/>
      <c r="S36" s="575">
        <v>1</v>
      </c>
      <c r="T36" s="575">
        <v>1</v>
      </c>
      <c r="U36" s="575">
        <v>1</v>
      </c>
      <c r="V36" s="575">
        <v>1</v>
      </c>
      <c r="W36" s="575">
        <v>1</v>
      </c>
      <c r="X36" s="575">
        <v>1</v>
      </c>
      <c r="Y36" s="575"/>
      <c r="Z36" s="575">
        <v>1</v>
      </c>
      <c r="AA36" s="575">
        <v>1</v>
      </c>
      <c r="AB36" s="575">
        <v>1</v>
      </c>
      <c r="AC36" s="575">
        <v>1</v>
      </c>
      <c r="AD36" s="575">
        <v>1</v>
      </c>
      <c r="AE36" s="575">
        <v>1</v>
      </c>
      <c r="AF36" s="575"/>
      <c r="AG36" s="575">
        <v>1</v>
      </c>
      <c r="AH36" s="575">
        <v>1</v>
      </c>
      <c r="AI36" s="575">
        <v>1</v>
      </c>
      <c r="AJ36" s="604">
        <v>32</v>
      </c>
      <c r="AK36" s="604">
        <f t="shared" si="24"/>
        <v>0</v>
      </c>
      <c r="AL36" s="604">
        <f t="shared" si="25"/>
        <v>0</v>
      </c>
      <c r="AM36" s="604">
        <f t="shared" si="26"/>
        <v>1</v>
      </c>
      <c r="AN36" s="601"/>
      <c r="AO36" s="622"/>
      <c r="AP36" s="622"/>
      <c r="AQ36" s="622"/>
      <c r="AR36" s="622"/>
      <c r="AS36" s="622"/>
      <c r="AT36" s="622"/>
      <c r="AU36" s="622"/>
      <c r="AV36" s="622"/>
      <c r="AW36" s="622"/>
      <c r="AX36" s="622"/>
      <c r="AY36" s="622"/>
      <c r="AZ36" s="622"/>
      <c r="BA36" s="622"/>
      <c r="BB36" s="622"/>
      <c r="BC36" s="622"/>
      <c r="BD36" s="622"/>
      <c r="BE36" s="622"/>
      <c r="BF36" s="622"/>
      <c r="BG36" s="622"/>
      <c r="BH36" s="622"/>
      <c r="BI36" s="622"/>
      <c r="BJ36" s="622"/>
      <c r="BK36" s="622"/>
      <c r="BL36" s="622"/>
      <c r="BM36" s="622"/>
      <c r="BN36" s="622"/>
      <c r="BO36" s="622"/>
      <c r="BP36" s="622"/>
      <c r="BQ36" s="622"/>
      <c r="BR36" s="622"/>
      <c r="BS36" s="622"/>
      <c r="BT36" s="604">
        <f t="shared" si="10"/>
        <v>0</v>
      </c>
      <c r="BU36" s="604">
        <f t="shared" si="11"/>
        <v>0</v>
      </c>
      <c r="BV36" s="633"/>
      <c r="BW36" s="637"/>
      <c r="BX36" s="637">
        <f>BW36</f>
        <v>0</v>
      </c>
      <c r="BY36" s="638">
        <v>0</v>
      </c>
    </row>
    <row r="37" spans="1:78" s="544" customFormat="1">
      <c r="A37" s="578">
        <v>40</v>
      </c>
      <c r="B37" s="91" t="s">
        <v>319</v>
      </c>
      <c r="C37" s="577" t="str">
        <f>VLOOKUP(B37,'Luong VP'!$B$10:$D$250,2,0)</f>
        <v>Phương Bình</v>
      </c>
      <c r="D37" s="106" t="str">
        <f>VLOOKUP(B37,'Luong VP'!$B$10:$D$250,3,0)</f>
        <v xml:space="preserve"> Kế toán nội bộ</v>
      </c>
      <c r="E37" s="575">
        <v>1</v>
      </c>
      <c r="F37" s="575">
        <v>1</v>
      </c>
      <c r="G37" s="575">
        <v>1</v>
      </c>
      <c r="H37" s="575">
        <v>1</v>
      </c>
      <c r="I37" s="575">
        <v>1</v>
      </c>
      <c r="J37" s="575">
        <v>1</v>
      </c>
      <c r="K37" s="575"/>
      <c r="L37" s="1524" t="s">
        <v>720</v>
      </c>
      <c r="M37" s="575">
        <v>1</v>
      </c>
      <c r="N37" s="575">
        <v>1</v>
      </c>
      <c r="O37" s="575">
        <v>1</v>
      </c>
      <c r="P37" s="575">
        <v>1</v>
      </c>
      <c r="Q37" s="575">
        <v>1</v>
      </c>
      <c r="R37" s="575"/>
      <c r="S37" s="575">
        <v>1</v>
      </c>
      <c r="T37" s="575">
        <v>1</v>
      </c>
      <c r="U37" s="575">
        <v>1</v>
      </c>
      <c r="V37" s="575">
        <v>1</v>
      </c>
      <c r="W37" s="575">
        <v>1</v>
      </c>
      <c r="X37" s="575">
        <v>1</v>
      </c>
      <c r="Y37" s="575"/>
      <c r="Z37" s="575">
        <v>1</v>
      </c>
      <c r="AA37" s="575">
        <v>1</v>
      </c>
      <c r="AB37" s="575">
        <v>1</v>
      </c>
      <c r="AC37" s="575">
        <v>1</v>
      </c>
      <c r="AD37" s="575">
        <v>1</v>
      </c>
      <c r="AE37" s="575">
        <v>1</v>
      </c>
      <c r="AF37" s="575"/>
      <c r="AG37" s="575">
        <v>1</v>
      </c>
      <c r="AH37" s="575">
        <v>1</v>
      </c>
      <c r="AI37" s="575">
        <v>1</v>
      </c>
      <c r="AJ37" s="604">
        <f t="shared" si="23"/>
        <v>26</v>
      </c>
      <c r="AK37" s="604">
        <f t="shared" si="24"/>
        <v>0</v>
      </c>
      <c r="AL37" s="604">
        <f t="shared" si="25"/>
        <v>0</v>
      </c>
      <c r="AM37" s="604">
        <f t="shared" si="26"/>
        <v>1</v>
      </c>
      <c r="AN37" s="601"/>
      <c r="AO37" s="622"/>
      <c r="AP37" s="622"/>
      <c r="AQ37" s="622"/>
      <c r="AR37" s="622"/>
      <c r="AS37" s="622"/>
      <c r="AT37" s="622"/>
      <c r="AU37" s="622"/>
      <c r="AV37" s="622"/>
      <c r="AW37" s="622"/>
      <c r="AX37" s="622"/>
      <c r="AY37" s="622"/>
      <c r="AZ37" s="622"/>
      <c r="BA37" s="622"/>
      <c r="BB37" s="622"/>
      <c r="BC37" s="622"/>
      <c r="BD37" s="622"/>
      <c r="BE37" s="622"/>
      <c r="BF37" s="622"/>
      <c r="BG37" s="622"/>
      <c r="BH37" s="622"/>
      <c r="BI37" s="622">
        <v>6</v>
      </c>
      <c r="BJ37" s="622"/>
      <c r="BK37" s="622"/>
      <c r="BL37" s="622"/>
      <c r="BM37" s="622"/>
      <c r="BN37" s="622"/>
      <c r="BO37" s="622"/>
      <c r="BP37" s="622">
        <v>5</v>
      </c>
      <c r="BQ37" s="622"/>
      <c r="BR37" s="622"/>
      <c r="BS37" s="622"/>
      <c r="BT37" s="604">
        <f>SUM(AO37:BS37)-BU37</f>
        <v>0</v>
      </c>
      <c r="BU37" s="604">
        <f>SUMIF($AO$5:$BS$5,"CN",AO37:BS37)</f>
        <v>11</v>
      </c>
      <c r="BV37" s="633"/>
      <c r="BW37" s="637"/>
      <c r="BX37" s="1515">
        <v>1000</v>
      </c>
      <c r="BY37" s="638">
        <v>0</v>
      </c>
      <c r="BZ37" s="1422" t="s">
        <v>1289</v>
      </c>
    </row>
    <row r="38" spans="1:78" s="544" customFormat="1">
      <c r="A38" s="578">
        <v>41</v>
      </c>
      <c r="B38" s="91" t="s">
        <v>321</v>
      </c>
      <c r="C38" s="577" t="str">
        <f>VLOOKUP(B38,'Luong VP'!$B$10:$D$250,2,0)</f>
        <v>Nguyễn Trường Thạch</v>
      </c>
      <c r="D38" s="106" t="str">
        <f>VLOOKUP(B38,'Luong VP'!$B$10:$D$250,3,0)</f>
        <v xml:space="preserve"> Kế toán nội bộ</v>
      </c>
      <c r="E38" s="575">
        <v>1</v>
      </c>
      <c r="F38" s="575">
        <v>1</v>
      </c>
      <c r="G38" s="575">
        <v>1</v>
      </c>
      <c r="H38" s="575">
        <v>1</v>
      </c>
      <c r="I38" s="575">
        <v>1</v>
      </c>
      <c r="J38" s="575">
        <v>1</v>
      </c>
      <c r="K38" s="575"/>
      <c r="L38" s="1524" t="s">
        <v>720</v>
      </c>
      <c r="M38" s="575">
        <v>1</v>
      </c>
      <c r="N38" s="575">
        <v>1</v>
      </c>
      <c r="O38" s="575">
        <v>1</v>
      </c>
      <c r="P38" s="575">
        <v>1</v>
      </c>
      <c r="Q38" s="575">
        <v>1</v>
      </c>
      <c r="R38" s="575"/>
      <c r="S38" s="575">
        <v>1</v>
      </c>
      <c r="T38" s="575">
        <v>1</v>
      </c>
      <c r="U38" s="575">
        <v>1</v>
      </c>
      <c r="V38" s="575">
        <v>1</v>
      </c>
      <c r="W38" s="575">
        <v>1</v>
      </c>
      <c r="X38" s="575">
        <v>1</v>
      </c>
      <c r="Y38" s="575"/>
      <c r="Z38" s="575">
        <v>1</v>
      </c>
      <c r="AA38" s="575">
        <v>1</v>
      </c>
      <c r="AB38" s="575">
        <v>1</v>
      </c>
      <c r="AC38" s="575">
        <v>1</v>
      </c>
      <c r="AD38" s="575">
        <v>1</v>
      </c>
      <c r="AE38" s="575">
        <v>1</v>
      </c>
      <c r="AF38" s="575"/>
      <c r="AG38" s="575">
        <v>1</v>
      </c>
      <c r="AH38" s="575">
        <v>1</v>
      </c>
      <c r="AI38" s="575">
        <v>1</v>
      </c>
      <c r="AJ38" s="604">
        <f t="shared" si="23"/>
        <v>26</v>
      </c>
      <c r="AK38" s="604">
        <f t="shared" si="24"/>
        <v>0</v>
      </c>
      <c r="AL38" s="604">
        <f t="shared" si="25"/>
        <v>0</v>
      </c>
      <c r="AM38" s="604">
        <f t="shared" si="26"/>
        <v>1</v>
      </c>
      <c r="AN38" s="601"/>
      <c r="AO38" s="622"/>
      <c r="AP38" s="622"/>
      <c r="AQ38" s="622"/>
      <c r="AR38" s="622"/>
      <c r="AS38" s="622"/>
      <c r="AT38" s="622"/>
      <c r="AU38" s="622"/>
      <c r="AV38" s="622"/>
      <c r="AW38" s="622"/>
      <c r="AX38" s="622"/>
      <c r="AY38" s="622"/>
      <c r="AZ38" s="622"/>
      <c r="BA38" s="622"/>
      <c r="BB38" s="622"/>
      <c r="BC38" s="622"/>
      <c r="BD38" s="622"/>
      <c r="BE38" s="622"/>
      <c r="BF38" s="622"/>
      <c r="BG38" s="622"/>
      <c r="BH38" s="622"/>
      <c r="BI38" s="622"/>
      <c r="BJ38" s="622"/>
      <c r="BK38" s="622">
        <v>1.5</v>
      </c>
      <c r="BL38" s="622">
        <v>1.5</v>
      </c>
      <c r="BM38" s="622">
        <v>1.5</v>
      </c>
      <c r="BN38" s="622">
        <v>2.5</v>
      </c>
      <c r="BO38" s="622"/>
      <c r="BP38" s="622"/>
      <c r="BQ38" s="622">
        <v>1.5</v>
      </c>
      <c r="BR38" s="622">
        <v>2.5</v>
      </c>
      <c r="BS38" s="622"/>
      <c r="BT38" s="604">
        <f>SUM(AO38:BS38)-BU38</f>
        <v>11</v>
      </c>
      <c r="BU38" s="604">
        <f>SUMIF($AO$5:$BS$5,"CN",AO38:BS38)</f>
        <v>0</v>
      </c>
      <c r="BV38" s="633"/>
      <c r="BW38" s="638"/>
      <c r="BX38" s="637">
        <f>BW38</f>
        <v>0</v>
      </c>
      <c r="BY38" s="638">
        <v>0</v>
      </c>
      <c r="BZ38" s="1422" t="s">
        <v>1290</v>
      </c>
    </row>
    <row r="39" spans="1:78" s="544" customFormat="1">
      <c r="A39" s="570"/>
      <c r="B39" s="109"/>
      <c r="C39" s="95" t="s">
        <v>323</v>
      </c>
      <c r="D39" s="96"/>
      <c r="E39" s="96"/>
      <c r="F39" s="96"/>
      <c r="G39" s="96"/>
      <c r="H39" s="96"/>
      <c r="I39" s="96"/>
      <c r="J39" s="96"/>
      <c r="K39" s="96"/>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571"/>
      <c r="AM39" s="571"/>
      <c r="AN39" s="606"/>
      <c r="AO39" s="571"/>
      <c r="AP39" s="623"/>
      <c r="AQ39" s="623"/>
      <c r="AR39" s="623"/>
      <c r="AS39" s="623"/>
      <c r="AT39" s="623"/>
      <c r="AU39" s="623"/>
      <c r="AV39" s="623"/>
      <c r="AW39" s="623"/>
      <c r="AX39" s="623"/>
      <c r="AY39" s="623"/>
      <c r="AZ39" s="623"/>
      <c r="BA39" s="623"/>
      <c r="BB39" s="623"/>
      <c r="BC39" s="623"/>
      <c r="BD39" s="623"/>
      <c r="BE39" s="623"/>
      <c r="BF39" s="623"/>
      <c r="BG39" s="623"/>
      <c r="BH39" s="623"/>
      <c r="BI39" s="623"/>
      <c r="BJ39" s="623"/>
      <c r="BK39" s="623"/>
      <c r="BL39" s="623"/>
      <c r="BM39" s="623"/>
      <c r="BN39" s="623"/>
      <c r="BO39" s="623"/>
      <c r="BP39" s="623"/>
      <c r="BQ39" s="623"/>
      <c r="BR39" s="623"/>
      <c r="BS39" s="623"/>
      <c r="BT39" s="571"/>
      <c r="BU39" s="571"/>
      <c r="BV39" s="571"/>
      <c r="BW39" s="571"/>
      <c r="BX39" s="571"/>
      <c r="BY39" s="571"/>
    </row>
    <row r="40" spans="1:78" s="544" customFormat="1">
      <c r="A40" s="572">
        <v>22</v>
      </c>
      <c r="B40" s="91" t="s">
        <v>324</v>
      </c>
      <c r="C40" s="577" t="str">
        <f>VLOOKUP(B40,'Luong VP'!$B$10:$D$250,2,0)</f>
        <v xml:space="preserve"> Nguyễn Duy Long </v>
      </c>
      <c r="D40" s="106" t="str">
        <f>VLOOKUP(B40,'Luong VP'!$B$10:$D$250,3,0)</f>
        <v>Trưởng BP GS kỹ thuật</v>
      </c>
      <c r="E40" s="1487">
        <v>1</v>
      </c>
      <c r="F40" s="1487">
        <v>1</v>
      </c>
      <c r="G40" s="1487">
        <v>1</v>
      </c>
      <c r="H40" s="1487">
        <v>1</v>
      </c>
      <c r="I40" s="1487">
        <v>1</v>
      </c>
      <c r="J40" s="1487">
        <v>1</v>
      </c>
      <c r="K40" s="1487"/>
      <c r="L40" s="1524" t="s">
        <v>720</v>
      </c>
      <c r="M40" s="1487">
        <v>1</v>
      </c>
      <c r="N40" s="1487">
        <v>1</v>
      </c>
      <c r="O40" s="1487">
        <v>1</v>
      </c>
      <c r="P40" s="1487">
        <v>1</v>
      </c>
      <c r="Q40" s="1487">
        <v>1</v>
      </c>
      <c r="R40" s="1487"/>
      <c r="S40" s="1487">
        <v>1</v>
      </c>
      <c r="T40" s="1487">
        <v>1</v>
      </c>
      <c r="U40" s="1487">
        <v>1</v>
      </c>
      <c r="V40" s="1487">
        <v>1</v>
      </c>
      <c r="W40" s="1487">
        <v>1</v>
      </c>
      <c r="X40" s="1487">
        <v>1</v>
      </c>
      <c r="Y40" s="1487"/>
      <c r="Z40" s="1487">
        <v>1</v>
      </c>
      <c r="AA40" s="1487">
        <v>1</v>
      </c>
      <c r="AB40" s="1487">
        <v>1</v>
      </c>
      <c r="AC40" s="1487">
        <v>1</v>
      </c>
      <c r="AD40" s="1487">
        <v>1</v>
      </c>
      <c r="AE40" s="1487">
        <v>1</v>
      </c>
      <c r="AF40" s="1487"/>
      <c r="AG40" s="1487">
        <v>1</v>
      </c>
      <c r="AH40" s="1487">
        <v>1</v>
      </c>
      <c r="AI40" s="1487">
        <v>1</v>
      </c>
      <c r="AJ40" s="604">
        <f t="shared" ref="AJ40" si="33">SUM(E40:AI40)-AK40</f>
        <v>26</v>
      </c>
      <c r="AK40" s="604">
        <f t="shared" ref="AK40" si="34">SUMIF($E$5:$AI$5,"LT",E40:AI40)</f>
        <v>0</v>
      </c>
      <c r="AL40" s="604">
        <f t="shared" ref="AL40" si="35">COUNTIF(E40:AI40,"P")</f>
        <v>0</v>
      </c>
      <c r="AM40" s="604">
        <f t="shared" ref="AM40" si="36">COUNTIF(E40:AI40,"LT")+MOD(AK40,1)</f>
        <v>1</v>
      </c>
      <c r="AN40" s="601"/>
      <c r="AO40" s="622"/>
      <c r="AP40" s="622"/>
      <c r="AQ40" s="622"/>
      <c r="AR40" s="622"/>
      <c r="AS40" s="622"/>
      <c r="AT40" s="622"/>
      <c r="AU40" s="622"/>
      <c r="AV40" s="622"/>
      <c r="AW40" s="622"/>
      <c r="AX40" s="622"/>
      <c r="AY40" s="622"/>
      <c r="AZ40" s="622"/>
      <c r="BA40" s="622"/>
      <c r="BB40" s="622"/>
      <c r="BC40" s="622"/>
      <c r="BD40" s="622"/>
      <c r="BE40" s="622"/>
      <c r="BF40" s="622"/>
      <c r="BG40" s="622"/>
      <c r="BH40" s="622"/>
      <c r="BI40" s="622"/>
      <c r="BJ40" s="622"/>
      <c r="BK40" s="622"/>
      <c r="BL40" s="622"/>
      <c r="BM40" s="622"/>
      <c r="BN40" s="622"/>
      <c r="BO40" s="622"/>
      <c r="BP40" s="622"/>
      <c r="BQ40" s="622"/>
      <c r="BR40" s="622"/>
      <c r="BS40" s="622"/>
      <c r="BT40" s="604">
        <f t="shared" si="10"/>
        <v>0</v>
      </c>
      <c r="BU40" s="604">
        <f t="shared" si="11"/>
        <v>0</v>
      </c>
      <c r="BV40" s="633"/>
      <c r="BW40" s="1513">
        <v>5000</v>
      </c>
      <c r="BX40" s="637">
        <f t="shared" ref="BX40:BX44" si="37">BW40</f>
        <v>5000</v>
      </c>
      <c r="BY40" s="638">
        <v>0</v>
      </c>
    </row>
    <row r="41" spans="1:78" s="544" customFormat="1">
      <c r="A41" s="572">
        <v>23</v>
      </c>
      <c r="B41" s="91" t="s">
        <v>326</v>
      </c>
      <c r="C41" s="577" t="str">
        <f>VLOOKUP(B41,'Luong VP'!$B$10:$D$250,2,0)</f>
        <v xml:space="preserve"> Nguyễn Trần Duy Anh </v>
      </c>
      <c r="D41" s="106" t="str">
        <f>VLOOKUP(B41,'Luong VP'!$B$10:$D$250,3,0)</f>
        <v>Trưởng Phòng thiết kế kỹ thuật</v>
      </c>
      <c r="E41" s="1487">
        <v>1</v>
      </c>
      <c r="F41" s="1487">
        <v>1</v>
      </c>
      <c r="G41" s="1487">
        <v>1</v>
      </c>
      <c r="H41" s="1487">
        <v>1</v>
      </c>
      <c r="I41" s="1487">
        <v>1</v>
      </c>
      <c r="J41" s="1487">
        <v>1</v>
      </c>
      <c r="K41" s="1487"/>
      <c r="L41" s="1524" t="s">
        <v>720</v>
      </c>
      <c r="M41" s="1487">
        <v>1</v>
      </c>
      <c r="N41" s="1487">
        <v>1</v>
      </c>
      <c r="O41" s="1487">
        <v>1</v>
      </c>
      <c r="P41" s="1487">
        <v>1</v>
      </c>
      <c r="Q41" s="1487">
        <v>1</v>
      </c>
      <c r="R41" s="1487"/>
      <c r="S41" s="1487">
        <v>1</v>
      </c>
      <c r="T41" s="1487">
        <v>1</v>
      </c>
      <c r="U41" s="1487">
        <v>1</v>
      </c>
      <c r="V41" s="1487">
        <v>1</v>
      </c>
      <c r="W41" s="1487">
        <v>1</v>
      </c>
      <c r="X41" s="1487">
        <v>1</v>
      </c>
      <c r="Y41" s="1487"/>
      <c r="Z41" s="1487">
        <v>1</v>
      </c>
      <c r="AA41" s="1487">
        <v>1</v>
      </c>
      <c r="AB41" s="1487">
        <v>1</v>
      </c>
      <c r="AC41" s="1487">
        <v>1</v>
      </c>
      <c r="AD41" s="1487">
        <v>1</v>
      </c>
      <c r="AE41" s="1487">
        <v>1</v>
      </c>
      <c r="AF41" s="1487"/>
      <c r="AG41" s="1487">
        <v>1</v>
      </c>
      <c r="AH41" s="1487">
        <v>1</v>
      </c>
      <c r="AI41" s="1487">
        <v>1</v>
      </c>
      <c r="AJ41" s="604">
        <f t="shared" ref="AJ41:AJ45" si="38">SUM(E41:AI41)-AK41</f>
        <v>26</v>
      </c>
      <c r="AK41" s="604">
        <f t="shared" ref="AK41:AK45" si="39">SUMIF($E$5:$AI$5,"LT",E41:AI41)</f>
        <v>0</v>
      </c>
      <c r="AL41" s="604">
        <f t="shared" ref="AL41:AL45" si="40">COUNTIF(E41:AI41,"P")</f>
        <v>0</v>
      </c>
      <c r="AM41" s="604">
        <f t="shared" ref="AM41:AM45" si="41">COUNTIF(E41:AI41,"LT")+MOD(AK41,1)</f>
        <v>1</v>
      </c>
      <c r="AN41" s="601"/>
      <c r="AO41" s="622"/>
      <c r="AP41" s="622"/>
      <c r="AQ41" s="622"/>
      <c r="AR41" s="622"/>
      <c r="AS41" s="622"/>
      <c r="AT41" s="622"/>
      <c r="AU41" s="622"/>
      <c r="AV41" s="622"/>
      <c r="AW41" s="622"/>
      <c r="AX41" s="622"/>
      <c r="AY41" s="622"/>
      <c r="AZ41" s="622"/>
      <c r="BA41" s="622"/>
      <c r="BB41" s="622"/>
      <c r="BC41" s="622"/>
      <c r="BD41" s="622"/>
      <c r="BE41" s="622"/>
      <c r="BF41" s="622"/>
      <c r="BG41" s="622"/>
      <c r="BH41" s="622"/>
      <c r="BI41" s="622"/>
      <c r="BJ41" s="622"/>
      <c r="BK41" s="622"/>
      <c r="BL41" s="622"/>
      <c r="BM41" s="622"/>
      <c r="BN41" s="622"/>
      <c r="BO41" s="622"/>
      <c r="BP41" s="622"/>
      <c r="BQ41" s="622"/>
      <c r="BR41" s="622"/>
      <c r="BS41" s="622"/>
      <c r="BT41" s="604">
        <f t="shared" si="10"/>
        <v>0</v>
      </c>
      <c r="BU41" s="604">
        <f t="shared" si="11"/>
        <v>0</v>
      </c>
      <c r="BV41" s="633"/>
      <c r="BW41" s="1513">
        <v>10000</v>
      </c>
      <c r="BX41" s="637">
        <f t="shared" si="37"/>
        <v>10000</v>
      </c>
      <c r="BY41" s="638">
        <v>0</v>
      </c>
    </row>
    <row r="42" spans="1:78" s="544" customFormat="1">
      <c r="A42" s="578">
        <v>24</v>
      </c>
      <c r="B42" s="91" t="s">
        <v>328</v>
      </c>
      <c r="C42" s="577" t="str">
        <f>VLOOKUP(B42,'Luong VP'!$B$10:$D$250,2,0)</f>
        <v>Chế Thanh Thân</v>
      </c>
      <c r="D42" s="106" t="str">
        <f>VLOOKUP(B42,'Luong VP'!$B$10:$D$250,3,0)</f>
        <v>CV KCS xây dựng</v>
      </c>
      <c r="E42" s="1487">
        <v>1</v>
      </c>
      <c r="F42" s="1487">
        <v>1</v>
      </c>
      <c r="G42" s="1487">
        <v>1</v>
      </c>
      <c r="H42" s="1487">
        <v>1</v>
      </c>
      <c r="I42" s="1487">
        <v>1</v>
      </c>
      <c r="J42" s="1487">
        <v>1</v>
      </c>
      <c r="K42" s="1487"/>
      <c r="L42" s="1524" t="s">
        <v>720</v>
      </c>
      <c r="M42" s="1487">
        <v>1</v>
      </c>
      <c r="N42" s="1487">
        <v>1</v>
      </c>
      <c r="O42" s="1487">
        <v>1</v>
      </c>
      <c r="P42" s="1487">
        <v>1</v>
      </c>
      <c r="Q42" s="1487">
        <v>1</v>
      </c>
      <c r="R42" s="1487"/>
      <c r="S42" s="1487">
        <v>1</v>
      </c>
      <c r="T42" s="1487">
        <v>1</v>
      </c>
      <c r="U42" s="1487">
        <v>1</v>
      </c>
      <c r="V42" s="1487">
        <v>1</v>
      </c>
      <c r="W42" s="1487">
        <v>1</v>
      </c>
      <c r="X42" s="1487">
        <v>1</v>
      </c>
      <c r="Y42" s="1487"/>
      <c r="Z42" s="1487">
        <v>1</v>
      </c>
      <c r="AA42" s="1487">
        <v>1</v>
      </c>
      <c r="AB42" s="1487">
        <v>1</v>
      </c>
      <c r="AC42" s="1487">
        <v>1</v>
      </c>
      <c r="AD42" s="1487">
        <v>1</v>
      </c>
      <c r="AE42" s="1487">
        <v>1</v>
      </c>
      <c r="AF42" s="1487"/>
      <c r="AG42" s="1487">
        <v>1</v>
      </c>
      <c r="AH42" s="1487">
        <v>1</v>
      </c>
      <c r="AI42" s="1487">
        <v>1</v>
      </c>
      <c r="AJ42" s="604">
        <f t="shared" si="38"/>
        <v>26</v>
      </c>
      <c r="AK42" s="604">
        <f t="shared" si="39"/>
        <v>0</v>
      </c>
      <c r="AL42" s="604">
        <f t="shared" si="40"/>
        <v>0</v>
      </c>
      <c r="AM42" s="604">
        <f t="shared" si="41"/>
        <v>1</v>
      </c>
      <c r="AN42" s="601"/>
      <c r="AO42" s="622"/>
      <c r="AP42" s="622"/>
      <c r="AQ42" s="622"/>
      <c r="AR42" s="622"/>
      <c r="AS42" s="622"/>
      <c r="AT42" s="622"/>
      <c r="AU42" s="622"/>
      <c r="AV42" s="622"/>
      <c r="AW42" s="622"/>
      <c r="AX42" s="622"/>
      <c r="AY42" s="622"/>
      <c r="AZ42" s="622"/>
      <c r="BA42" s="622"/>
      <c r="BB42" s="622"/>
      <c r="BC42" s="622"/>
      <c r="BD42" s="622"/>
      <c r="BE42" s="622"/>
      <c r="BF42" s="622"/>
      <c r="BG42" s="622"/>
      <c r="BH42" s="622"/>
      <c r="BI42" s="622"/>
      <c r="BJ42" s="622"/>
      <c r="BK42" s="622"/>
      <c r="BL42" s="622"/>
      <c r="BM42" s="622"/>
      <c r="BN42" s="622"/>
      <c r="BO42" s="622"/>
      <c r="BP42" s="622"/>
      <c r="BQ42" s="622"/>
      <c r="BR42" s="622"/>
      <c r="BS42" s="622"/>
      <c r="BT42" s="604">
        <f t="shared" si="10"/>
        <v>0</v>
      </c>
      <c r="BU42" s="604">
        <f t="shared" si="11"/>
        <v>0</v>
      </c>
      <c r="BV42" s="633"/>
      <c r="BW42" s="1513">
        <v>4000</v>
      </c>
      <c r="BX42" s="637">
        <f t="shared" si="37"/>
        <v>4000</v>
      </c>
      <c r="BY42" s="638">
        <v>0</v>
      </c>
    </row>
    <row r="43" spans="1:78" s="544" customFormat="1">
      <c r="A43" s="578">
        <v>25</v>
      </c>
      <c r="B43" s="91" t="s">
        <v>330</v>
      </c>
      <c r="C43" s="577" t="str">
        <f>VLOOKUP(B43,'Luong VP'!$B$10:$D$250,2,0)</f>
        <v>Chau Ri Na</v>
      </c>
      <c r="D43" s="106" t="str">
        <f>VLOOKUP(B43,'Luong VP'!$B$10:$D$250,3,0)</f>
        <v>NV thiết kế xây dựng</v>
      </c>
      <c r="E43" s="1487">
        <v>1</v>
      </c>
      <c r="F43" s="1487">
        <v>1</v>
      </c>
      <c r="G43" s="1487">
        <v>1</v>
      </c>
      <c r="H43" s="1487">
        <v>1</v>
      </c>
      <c r="I43" s="1487">
        <v>1</v>
      </c>
      <c r="J43" s="1487">
        <v>1</v>
      </c>
      <c r="K43" s="1487"/>
      <c r="L43" s="1524" t="s">
        <v>720</v>
      </c>
      <c r="M43" s="1487">
        <v>1</v>
      </c>
      <c r="N43" s="1487">
        <v>1</v>
      </c>
      <c r="O43" s="1487">
        <v>1</v>
      </c>
      <c r="P43" s="1487">
        <v>1</v>
      </c>
      <c r="Q43" s="1487">
        <v>1</v>
      </c>
      <c r="R43" s="1487"/>
      <c r="S43" s="1487">
        <v>1</v>
      </c>
      <c r="T43" s="1487">
        <v>1</v>
      </c>
      <c r="U43" s="1487">
        <v>1</v>
      </c>
      <c r="V43" s="1487">
        <v>1</v>
      </c>
      <c r="W43" s="1487">
        <v>1</v>
      </c>
      <c r="X43" s="1487">
        <v>1</v>
      </c>
      <c r="Y43" s="1487"/>
      <c r="Z43" s="1487">
        <v>1</v>
      </c>
      <c r="AA43" s="1487">
        <v>1</v>
      </c>
      <c r="AB43" s="1487">
        <v>1</v>
      </c>
      <c r="AC43" s="1487">
        <v>1</v>
      </c>
      <c r="AD43" s="1487">
        <v>1</v>
      </c>
      <c r="AE43" s="1487">
        <v>1</v>
      </c>
      <c r="AF43" s="1487"/>
      <c r="AG43" s="1487">
        <v>1</v>
      </c>
      <c r="AH43" s="1487">
        <v>1</v>
      </c>
      <c r="AI43" s="1487">
        <v>1</v>
      </c>
      <c r="AJ43" s="604">
        <f t="shared" si="38"/>
        <v>26</v>
      </c>
      <c r="AK43" s="604">
        <f t="shared" si="39"/>
        <v>0</v>
      </c>
      <c r="AL43" s="604">
        <f t="shared" si="40"/>
        <v>0</v>
      </c>
      <c r="AM43" s="604">
        <f t="shared" si="41"/>
        <v>1</v>
      </c>
      <c r="AN43" s="601"/>
      <c r="AO43" s="622"/>
      <c r="AP43" s="622"/>
      <c r="AQ43" s="622"/>
      <c r="AR43" s="622"/>
      <c r="AS43" s="622"/>
      <c r="AT43" s="622"/>
      <c r="AU43" s="622"/>
      <c r="AV43" s="622"/>
      <c r="AW43" s="622"/>
      <c r="AX43" s="622"/>
      <c r="AY43" s="622"/>
      <c r="AZ43" s="622"/>
      <c r="BA43" s="622"/>
      <c r="BB43" s="622"/>
      <c r="BC43" s="622"/>
      <c r="BD43" s="622"/>
      <c r="BE43" s="622"/>
      <c r="BF43" s="622"/>
      <c r="BG43" s="622"/>
      <c r="BH43" s="622"/>
      <c r="BI43" s="622"/>
      <c r="BJ43" s="622"/>
      <c r="BK43" s="622"/>
      <c r="BL43" s="622"/>
      <c r="BM43" s="622"/>
      <c r="BN43" s="622"/>
      <c r="BO43" s="622"/>
      <c r="BP43" s="622"/>
      <c r="BQ43" s="622"/>
      <c r="BR43" s="622"/>
      <c r="BS43" s="622"/>
      <c r="BT43" s="604">
        <f t="shared" si="10"/>
        <v>0</v>
      </c>
      <c r="BU43" s="604">
        <f t="shared" si="11"/>
        <v>0</v>
      </c>
      <c r="BV43" s="633"/>
      <c r="BW43" s="1513">
        <v>5000</v>
      </c>
      <c r="BX43" s="637">
        <f t="shared" si="37"/>
        <v>5000</v>
      </c>
      <c r="BY43" s="638">
        <v>0</v>
      </c>
    </row>
    <row r="44" spans="1:78" s="544" customFormat="1">
      <c r="A44" s="578">
        <v>25</v>
      </c>
      <c r="B44" s="91" t="s">
        <v>332</v>
      </c>
      <c r="C44" s="577" t="str">
        <f>VLOOKUP(B44,'Luong VP'!$B$10:$D$250,2,0)</f>
        <v>Lê Đình Tiến</v>
      </c>
      <c r="D44" s="106" t="str">
        <f>VLOOKUP(B44,'Luong VP'!$B$10:$D$250,3,0)</f>
        <v>CV giám sát thi công</v>
      </c>
      <c r="E44" s="1487">
        <v>1</v>
      </c>
      <c r="F44" s="1487">
        <v>1</v>
      </c>
      <c r="G44" s="1487">
        <v>1</v>
      </c>
      <c r="H44" s="1487">
        <v>1</v>
      </c>
      <c r="I44" s="1487">
        <v>1</v>
      </c>
      <c r="J44" s="1487">
        <v>1</v>
      </c>
      <c r="K44" s="1487"/>
      <c r="L44" s="1524" t="s">
        <v>720</v>
      </c>
      <c r="M44" s="1487">
        <v>1</v>
      </c>
      <c r="N44" s="1487">
        <v>1</v>
      </c>
      <c r="O44" s="1487">
        <v>1</v>
      </c>
      <c r="P44" s="1487">
        <v>1</v>
      </c>
      <c r="Q44" s="1487">
        <v>1</v>
      </c>
      <c r="R44" s="1487"/>
      <c r="S44" s="1487">
        <v>1</v>
      </c>
      <c r="T44" s="1487">
        <v>1</v>
      </c>
      <c r="U44" s="1487">
        <v>1</v>
      </c>
      <c r="V44" s="1487">
        <v>1</v>
      </c>
      <c r="W44" s="1487">
        <v>1</v>
      </c>
      <c r="X44" s="1487">
        <v>1</v>
      </c>
      <c r="Y44" s="1487"/>
      <c r="Z44" s="1487">
        <v>1</v>
      </c>
      <c r="AA44" s="1487">
        <v>1</v>
      </c>
      <c r="AB44" s="1487">
        <v>1</v>
      </c>
      <c r="AC44" s="1487">
        <v>1</v>
      </c>
      <c r="AD44" s="1487">
        <v>1</v>
      </c>
      <c r="AE44" s="1487">
        <v>1</v>
      </c>
      <c r="AF44" s="1487"/>
      <c r="AG44" s="1487">
        <v>1</v>
      </c>
      <c r="AH44" s="1487">
        <v>1</v>
      </c>
      <c r="AI44" s="1487">
        <v>1</v>
      </c>
      <c r="AJ44" s="604">
        <f t="shared" si="38"/>
        <v>26</v>
      </c>
      <c r="AK44" s="604">
        <f t="shared" si="39"/>
        <v>0</v>
      </c>
      <c r="AL44" s="604">
        <f t="shared" si="40"/>
        <v>0</v>
      </c>
      <c r="AM44" s="604">
        <f t="shared" si="41"/>
        <v>1</v>
      </c>
      <c r="AN44" s="601"/>
      <c r="AO44" s="622"/>
      <c r="AP44" s="622"/>
      <c r="AQ44" s="622"/>
      <c r="AR44" s="622"/>
      <c r="AS44" s="622"/>
      <c r="AT44" s="622"/>
      <c r="AU44" s="622"/>
      <c r="AV44" s="622"/>
      <c r="AW44" s="622"/>
      <c r="AX44" s="622"/>
      <c r="AY44" s="622"/>
      <c r="AZ44" s="622"/>
      <c r="BA44" s="622"/>
      <c r="BB44" s="622">
        <v>8</v>
      </c>
      <c r="BC44" s="622"/>
      <c r="BD44" s="622"/>
      <c r="BE44" s="622"/>
      <c r="BF44" s="622"/>
      <c r="BG44" s="622"/>
      <c r="BH44" s="622"/>
      <c r="BI44" s="622">
        <v>8</v>
      </c>
      <c r="BJ44" s="622"/>
      <c r="BK44" s="622"/>
      <c r="BL44" s="622"/>
      <c r="BM44" s="622"/>
      <c r="BN44" s="622"/>
      <c r="BO44" s="622"/>
      <c r="BP44" s="622">
        <v>8</v>
      </c>
      <c r="BQ44" s="622"/>
      <c r="BR44" s="622"/>
      <c r="BS44" s="622"/>
      <c r="BT44" s="604">
        <f t="shared" si="10"/>
        <v>0</v>
      </c>
      <c r="BU44" s="604">
        <f t="shared" si="11"/>
        <v>24</v>
      </c>
      <c r="BV44" s="633"/>
      <c r="BW44" s="1513">
        <v>0</v>
      </c>
      <c r="BX44" s="637">
        <f t="shared" si="37"/>
        <v>0</v>
      </c>
      <c r="BY44" s="638">
        <v>0</v>
      </c>
    </row>
    <row r="45" spans="1:78" s="547" customFormat="1">
      <c r="A45" s="579">
        <v>25</v>
      </c>
      <c r="B45" s="580" t="s">
        <v>1279</v>
      </c>
      <c r="C45" s="581" t="str">
        <f>VLOOKUP(B45,'Luong VP'!$B$10:$D$250,2,0)</f>
        <v>Lê Minh Đức Thịnh</v>
      </c>
      <c r="D45" s="582" t="str">
        <f>VLOOKUP(B45,'Luong VP'!$B$10:$D$250,3,0)</f>
        <v>Trưởng BP Thiết kế Kỹ thuật</v>
      </c>
      <c r="E45" s="1487">
        <v>1</v>
      </c>
      <c r="F45" s="1487">
        <v>1</v>
      </c>
      <c r="G45" s="1487">
        <v>1</v>
      </c>
      <c r="H45" s="1487">
        <v>1</v>
      </c>
      <c r="I45" s="1487">
        <v>1</v>
      </c>
      <c r="J45" s="1487">
        <v>1</v>
      </c>
      <c r="K45" s="1487"/>
      <c r="L45" s="1524" t="s">
        <v>720</v>
      </c>
      <c r="M45" s="1487">
        <v>1</v>
      </c>
      <c r="N45" s="1487">
        <v>1</v>
      </c>
      <c r="O45" s="1487">
        <v>1</v>
      </c>
      <c r="P45" s="1487">
        <v>1</v>
      </c>
      <c r="Q45" s="1487">
        <v>1</v>
      </c>
      <c r="R45" s="1487"/>
      <c r="S45" s="1487">
        <v>1</v>
      </c>
      <c r="T45" s="1487">
        <v>1</v>
      </c>
      <c r="U45" s="1487">
        <v>1</v>
      </c>
      <c r="V45" s="1487">
        <v>1</v>
      </c>
      <c r="W45" s="1487">
        <v>1</v>
      </c>
      <c r="X45" s="1487">
        <v>1</v>
      </c>
      <c r="Y45" s="1487"/>
      <c r="Z45" s="1487">
        <v>1</v>
      </c>
      <c r="AA45" s="1487">
        <v>1</v>
      </c>
      <c r="AB45" s="1487">
        <v>1</v>
      </c>
      <c r="AC45" s="1487">
        <v>1</v>
      </c>
      <c r="AD45" s="1487">
        <v>1</v>
      </c>
      <c r="AE45" s="1487">
        <v>1</v>
      </c>
      <c r="AF45" s="1487"/>
      <c r="AG45" s="1487">
        <v>1</v>
      </c>
      <c r="AH45" s="1487">
        <v>1</v>
      </c>
      <c r="AI45" s="1487">
        <v>1</v>
      </c>
      <c r="AJ45" s="604">
        <f t="shared" si="38"/>
        <v>26</v>
      </c>
      <c r="AK45" s="604">
        <f t="shared" si="39"/>
        <v>0</v>
      </c>
      <c r="AL45" s="604">
        <f t="shared" si="40"/>
        <v>0</v>
      </c>
      <c r="AM45" s="604">
        <f t="shared" si="41"/>
        <v>1</v>
      </c>
      <c r="AN45" s="609"/>
      <c r="AO45" s="622"/>
      <c r="AP45" s="622"/>
      <c r="AQ45" s="622"/>
      <c r="AR45" s="622"/>
      <c r="AS45" s="622"/>
      <c r="AT45" s="622"/>
      <c r="AU45" s="622"/>
      <c r="AV45" s="622"/>
      <c r="AW45" s="622"/>
      <c r="AX45" s="622"/>
      <c r="AY45" s="622"/>
      <c r="AZ45" s="622"/>
      <c r="BA45" s="622"/>
      <c r="BB45" s="622"/>
      <c r="BC45" s="622"/>
      <c r="BD45" s="622"/>
      <c r="BE45" s="622"/>
      <c r="BF45" s="622"/>
      <c r="BG45" s="622"/>
      <c r="BH45" s="622"/>
      <c r="BI45" s="622"/>
      <c r="BJ45" s="622"/>
      <c r="BK45" s="622"/>
      <c r="BL45" s="622"/>
      <c r="BM45" s="622"/>
      <c r="BN45" s="622"/>
      <c r="BO45" s="622"/>
      <c r="BP45" s="622"/>
      <c r="BQ45" s="622"/>
      <c r="BR45" s="622"/>
      <c r="BS45" s="622"/>
      <c r="BT45" s="608">
        <f t="shared" ref="BT45" si="42">SUM(AO45:BS45)-BU45</f>
        <v>0</v>
      </c>
      <c r="BU45" s="608">
        <f t="shared" ref="BU45" si="43">SUMIF($AO$5:$BS$5,"CN",AO45:BS45)</f>
        <v>0</v>
      </c>
      <c r="BV45" s="640"/>
      <c r="BW45" s="1514">
        <v>5000</v>
      </c>
      <c r="BX45" s="641">
        <f t="shared" ref="BX45" si="44">BW45</f>
        <v>5000</v>
      </c>
      <c r="BY45" s="642">
        <v>0</v>
      </c>
    </row>
    <row r="46" spans="1:78" s="544" customFormat="1">
      <c r="A46" s="570"/>
      <c r="B46" s="109"/>
      <c r="C46" s="95" t="s">
        <v>334</v>
      </c>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571"/>
      <c r="AL46" s="571"/>
      <c r="AM46" s="571"/>
      <c r="AN46" s="606"/>
      <c r="AO46" s="571"/>
      <c r="AP46" s="623"/>
      <c r="AQ46" s="623"/>
      <c r="AR46" s="623"/>
      <c r="AS46" s="623"/>
      <c r="AT46" s="623"/>
      <c r="AU46" s="623"/>
      <c r="AV46" s="623"/>
      <c r="AW46" s="623"/>
      <c r="AX46" s="623"/>
      <c r="AY46" s="623"/>
      <c r="AZ46" s="623"/>
      <c r="BA46" s="623"/>
      <c r="BB46" s="623"/>
      <c r="BC46" s="623"/>
      <c r="BD46" s="623"/>
      <c r="BE46" s="623"/>
      <c r="BF46" s="623"/>
      <c r="BG46" s="623"/>
      <c r="BH46" s="623"/>
      <c r="BI46" s="623"/>
      <c r="BJ46" s="623"/>
      <c r="BK46" s="623"/>
      <c r="BL46" s="623"/>
      <c r="BM46" s="623"/>
      <c r="BN46" s="623"/>
      <c r="BO46" s="623"/>
      <c r="BP46" s="623"/>
      <c r="BQ46" s="623"/>
      <c r="BR46" s="623"/>
      <c r="BS46" s="623"/>
      <c r="BT46" s="571"/>
      <c r="BU46" s="571"/>
      <c r="BV46" s="571"/>
      <c r="BW46" s="571"/>
      <c r="BX46" s="571"/>
      <c r="BY46" s="635"/>
    </row>
    <row r="47" spans="1:78" s="544" customFormat="1">
      <c r="A47" s="572">
        <v>24</v>
      </c>
      <c r="B47" s="98" t="s">
        <v>335</v>
      </c>
      <c r="C47" s="573" t="str">
        <f>VLOOKUP(B47,'Luong VP'!$B$10:$D$250,2,0)</f>
        <v xml:space="preserve"> Lê Châu Bào </v>
      </c>
      <c r="D47" s="93" t="str">
        <f>VLOOKUP(B47,'Luong VP'!$B$10:$D$250,3,0)</f>
        <v>TRƯỞNG BAN KẾ HOẠCH VẬT TƯ</v>
      </c>
      <c r="E47" s="575">
        <v>1</v>
      </c>
      <c r="F47" s="575">
        <v>1</v>
      </c>
      <c r="G47" s="575">
        <v>1</v>
      </c>
      <c r="H47" s="575">
        <v>1</v>
      </c>
      <c r="I47" s="575">
        <v>1</v>
      </c>
      <c r="J47" s="575">
        <v>1</v>
      </c>
      <c r="K47" s="575"/>
      <c r="L47" s="1524" t="s">
        <v>720</v>
      </c>
      <c r="M47" s="575">
        <v>1</v>
      </c>
      <c r="N47" s="575">
        <v>1</v>
      </c>
      <c r="O47" s="575">
        <v>1</v>
      </c>
      <c r="P47" s="575">
        <v>1</v>
      </c>
      <c r="Q47" s="575">
        <v>1</v>
      </c>
      <c r="R47" s="575"/>
      <c r="S47" s="575">
        <v>1</v>
      </c>
      <c r="T47" s="575">
        <v>1</v>
      </c>
      <c r="U47" s="575">
        <v>1</v>
      </c>
      <c r="V47" s="575">
        <v>1</v>
      </c>
      <c r="W47" s="575">
        <v>1</v>
      </c>
      <c r="X47" s="575">
        <v>1</v>
      </c>
      <c r="Y47" s="575"/>
      <c r="Z47" s="575">
        <v>1</v>
      </c>
      <c r="AA47" s="575">
        <v>1</v>
      </c>
      <c r="AB47" s="575">
        <v>1</v>
      </c>
      <c r="AC47" s="575">
        <v>1</v>
      </c>
      <c r="AD47" s="575">
        <v>1</v>
      </c>
      <c r="AE47" s="575">
        <v>1</v>
      </c>
      <c r="AF47" s="575"/>
      <c r="AG47" s="575">
        <v>1</v>
      </c>
      <c r="AH47" s="575">
        <v>1</v>
      </c>
      <c r="AI47" s="575">
        <v>1</v>
      </c>
      <c r="AJ47" s="604">
        <f t="shared" ref="AJ47" si="45">SUM(E47:AI47)-AK47</f>
        <v>26</v>
      </c>
      <c r="AK47" s="604">
        <f>SUMIF($E$5:$AI$5,"LT",E47:AI47)</f>
        <v>0</v>
      </c>
      <c r="AL47" s="604">
        <f t="shared" ref="AL47" si="46">COUNTIF(E47:AI47,"P")</f>
        <v>0</v>
      </c>
      <c r="AM47" s="604">
        <f t="shared" ref="AM47" si="47">COUNTIF(E47:AI47,"LT")+MOD(AK47,1)</f>
        <v>1</v>
      </c>
      <c r="AN47" s="601"/>
      <c r="AO47" s="621"/>
      <c r="AP47" s="622"/>
      <c r="AQ47" s="622"/>
      <c r="AR47" s="622"/>
      <c r="AS47" s="622"/>
      <c r="AT47" s="622"/>
      <c r="AU47" s="622"/>
      <c r="AV47" s="622"/>
      <c r="AW47" s="622"/>
      <c r="AX47" s="622"/>
      <c r="AY47" s="622"/>
      <c r="AZ47" s="622"/>
      <c r="BA47" s="622"/>
      <c r="BB47" s="622"/>
      <c r="BC47" s="622"/>
      <c r="BD47" s="622"/>
      <c r="BE47" s="622"/>
      <c r="BF47" s="622"/>
      <c r="BG47" s="622"/>
      <c r="BH47" s="622"/>
      <c r="BI47" s="622"/>
      <c r="BJ47" s="622"/>
      <c r="BK47" s="622"/>
      <c r="BL47" s="622"/>
      <c r="BM47" s="622"/>
      <c r="BN47" s="622"/>
      <c r="BO47" s="622"/>
      <c r="BP47" s="622"/>
      <c r="BQ47" s="622"/>
      <c r="BR47" s="622"/>
      <c r="BS47" s="622"/>
      <c r="BT47" s="604">
        <f>SUM(AO47:BS47)-BU47</f>
        <v>0</v>
      </c>
      <c r="BU47" s="604">
        <f>SUMIF($AO$5:$BS$5,"CN",AO47:BS47)</f>
        <v>0</v>
      </c>
      <c r="BV47" s="633"/>
      <c r="BW47" s="637"/>
      <c r="BX47" s="637">
        <f t="shared" ref="BX47:BX91" si="48">BW47</f>
        <v>0</v>
      </c>
      <c r="BY47" s="638">
        <v>0</v>
      </c>
    </row>
    <row r="48" spans="1:78" s="545" customFormat="1">
      <c r="A48" s="572">
        <v>25</v>
      </c>
      <c r="B48" s="91" t="s">
        <v>337</v>
      </c>
      <c r="C48" s="577" t="str">
        <f>VLOOKUP(B48,'Luong VP'!$B$10:$D$250,2,0)</f>
        <v xml:space="preserve"> Trần Văn Vị Toàn </v>
      </c>
      <c r="D48" s="106" t="str">
        <f>VLOOKUP(B48,'Luong VP'!$B$10:$D$250,3,0)</f>
        <v>CV thu mua vật tư</v>
      </c>
      <c r="E48" s="575">
        <v>1</v>
      </c>
      <c r="F48" s="575">
        <v>1</v>
      </c>
      <c r="G48" s="575">
        <v>1</v>
      </c>
      <c r="H48" s="575">
        <v>1</v>
      </c>
      <c r="I48" s="575">
        <v>1</v>
      </c>
      <c r="J48" s="575">
        <v>1</v>
      </c>
      <c r="K48" s="575"/>
      <c r="L48" s="1524" t="s">
        <v>720</v>
      </c>
      <c r="M48" s="575">
        <v>1</v>
      </c>
      <c r="N48" s="575">
        <v>1</v>
      </c>
      <c r="O48" s="575">
        <v>1</v>
      </c>
      <c r="P48" s="575">
        <v>1</v>
      </c>
      <c r="Q48" s="575">
        <v>1</v>
      </c>
      <c r="R48" s="575"/>
      <c r="S48" s="575">
        <v>1</v>
      </c>
      <c r="T48" s="575">
        <v>1</v>
      </c>
      <c r="U48" s="575">
        <v>1</v>
      </c>
      <c r="V48" s="575">
        <v>1</v>
      </c>
      <c r="W48" s="575">
        <v>1</v>
      </c>
      <c r="X48" s="575">
        <v>1</v>
      </c>
      <c r="Y48" s="575"/>
      <c r="Z48" s="575">
        <v>1</v>
      </c>
      <c r="AA48" s="575">
        <v>1</v>
      </c>
      <c r="AB48" s="575">
        <v>1</v>
      </c>
      <c r="AC48" s="575">
        <v>1</v>
      </c>
      <c r="AD48" s="575">
        <v>1</v>
      </c>
      <c r="AE48" s="575">
        <v>1</v>
      </c>
      <c r="AF48" s="575"/>
      <c r="AG48" s="575">
        <v>1</v>
      </c>
      <c r="AH48" s="575">
        <v>1</v>
      </c>
      <c r="AI48" s="575">
        <v>1</v>
      </c>
      <c r="AJ48" s="604">
        <f t="shared" ref="AJ48:AJ51" si="49">SUM(E48:AI48)-AK48</f>
        <v>26</v>
      </c>
      <c r="AK48" s="604">
        <f t="shared" ref="AK48:AK51" si="50">SUMIF($E$5:$AI$5,"LT",E48:AI48)</f>
        <v>0</v>
      </c>
      <c r="AL48" s="604">
        <f t="shared" ref="AL48:AL51" si="51">COUNTIF(E48:AI48,"P")</f>
        <v>0</v>
      </c>
      <c r="AM48" s="604">
        <f t="shared" ref="AM48:AM51" si="52">COUNTIF(E48:AI48,"LT")+MOD(AK48,1)</f>
        <v>1</v>
      </c>
      <c r="AN48" s="605"/>
      <c r="AO48" s="621"/>
      <c r="AP48" s="622"/>
      <c r="AQ48" s="622"/>
      <c r="AR48" s="622"/>
      <c r="AS48" s="622"/>
      <c r="AT48" s="622"/>
      <c r="AU48" s="622"/>
      <c r="AV48" s="622"/>
      <c r="AW48" s="622"/>
      <c r="AX48" s="622"/>
      <c r="AY48" s="622"/>
      <c r="AZ48" s="622"/>
      <c r="BA48" s="622"/>
      <c r="BB48" s="622"/>
      <c r="BC48" s="622"/>
      <c r="BD48" s="622"/>
      <c r="BE48" s="622"/>
      <c r="BF48" s="622"/>
      <c r="BG48" s="622"/>
      <c r="BH48" s="622"/>
      <c r="BI48" s="622"/>
      <c r="BJ48" s="622"/>
      <c r="BK48" s="622"/>
      <c r="BL48" s="622"/>
      <c r="BM48" s="622"/>
      <c r="BN48" s="622"/>
      <c r="BO48" s="622"/>
      <c r="BP48" s="622"/>
      <c r="BQ48" s="622"/>
      <c r="BR48" s="622"/>
      <c r="BS48" s="622"/>
      <c r="BT48" s="604">
        <f>SUM(AO48:BS48)-BU48</f>
        <v>0</v>
      </c>
      <c r="BU48" s="604">
        <f>SUMIF($AO$5:$BS$5,"CN",AO48:BS48)</f>
        <v>0</v>
      </c>
      <c r="BV48" s="636"/>
      <c r="BW48" s="1513">
        <v>5000</v>
      </c>
      <c r="BX48" s="637">
        <f t="shared" si="48"/>
        <v>5000</v>
      </c>
      <c r="BY48" s="638">
        <v>0</v>
      </c>
    </row>
    <row r="49" spans="1:78" s="544" customFormat="1">
      <c r="A49" s="572">
        <v>26</v>
      </c>
      <c r="B49" s="1255" t="s">
        <v>1306</v>
      </c>
      <c r="C49" s="577" t="str">
        <f>VLOOKUP(B49,'Luong VP'!$B$10:$D$250,2,0)</f>
        <v>Trần Thị Bích Hương</v>
      </c>
      <c r="D49" s="106" t="str">
        <f>VLOOKUP(B49,'Luong VP'!$B$10:$D$250,3,0)</f>
        <v>CV Phân tích Dự Án tiền khả thi</v>
      </c>
      <c r="E49" s="575">
        <v>1</v>
      </c>
      <c r="F49" s="575">
        <v>1</v>
      </c>
      <c r="G49" s="575">
        <v>1</v>
      </c>
      <c r="H49" s="575">
        <v>1</v>
      </c>
      <c r="I49" s="575">
        <v>1</v>
      </c>
      <c r="J49" s="575">
        <v>1</v>
      </c>
      <c r="K49" s="575"/>
      <c r="L49" s="1524" t="s">
        <v>720</v>
      </c>
      <c r="M49" s="575">
        <v>1</v>
      </c>
      <c r="N49" s="575">
        <v>1</v>
      </c>
      <c r="O49" s="575">
        <v>1</v>
      </c>
      <c r="P49" s="575">
        <v>1</v>
      </c>
      <c r="Q49" s="575">
        <v>1</v>
      </c>
      <c r="R49" s="575"/>
      <c r="S49" s="575">
        <v>1</v>
      </c>
      <c r="T49" s="575">
        <v>1</v>
      </c>
      <c r="U49" s="575">
        <v>1</v>
      </c>
      <c r="V49" s="575">
        <v>1</v>
      </c>
      <c r="W49" s="575">
        <v>1</v>
      </c>
      <c r="X49" s="575">
        <v>1</v>
      </c>
      <c r="Y49" s="575"/>
      <c r="Z49" s="575">
        <v>1</v>
      </c>
      <c r="AA49" s="575">
        <v>1</v>
      </c>
      <c r="AB49" s="575">
        <v>1</v>
      </c>
      <c r="AC49" s="575">
        <v>1</v>
      </c>
      <c r="AD49" s="575">
        <v>1</v>
      </c>
      <c r="AE49" s="575">
        <v>1</v>
      </c>
      <c r="AF49" s="575"/>
      <c r="AG49" s="575">
        <v>1</v>
      </c>
      <c r="AH49" s="575">
        <v>1</v>
      </c>
      <c r="AI49" s="575">
        <v>1</v>
      </c>
      <c r="AJ49" s="604">
        <f t="shared" si="49"/>
        <v>26</v>
      </c>
      <c r="AK49" s="604">
        <f t="shared" si="50"/>
        <v>0</v>
      </c>
      <c r="AL49" s="604">
        <f t="shared" si="51"/>
        <v>0</v>
      </c>
      <c r="AM49" s="604">
        <f t="shared" si="52"/>
        <v>1</v>
      </c>
      <c r="AN49" s="601"/>
      <c r="AO49" s="621"/>
      <c r="AP49" s="622"/>
      <c r="AQ49" s="622"/>
      <c r="AR49" s="622"/>
      <c r="AS49" s="622"/>
      <c r="AT49" s="622"/>
      <c r="AU49" s="622"/>
      <c r="AV49" s="622"/>
      <c r="AW49" s="622"/>
      <c r="AX49" s="622"/>
      <c r="AY49" s="622"/>
      <c r="AZ49" s="622"/>
      <c r="BA49" s="622"/>
      <c r="BB49" s="622"/>
      <c r="BC49" s="622"/>
      <c r="BD49" s="622"/>
      <c r="BE49" s="622"/>
      <c r="BF49" s="622"/>
      <c r="BG49" s="622"/>
      <c r="BH49" s="622"/>
      <c r="BI49" s="622"/>
      <c r="BJ49" s="622"/>
      <c r="BK49" s="622"/>
      <c r="BL49" s="622"/>
      <c r="BM49" s="622"/>
      <c r="BN49" s="622"/>
      <c r="BO49" s="622"/>
      <c r="BP49" s="622"/>
      <c r="BQ49" s="622"/>
      <c r="BR49" s="622"/>
      <c r="BS49" s="622"/>
      <c r="BT49" s="604">
        <f>SUM(AO49:BS49)-BU49</f>
        <v>0</v>
      </c>
      <c r="BU49" s="604">
        <f>SUMIF($AO$5:$BS$5,"CN",AO49:BS49)</f>
        <v>0</v>
      </c>
      <c r="BV49" s="633"/>
      <c r="BW49" s="637"/>
      <c r="BX49" s="637">
        <f t="shared" si="48"/>
        <v>0</v>
      </c>
      <c r="BY49" s="638">
        <v>0</v>
      </c>
    </row>
    <row r="50" spans="1:78" s="544" customFormat="1">
      <c r="A50" s="572">
        <v>26</v>
      </c>
      <c r="B50" s="91" t="s">
        <v>339</v>
      </c>
      <c r="C50" s="577" t="str">
        <f>VLOOKUP(B50,'Luong VP'!$B$10:$D$250,2,0)</f>
        <v>Phan Đông</v>
      </c>
      <c r="D50" s="106" t="str">
        <f>VLOOKUP(B50,'Luong VP'!$B$10:$D$250,3,0)</f>
        <v>Trưởng Phòng KHTH</v>
      </c>
      <c r="E50" s="575">
        <v>1</v>
      </c>
      <c r="F50" s="575">
        <v>1</v>
      </c>
      <c r="G50" s="575">
        <v>1</v>
      </c>
      <c r="H50" s="575">
        <v>1</v>
      </c>
      <c r="I50" s="575">
        <v>1</v>
      </c>
      <c r="J50" s="575">
        <v>1</v>
      </c>
      <c r="K50" s="575"/>
      <c r="L50" s="1524" t="s">
        <v>720</v>
      </c>
      <c r="M50" s="575">
        <v>1</v>
      </c>
      <c r="N50" s="575">
        <v>1</v>
      </c>
      <c r="O50" s="575">
        <v>1</v>
      </c>
      <c r="P50" s="575">
        <v>1</v>
      </c>
      <c r="Q50" s="575">
        <v>1</v>
      </c>
      <c r="R50" s="575"/>
      <c r="S50" s="575">
        <v>1</v>
      </c>
      <c r="T50" s="575">
        <v>1</v>
      </c>
      <c r="U50" s="575">
        <v>1</v>
      </c>
      <c r="V50" s="575">
        <v>1</v>
      </c>
      <c r="W50" s="575">
        <v>1</v>
      </c>
      <c r="X50" s="575">
        <v>1</v>
      </c>
      <c r="Y50" s="575"/>
      <c r="Z50" s="575">
        <v>1</v>
      </c>
      <c r="AA50" s="575">
        <v>1</v>
      </c>
      <c r="AB50" s="575">
        <v>1</v>
      </c>
      <c r="AC50" s="575">
        <v>1</v>
      </c>
      <c r="AD50" s="575">
        <v>1</v>
      </c>
      <c r="AE50" s="575">
        <v>1</v>
      </c>
      <c r="AF50" s="575"/>
      <c r="AG50" s="575">
        <v>1</v>
      </c>
      <c r="AH50" s="575">
        <v>1</v>
      </c>
      <c r="AI50" s="575">
        <v>1</v>
      </c>
      <c r="AJ50" s="604">
        <f t="shared" si="49"/>
        <v>26</v>
      </c>
      <c r="AK50" s="604">
        <f t="shared" si="50"/>
        <v>0</v>
      </c>
      <c r="AL50" s="604">
        <f t="shared" si="51"/>
        <v>0</v>
      </c>
      <c r="AM50" s="604">
        <f t="shared" si="52"/>
        <v>1</v>
      </c>
      <c r="AN50" s="601"/>
      <c r="AO50" s="621"/>
      <c r="AP50" s="622"/>
      <c r="AQ50" s="622"/>
      <c r="AR50" s="622"/>
      <c r="AS50" s="622"/>
      <c r="AT50" s="622"/>
      <c r="AU50" s="622"/>
      <c r="AV50" s="622"/>
      <c r="AW50" s="622"/>
      <c r="AX50" s="622"/>
      <c r="AY50" s="622"/>
      <c r="AZ50" s="622"/>
      <c r="BA50" s="622"/>
      <c r="BB50" s="622"/>
      <c r="BC50" s="622"/>
      <c r="BD50" s="622"/>
      <c r="BE50" s="622"/>
      <c r="BF50" s="622"/>
      <c r="BG50" s="622"/>
      <c r="BH50" s="622"/>
      <c r="BI50" s="622"/>
      <c r="BJ50" s="622"/>
      <c r="BK50" s="622"/>
      <c r="BL50" s="622"/>
      <c r="BM50" s="622"/>
      <c r="BN50" s="622"/>
      <c r="BO50" s="622"/>
      <c r="BP50" s="622"/>
      <c r="BQ50" s="622"/>
      <c r="BR50" s="622"/>
      <c r="BS50" s="622"/>
      <c r="BT50" s="604">
        <f>SUM(AO50:BS50)-BU50</f>
        <v>0</v>
      </c>
      <c r="BU50" s="604">
        <f>SUMIF($AO$5:$BS$5,"CN",AO50:BS50)</f>
        <v>0</v>
      </c>
      <c r="BV50" s="633"/>
      <c r="BW50" s="637"/>
      <c r="BX50" s="637">
        <f t="shared" si="48"/>
        <v>0</v>
      </c>
      <c r="BY50" s="638">
        <v>0</v>
      </c>
    </row>
    <row r="51" spans="1:78" s="544" customFormat="1">
      <c r="A51" s="572">
        <v>26</v>
      </c>
      <c r="B51" s="91" t="s">
        <v>1274</v>
      </c>
      <c r="C51" s="577" t="str">
        <f>VLOOKUP(B51,'Luong VP'!$B$10:$D$250,2,0)</f>
        <v>Nguyễn Hoàng Phương Thảo</v>
      </c>
      <c r="D51" s="106" t="str">
        <f>VLOOKUP(B51,'Luong VP'!$B$10:$D$250,3,0)</f>
        <v>CV kế hoạch tổng hợp</v>
      </c>
      <c r="E51" s="575">
        <v>1</v>
      </c>
      <c r="F51" s="575">
        <v>1</v>
      </c>
      <c r="G51" s="575">
        <v>1</v>
      </c>
      <c r="H51" s="575">
        <v>1</v>
      </c>
      <c r="I51" s="575">
        <v>1</v>
      </c>
      <c r="J51" s="575">
        <v>1</v>
      </c>
      <c r="K51" s="575"/>
      <c r="L51" s="1524" t="s">
        <v>720</v>
      </c>
      <c r="M51" s="575">
        <v>1</v>
      </c>
      <c r="N51" s="575">
        <v>1</v>
      </c>
      <c r="O51" s="575">
        <v>1</v>
      </c>
      <c r="P51" s="575">
        <v>1</v>
      </c>
      <c r="Q51" s="575">
        <v>1</v>
      </c>
      <c r="R51" s="575"/>
      <c r="S51" s="575">
        <v>1</v>
      </c>
      <c r="T51" s="575">
        <v>1</v>
      </c>
      <c r="U51" s="575">
        <v>1</v>
      </c>
      <c r="V51" s="575">
        <v>1</v>
      </c>
      <c r="W51" s="575">
        <v>1</v>
      </c>
      <c r="X51" s="575">
        <v>1</v>
      </c>
      <c r="Y51" s="575"/>
      <c r="Z51" s="575">
        <v>1</v>
      </c>
      <c r="AA51" s="575">
        <v>1</v>
      </c>
      <c r="AB51" s="575">
        <v>1</v>
      </c>
      <c r="AC51" s="575">
        <v>1</v>
      </c>
      <c r="AD51" s="575">
        <v>1</v>
      </c>
      <c r="AE51" s="575">
        <v>1</v>
      </c>
      <c r="AF51" s="575"/>
      <c r="AG51" s="575">
        <v>1</v>
      </c>
      <c r="AH51" s="575">
        <v>1</v>
      </c>
      <c r="AI51" s="575">
        <v>1</v>
      </c>
      <c r="AJ51" s="604">
        <f t="shared" si="49"/>
        <v>26</v>
      </c>
      <c r="AK51" s="604">
        <f t="shared" si="50"/>
        <v>0</v>
      </c>
      <c r="AL51" s="604">
        <f t="shared" si="51"/>
        <v>0</v>
      </c>
      <c r="AM51" s="604">
        <f t="shared" si="52"/>
        <v>1</v>
      </c>
      <c r="AN51" s="601"/>
      <c r="AO51" s="621"/>
      <c r="AP51" s="622"/>
      <c r="AQ51" s="622"/>
      <c r="AR51" s="622"/>
      <c r="AS51" s="622"/>
      <c r="AT51" s="622"/>
      <c r="AU51" s="622"/>
      <c r="AV51" s="622"/>
      <c r="AW51" s="622"/>
      <c r="AX51" s="622"/>
      <c r="AY51" s="622"/>
      <c r="AZ51" s="622"/>
      <c r="BA51" s="622"/>
      <c r="BB51" s="622"/>
      <c r="BC51" s="622"/>
      <c r="BD51" s="622"/>
      <c r="BE51" s="622"/>
      <c r="BF51" s="622"/>
      <c r="BG51" s="622"/>
      <c r="BH51" s="622"/>
      <c r="BI51" s="622"/>
      <c r="BJ51" s="622"/>
      <c r="BK51" s="622"/>
      <c r="BL51" s="622"/>
      <c r="BM51" s="622"/>
      <c r="BN51" s="622"/>
      <c r="BO51" s="622"/>
      <c r="BP51" s="622"/>
      <c r="BQ51" s="622"/>
      <c r="BR51" s="622"/>
      <c r="BS51" s="622"/>
      <c r="BT51" s="604">
        <f>SUM(AO51:BS51)-BU51</f>
        <v>0</v>
      </c>
      <c r="BU51" s="604">
        <f>SUMIF($AO$5:$BS$5,"CN",AO51:BS51)</f>
        <v>0</v>
      </c>
      <c r="BV51" s="633"/>
      <c r="BW51" s="637"/>
      <c r="BX51" s="637">
        <f t="shared" ref="BX51" si="53">BW51</f>
        <v>0</v>
      </c>
      <c r="BY51" s="638">
        <v>0</v>
      </c>
    </row>
    <row r="52" spans="1:78" s="544" customFormat="1">
      <c r="A52" s="570"/>
      <c r="B52" s="109"/>
      <c r="C52" s="95" t="s">
        <v>341</v>
      </c>
      <c r="D52" s="96"/>
      <c r="E52" s="96"/>
      <c r="F52" s="96"/>
      <c r="G52" s="96"/>
      <c r="H52" s="96"/>
      <c r="I52" s="96"/>
      <c r="J52" s="96"/>
      <c r="K52" s="96"/>
      <c r="L52" s="96"/>
      <c r="M52" s="96"/>
      <c r="N52" s="96"/>
      <c r="O52" s="96"/>
      <c r="P52" s="96"/>
      <c r="Q52" s="96"/>
      <c r="R52" s="96"/>
      <c r="S52" s="96"/>
      <c r="T52" s="96"/>
      <c r="U52" s="96"/>
      <c r="V52" s="96"/>
      <c r="W52" s="96"/>
      <c r="X52" s="96"/>
      <c r="Y52" s="96"/>
      <c r="Z52" s="96"/>
      <c r="AA52" s="96"/>
      <c r="AB52" s="96"/>
      <c r="AC52" s="96"/>
      <c r="AD52" s="96"/>
      <c r="AE52" s="96"/>
      <c r="AF52" s="96"/>
      <c r="AG52" s="96"/>
      <c r="AH52" s="96"/>
      <c r="AI52" s="96"/>
      <c r="AJ52" s="96"/>
      <c r="AK52" s="96"/>
      <c r="AL52" s="571"/>
      <c r="AM52" s="571"/>
      <c r="AN52" s="606"/>
      <c r="AO52" s="571"/>
      <c r="AP52" s="623"/>
      <c r="AQ52" s="623"/>
      <c r="AR52" s="623"/>
      <c r="AS52" s="623"/>
      <c r="AT52" s="623"/>
      <c r="AU52" s="623"/>
      <c r="AV52" s="623"/>
      <c r="AW52" s="623"/>
      <c r="AX52" s="623"/>
      <c r="AY52" s="623"/>
      <c r="AZ52" s="623"/>
      <c r="BA52" s="623"/>
      <c r="BB52" s="623"/>
      <c r="BC52" s="623"/>
      <c r="BD52" s="623"/>
      <c r="BE52" s="623"/>
      <c r="BF52" s="623"/>
      <c r="BG52" s="623"/>
      <c r="BH52" s="623"/>
      <c r="BI52" s="623"/>
      <c r="BJ52" s="623"/>
      <c r="BK52" s="623"/>
      <c r="BL52" s="623"/>
      <c r="BM52" s="623"/>
      <c r="BN52" s="623"/>
      <c r="BO52" s="623"/>
      <c r="BP52" s="623"/>
      <c r="BQ52" s="623"/>
      <c r="BR52" s="623"/>
      <c r="BS52" s="623"/>
      <c r="BT52" s="571"/>
      <c r="BU52" s="571"/>
      <c r="BV52" s="571"/>
      <c r="BW52" s="571"/>
      <c r="BX52" s="571"/>
      <c r="BY52" s="571"/>
    </row>
    <row r="53" spans="1:78" s="544" customFormat="1">
      <c r="A53" s="572">
        <v>28</v>
      </c>
      <c r="B53" s="98" t="s">
        <v>342</v>
      </c>
      <c r="C53" s="573" t="str">
        <f>VLOOKUP(B53,'Luong VP'!$B$10:$D$250,2,0)</f>
        <v xml:space="preserve"> Huỳnh Thanh Liêm </v>
      </c>
      <c r="D53" s="93" t="str">
        <f>VLOOKUP(B53,'Luong VP'!$B$10:$D$250,3,0)</f>
        <v>TRƯỞNG BAN DỰ ÁN CÔNG</v>
      </c>
      <c r="E53" s="575">
        <v>1</v>
      </c>
      <c r="F53" s="575">
        <v>1</v>
      </c>
      <c r="G53" s="575">
        <v>1</v>
      </c>
      <c r="H53" s="575">
        <v>1</v>
      </c>
      <c r="I53" s="575">
        <v>1</v>
      </c>
      <c r="J53" s="575">
        <v>1</v>
      </c>
      <c r="K53" s="575"/>
      <c r="L53" s="1524" t="s">
        <v>720</v>
      </c>
      <c r="M53" s="575">
        <v>1</v>
      </c>
      <c r="N53" s="575">
        <v>1</v>
      </c>
      <c r="O53" s="575">
        <v>1</v>
      </c>
      <c r="P53" s="575">
        <v>1</v>
      </c>
      <c r="Q53" s="575">
        <v>1</v>
      </c>
      <c r="R53" s="575"/>
      <c r="S53" s="575">
        <v>1</v>
      </c>
      <c r="T53" s="575">
        <v>1</v>
      </c>
      <c r="U53" s="575">
        <v>1</v>
      </c>
      <c r="V53" s="575">
        <v>1</v>
      </c>
      <c r="W53" s="575">
        <v>1</v>
      </c>
      <c r="X53" s="575">
        <v>1</v>
      </c>
      <c r="Y53" s="575"/>
      <c r="Z53" s="575">
        <v>1</v>
      </c>
      <c r="AA53" s="575">
        <v>1</v>
      </c>
      <c r="AB53" s="575">
        <v>1</v>
      </c>
      <c r="AC53" s="575">
        <v>1</v>
      </c>
      <c r="AD53" s="575">
        <v>1</v>
      </c>
      <c r="AE53" s="575">
        <v>1</v>
      </c>
      <c r="AF53" s="575"/>
      <c r="AG53" s="575">
        <v>1</v>
      </c>
      <c r="AH53" s="575">
        <v>1</v>
      </c>
      <c r="AI53" s="575">
        <v>1</v>
      </c>
      <c r="AJ53" s="604">
        <f t="shared" ref="AJ53" si="54">SUM(E53:AI53)-AK53</f>
        <v>26</v>
      </c>
      <c r="AK53" s="604">
        <f>SUMIF($E$5:$AI$5,"LT",E53:AI53)</f>
        <v>0</v>
      </c>
      <c r="AL53" s="604">
        <f t="shared" ref="AL53" si="55">COUNTIF(E53:AI53,"P")</f>
        <v>0</v>
      </c>
      <c r="AM53" s="604">
        <f t="shared" ref="AM53" si="56">COUNTIF(E53:AI53,"LT")+MOD(AK53,1)</f>
        <v>1</v>
      </c>
      <c r="AN53" s="601"/>
      <c r="AO53" s="621"/>
      <c r="AP53" s="622"/>
      <c r="AQ53" s="622"/>
      <c r="AR53" s="622"/>
      <c r="AS53" s="622"/>
      <c r="AT53" s="622"/>
      <c r="AU53" s="622"/>
      <c r="AV53" s="622"/>
      <c r="AW53" s="622"/>
      <c r="AX53" s="622"/>
      <c r="AY53" s="622"/>
      <c r="AZ53" s="622"/>
      <c r="BA53" s="622"/>
      <c r="BB53" s="622"/>
      <c r="BC53" s="622"/>
      <c r="BD53" s="622"/>
      <c r="BE53" s="622"/>
      <c r="BF53" s="622"/>
      <c r="BG53" s="622"/>
      <c r="BH53" s="622"/>
      <c r="BI53" s="622"/>
      <c r="BJ53" s="622"/>
      <c r="BK53" s="622"/>
      <c r="BL53" s="622"/>
      <c r="BM53" s="622"/>
      <c r="BN53" s="622"/>
      <c r="BO53" s="622"/>
      <c r="BP53" s="622"/>
      <c r="BQ53" s="622"/>
      <c r="BR53" s="622"/>
      <c r="BS53" s="622"/>
      <c r="BT53" s="604">
        <f>SUM(AO53:BS53)-BU53</f>
        <v>0</v>
      </c>
      <c r="BU53" s="604">
        <f>SUMIF($AO$5:$BS$5,"CN",AO53:BS53)</f>
        <v>0</v>
      </c>
      <c r="BV53" s="633"/>
      <c r="BW53" s="637"/>
      <c r="BX53" s="637">
        <f t="shared" si="48"/>
        <v>0</v>
      </c>
      <c r="BY53" s="638">
        <v>0</v>
      </c>
    </row>
    <row r="54" spans="1:78" s="544" customFormat="1">
      <c r="A54" s="572">
        <v>29</v>
      </c>
      <c r="B54" s="91" t="s">
        <v>344</v>
      </c>
      <c r="C54" s="577" t="str">
        <f>VLOOKUP(B54,'Luong VP'!$B$10:$D$250,2,0)</f>
        <v xml:space="preserve"> Lê Công Nhất Trung </v>
      </c>
      <c r="D54" s="106" t="str">
        <f>VLOOKUP(B54,'Luong VP'!$B$10:$D$250,3,0)</f>
        <v>NV triển khai thực hiện dự án</v>
      </c>
      <c r="E54" s="575">
        <v>1</v>
      </c>
      <c r="F54" s="575">
        <v>1</v>
      </c>
      <c r="G54" s="575">
        <v>1</v>
      </c>
      <c r="H54" s="575">
        <v>1</v>
      </c>
      <c r="I54" s="575">
        <v>1</v>
      </c>
      <c r="J54" s="575">
        <v>1</v>
      </c>
      <c r="K54" s="575"/>
      <c r="L54" s="1524" t="s">
        <v>720</v>
      </c>
      <c r="M54" s="575">
        <v>1</v>
      </c>
      <c r="N54" s="575">
        <v>1</v>
      </c>
      <c r="O54" s="575">
        <v>1</v>
      </c>
      <c r="P54" s="575">
        <v>1</v>
      </c>
      <c r="Q54" s="575">
        <v>1</v>
      </c>
      <c r="R54" s="575"/>
      <c r="S54" s="575">
        <v>1</v>
      </c>
      <c r="T54" s="575">
        <v>1</v>
      </c>
      <c r="U54" s="575">
        <v>1</v>
      </c>
      <c r="V54" s="575">
        <v>1</v>
      </c>
      <c r="W54" s="575">
        <v>1</v>
      </c>
      <c r="X54" s="575">
        <v>1</v>
      </c>
      <c r="Y54" s="575"/>
      <c r="Z54" s="575">
        <v>1</v>
      </c>
      <c r="AA54" s="575">
        <v>1</v>
      </c>
      <c r="AB54" s="575">
        <v>1</v>
      </c>
      <c r="AC54" s="575">
        <v>1</v>
      </c>
      <c r="AD54" s="575">
        <v>1</v>
      </c>
      <c r="AE54" s="575">
        <v>1</v>
      </c>
      <c r="AF54" s="575"/>
      <c r="AG54" s="575">
        <v>1</v>
      </c>
      <c r="AH54" s="575">
        <v>1</v>
      </c>
      <c r="AI54" s="575">
        <v>1</v>
      </c>
      <c r="AJ54" s="604">
        <f t="shared" ref="AJ54:AJ56" si="57">SUM(E54:AI54)-AK54</f>
        <v>26</v>
      </c>
      <c r="AK54" s="604">
        <f t="shared" ref="AK54:AK56" si="58">SUMIF($E$5:$AI$5,"LT",E54:AI54)</f>
        <v>0</v>
      </c>
      <c r="AL54" s="604">
        <f t="shared" ref="AL54:AL56" si="59">COUNTIF(E54:AI54,"P")</f>
        <v>0</v>
      </c>
      <c r="AM54" s="604">
        <f t="shared" ref="AM54:AM56" si="60">COUNTIF(E54:AI54,"LT")+MOD(AK54,1)</f>
        <v>1</v>
      </c>
      <c r="AN54" s="601"/>
      <c r="AO54" s="621"/>
      <c r="AP54" s="622"/>
      <c r="AQ54" s="622"/>
      <c r="AR54" s="622"/>
      <c r="AS54" s="622"/>
      <c r="AT54" s="622"/>
      <c r="AU54" s="622"/>
      <c r="AV54" s="622"/>
      <c r="AW54" s="622"/>
      <c r="AX54" s="622"/>
      <c r="AY54" s="622"/>
      <c r="AZ54" s="622"/>
      <c r="BA54" s="622"/>
      <c r="BB54" s="622"/>
      <c r="BC54" s="622"/>
      <c r="BD54" s="622"/>
      <c r="BE54" s="622"/>
      <c r="BF54" s="622"/>
      <c r="BG54" s="622"/>
      <c r="BH54" s="622"/>
      <c r="BI54" s="622"/>
      <c r="BJ54" s="622"/>
      <c r="BK54" s="622"/>
      <c r="BL54" s="622"/>
      <c r="BM54" s="622"/>
      <c r="BN54" s="622"/>
      <c r="BO54" s="622"/>
      <c r="BP54" s="622"/>
      <c r="BQ54" s="622"/>
      <c r="BR54" s="622"/>
      <c r="BS54" s="622"/>
      <c r="BT54" s="604">
        <f>SUM(AO54:BS54)-BU54</f>
        <v>0</v>
      </c>
      <c r="BU54" s="604">
        <f>SUMIF($AO$5:$BS$5,"CN",AO54:BS54)</f>
        <v>0</v>
      </c>
      <c r="BV54" s="633"/>
      <c r="BW54" s="637"/>
      <c r="BX54" s="637">
        <f t="shared" si="48"/>
        <v>0</v>
      </c>
      <c r="BY54" s="638">
        <v>0</v>
      </c>
    </row>
    <row r="55" spans="1:78" s="545" customFormat="1">
      <c r="A55" s="572">
        <v>31</v>
      </c>
      <c r="B55" s="584" t="s">
        <v>348</v>
      </c>
      <c r="C55" s="577" t="str">
        <f>VLOOKUP(B55,'Luong VP'!$B$10:$D$250,2,0)</f>
        <v xml:space="preserve"> Trần Ngọc Thạch </v>
      </c>
      <c r="D55" s="106" t="str">
        <f>VLOOKUP(B55,'Luong VP'!$B$10:$D$250,3,0)</f>
        <v>NV triển khai thực hiện dự án</v>
      </c>
      <c r="E55" s="575">
        <v>1</v>
      </c>
      <c r="F55" s="575">
        <v>1</v>
      </c>
      <c r="G55" s="575">
        <v>1</v>
      </c>
      <c r="H55" s="575">
        <v>1</v>
      </c>
      <c r="I55" s="575">
        <v>1</v>
      </c>
      <c r="J55" s="575">
        <v>1</v>
      </c>
      <c r="K55" s="575"/>
      <c r="L55" s="1524" t="s">
        <v>720</v>
      </c>
      <c r="M55" s="575">
        <v>1</v>
      </c>
      <c r="N55" s="575">
        <v>1</v>
      </c>
      <c r="O55" s="575">
        <v>1</v>
      </c>
      <c r="P55" s="575">
        <v>1</v>
      </c>
      <c r="Q55" s="575">
        <v>1</v>
      </c>
      <c r="R55" s="575"/>
      <c r="S55" s="575">
        <v>1</v>
      </c>
      <c r="T55" s="575">
        <v>1</v>
      </c>
      <c r="U55" s="575">
        <v>1</v>
      </c>
      <c r="V55" s="575">
        <v>1</v>
      </c>
      <c r="W55" s="575">
        <v>1</v>
      </c>
      <c r="X55" s="575">
        <v>1</v>
      </c>
      <c r="Y55" s="575"/>
      <c r="Z55" s="575">
        <v>1</v>
      </c>
      <c r="AA55" s="575">
        <v>1</v>
      </c>
      <c r="AB55" s="575">
        <v>1</v>
      </c>
      <c r="AC55" s="575">
        <v>1</v>
      </c>
      <c r="AD55" s="575">
        <v>1</v>
      </c>
      <c r="AE55" s="575">
        <v>1</v>
      </c>
      <c r="AF55" s="575"/>
      <c r="AG55" s="575">
        <v>1</v>
      </c>
      <c r="AH55" s="575">
        <v>1</v>
      </c>
      <c r="AI55" s="575">
        <v>1</v>
      </c>
      <c r="AJ55" s="604">
        <f t="shared" si="57"/>
        <v>26</v>
      </c>
      <c r="AK55" s="604">
        <f t="shared" si="58"/>
        <v>0</v>
      </c>
      <c r="AL55" s="604">
        <f t="shared" si="59"/>
        <v>0</v>
      </c>
      <c r="AM55" s="604">
        <f t="shared" si="60"/>
        <v>1</v>
      </c>
      <c r="AN55" s="605"/>
      <c r="AO55" s="625"/>
      <c r="AP55" s="625"/>
      <c r="AQ55" s="625"/>
      <c r="AR55" s="622"/>
      <c r="AS55" s="622"/>
      <c r="AT55" s="622"/>
      <c r="AU55" s="622"/>
      <c r="AV55" s="622"/>
      <c r="AW55" s="622"/>
      <c r="AX55" s="622"/>
      <c r="AY55" s="622"/>
      <c r="AZ55" s="622"/>
      <c r="BA55" s="622"/>
      <c r="BB55" s="622"/>
      <c r="BC55" s="622"/>
      <c r="BD55" s="622"/>
      <c r="BE55" s="622"/>
      <c r="BF55" s="622"/>
      <c r="BG55" s="622"/>
      <c r="BH55" s="622"/>
      <c r="BI55" s="622"/>
      <c r="BJ55" s="622"/>
      <c r="BK55" s="622"/>
      <c r="BL55" s="622"/>
      <c r="BM55" s="622"/>
      <c r="BN55" s="622"/>
      <c r="BO55" s="622"/>
      <c r="BP55" s="622"/>
      <c r="BQ55" s="622"/>
      <c r="BR55" s="622"/>
      <c r="BS55" s="622"/>
      <c r="BT55" s="604">
        <f>SUM(AO55:BS55)-BU55</f>
        <v>0</v>
      </c>
      <c r="BU55" s="604">
        <f>SUMIF($AO$5:$BS$5,"CN",AO55:BS55)</f>
        <v>0</v>
      </c>
      <c r="BV55" s="636"/>
      <c r="BW55" s="637"/>
      <c r="BX55" s="637">
        <f t="shared" si="48"/>
        <v>0</v>
      </c>
      <c r="BY55" s="638">
        <v>0</v>
      </c>
    </row>
    <row r="56" spans="1:78" s="544" customFormat="1">
      <c r="A56" s="572">
        <v>34</v>
      </c>
      <c r="B56" s="91" t="s">
        <v>350</v>
      </c>
      <c r="C56" s="577" t="str">
        <f>VLOOKUP(B56,'Luong VP'!$B$10:$D$250,2,0)</f>
        <v xml:space="preserve"> Trần Thị Minh Thương </v>
      </c>
      <c r="D56" s="106" t="str">
        <f>VLOOKUP(B56,'Luong VP'!$B$10:$D$250,3,0)</f>
        <v>NV nghiệm thu thanh toán</v>
      </c>
      <c r="E56" s="575">
        <v>1</v>
      </c>
      <c r="F56" s="575">
        <v>1</v>
      </c>
      <c r="G56" s="575">
        <v>1</v>
      </c>
      <c r="H56" s="575">
        <v>1</v>
      </c>
      <c r="I56" s="575">
        <v>1</v>
      </c>
      <c r="J56" s="575">
        <v>1</v>
      </c>
      <c r="K56" s="575"/>
      <c r="L56" s="1524" t="s">
        <v>720</v>
      </c>
      <c r="M56" s="575">
        <v>1</v>
      </c>
      <c r="N56" s="575">
        <v>1</v>
      </c>
      <c r="O56" s="575">
        <v>1</v>
      </c>
      <c r="P56" s="575">
        <v>1</v>
      </c>
      <c r="Q56" s="575">
        <v>1</v>
      </c>
      <c r="R56" s="575"/>
      <c r="S56" s="575">
        <v>1</v>
      </c>
      <c r="T56" s="575">
        <v>1</v>
      </c>
      <c r="U56" s="575">
        <v>1</v>
      </c>
      <c r="V56" s="575">
        <v>1</v>
      </c>
      <c r="W56" s="575">
        <v>1</v>
      </c>
      <c r="X56" s="575">
        <v>1</v>
      </c>
      <c r="Y56" s="575"/>
      <c r="Z56" s="575">
        <v>1</v>
      </c>
      <c r="AA56" s="575">
        <v>1</v>
      </c>
      <c r="AB56" s="575">
        <v>1</v>
      </c>
      <c r="AC56" s="575">
        <v>1</v>
      </c>
      <c r="AD56" s="575">
        <v>1</v>
      </c>
      <c r="AE56" s="575">
        <v>1</v>
      </c>
      <c r="AF56" s="575"/>
      <c r="AG56" s="575">
        <v>1</v>
      </c>
      <c r="AH56" s="575">
        <v>1</v>
      </c>
      <c r="AI56" s="575">
        <v>1</v>
      </c>
      <c r="AJ56" s="604">
        <f t="shared" si="57"/>
        <v>26</v>
      </c>
      <c r="AK56" s="604">
        <f t="shared" si="58"/>
        <v>0</v>
      </c>
      <c r="AL56" s="604">
        <f t="shared" si="59"/>
        <v>0</v>
      </c>
      <c r="AM56" s="604">
        <f t="shared" si="60"/>
        <v>1</v>
      </c>
      <c r="AN56" s="601"/>
      <c r="AO56" s="622"/>
      <c r="AP56" s="622"/>
      <c r="AQ56" s="622"/>
      <c r="AR56" s="622"/>
      <c r="AS56" s="622"/>
      <c r="AT56" s="622"/>
      <c r="AU56" s="622"/>
      <c r="AV56" s="622"/>
      <c r="AW56" s="622"/>
      <c r="AX56" s="622"/>
      <c r="AY56" s="622"/>
      <c r="AZ56" s="622"/>
      <c r="BA56" s="622"/>
      <c r="BB56" s="622"/>
      <c r="BC56" s="622"/>
      <c r="BD56" s="622"/>
      <c r="BE56" s="622"/>
      <c r="BF56" s="622"/>
      <c r="BG56" s="622"/>
      <c r="BH56" s="622"/>
      <c r="BI56" s="622"/>
      <c r="BJ56" s="622"/>
      <c r="BK56" s="622"/>
      <c r="BL56" s="622"/>
      <c r="BM56" s="622"/>
      <c r="BN56" s="622"/>
      <c r="BO56" s="622"/>
      <c r="BP56" s="622"/>
      <c r="BQ56" s="622"/>
      <c r="BR56" s="622"/>
      <c r="BS56" s="622"/>
      <c r="BT56" s="604">
        <f>SUM(AO56:BS56)-BU56</f>
        <v>0</v>
      </c>
      <c r="BU56" s="604">
        <f>SUMIF($AO$5:$BS$5,"CN",AO56:BS56)</f>
        <v>0</v>
      </c>
      <c r="BV56" s="633"/>
      <c r="BW56" s="637"/>
      <c r="BX56" s="637">
        <f t="shared" si="48"/>
        <v>0</v>
      </c>
      <c r="BY56" s="638">
        <v>0</v>
      </c>
    </row>
    <row r="57" spans="1:78" s="544" customFormat="1">
      <c r="A57" s="570"/>
      <c r="B57" s="109"/>
      <c r="C57" s="95" t="s">
        <v>732</v>
      </c>
      <c r="D57" s="96"/>
      <c r="E57" s="96"/>
      <c r="F57" s="96"/>
      <c r="G57" s="96"/>
      <c r="H57" s="96"/>
      <c r="I57" s="96"/>
      <c r="J57" s="96"/>
      <c r="K57" s="96"/>
      <c r="L57" s="96"/>
      <c r="M57" s="96"/>
      <c r="N57" s="96"/>
      <c r="O57" s="96"/>
      <c r="P57" s="96"/>
      <c r="Q57" s="96"/>
      <c r="R57" s="96"/>
      <c r="S57" s="96"/>
      <c r="T57" s="96"/>
      <c r="U57" s="96"/>
      <c r="V57" s="96"/>
      <c r="W57" s="96"/>
      <c r="X57" s="96"/>
      <c r="Y57" s="96"/>
      <c r="Z57" s="96"/>
      <c r="AA57" s="96"/>
      <c r="AB57" s="96"/>
      <c r="AC57" s="96"/>
      <c r="AD57" s="96"/>
      <c r="AE57" s="96"/>
      <c r="AF57" s="96"/>
      <c r="AG57" s="96"/>
      <c r="AH57" s="96"/>
      <c r="AI57" s="96"/>
      <c r="AJ57" s="96"/>
      <c r="AK57" s="96"/>
      <c r="AL57" s="571"/>
      <c r="AM57" s="571"/>
      <c r="AN57" s="606"/>
      <c r="AO57" s="623"/>
      <c r="AP57" s="623"/>
      <c r="AQ57" s="623"/>
      <c r="AR57" s="623"/>
      <c r="AS57" s="623"/>
      <c r="AT57" s="623"/>
      <c r="AU57" s="623"/>
      <c r="AV57" s="623"/>
      <c r="AW57" s="623"/>
      <c r="AX57" s="623"/>
      <c r="AY57" s="623"/>
      <c r="AZ57" s="623"/>
      <c r="BA57" s="623"/>
      <c r="BB57" s="623"/>
      <c r="BC57" s="623"/>
      <c r="BD57" s="623"/>
      <c r="BE57" s="623"/>
      <c r="BF57" s="623"/>
      <c r="BG57" s="623"/>
      <c r="BH57" s="623"/>
      <c r="BI57" s="623"/>
      <c r="BJ57" s="623"/>
      <c r="BK57" s="623"/>
      <c r="BL57" s="623"/>
      <c r="BM57" s="623"/>
      <c r="BN57" s="623"/>
      <c r="BO57" s="623"/>
      <c r="BP57" s="623"/>
      <c r="BQ57" s="623"/>
      <c r="BR57" s="623"/>
      <c r="BS57" s="623"/>
      <c r="BT57" s="571"/>
      <c r="BU57" s="571"/>
      <c r="BV57" s="571"/>
      <c r="BW57" s="571"/>
      <c r="BX57" s="571"/>
      <c r="BY57" s="571"/>
    </row>
    <row r="58" spans="1:78" s="547" customFormat="1">
      <c r="A58" s="579">
        <v>28</v>
      </c>
      <c r="B58" s="585" t="s">
        <v>297</v>
      </c>
      <c r="C58" s="586" t="str">
        <f>VLOOKUP(B58,'Luong VP'!$B$10:$D$250,2,0)</f>
        <v>Hoàng Giáng Sinh</v>
      </c>
      <c r="D58" s="587" t="str">
        <f>VLOOKUP(B58,'Luong VP'!$B$10:$D$250,3,0)</f>
        <v>GĐ Cơ cấu &amp; Chiến lược</v>
      </c>
      <c r="E58" s="575">
        <v>1</v>
      </c>
      <c r="F58" s="575">
        <v>1</v>
      </c>
      <c r="G58" s="575">
        <v>1</v>
      </c>
      <c r="H58" s="575">
        <v>1</v>
      </c>
      <c r="I58" s="575">
        <v>1</v>
      </c>
      <c r="J58" s="575">
        <v>1</v>
      </c>
      <c r="K58" s="575"/>
      <c r="L58" s="1524" t="s">
        <v>720</v>
      </c>
      <c r="M58" s="575">
        <v>1</v>
      </c>
      <c r="N58" s="575">
        <v>1</v>
      </c>
      <c r="O58" s="575">
        <v>1</v>
      </c>
      <c r="P58" s="575">
        <v>1</v>
      </c>
      <c r="Q58" s="575">
        <v>1</v>
      </c>
      <c r="R58" s="575"/>
      <c r="S58" s="575">
        <v>1</v>
      </c>
      <c r="T58" s="575">
        <v>1</v>
      </c>
      <c r="U58" s="575">
        <v>1</v>
      </c>
      <c r="V58" s="575">
        <v>1</v>
      </c>
      <c r="W58" s="575">
        <v>1</v>
      </c>
      <c r="X58" s="575">
        <v>1</v>
      </c>
      <c r="Y58" s="575"/>
      <c r="Z58" s="575">
        <v>1</v>
      </c>
      <c r="AA58" s="575">
        <v>1</v>
      </c>
      <c r="AB58" s="575">
        <v>1</v>
      </c>
      <c r="AC58" s="575">
        <v>1</v>
      </c>
      <c r="AD58" s="575">
        <v>1</v>
      </c>
      <c r="AE58" s="575">
        <v>1</v>
      </c>
      <c r="AF58" s="575"/>
      <c r="AG58" s="575">
        <v>1</v>
      </c>
      <c r="AH58" s="575">
        <v>1</v>
      </c>
      <c r="AI58" s="575">
        <v>1</v>
      </c>
      <c r="AJ58" s="608">
        <f>SUM(E58:AI58)-AK58</f>
        <v>26</v>
      </c>
      <c r="AK58" s="608">
        <f>SUMIF($E$5:$AI$5,"LT",E58:AI58)</f>
        <v>0</v>
      </c>
      <c r="AL58" s="608">
        <f>COUNTIF(E58:AI58,"P")</f>
        <v>0</v>
      </c>
      <c r="AM58" s="608">
        <f>COUNTIF(E58:AI58,"LT")+MOD(AK58,1)</f>
        <v>1</v>
      </c>
      <c r="AN58" s="609"/>
      <c r="AO58" s="622"/>
      <c r="AP58" s="622"/>
      <c r="AQ58" s="622"/>
      <c r="AR58" s="622"/>
      <c r="AS58" s="622"/>
      <c r="AT58" s="622"/>
      <c r="AU58" s="622"/>
      <c r="AV58" s="622"/>
      <c r="AW58" s="622"/>
      <c r="AX58" s="622"/>
      <c r="AY58" s="622"/>
      <c r="AZ58" s="622"/>
      <c r="BA58" s="622"/>
      <c r="BB58" s="622"/>
      <c r="BC58" s="622"/>
      <c r="BD58" s="622"/>
      <c r="BE58" s="622"/>
      <c r="BF58" s="622"/>
      <c r="BG58" s="622"/>
      <c r="BH58" s="622"/>
      <c r="BI58" s="622"/>
      <c r="BJ58" s="622"/>
      <c r="BK58" s="622"/>
      <c r="BL58" s="622"/>
      <c r="BM58" s="622"/>
      <c r="BN58" s="622"/>
      <c r="BO58" s="622"/>
      <c r="BP58" s="622"/>
      <c r="BQ58" s="622"/>
      <c r="BR58" s="622"/>
      <c r="BS58" s="622"/>
      <c r="BT58" s="604">
        <f>SUM(AO58:BS58)-BU58</f>
        <v>0</v>
      </c>
      <c r="BU58" s="604">
        <f>SUMIF($AO$5:$BS$5,"CN",AO58:BS58)</f>
        <v>0</v>
      </c>
      <c r="BV58" s="640"/>
      <c r="BW58" s="637"/>
      <c r="BX58" s="637">
        <f t="shared" si="48"/>
        <v>0</v>
      </c>
      <c r="BY58" s="642">
        <v>0</v>
      </c>
    </row>
    <row r="59" spans="1:78" s="544" customFormat="1">
      <c r="A59" s="570"/>
      <c r="B59" s="109"/>
      <c r="C59" s="95" t="s">
        <v>352</v>
      </c>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c r="AD59" s="96"/>
      <c r="AE59" s="96"/>
      <c r="AF59" s="96"/>
      <c r="AG59" s="96"/>
      <c r="AH59" s="96"/>
      <c r="AI59" s="96"/>
      <c r="AJ59" s="96"/>
      <c r="AK59" s="96"/>
      <c r="AL59" s="571"/>
      <c r="AM59" s="571"/>
      <c r="AN59" s="606"/>
      <c r="AO59" s="623"/>
      <c r="AP59" s="623"/>
      <c r="AQ59" s="623"/>
      <c r="AR59" s="623"/>
      <c r="AS59" s="623"/>
      <c r="AT59" s="623"/>
      <c r="AU59" s="623"/>
      <c r="AV59" s="623"/>
      <c r="AW59" s="623"/>
      <c r="AX59" s="623"/>
      <c r="AY59" s="623"/>
      <c r="AZ59" s="623"/>
      <c r="BA59" s="623"/>
      <c r="BB59" s="623"/>
      <c r="BC59" s="623"/>
      <c r="BD59" s="623"/>
      <c r="BE59" s="623"/>
      <c r="BF59" s="623"/>
      <c r="BG59" s="623"/>
      <c r="BH59" s="623"/>
      <c r="BI59" s="623"/>
      <c r="BJ59" s="623"/>
      <c r="BK59" s="623"/>
      <c r="BL59" s="623"/>
      <c r="BM59" s="623"/>
      <c r="BN59" s="623"/>
      <c r="BO59" s="623"/>
      <c r="BP59" s="623"/>
      <c r="BQ59" s="623"/>
      <c r="BR59" s="623"/>
      <c r="BS59" s="623"/>
      <c r="BT59" s="571"/>
      <c r="BU59" s="571"/>
      <c r="BV59" s="571"/>
      <c r="BW59" s="571"/>
      <c r="BX59" s="571"/>
      <c r="BY59" s="635"/>
    </row>
    <row r="60" spans="1:78" s="544" customFormat="1">
      <c r="A60" s="572">
        <v>33</v>
      </c>
      <c r="B60" s="91" t="s">
        <v>355</v>
      </c>
      <c r="C60" s="577" t="str">
        <f>VLOOKUP(B60,'Luong VP'!$B$10:$D$250,2,0)</f>
        <v xml:space="preserve"> Đỗ Thanh Tú </v>
      </c>
      <c r="D60" s="106" t="str">
        <f>VLOOKUP(B60,'Luong VP'!$B$10:$D$250,3,0)</f>
        <v>Trưởng BP NCUD XLMT</v>
      </c>
      <c r="E60" s="1487">
        <v>1</v>
      </c>
      <c r="F60" s="1487">
        <v>1</v>
      </c>
      <c r="G60" s="1487">
        <v>1</v>
      </c>
      <c r="H60" s="1487">
        <v>1</v>
      </c>
      <c r="I60" s="1487">
        <v>1</v>
      </c>
      <c r="J60" s="1487">
        <v>1</v>
      </c>
      <c r="K60" s="1487"/>
      <c r="L60" s="1524" t="s">
        <v>720</v>
      </c>
      <c r="M60" s="1487">
        <v>1</v>
      </c>
      <c r="N60" s="1487">
        <v>1</v>
      </c>
      <c r="O60" s="1487">
        <v>1</v>
      </c>
      <c r="P60" s="1487">
        <v>1</v>
      </c>
      <c r="Q60" s="1487">
        <v>1</v>
      </c>
      <c r="R60" s="1487"/>
      <c r="S60" s="1487">
        <v>1</v>
      </c>
      <c r="T60" s="1487">
        <v>1</v>
      </c>
      <c r="U60" s="1487">
        <v>1</v>
      </c>
      <c r="V60" s="1487">
        <v>1</v>
      </c>
      <c r="W60" s="1487">
        <v>1</v>
      </c>
      <c r="X60" s="1487">
        <v>1</v>
      </c>
      <c r="Y60" s="1487"/>
      <c r="Z60" s="1487">
        <v>1</v>
      </c>
      <c r="AA60" s="1487">
        <v>1</v>
      </c>
      <c r="AB60" s="1487">
        <v>1</v>
      </c>
      <c r="AC60" s="1487">
        <v>1</v>
      </c>
      <c r="AD60" s="1487">
        <v>1</v>
      </c>
      <c r="AE60" s="1487">
        <v>1</v>
      </c>
      <c r="AF60" s="1487"/>
      <c r="AG60" s="1487">
        <v>1</v>
      </c>
      <c r="AH60" s="1487">
        <v>1</v>
      </c>
      <c r="AI60" s="1487">
        <v>1</v>
      </c>
      <c r="AJ60" s="604">
        <f t="shared" ref="AJ60" si="61">SUM(E60:AI60)-AK60</f>
        <v>26</v>
      </c>
      <c r="AK60" s="604">
        <f t="shared" ref="AK60" si="62">SUMIF($E$5:$AI$5,"LT",E60:AI60)</f>
        <v>0</v>
      </c>
      <c r="AL60" s="604">
        <f t="shared" ref="AL60" si="63">COUNTIF(E60:AI60,"P")</f>
        <v>0</v>
      </c>
      <c r="AM60" s="604">
        <f t="shared" ref="AM60" si="64">COUNTIF(E60:AI60,"LT")+MOD(AK60,1)</f>
        <v>1</v>
      </c>
      <c r="AN60" s="601"/>
      <c r="AO60" s="622"/>
      <c r="AP60" s="622"/>
      <c r="AQ60" s="622"/>
      <c r="AR60" s="622"/>
      <c r="AS60" s="622"/>
      <c r="AT60" s="622"/>
      <c r="AU60" s="622"/>
      <c r="AV60" s="622"/>
      <c r="AW60" s="622"/>
      <c r="AX60" s="622"/>
      <c r="AY60" s="622"/>
      <c r="AZ60" s="622"/>
      <c r="BA60" s="622"/>
      <c r="BB60" s="622"/>
      <c r="BC60" s="622"/>
      <c r="BD60" s="622"/>
      <c r="BE60" s="622"/>
      <c r="BF60" s="622"/>
      <c r="BG60" s="622"/>
      <c r="BH60" s="622"/>
      <c r="BI60" s="622"/>
      <c r="BJ60" s="622"/>
      <c r="BK60" s="622"/>
      <c r="BL60" s="622"/>
      <c r="BM60" s="622"/>
      <c r="BN60" s="622"/>
      <c r="BO60" s="622"/>
      <c r="BP60" s="622"/>
      <c r="BQ60" s="622"/>
      <c r="BR60" s="622"/>
      <c r="BS60" s="622"/>
      <c r="BT60" s="604">
        <f>SUM(AO60:BS60)-BU60</f>
        <v>0</v>
      </c>
      <c r="BU60" s="604">
        <f>SUMIF($AO$5:$BS$5,"CN",AO60:BS60)</f>
        <v>0</v>
      </c>
      <c r="BV60" s="633"/>
      <c r="BW60" s="637"/>
      <c r="BX60" s="637">
        <f>BW60+3000</f>
        <v>3000</v>
      </c>
      <c r="BY60" s="638">
        <v>0</v>
      </c>
      <c r="BZ60" s="544" t="s">
        <v>733</v>
      </c>
    </row>
    <row r="61" spans="1:78" s="544" customFormat="1">
      <c r="A61" s="578">
        <v>33</v>
      </c>
      <c r="B61" s="1255" t="s">
        <v>357</v>
      </c>
      <c r="C61" s="1409" t="str">
        <f>VLOOKUP(B61,'Luong VP'!$B$10:$D$250,2,0)</f>
        <v>Ngô Thành Trung</v>
      </c>
      <c r="D61" s="12" t="str">
        <f>VLOOKUP(B61,'Luong VP'!$B$10:$D$250,3,0)</f>
        <v>CV môi trường</v>
      </c>
      <c r="E61" s="1487">
        <v>1</v>
      </c>
      <c r="F61" s="1487">
        <v>1</v>
      </c>
      <c r="G61" s="1487">
        <v>1</v>
      </c>
      <c r="H61" s="1487">
        <v>1</v>
      </c>
      <c r="I61" s="1487">
        <v>1</v>
      </c>
      <c r="J61" s="1487">
        <v>1</v>
      </c>
      <c r="K61" s="1487"/>
      <c r="L61" s="1524" t="s">
        <v>720</v>
      </c>
      <c r="M61" s="1487">
        <v>1</v>
      </c>
      <c r="N61" s="1487">
        <v>1</v>
      </c>
      <c r="O61" s="1487">
        <v>1</v>
      </c>
      <c r="P61" s="1487">
        <v>1</v>
      </c>
      <c r="Q61" s="1487">
        <v>1</v>
      </c>
      <c r="R61" s="1487"/>
      <c r="S61" s="1487">
        <v>1</v>
      </c>
      <c r="T61" s="1487">
        <v>1</v>
      </c>
      <c r="U61" s="1487">
        <v>1</v>
      </c>
      <c r="V61" s="1487">
        <v>1</v>
      </c>
      <c r="W61" s="1487">
        <v>1</v>
      </c>
      <c r="X61" s="1487">
        <v>1</v>
      </c>
      <c r="Y61" s="1487"/>
      <c r="Z61" s="1487">
        <v>1</v>
      </c>
      <c r="AA61" s="1487">
        <v>1</v>
      </c>
      <c r="AB61" s="1487">
        <v>1</v>
      </c>
      <c r="AC61" s="1487">
        <v>1</v>
      </c>
      <c r="AD61" s="1487">
        <v>1</v>
      </c>
      <c r="AE61" s="1487">
        <v>1</v>
      </c>
      <c r="AF61" s="1487"/>
      <c r="AG61" s="1487">
        <v>1</v>
      </c>
      <c r="AH61" s="1487">
        <v>1</v>
      </c>
      <c r="AI61" s="1487">
        <v>1</v>
      </c>
      <c r="AJ61" s="604">
        <f t="shared" ref="AJ61:AJ73" si="65">SUM(E61:AI61)-AK61</f>
        <v>26</v>
      </c>
      <c r="AK61" s="604">
        <f t="shared" ref="AK61:AK73" si="66">SUMIF($E$5:$AI$5,"LT",E61:AI61)</f>
        <v>0</v>
      </c>
      <c r="AL61" s="604">
        <f t="shared" ref="AL61:AL73" si="67">COUNTIF(E61:AI61,"P")</f>
        <v>0</v>
      </c>
      <c r="AM61" s="604">
        <f t="shared" ref="AM61:AM73" si="68">COUNTIF(E61:AI61,"LT")+MOD(AK61,1)</f>
        <v>1</v>
      </c>
      <c r="AN61" s="601"/>
      <c r="AO61" s="622"/>
      <c r="AP61" s="622"/>
      <c r="AQ61" s="622"/>
      <c r="AR61" s="622"/>
      <c r="AS61" s="622"/>
      <c r="AT61" s="622"/>
      <c r="AU61" s="622"/>
      <c r="AV61" s="622"/>
      <c r="AW61" s="622"/>
      <c r="AX61" s="622"/>
      <c r="AY61" s="622"/>
      <c r="AZ61" s="622"/>
      <c r="BA61" s="622"/>
      <c r="BB61" s="622"/>
      <c r="BC61" s="622"/>
      <c r="BD61" s="622"/>
      <c r="BE61" s="622"/>
      <c r="BF61" s="622"/>
      <c r="BG61" s="622"/>
      <c r="BH61" s="622"/>
      <c r="BI61" s="622"/>
      <c r="BJ61" s="622"/>
      <c r="BK61" s="622"/>
      <c r="BL61" s="622">
        <v>15</v>
      </c>
      <c r="BM61" s="622"/>
      <c r="BN61" s="622"/>
      <c r="BO61" s="622"/>
      <c r="BP61" s="622"/>
      <c r="BQ61" s="622">
        <v>15</v>
      </c>
      <c r="BR61" s="622"/>
      <c r="BS61" s="622"/>
      <c r="BT61" s="604">
        <f t="shared" ref="BT61" si="69">SUM(AO61:BS61)-BU61</f>
        <v>30</v>
      </c>
      <c r="BU61" s="604">
        <f t="shared" ref="BU61" si="70">SUMIF($AO$5:$BS$5,"CN",AO61:BS61)</f>
        <v>0</v>
      </c>
      <c r="BV61" s="633"/>
      <c r="BW61" s="1513">
        <v>3000</v>
      </c>
      <c r="BX61" s="637">
        <f t="shared" si="48"/>
        <v>3000</v>
      </c>
      <c r="BY61" s="638">
        <v>0</v>
      </c>
    </row>
    <row r="62" spans="1:78" s="544" customFormat="1">
      <c r="A62" s="578">
        <v>33</v>
      </c>
      <c r="B62" s="1255" t="s">
        <v>359</v>
      </c>
      <c r="C62" s="1409" t="str">
        <f>VLOOKUP(B62,'Luong VP'!$B$10:$D$250,2,0)</f>
        <v>Nguyễn Tấn Phát</v>
      </c>
      <c r="D62" s="12" t="str">
        <f>VLOOKUP(B62,'Luong VP'!$B$10:$D$250,3,0)</f>
        <v>CV môi trường</v>
      </c>
      <c r="E62" s="1487">
        <v>1</v>
      </c>
      <c r="F62" s="1487">
        <v>1</v>
      </c>
      <c r="G62" s="1487">
        <v>1</v>
      </c>
      <c r="H62" s="1487">
        <v>1</v>
      </c>
      <c r="I62" s="1487">
        <v>1</v>
      </c>
      <c r="J62" s="1487">
        <v>1</v>
      </c>
      <c r="K62" s="1487"/>
      <c r="L62" s="1524" t="s">
        <v>720</v>
      </c>
      <c r="M62" s="1487">
        <v>1</v>
      </c>
      <c r="N62" s="1487">
        <v>1</v>
      </c>
      <c r="O62" s="1487">
        <v>1</v>
      </c>
      <c r="P62" s="1487">
        <v>1</v>
      </c>
      <c r="Q62" s="1487">
        <v>1</v>
      </c>
      <c r="R62" s="1487"/>
      <c r="S62" s="1487">
        <v>1</v>
      </c>
      <c r="T62" s="1487">
        <v>1</v>
      </c>
      <c r="U62" s="1487">
        <v>1</v>
      </c>
      <c r="V62" s="1487">
        <v>1</v>
      </c>
      <c r="W62" s="1487">
        <v>1</v>
      </c>
      <c r="X62" s="1487">
        <v>1</v>
      </c>
      <c r="Y62" s="1487"/>
      <c r="Z62" s="1487">
        <v>1</v>
      </c>
      <c r="AA62" s="1487">
        <v>1</v>
      </c>
      <c r="AB62" s="1487">
        <v>1</v>
      </c>
      <c r="AC62" s="1487">
        <v>1</v>
      </c>
      <c r="AD62" s="1487">
        <v>1</v>
      </c>
      <c r="AE62" s="1487">
        <v>1</v>
      </c>
      <c r="AF62" s="1487"/>
      <c r="AG62" s="1487">
        <v>1</v>
      </c>
      <c r="AH62" s="1487">
        <v>1</v>
      </c>
      <c r="AI62" s="1487">
        <v>1</v>
      </c>
      <c r="AJ62" s="604">
        <f t="shared" si="65"/>
        <v>26</v>
      </c>
      <c r="AK62" s="604">
        <f t="shared" si="66"/>
        <v>0</v>
      </c>
      <c r="AL62" s="604">
        <f t="shared" si="67"/>
        <v>0</v>
      </c>
      <c r="AM62" s="604">
        <f t="shared" si="68"/>
        <v>1</v>
      </c>
      <c r="AN62" s="601"/>
      <c r="AO62" s="622"/>
      <c r="AP62" s="622"/>
      <c r="AQ62" s="622"/>
      <c r="AR62" s="622"/>
      <c r="AS62" s="622"/>
      <c r="AT62" s="622"/>
      <c r="AU62" s="622"/>
      <c r="AV62" s="622"/>
      <c r="AW62" s="622"/>
      <c r="AX62" s="622"/>
      <c r="AY62" s="622"/>
      <c r="AZ62" s="622"/>
      <c r="BA62" s="622"/>
      <c r="BB62" s="622"/>
      <c r="BC62" s="622"/>
      <c r="BD62" s="622"/>
      <c r="BE62" s="622"/>
      <c r="BF62" s="622"/>
      <c r="BG62" s="622"/>
      <c r="BH62" s="622"/>
      <c r="BI62" s="622"/>
      <c r="BJ62" s="622"/>
      <c r="BK62" s="622"/>
      <c r="BL62" s="622"/>
      <c r="BM62" s="622"/>
      <c r="BN62" s="622"/>
      <c r="BO62" s="622"/>
      <c r="BP62" s="622"/>
      <c r="BQ62" s="622"/>
      <c r="BR62" s="622"/>
      <c r="BS62" s="622"/>
      <c r="BT62" s="604">
        <f>SUM(AO62:BS62)-BU62</f>
        <v>0</v>
      </c>
      <c r="BU62" s="604">
        <f>SUMIF($AO$5:$BS$5,"CN",AO62:BS62)</f>
        <v>0</v>
      </c>
      <c r="BV62" s="633"/>
      <c r="BW62" s="637"/>
      <c r="BX62" s="637">
        <f>BW62</f>
        <v>0</v>
      </c>
      <c r="BY62" s="638">
        <v>0</v>
      </c>
    </row>
    <row r="63" spans="1:78" s="544" customFormat="1">
      <c r="A63" s="578">
        <v>33</v>
      </c>
      <c r="B63" s="1255" t="s">
        <v>361</v>
      </c>
      <c r="C63" s="1409" t="str">
        <f>VLOOKUP(B63,'Luong VP'!$B$10:$D$250,2,0)</f>
        <v>Phan Thanh Tú</v>
      </c>
      <c r="D63" s="12" t="str">
        <f>VLOOKUP(B63,'Luong VP'!$B$10:$D$250,3,0)</f>
        <v>CV môi trường</v>
      </c>
      <c r="E63" s="1487">
        <v>1</v>
      </c>
      <c r="F63" s="1487">
        <v>1</v>
      </c>
      <c r="G63" s="1487">
        <v>1</v>
      </c>
      <c r="H63" s="1487">
        <v>1</v>
      </c>
      <c r="I63" s="1487">
        <v>1</v>
      </c>
      <c r="J63" s="1487">
        <v>1</v>
      </c>
      <c r="K63" s="1487"/>
      <c r="L63" s="1524" t="s">
        <v>720</v>
      </c>
      <c r="M63" s="1487">
        <v>1</v>
      </c>
      <c r="N63" s="1487">
        <v>1</v>
      </c>
      <c r="O63" s="1487">
        <v>1</v>
      </c>
      <c r="P63" s="1487">
        <v>1</v>
      </c>
      <c r="Q63" s="1487">
        <v>1</v>
      </c>
      <c r="R63" s="1487"/>
      <c r="S63" s="1487">
        <v>1</v>
      </c>
      <c r="T63" s="1487">
        <v>1</v>
      </c>
      <c r="U63" s="1487">
        <v>1</v>
      </c>
      <c r="V63" s="1487">
        <v>1</v>
      </c>
      <c r="W63" s="1487">
        <v>1</v>
      </c>
      <c r="X63" s="1487">
        <v>1</v>
      </c>
      <c r="Y63" s="1487"/>
      <c r="Z63" s="1487">
        <v>1</v>
      </c>
      <c r="AA63" s="1487">
        <v>1</v>
      </c>
      <c r="AB63" s="1487">
        <v>1</v>
      </c>
      <c r="AC63" s="1487">
        <v>1</v>
      </c>
      <c r="AD63" s="1487">
        <v>1</v>
      </c>
      <c r="AE63" s="1487">
        <v>1</v>
      </c>
      <c r="AF63" s="1487"/>
      <c r="AG63" s="1487">
        <v>1</v>
      </c>
      <c r="AH63" s="1487">
        <v>1</v>
      </c>
      <c r="AI63" s="1487">
        <v>1</v>
      </c>
      <c r="AJ63" s="604">
        <f t="shared" si="65"/>
        <v>26</v>
      </c>
      <c r="AK63" s="604">
        <f t="shared" si="66"/>
        <v>0</v>
      </c>
      <c r="AL63" s="604">
        <f t="shared" si="67"/>
        <v>0</v>
      </c>
      <c r="AM63" s="604">
        <f t="shared" si="68"/>
        <v>1</v>
      </c>
      <c r="AN63" s="601"/>
      <c r="AO63" s="622"/>
      <c r="AP63" s="622"/>
      <c r="AQ63" s="622"/>
      <c r="AR63" s="622"/>
      <c r="AS63" s="622"/>
      <c r="AT63" s="622"/>
      <c r="AU63" s="622"/>
      <c r="AV63" s="622"/>
      <c r="AW63" s="622"/>
      <c r="AX63" s="622"/>
      <c r="AY63" s="622"/>
      <c r="AZ63" s="622"/>
      <c r="BA63" s="622"/>
      <c r="BB63" s="622"/>
      <c r="BC63" s="622"/>
      <c r="BD63" s="622"/>
      <c r="BE63" s="622"/>
      <c r="BF63" s="622"/>
      <c r="BG63" s="622"/>
      <c r="BH63" s="622"/>
      <c r="BI63" s="622"/>
      <c r="BJ63" s="622"/>
      <c r="BK63" s="622"/>
      <c r="BL63" s="622">
        <v>2.5</v>
      </c>
      <c r="BM63" s="622"/>
      <c r="BN63" s="622"/>
      <c r="BO63" s="622"/>
      <c r="BP63" s="622"/>
      <c r="BQ63" s="622"/>
      <c r="BR63" s="622"/>
      <c r="BS63" s="622"/>
      <c r="BT63" s="604">
        <f t="shared" ref="BT63" si="71">SUM(AO63:BS63)-BU63</f>
        <v>2.5</v>
      </c>
      <c r="BU63" s="604">
        <f t="shared" ref="BU63" si="72">SUMIF($AO$5:$BS$5,"CN",AO63:BS63)</f>
        <v>0</v>
      </c>
      <c r="BV63" s="633"/>
      <c r="BW63" s="637"/>
      <c r="BX63" s="637">
        <f t="shared" si="48"/>
        <v>0</v>
      </c>
      <c r="BY63" s="638">
        <v>0</v>
      </c>
    </row>
    <row r="64" spans="1:78" s="548" customFormat="1">
      <c r="A64" s="658">
        <v>33</v>
      </c>
      <c r="B64" s="1498" t="s">
        <v>1314</v>
      </c>
      <c r="C64" s="660" t="str">
        <f>VLOOKUP(B64,'Luong VP'!$B$10:$D$250,2,0)</f>
        <v>Đặng Toan</v>
      </c>
      <c r="D64" s="661" t="str">
        <f>VLOOKUP(B64,'Luong VP'!$B$10:$D$250,3,0)</f>
        <v>CV môi trường</v>
      </c>
      <c r="E64" s="1487">
        <v>1</v>
      </c>
      <c r="F64" s="1487">
        <v>1</v>
      </c>
      <c r="G64" s="1487">
        <v>1</v>
      </c>
      <c r="H64" s="1487">
        <v>1</v>
      </c>
      <c r="I64" s="1487">
        <v>1</v>
      </c>
      <c r="J64" s="1487">
        <v>1</v>
      </c>
      <c r="K64" s="1487"/>
      <c r="L64" s="1524" t="s">
        <v>720</v>
      </c>
      <c r="M64" s="1487">
        <v>1</v>
      </c>
      <c r="N64" s="1487">
        <v>1</v>
      </c>
      <c r="O64" s="1487">
        <v>1</v>
      </c>
      <c r="P64" s="1487">
        <v>1</v>
      </c>
      <c r="Q64" s="1487">
        <v>1</v>
      </c>
      <c r="R64" s="1487"/>
      <c r="S64" s="1487">
        <v>1</v>
      </c>
      <c r="T64" s="1487">
        <v>1</v>
      </c>
      <c r="U64" s="1487">
        <v>1</v>
      </c>
      <c r="V64" s="1487">
        <v>1</v>
      </c>
      <c r="W64" s="1487">
        <v>1</v>
      </c>
      <c r="X64" s="1487">
        <v>1</v>
      </c>
      <c r="Y64" s="1487"/>
      <c r="Z64" s="1487">
        <v>1</v>
      </c>
      <c r="AA64" s="1487">
        <v>1</v>
      </c>
      <c r="AB64" s="1487">
        <v>1</v>
      </c>
      <c r="AC64" s="1487">
        <v>1</v>
      </c>
      <c r="AD64" s="1487">
        <v>1</v>
      </c>
      <c r="AE64" s="1487">
        <v>1</v>
      </c>
      <c r="AF64" s="1487"/>
      <c r="AG64" s="1487">
        <v>1</v>
      </c>
      <c r="AH64" s="1487">
        <v>1</v>
      </c>
      <c r="AI64" s="1487">
        <v>1</v>
      </c>
      <c r="AJ64" s="662">
        <f t="shared" ref="AJ64" si="73">SUM(E64:AI64)-AK64</f>
        <v>26</v>
      </c>
      <c r="AK64" s="662">
        <f t="shared" ref="AK64" si="74">SUMIF($E$5:$AI$5,"LT",E64:AI64)</f>
        <v>0</v>
      </c>
      <c r="AL64" s="662">
        <f t="shared" ref="AL64" si="75">COUNTIF(E64:AI64,"P")</f>
        <v>0</v>
      </c>
      <c r="AM64" s="662">
        <f t="shared" ref="AM64" si="76">COUNTIF(E64:AI64,"LT")+MOD(AK64,1)</f>
        <v>1</v>
      </c>
      <c r="AN64" s="663"/>
      <c r="AO64" s="622"/>
      <c r="AP64" s="622"/>
      <c r="AQ64" s="622"/>
      <c r="AR64" s="622"/>
      <c r="AS64" s="622"/>
      <c r="AT64" s="622"/>
      <c r="AU64" s="622"/>
      <c r="AV64" s="622"/>
      <c r="AW64" s="622"/>
      <c r="AX64" s="622"/>
      <c r="AY64" s="622"/>
      <c r="AZ64" s="622"/>
      <c r="BA64" s="622"/>
      <c r="BB64" s="622"/>
      <c r="BC64" s="622"/>
      <c r="BD64" s="622"/>
      <c r="BE64" s="622"/>
      <c r="BF64" s="622"/>
      <c r="BG64" s="622"/>
      <c r="BH64" s="622"/>
      <c r="BI64" s="622"/>
      <c r="BJ64" s="622"/>
      <c r="BK64" s="622"/>
      <c r="BL64" s="622"/>
      <c r="BM64" s="622"/>
      <c r="BN64" s="622"/>
      <c r="BO64" s="622"/>
      <c r="BP64" s="622"/>
      <c r="BQ64" s="622"/>
      <c r="BR64" s="622"/>
      <c r="BS64" s="622"/>
      <c r="BT64" s="662">
        <f t="shared" ref="BT64" si="77">SUM(AO64:BS64)-BU64</f>
        <v>0</v>
      </c>
      <c r="BU64" s="662">
        <f t="shared" ref="BU64" si="78">SUMIF($AO$5:$BS$5,"CN",AO64:BS64)</f>
        <v>0</v>
      </c>
      <c r="BV64" s="665"/>
      <c r="BW64" s="667"/>
      <c r="BX64" s="667">
        <f t="shared" ref="BX64" si="79">BW64</f>
        <v>0</v>
      </c>
      <c r="BY64" s="666">
        <v>0</v>
      </c>
    </row>
    <row r="65" spans="1:77" s="544" customFormat="1">
      <c r="A65" s="578">
        <v>33</v>
      </c>
      <c r="B65" s="1255" t="s">
        <v>1251</v>
      </c>
      <c r="C65" s="1409" t="str">
        <f>VLOOKUP(B65,'Luong VP'!$B$10:$D$250,2,0)</f>
        <v>Tạ Chí Thuận</v>
      </c>
      <c r="D65" s="12" t="str">
        <f>VLOOKUP(B65,'Luong VP'!$B$10:$D$250,3,0)</f>
        <v>Công nhân Biogas</v>
      </c>
      <c r="E65" s="1487">
        <v>1</v>
      </c>
      <c r="F65" s="1487">
        <v>1</v>
      </c>
      <c r="G65" s="1487">
        <v>1</v>
      </c>
      <c r="H65" s="1487">
        <v>1</v>
      </c>
      <c r="I65" s="1487">
        <v>1</v>
      </c>
      <c r="J65" s="1487">
        <v>1</v>
      </c>
      <c r="K65" s="1487"/>
      <c r="L65" s="1524" t="s">
        <v>720</v>
      </c>
      <c r="M65" s="1487">
        <v>1</v>
      </c>
      <c r="N65" s="1487">
        <v>1</v>
      </c>
      <c r="O65" s="1487">
        <v>1</v>
      </c>
      <c r="P65" s="1487">
        <v>1</v>
      </c>
      <c r="Q65" s="1487">
        <v>1</v>
      </c>
      <c r="R65" s="1487"/>
      <c r="S65" s="1487">
        <v>1</v>
      </c>
      <c r="T65" s="1487">
        <v>1</v>
      </c>
      <c r="U65" s="1487">
        <v>1</v>
      </c>
      <c r="V65" s="1487">
        <v>1</v>
      </c>
      <c r="W65" s="1487">
        <v>1</v>
      </c>
      <c r="X65" s="1487">
        <v>1</v>
      </c>
      <c r="Y65" s="1487"/>
      <c r="Z65" s="1487">
        <v>1</v>
      </c>
      <c r="AA65" s="1487">
        <v>1</v>
      </c>
      <c r="AB65" s="1487">
        <v>1</v>
      </c>
      <c r="AC65" s="1487">
        <v>1</v>
      </c>
      <c r="AD65" s="1487">
        <v>1</v>
      </c>
      <c r="AE65" s="1487">
        <v>1</v>
      </c>
      <c r="AF65" s="1487"/>
      <c r="AG65" s="1487">
        <v>1</v>
      </c>
      <c r="AH65" s="1487">
        <v>1</v>
      </c>
      <c r="AI65" s="1487">
        <v>1</v>
      </c>
      <c r="AJ65" s="604">
        <f t="shared" si="65"/>
        <v>26</v>
      </c>
      <c r="AK65" s="604">
        <f t="shared" si="66"/>
        <v>0</v>
      </c>
      <c r="AL65" s="604">
        <f t="shared" si="67"/>
        <v>0</v>
      </c>
      <c r="AM65" s="604">
        <f t="shared" si="68"/>
        <v>1</v>
      </c>
      <c r="AN65" s="601"/>
      <c r="AO65" s="622"/>
      <c r="AP65" s="622"/>
      <c r="AQ65" s="622"/>
      <c r="AR65" s="622"/>
      <c r="AS65" s="622"/>
      <c r="AT65" s="622"/>
      <c r="AU65" s="622"/>
      <c r="AV65" s="622"/>
      <c r="AW65" s="622"/>
      <c r="AX65" s="622"/>
      <c r="AY65" s="622"/>
      <c r="AZ65" s="622"/>
      <c r="BA65" s="622"/>
      <c r="BB65" s="622"/>
      <c r="BC65" s="622"/>
      <c r="BD65" s="622"/>
      <c r="BE65" s="622"/>
      <c r="BF65" s="622"/>
      <c r="BG65" s="622"/>
      <c r="BH65" s="622"/>
      <c r="BI65" s="622"/>
      <c r="BJ65" s="622"/>
      <c r="BK65" s="622"/>
      <c r="BL65" s="622"/>
      <c r="BM65" s="622"/>
      <c r="BN65" s="622"/>
      <c r="BO65" s="622"/>
      <c r="BP65" s="622"/>
      <c r="BQ65" s="622"/>
      <c r="BR65" s="622"/>
      <c r="BS65" s="622"/>
      <c r="BT65" s="604">
        <f t="shared" ref="BT65" si="80">SUM(AO65:BS65)-BU65</f>
        <v>0</v>
      </c>
      <c r="BU65" s="604">
        <f t="shared" ref="BU65" si="81">SUMIF($AO$5:$BS$5,"CN",AO65:BS65)</f>
        <v>0</v>
      </c>
      <c r="BV65" s="633"/>
      <c r="BW65" s="1513">
        <v>2000</v>
      </c>
      <c r="BX65" s="637">
        <f t="shared" ref="BX65" si="82">BW65</f>
        <v>2000</v>
      </c>
      <c r="BY65" s="638">
        <v>0</v>
      </c>
    </row>
    <row r="66" spans="1:77" s="544" customFormat="1">
      <c r="A66" s="578">
        <v>33</v>
      </c>
      <c r="B66" s="1255" t="s">
        <v>1284</v>
      </c>
      <c r="C66" s="1409" t="str">
        <f>VLOOKUP(B66,'Luong VP'!$B$10:$D$250,2,0)</f>
        <v>Võ Quang Tuấn</v>
      </c>
      <c r="D66" s="12" t="str">
        <f>VLOOKUP(B66,'Luong VP'!$B$10:$D$250,3,0)</f>
        <v>Công nhân Biogas</v>
      </c>
      <c r="E66" s="1487">
        <v>1</v>
      </c>
      <c r="F66" s="1487">
        <v>1</v>
      </c>
      <c r="G66" s="1487">
        <v>1</v>
      </c>
      <c r="H66" s="1487">
        <v>1</v>
      </c>
      <c r="I66" s="1487">
        <v>1</v>
      </c>
      <c r="J66" s="1487">
        <v>1</v>
      </c>
      <c r="K66" s="1487"/>
      <c r="L66" s="1524" t="s">
        <v>720</v>
      </c>
      <c r="M66" s="1487">
        <v>1</v>
      </c>
      <c r="N66" s="1487">
        <v>1</v>
      </c>
      <c r="O66" s="1487">
        <v>1</v>
      </c>
      <c r="P66" s="1487">
        <v>1</v>
      </c>
      <c r="Q66" s="1487">
        <v>1</v>
      </c>
      <c r="R66" s="1487"/>
      <c r="S66" s="1487">
        <v>1</v>
      </c>
      <c r="T66" s="1487">
        <v>1</v>
      </c>
      <c r="U66" s="1487">
        <v>1</v>
      </c>
      <c r="V66" s="1487">
        <v>1</v>
      </c>
      <c r="W66" s="1487">
        <v>1</v>
      </c>
      <c r="X66" s="1487">
        <v>1</v>
      </c>
      <c r="Y66" s="1487"/>
      <c r="Z66" s="1487">
        <v>1</v>
      </c>
      <c r="AA66" s="1487">
        <v>1</v>
      </c>
      <c r="AB66" s="1487">
        <v>1</v>
      </c>
      <c r="AC66" s="1487">
        <v>1</v>
      </c>
      <c r="AD66" s="1487">
        <v>1</v>
      </c>
      <c r="AE66" s="1487">
        <v>1</v>
      </c>
      <c r="AF66" s="1487"/>
      <c r="AG66" s="1487">
        <v>1</v>
      </c>
      <c r="AH66" s="1487">
        <v>1</v>
      </c>
      <c r="AI66" s="1487">
        <v>1</v>
      </c>
      <c r="AJ66" s="604">
        <f t="shared" si="65"/>
        <v>26</v>
      </c>
      <c r="AK66" s="604">
        <f t="shared" si="66"/>
        <v>0</v>
      </c>
      <c r="AL66" s="604">
        <f t="shared" si="67"/>
        <v>0</v>
      </c>
      <c r="AM66" s="604">
        <f t="shared" si="68"/>
        <v>1</v>
      </c>
      <c r="AN66" s="601"/>
      <c r="AO66" s="622"/>
      <c r="AP66" s="622"/>
      <c r="AQ66" s="622"/>
      <c r="AR66" s="622"/>
      <c r="AS66" s="622"/>
      <c r="AT66" s="622"/>
      <c r="AU66" s="622"/>
      <c r="AV66" s="622"/>
      <c r="AW66" s="622"/>
      <c r="AX66" s="622"/>
      <c r="AY66" s="622"/>
      <c r="AZ66" s="622"/>
      <c r="BA66" s="622"/>
      <c r="BB66" s="622"/>
      <c r="BC66" s="622"/>
      <c r="BD66" s="622"/>
      <c r="BE66" s="622"/>
      <c r="BF66" s="622"/>
      <c r="BG66" s="622"/>
      <c r="BH66" s="622"/>
      <c r="BI66" s="622"/>
      <c r="BJ66" s="622"/>
      <c r="BK66" s="622"/>
      <c r="BL66" s="622"/>
      <c r="BM66" s="622"/>
      <c r="BN66" s="622"/>
      <c r="BO66" s="622"/>
      <c r="BP66" s="622"/>
      <c r="BQ66" s="622"/>
      <c r="BR66" s="622"/>
      <c r="BS66" s="622"/>
      <c r="BT66" s="604">
        <f t="shared" ref="BT66" si="83">SUM(AO66:BS66)-BU66</f>
        <v>0</v>
      </c>
      <c r="BU66" s="604">
        <f t="shared" ref="BU66" si="84">SUMIF($AO$5:$BS$5,"CN",AO66:BS66)</f>
        <v>0</v>
      </c>
      <c r="BV66" s="633"/>
      <c r="BW66" s="1513">
        <v>3000</v>
      </c>
      <c r="BX66" s="637">
        <f t="shared" ref="BX66" si="85">BW66</f>
        <v>3000</v>
      </c>
      <c r="BY66" s="638">
        <v>0</v>
      </c>
    </row>
    <row r="67" spans="1:77" s="545" customFormat="1">
      <c r="A67" s="572"/>
      <c r="B67" s="646" t="s">
        <v>363</v>
      </c>
      <c r="C67" s="573" t="str">
        <f>VLOOKUP(B67,'Luong VP'!$B$10:$D$250,2,0)</f>
        <v>Trần Thành Lập</v>
      </c>
      <c r="D67" s="100" t="str">
        <f>VLOOKUP(B67,'Luong VP'!$B$10:$D$250,3,0)</f>
        <v>GIÁM ĐỐC NCPTSP</v>
      </c>
      <c r="E67" s="1487">
        <v>1</v>
      </c>
      <c r="F67" s="1487">
        <v>1</v>
      </c>
      <c r="G67" s="1487">
        <v>1</v>
      </c>
      <c r="H67" s="1487">
        <v>1</v>
      </c>
      <c r="I67" s="1487">
        <v>1</v>
      </c>
      <c r="J67" s="1487">
        <v>1</v>
      </c>
      <c r="K67" s="1487"/>
      <c r="L67" s="1524" t="s">
        <v>720</v>
      </c>
      <c r="M67" s="1487">
        <v>1</v>
      </c>
      <c r="N67" s="1487">
        <v>1</v>
      </c>
      <c r="O67" s="1487">
        <v>1</v>
      </c>
      <c r="P67" s="1487">
        <v>1</v>
      </c>
      <c r="Q67" s="1487">
        <v>1</v>
      </c>
      <c r="R67" s="1487"/>
      <c r="S67" s="1487">
        <v>1</v>
      </c>
      <c r="T67" s="1487">
        <v>1</v>
      </c>
      <c r="U67" s="1487">
        <v>1</v>
      </c>
      <c r="V67" s="1487">
        <v>1</v>
      </c>
      <c r="W67" s="1487">
        <v>1</v>
      </c>
      <c r="X67" s="1487">
        <v>1</v>
      </c>
      <c r="Y67" s="1487"/>
      <c r="Z67" s="1487">
        <v>1</v>
      </c>
      <c r="AA67" s="1487">
        <v>1</v>
      </c>
      <c r="AB67" s="1487">
        <v>1</v>
      </c>
      <c r="AC67" s="1487">
        <v>1</v>
      </c>
      <c r="AD67" s="1487">
        <v>1</v>
      </c>
      <c r="AE67" s="1487">
        <v>1</v>
      </c>
      <c r="AF67" s="1487"/>
      <c r="AG67" s="1487">
        <v>1</v>
      </c>
      <c r="AH67" s="1487">
        <v>1</v>
      </c>
      <c r="AI67" s="1487">
        <v>1</v>
      </c>
      <c r="AJ67" s="604">
        <f t="shared" si="65"/>
        <v>26</v>
      </c>
      <c r="AK67" s="604">
        <f t="shared" si="66"/>
        <v>0</v>
      </c>
      <c r="AL67" s="604">
        <f t="shared" si="67"/>
        <v>0</v>
      </c>
      <c r="AM67" s="604">
        <f t="shared" si="68"/>
        <v>1</v>
      </c>
      <c r="AN67" s="605"/>
      <c r="AO67" s="622"/>
      <c r="AP67" s="622"/>
      <c r="AQ67" s="622"/>
      <c r="AR67" s="622"/>
      <c r="AS67" s="622"/>
      <c r="AT67" s="622"/>
      <c r="AU67" s="622"/>
      <c r="AV67" s="622"/>
      <c r="AW67" s="622"/>
      <c r="AX67" s="622"/>
      <c r="AY67" s="622"/>
      <c r="AZ67" s="622"/>
      <c r="BA67" s="622"/>
      <c r="BB67" s="622"/>
      <c r="BC67" s="622"/>
      <c r="BD67" s="622"/>
      <c r="BE67" s="622"/>
      <c r="BF67" s="622"/>
      <c r="BG67" s="622"/>
      <c r="BH67" s="622"/>
      <c r="BI67" s="622"/>
      <c r="BJ67" s="622"/>
      <c r="BK67" s="622"/>
      <c r="BL67" s="622"/>
      <c r="BM67" s="622"/>
      <c r="BN67" s="622"/>
      <c r="BO67" s="622"/>
      <c r="BP67" s="622"/>
      <c r="BQ67" s="622"/>
      <c r="BR67" s="622"/>
      <c r="BS67" s="622"/>
      <c r="BT67" s="604">
        <f t="shared" ref="BT67:BT71" si="86">SUM(AO67:BS67)-BU67</f>
        <v>0</v>
      </c>
      <c r="BU67" s="604">
        <f t="shared" ref="BU67:BU71" si="87">SUMIF($AO$5:$BS$5,"CN",AO67:BS67)</f>
        <v>0</v>
      </c>
      <c r="BV67" s="636"/>
      <c r="BW67" s="637"/>
      <c r="BX67" s="637">
        <f t="shared" si="48"/>
        <v>0</v>
      </c>
      <c r="BY67" s="654">
        <v>0</v>
      </c>
    </row>
    <row r="68" spans="1:77" s="544" customFormat="1" ht="12.75" customHeight="1">
      <c r="A68" s="572">
        <v>35</v>
      </c>
      <c r="B68" s="91" t="s">
        <v>366</v>
      </c>
      <c r="C68" s="577" t="str">
        <f>VLOOKUP(B68,'Luong VP'!$B$10:$D$250,2,0)</f>
        <v xml:space="preserve"> Nguyễn Anh Tuấn </v>
      </c>
      <c r="D68" s="106" t="str">
        <f>VLOOKUP(B68,'Luong VP'!$B$10:$D$250,3,0)</f>
        <v>Trưởng BP NCUDSP</v>
      </c>
      <c r="E68" s="1487">
        <v>1</v>
      </c>
      <c r="F68" s="1487">
        <v>1</v>
      </c>
      <c r="G68" s="1487">
        <v>1</v>
      </c>
      <c r="H68" s="1487">
        <v>1</v>
      </c>
      <c r="I68" s="1487">
        <v>1</v>
      </c>
      <c r="J68" s="1487">
        <v>1</v>
      </c>
      <c r="K68" s="1487"/>
      <c r="L68" s="1524" t="s">
        <v>720</v>
      </c>
      <c r="M68" s="1487">
        <v>1</v>
      </c>
      <c r="N68" s="1487">
        <v>1</v>
      </c>
      <c r="O68" s="1487">
        <v>1</v>
      </c>
      <c r="P68" s="1487">
        <v>1</v>
      </c>
      <c r="Q68" s="1487">
        <v>1</v>
      </c>
      <c r="R68" s="1487"/>
      <c r="S68" s="1487">
        <v>1</v>
      </c>
      <c r="T68" s="1487">
        <v>1</v>
      </c>
      <c r="U68" s="1487">
        <v>1</v>
      </c>
      <c r="V68" s="1487">
        <v>1</v>
      </c>
      <c r="W68" s="1487">
        <v>1</v>
      </c>
      <c r="X68" s="1487">
        <v>1</v>
      </c>
      <c r="Y68" s="1487"/>
      <c r="Z68" s="1487">
        <v>1</v>
      </c>
      <c r="AA68" s="1487">
        <v>1</v>
      </c>
      <c r="AB68" s="1487">
        <v>1</v>
      </c>
      <c r="AC68" s="1487">
        <v>1</v>
      </c>
      <c r="AD68" s="1487">
        <v>1</v>
      </c>
      <c r="AE68" s="1487">
        <v>1</v>
      </c>
      <c r="AF68" s="1487"/>
      <c r="AG68" s="1487">
        <v>1</v>
      </c>
      <c r="AH68" s="1487">
        <v>1</v>
      </c>
      <c r="AI68" s="1487">
        <v>1</v>
      </c>
      <c r="AJ68" s="604">
        <f t="shared" si="65"/>
        <v>26</v>
      </c>
      <c r="AK68" s="604">
        <f t="shared" si="66"/>
        <v>0</v>
      </c>
      <c r="AL68" s="604">
        <f t="shared" si="67"/>
        <v>0</v>
      </c>
      <c r="AM68" s="604">
        <f t="shared" si="68"/>
        <v>1</v>
      </c>
      <c r="AN68" s="601"/>
      <c r="AO68" s="622"/>
      <c r="AP68" s="622"/>
      <c r="AQ68" s="622"/>
      <c r="AR68" s="622"/>
      <c r="AS68" s="622"/>
      <c r="AT68" s="622"/>
      <c r="AU68" s="622"/>
      <c r="AV68" s="622"/>
      <c r="AW68" s="622"/>
      <c r="AX68" s="622"/>
      <c r="AY68" s="622"/>
      <c r="AZ68" s="622"/>
      <c r="BA68" s="622"/>
      <c r="BB68" s="622"/>
      <c r="BC68" s="622"/>
      <c r="BD68" s="622"/>
      <c r="BE68" s="622"/>
      <c r="BF68" s="622"/>
      <c r="BG68" s="622"/>
      <c r="BH68" s="622"/>
      <c r="BI68" s="622"/>
      <c r="BJ68" s="622"/>
      <c r="BK68" s="622"/>
      <c r="BL68" s="622"/>
      <c r="BM68" s="622"/>
      <c r="BN68" s="622"/>
      <c r="BO68" s="622"/>
      <c r="BP68" s="622"/>
      <c r="BQ68" s="622"/>
      <c r="BR68" s="622"/>
      <c r="BS68" s="622"/>
      <c r="BT68" s="604">
        <f t="shared" si="86"/>
        <v>0</v>
      </c>
      <c r="BU68" s="604">
        <f t="shared" si="87"/>
        <v>0</v>
      </c>
      <c r="BV68" s="633"/>
      <c r="BW68" s="1513">
        <v>5000</v>
      </c>
      <c r="BX68" s="637">
        <f t="shared" si="48"/>
        <v>5000</v>
      </c>
      <c r="BY68" s="638">
        <v>0</v>
      </c>
    </row>
    <row r="69" spans="1:77" s="548" customFormat="1" ht="12.75" customHeight="1">
      <c r="A69" s="658">
        <v>35</v>
      </c>
      <c r="B69" s="1498" t="s">
        <v>1316</v>
      </c>
      <c r="C69" s="660" t="str">
        <f>VLOOKUP(B69,'Luong VP'!$B$10:$D$250,2,0)</f>
        <v>Nguyễn Bảo Huy</v>
      </c>
      <c r="D69" s="661" t="str">
        <f>VLOOKUP(B69,'Luong VP'!$B$10:$D$250,3,0)</f>
        <v>CV NCUDSP</v>
      </c>
      <c r="E69" s="1487">
        <v>1</v>
      </c>
      <c r="F69" s="1487">
        <v>1</v>
      </c>
      <c r="G69" s="1487">
        <v>1</v>
      </c>
      <c r="H69" s="1487">
        <v>1</v>
      </c>
      <c r="I69" s="1487">
        <v>1</v>
      </c>
      <c r="J69" s="1487">
        <v>1</v>
      </c>
      <c r="K69" s="1487"/>
      <c r="L69" s="1524" t="s">
        <v>720</v>
      </c>
      <c r="M69" s="1487">
        <v>1</v>
      </c>
      <c r="N69" s="1487">
        <v>1</v>
      </c>
      <c r="O69" s="1487">
        <v>1</v>
      </c>
      <c r="P69" s="1487">
        <v>1</v>
      </c>
      <c r="Q69" s="1487">
        <v>1</v>
      </c>
      <c r="R69" s="1487"/>
      <c r="S69" s="1487">
        <v>1</v>
      </c>
      <c r="T69" s="1487">
        <v>1</v>
      </c>
      <c r="U69" s="1487">
        <v>1</v>
      </c>
      <c r="V69" s="1487">
        <v>1</v>
      </c>
      <c r="W69" s="1487">
        <v>1</v>
      </c>
      <c r="X69" s="1487">
        <v>1</v>
      </c>
      <c r="Y69" s="1487"/>
      <c r="Z69" s="1487">
        <v>1</v>
      </c>
      <c r="AA69" s="1487">
        <v>1</v>
      </c>
      <c r="AB69" s="1487">
        <v>1</v>
      </c>
      <c r="AC69" s="1487">
        <v>1</v>
      </c>
      <c r="AD69" s="1487">
        <v>1</v>
      </c>
      <c r="AE69" s="1487">
        <v>1</v>
      </c>
      <c r="AF69" s="1487"/>
      <c r="AG69" s="1487">
        <v>1</v>
      </c>
      <c r="AH69" s="1487">
        <v>1</v>
      </c>
      <c r="AI69" s="1487">
        <v>1</v>
      </c>
      <c r="AJ69" s="662">
        <f t="shared" ref="AJ69" si="88">SUM(E69:AI69)-AK69</f>
        <v>26</v>
      </c>
      <c r="AK69" s="662">
        <f t="shared" ref="AK69" si="89">SUMIF($E$5:$AI$5,"LT",E69:AI69)</f>
        <v>0</v>
      </c>
      <c r="AL69" s="662">
        <f t="shared" ref="AL69" si="90">COUNTIF(E69:AI69,"P")</f>
        <v>0</v>
      </c>
      <c r="AM69" s="662">
        <f t="shared" ref="AM69" si="91">COUNTIF(E69:AI69,"LT")+MOD(AK69,1)</f>
        <v>1</v>
      </c>
      <c r="AN69" s="663"/>
      <c r="AO69" s="622"/>
      <c r="AP69" s="622"/>
      <c r="AQ69" s="622"/>
      <c r="AR69" s="622"/>
      <c r="AS69" s="622"/>
      <c r="AT69" s="622"/>
      <c r="AU69" s="622"/>
      <c r="AV69" s="622"/>
      <c r="AW69" s="622"/>
      <c r="AX69" s="622"/>
      <c r="AY69" s="622"/>
      <c r="AZ69" s="622"/>
      <c r="BA69" s="622"/>
      <c r="BB69" s="622"/>
      <c r="BC69" s="622"/>
      <c r="BD69" s="622"/>
      <c r="BE69" s="622"/>
      <c r="BF69" s="622"/>
      <c r="BG69" s="622"/>
      <c r="BH69" s="622"/>
      <c r="BI69" s="622"/>
      <c r="BJ69" s="622"/>
      <c r="BK69" s="622"/>
      <c r="BL69" s="622"/>
      <c r="BM69" s="622"/>
      <c r="BN69" s="622"/>
      <c r="BO69" s="622"/>
      <c r="BP69" s="622"/>
      <c r="BQ69" s="622"/>
      <c r="BR69" s="622"/>
      <c r="BS69" s="622"/>
      <c r="BT69" s="662">
        <f t="shared" ref="BT69" si="92">SUM(AO69:BS69)-BU69</f>
        <v>0</v>
      </c>
      <c r="BU69" s="662">
        <f t="shared" ref="BU69" si="93">SUMIF($AO$5:$BS$5,"CN",AO69:BS69)</f>
        <v>0</v>
      </c>
      <c r="BV69" s="665"/>
      <c r="BW69" s="637"/>
      <c r="BX69" s="667">
        <f t="shared" ref="BX69" si="94">BW69</f>
        <v>0</v>
      </c>
      <c r="BY69" s="666">
        <v>0</v>
      </c>
    </row>
    <row r="70" spans="1:77" s="544" customFormat="1">
      <c r="A70" s="572">
        <v>36</v>
      </c>
      <c r="B70" s="91" t="s">
        <v>368</v>
      </c>
      <c r="C70" s="577" t="str">
        <f>VLOOKUP(B70,'Luong VP'!$B$10:$D$250,2,0)</f>
        <v>Đặng Nguyễn Thế Anh</v>
      </c>
      <c r="D70" s="106" t="str">
        <f>VLOOKUP(B70,'Luong VP'!$B$10:$D$250,3,0)</f>
        <v>NV Phòng thí nghiệm</v>
      </c>
      <c r="E70" s="1487">
        <v>1</v>
      </c>
      <c r="F70" s="1487">
        <v>1</v>
      </c>
      <c r="G70" s="1487">
        <v>1</v>
      </c>
      <c r="H70" s="1487">
        <v>1</v>
      </c>
      <c r="I70" s="1487">
        <v>1</v>
      </c>
      <c r="J70" s="1487">
        <v>1</v>
      </c>
      <c r="K70" s="1487"/>
      <c r="L70" s="1524" t="s">
        <v>720</v>
      </c>
      <c r="M70" s="1487">
        <v>1</v>
      </c>
      <c r="N70" s="1487">
        <v>1</v>
      </c>
      <c r="O70" s="1487">
        <v>1</v>
      </c>
      <c r="P70" s="1487">
        <v>1</v>
      </c>
      <c r="Q70" s="1487">
        <v>1</v>
      </c>
      <c r="R70" s="1487"/>
      <c r="S70" s="1487">
        <v>1</v>
      </c>
      <c r="T70" s="1487">
        <v>1</v>
      </c>
      <c r="U70" s="1487">
        <v>1</v>
      </c>
      <c r="V70" s="1487">
        <v>1</v>
      </c>
      <c r="W70" s="1487">
        <v>1</v>
      </c>
      <c r="X70" s="1487">
        <v>1</v>
      </c>
      <c r="Y70" s="1487"/>
      <c r="Z70" s="1487">
        <v>1</v>
      </c>
      <c r="AA70" s="1487">
        <v>1</v>
      </c>
      <c r="AB70" s="1487">
        <v>1</v>
      </c>
      <c r="AC70" s="1487">
        <v>1</v>
      </c>
      <c r="AD70" s="1487">
        <v>1</v>
      </c>
      <c r="AE70" s="1487">
        <v>1</v>
      </c>
      <c r="AF70" s="1487"/>
      <c r="AG70" s="1487">
        <v>1</v>
      </c>
      <c r="AH70" s="1487">
        <v>1</v>
      </c>
      <c r="AI70" s="1487">
        <v>1</v>
      </c>
      <c r="AJ70" s="604">
        <f t="shared" si="65"/>
        <v>26</v>
      </c>
      <c r="AK70" s="604">
        <f t="shared" si="66"/>
        <v>0</v>
      </c>
      <c r="AL70" s="604">
        <f t="shared" si="67"/>
        <v>0</v>
      </c>
      <c r="AM70" s="604">
        <f t="shared" si="68"/>
        <v>1</v>
      </c>
      <c r="AN70" s="601"/>
      <c r="AO70" s="622"/>
      <c r="AP70" s="622"/>
      <c r="AQ70" s="622"/>
      <c r="AR70" s="622"/>
      <c r="AS70" s="622"/>
      <c r="AT70" s="622"/>
      <c r="AU70" s="622"/>
      <c r="AV70" s="622"/>
      <c r="AW70" s="622"/>
      <c r="AX70" s="622"/>
      <c r="AY70" s="622"/>
      <c r="AZ70" s="622"/>
      <c r="BA70" s="622"/>
      <c r="BB70" s="622"/>
      <c r="BC70" s="622"/>
      <c r="BD70" s="622"/>
      <c r="BE70" s="622"/>
      <c r="BF70" s="622"/>
      <c r="BG70" s="622"/>
      <c r="BH70" s="622"/>
      <c r="BI70" s="622"/>
      <c r="BJ70" s="622"/>
      <c r="BK70" s="622"/>
      <c r="BL70" s="622"/>
      <c r="BM70" s="622"/>
      <c r="BN70" s="622"/>
      <c r="BO70" s="622"/>
      <c r="BP70" s="622"/>
      <c r="BQ70" s="622"/>
      <c r="BR70" s="622"/>
      <c r="BS70" s="622"/>
      <c r="BT70" s="604">
        <f t="shared" si="86"/>
        <v>0</v>
      </c>
      <c r="BU70" s="604">
        <f t="shared" si="87"/>
        <v>0</v>
      </c>
      <c r="BV70" s="633"/>
      <c r="BW70" s="637"/>
      <c r="BX70" s="637">
        <f t="shared" si="48"/>
        <v>0</v>
      </c>
      <c r="BY70" s="638">
        <v>0</v>
      </c>
    </row>
    <row r="71" spans="1:77" s="544" customFormat="1">
      <c r="A71" s="572"/>
      <c r="B71" s="583" t="s">
        <v>370</v>
      </c>
      <c r="C71" s="577" t="s">
        <v>371</v>
      </c>
      <c r="D71" s="106" t="str">
        <f>VLOOKUP(B71,'Luong VP'!$B$10:$D$250,3,0)</f>
        <v>CV Phòng thí nghiệm (Quản lý PTN)</v>
      </c>
      <c r="E71" s="1487">
        <v>1</v>
      </c>
      <c r="F71" s="1487">
        <v>1</v>
      </c>
      <c r="G71" s="1487">
        <v>1</v>
      </c>
      <c r="H71" s="1487">
        <v>1</v>
      </c>
      <c r="I71" s="1487">
        <v>1</v>
      </c>
      <c r="J71" s="1487">
        <v>1</v>
      </c>
      <c r="K71" s="1487"/>
      <c r="L71" s="1524" t="s">
        <v>720</v>
      </c>
      <c r="M71" s="1487">
        <v>1</v>
      </c>
      <c r="N71" s="1487">
        <v>1</v>
      </c>
      <c r="O71" s="1487">
        <v>1</v>
      </c>
      <c r="P71" s="1487">
        <v>1</v>
      </c>
      <c r="Q71" s="1487">
        <v>1</v>
      </c>
      <c r="R71" s="1487"/>
      <c r="S71" s="1487">
        <v>1</v>
      </c>
      <c r="T71" s="1487">
        <v>1</v>
      </c>
      <c r="U71" s="1487">
        <v>1</v>
      </c>
      <c r="V71" s="1487">
        <v>1</v>
      </c>
      <c r="W71" s="1487">
        <v>1</v>
      </c>
      <c r="X71" s="1487">
        <v>1</v>
      </c>
      <c r="Y71" s="1487"/>
      <c r="Z71" s="1487">
        <v>1</v>
      </c>
      <c r="AA71" s="1487">
        <v>1</v>
      </c>
      <c r="AB71" s="1487">
        <v>1</v>
      </c>
      <c r="AC71" s="1487">
        <v>1</v>
      </c>
      <c r="AD71" s="1487">
        <v>1</v>
      </c>
      <c r="AE71" s="1487">
        <v>1</v>
      </c>
      <c r="AF71" s="1487"/>
      <c r="AG71" s="1487">
        <v>1</v>
      </c>
      <c r="AH71" s="1487">
        <v>1</v>
      </c>
      <c r="AI71" s="1487">
        <v>1</v>
      </c>
      <c r="AJ71" s="604">
        <f t="shared" si="65"/>
        <v>26</v>
      </c>
      <c r="AK71" s="604">
        <f t="shared" si="66"/>
        <v>0</v>
      </c>
      <c r="AL71" s="604">
        <f t="shared" si="67"/>
        <v>0</v>
      </c>
      <c r="AM71" s="604">
        <f t="shared" si="68"/>
        <v>1</v>
      </c>
      <c r="AN71" s="601"/>
      <c r="AO71" s="622"/>
      <c r="AP71" s="622"/>
      <c r="AQ71" s="622"/>
      <c r="AR71" s="622"/>
      <c r="AS71" s="622"/>
      <c r="AT71" s="622"/>
      <c r="AU71" s="622"/>
      <c r="AV71" s="622"/>
      <c r="AW71" s="622"/>
      <c r="AX71" s="622"/>
      <c r="AY71" s="622"/>
      <c r="AZ71" s="622"/>
      <c r="BA71" s="622"/>
      <c r="BB71" s="622"/>
      <c r="BC71" s="622"/>
      <c r="BD71" s="622"/>
      <c r="BE71" s="622"/>
      <c r="BF71" s="622"/>
      <c r="BG71" s="622"/>
      <c r="BH71" s="622"/>
      <c r="BI71" s="622"/>
      <c r="BJ71" s="622"/>
      <c r="BK71" s="622"/>
      <c r="BL71" s="622"/>
      <c r="BM71" s="622"/>
      <c r="BN71" s="622"/>
      <c r="BO71" s="622"/>
      <c r="BP71" s="622"/>
      <c r="BQ71" s="622"/>
      <c r="BR71" s="622"/>
      <c r="BS71" s="622"/>
      <c r="BT71" s="604">
        <f t="shared" si="86"/>
        <v>0</v>
      </c>
      <c r="BU71" s="604">
        <f t="shared" si="87"/>
        <v>0</v>
      </c>
      <c r="BV71" s="633"/>
      <c r="BW71" s="637"/>
      <c r="BX71" s="637">
        <f t="shared" si="48"/>
        <v>0</v>
      </c>
      <c r="BY71" s="638">
        <v>0</v>
      </c>
    </row>
    <row r="72" spans="1:77" s="544" customFormat="1">
      <c r="A72" s="578">
        <v>37</v>
      </c>
      <c r="B72" s="583" t="s">
        <v>372</v>
      </c>
      <c r="C72" s="577" t="str">
        <f>VLOOKUP(B72,'Luong VP'!$B$10:$D$250,2,0)</f>
        <v>Võ Thị Thanh Thủy</v>
      </c>
      <c r="D72" s="106" t="str">
        <f>VLOOKUP(B72,'Luong VP'!$B$10:$D$250,3,0)</f>
        <v>NV Phòng thí nghiệm</v>
      </c>
      <c r="E72" s="1487">
        <v>1</v>
      </c>
      <c r="F72" s="1487">
        <v>1</v>
      </c>
      <c r="G72" s="1487">
        <v>1</v>
      </c>
      <c r="H72" s="1487">
        <v>1</v>
      </c>
      <c r="I72" s="1487">
        <v>1</v>
      </c>
      <c r="J72" s="1487">
        <v>1</v>
      </c>
      <c r="K72" s="1487"/>
      <c r="L72" s="1524" t="s">
        <v>720</v>
      </c>
      <c r="M72" s="1487">
        <v>1</v>
      </c>
      <c r="N72" s="1487">
        <v>1</v>
      </c>
      <c r="O72" s="1487">
        <v>1</v>
      </c>
      <c r="P72" s="1487">
        <v>1</v>
      </c>
      <c r="Q72" s="1487">
        <v>1</v>
      </c>
      <c r="R72" s="1487"/>
      <c r="S72" s="1487">
        <v>1</v>
      </c>
      <c r="T72" s="1487">
        <v>1</v>
      </c>
      <c r="U72" s="1487">
        <v>1</v>
      </c>
      <c r="V72" s="1487">
        <v>1</v>
      </c>
      <c r="W72" s="1487">
        <v>1</v>
      </c>
      <c r="X72" s="1487">
        <v>1</v>
      </c>
      <c r="Y72" s="1487"/>
      <c r="Z72" s="1487">
        <v>1</v>
      </c>
      <c r="AA72" s="1487">
        <v>1</v>
      </c>
      <c r="AB72" s="1487">
        <v>1</v>
      </c>
      <c r="AC72" s="1487">
        <v>1</v>
      </c>
      <c r="AD72" s="1487">
        <v>1</v>
      </c>
      <c r="AE72" s="1487">
        <v>1</v>
      </c>
      <c r="AF72" s="1487"/>
      <c r="AG72" s="1487">
        <v>1</v>
      </c>
      <c r="AH72" s="1487">
        <v>1</v>
      </c>
      <c r="AI72" s="1487">
        <v>1</v>
      </c>
      <c r="AJ72" s="604">
        <f t="shared" si="65"/>
        <v>26</v>
      </c>
      <c r="AK72" s="604">
        <f t="shared" si="66"/>
        <v>0</v>
      </c>
      <c r="AL72" s="604">
        <f t="shared" si="67"/>
        <v>0</v>
      </c>
      <c r="AM72" s="604">
        <f t="shared" si="68"/>
        <v>1</v>
      </c>
      <c r="AN72" s="601"/>
      <c r="AO72" s="622"/>
      <c r="AP72" s="622"/>
      <c r="AQ72" s="622"/>
      <c r="AR72" s="622"/>
      <c r="AS72" s="622"/>
      <c r="AT72" s="622"/>
      <c r="AU72" s="622"/>
      <c r="AV72" s="622"/>
      <c r="AW72" s="622"/>
      <c r="AX72" s="622"/>
      <c r="AY72" s="622"/>
      <c r="AZ72" s="622"/>
      <c r="BA72" s="622"/>
      <c r="BB72" s="622"/>
      <c r="BC72" s="622"/>
      <c r="BD72" s="622"/>
      <c r="BE72" s="622"/>
      <c r="BF72" s="622"/>
      <c r="BG72" s="622"/>
      <c r="BH72" s="622"/>
      <c r="BI72" s="622"/>
      <c r="BJ72" s="622"/>
      <c r="BK72" s="622"/>
      <c r="BL72" s="622"/>
      <c r="BM72" s="622"/>
      <c r="BN72" s="622"/>
      <c r="BO72" s="622"/>
      <c r="BP72" s="622"/>
      <c r="BQ72" s="622"/>
      <c r="BR72" s="622"/>
      <c r="BS72" s="622"/>
      <c r="BT72" s="604">
        <f>SUM(AO72:BS72)-BU72</f>
        <v>0</v>
      </c>
      <c r="BU72" s="604">
        <f>SUMIF($AO$5:$BS$5,"CN",AO72:BS72)</f>
        <v>0</v>
      </c>
      <c r="BV72" s="633"/>
      <c r="BW72" s="637"/>
      <c r="BX72" s="637">
        <f t="shared" si="48"/>
        <v>0</v>
      </c>
      <c r="BY72" s="638">
        <v>0</v>
      </c>
    </row>
    <row r="73" spans="1:77" s="544" customFormat="1">
      <c r="A73" s="578">
        <v>37</v>
      </c>
      <c r="B73" s="1292" t="s">
        <v>1272</v>
      </c>
      <c r="C73" s="577" t="str">
        <f>VLOOKUP(B73,'Luong VP'!$B$10:$D$250,2,0)</f>
        <v>Nguyễn Duy Bình</v>
      </c>
      <c r="D73" s="106" t="str">
        <f>VLOOKUP(B73,'Luong VP'!$B$10:$D$250,3,0)</f>
        <v>NV Phòng thí nghiệm</v>
      </c>
      <c r="E73" s="1487">
        <v>1</v>
      </c>
      <c r="F73" s="1487">
        <v>1</v>
      </c>
      <c r="G73" s="1487">
        <v>1</v>
      </c>
      <c r="H73" s="1487">
        <v>1</v>
      </c>
      <c r="I73" s="1487">
        <v>1</v>
      </c>
      <c r="J73" s="1487">
        <v>1</v>
      </c>
      <c r="K73" s="1487"/>
      <c r="L73" s="1524" t="s">
        <v>720</v>
      </c>
      <c r="M73" s="1487">
        <v>1</v>
      </c>
      <c r="N73" s="1487">
        <v>1</v>
      </c>
      <c r="O73" s="1487">
        <v>1</v>
      </c>
      <c r="P73" s="1487">
        <v>1</v>
      </c>
      <c r="Q73" s="1487">
        <v>1</v>
      </c>
      <c r="R73" s="1487"/>
      <c r="S73" s="1487">
        <v>1</v>
      </c>
      <c r="T73" s="1487">
        <v>1</v>
      </c>
      <c r="U73" s="1487">
        <v>1</v>
      </c>
      <c r="V73" s="1487">
        <v>1</v>
      </c>
      <c r="W73" s="1487">
        <v>1</v>
      </c>
      <c r="X73" s="1487">
        <v>1</v>
      </c>
      <c r="Y73" s="1487"/>
      <c r="Z73" s="1487">
        <v>1</v>
      </c>
      <c r="AA73" s="1487">
        <v>1</v>
      </c>
      <c r="AB73" s="1487">
        <v>1</v>
      </c>
      <c r="AC73" s="1487">
        <v>1</v>
      </c>
      <c r="AD73" s="1487">
        <v>1</v>
      </c>
      <c r="AE73" s="1487">
        <v>1</v>
      </c>
      <c r="AF73" s="1487"/>
      <c r="AG73" s="1487">
        <v>1</v>
      </c>
      <c r="AH73" s="1487">
        <v>1</v>
      </c>
      <c r="AI73" s="1487">
        <v>1</v>
      </c>
      <c r="AJ73" s="604">
        <f t="shared" si="65"/>
        <v>26</v>
      </c>
      <c r="AK73" s="604">
        <f t="shared" si="66"/>
        <v>0</v>
      </c>
      <c r="AL73" s="604">
        <f t="shared" si="67"/>
        <v>0</v>
      </c>
      <c r="AM73" s="604">
        <f t="shared" si="68"/>
        <v>1</v>
      </c>
      <c r="AN73" s="601"/>
      <c r="AO73" s="622"/>
      <c r="AP73" s="622"/>
      <c r="AQ73" s="622"/>
      <c r="AR73" s="622"/>
      <c r="AS73" s="622"/>
      <c r="AT73" s="622"/>
      <c r="AU73" s="622"/>
      <c r="AV73" s="622"/>
      <c r="AW73" s="622"/>
      <c r="AX73" s="622"/>
      <c r="AY73" s="622"/>
      <c r="AZ73" s="622"/>
      <c r="BA73" s="622"/>
      <c r="BB73" s="622"/>
      <c r="BC73" s="622"/>
      <c r="BD73" s="622"/>
      <c r="BE73" s="622"/>
      <c r="BF73" s="622"/>
      <c r="BG73" s="622"/>
      <c r="BH73" s="622"/>
      <c r="BI73" s="622"/>
      <c r="BJ73" s="622"/>
      <c r="BK73" s="622"/>
      <c r="BL73" s="622"/>
      <c r="BM73" s="622"/>
      <c r="BN73" s="622"/>
      <c r="BO73" s="622"/>
      <c r="BP73" s="622"/>
      <c r="BQ73" s="622"/>
      <c r="BR73" s="622"/>
      <c r="BS73" s="622"/>
      <c r="BT73" s="604">
        <f>SUM(AO73:BS73)-BU73</f>
        <v>0</v>
      </c>
      <c r="BU73" s="604">
        <f>SUMIF($AO$5:$BS$5,"CN",AO73:BS73)</f>
        <v>0</v>
      </c>
      <c r="BV73" s="633"/>
      <c r="BW73" s="637">
        <v>2000</v>
      </c>
      <c r="BX73" s="637">
        <f t="shared" si="48"/>
        <v>2000</v>
      </c>
      <c r="BY73" s="638">
        <v>0</v>
      </c>
    </row>
    <row r="74" spans="1:77" s="544" customFormat="1">
      <c r="A74" s="566"/>
      <c r="B74" s="567" t="s">
        <v>376</v>
      </c>
      <c r="C74" s="568"/>
      <c r="D74" s="568"/>
      <c r="E74" s="568"/>
      <c r="F74" s="568"/>
      <c r="G74" s="568"/>
      <c r="H74" s="568"/>
      <c r="I74" s="568"/>
      <c r="J74" s="568"/>
      <c r="K74" s="568"/>
      <c r="L74" s="568"/>
      <c r="M74" s="568"/>
      <c r="N74" s="568"/>
      <c r="O74" s="568"/>
      <c r="P74" s="568"/>
      <c r="Q74" s="568"/>
      <c r="R74" s="568"/>
      <c r="S74" s="568"/>
      <c r="T74" s="568"/>
      <c r="U74" s="568"/>
      <c r="V74" s="568"/>
      <c r="W74" s="568"/>
      <c r="X74" s="568"/>
      <c r="Y74" s="568"/>
      <c r="Z74" s="568"/>
      <c r="AA74" s="568"/>
      <c r="AB74" s="568"/>
      <c r="AC74" s="568"/>
      <c r="AD74" s="568"/>
      <c r="AE74" s="568"/>
      <c r="AF74" s="568"/>
      <c r="AG74" s="568"/>
      <c r="AH74" s="568"/>
      <c r="AI74" s="568"/>
      <c r="AJ74" s="568"/>
      <c r="AK74" s="568"/>
      <c r="AL74" s="569"/>
      <c r="AM74" s="569"/>
      <c r="AN74" s="601"/>
      <c r="AO74" s="629"/>
      <c r="AP74" s="629"/>
      <c r="AQ74" s="629"/>
      <c r="AR74" s="629"/>
      <c r="AS74" s="629"/>
      <c r="AT74" s="629"/>
      <c r="AU74" s="629"/>
      <c r="AV74" s="629"/>
      <c r="AW74" s="629"/>
      <c r="AX74" s="629"/>
      <c r="AY74" s="629"/>
      <c r="AZ74" s="629"/>
      <c r="BA74" s="629"/>
      <c r="BB74" s="629"/>
      <c r="BC74" s="629"/>
      <c r="BD74" s="629"/>
      <c r="BE74" s="629"/>
      <c r="BF74" s="629"/>
      <c r="BG74" s="629"/>
      <c r="BH74" s="629"/>
      <c r="BI74" s="629"/>
      <c r="BJ74" s="629"/>
      <c r="BK74" s="629"/>
      <c r="BL74" s="629"/>
      <c r="BM74" s="629"/>
      <c r="BN74" s="629"/>
      <c r="BO74" s="629"/>
      <c r="BP74" s="629"/>
      <c r="BQ74" s="629"/>
      <c r="BR74" s="629"/>
      <c r="BS74" s="629"/>
      <c r="BT74" s="629"/>
      <c r="BU74" s="629"/>
      <c r="BV74" s="629"/>
      <c r="BW74" s="629"/>
      <c r="BX74" s="629"/>
      <c r="BY74" s="634"/>
    </row>
    <row r="75" spans="1:77" s="544" customFormat="1">
      <c r="A75" s="570"/>
      <c r="B75" s="109"/>
      <c r="C75" s="95" t="s">
        <v>377</v>
      </c>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c r="AL75" s="571"/>
      <c r="AM75" s="571"/>
      <c r="AN75" s="601"/>
      <c r="AO75" s="620"/>
      <c r="AP75" s="620"/>
      <c r="AQ75" s="620"/>
      <c r="AR75" s="620"/>
      <c r="AS75" s="620"/>
      <c r="AT75" s="620"/>
      <c r="AU75" s="620"/>
      <c r="AV75" s="620"/>
      <c r="AW75" s="620"/>
      <c r="AX75" s="620"/>
      <c r="AY75" s="620"/>
      <c r="AZ75" s="620"/>
      <c r="BA75" s="620"/>
      <c r="BB75" s="620"/>
      <c r="BC75" s="620"/>
      <c r="BD75" s="620"/>
      <c r="BE75" s="620"/>
      <c r="BF75" s="620"/>
      <c r="BG75" s="620"/>
      <c r="BH75" s="620"/>
      <c r="BI75" s="620"/>
      <c r="BJ75" s="620"/>
      <c r="BK75" s="620"/>
      <c r="BL75" s="620"/>
      <c r="BM75" s="620"/>
      <c r="BN75" s="620"/>
      <c r="BO75" s="620"/>
      <c r="BP75" s="620"/>
      <c r="BQ75" s="620"/>
      <c r="BR75" s="620"/>
      <c r="BS75" s="620"/>
      <c r="BT75" s="620"/>
      <c r="BU75" s="620"/>
      <c r="BV75" s="620"/>
      <c r="BW75" s="620"/>
      <c r="BX75" s="620"/>
      <c r="BY75" s="635"/>
    </row>
    <row r="76" spans="1:77" s="544" customFormat="1">
      <c r="A76" s="578">
        <v>39</v>
      </c>
      <c r="B76" s="98" t="s">
        <v>378</v>
      </c>
      <c r="C76" s="573" t="str">
        <f>VLOOKUP(B76,'Luong VP'!$B$10:$D$250,2,0)</f>
        <v xml:space="preserve"> Lê Thanh Huy </v>
      </c>
      <c r="D76" s="93" t="str">
        <f>VLOOKUP(B76,'Luong VP'!$B$10:$D$250,3,0)</f>
        <v>GIÁM ĐỐC NHÀ MÁY</v>
      </c>
      <c r="E76" s="575">
        <v>1</v>
      </c>
      <c r="F76" s="575">
        <v>1</v>
      </c>
      <c r="G76" s="575">
        <v>1</v>
      </c>
      <c r="H76" s="575">
        <v>1</v>
      </c>
      <c r="I76" s="575">
        <v>1</v>
      </c>
      <c r="J76" s="575">
        <v>1</v>
      </c>
      <c r="K76" s="575"/>
      <c r="L76" s="1524" t="s">
        <v>720</v>
      </c>
      <c r="M76" s="575">
        <v>1</v>
      </c>
      <c r="N76" s="575">
        <v>1</v>
      </c>
      <c r="O76" s="575">
        <v>1</v>
      </c>
      <c r="P76" s="575">
        <v>1</v>
      </c>
      <c r="Q76" s="575">
        <v>1</v>
      </c>
      <c r="R76" s="575"/>
      <c r="S76" s="575">
        <v>1</v>
      </c>
      <c r="T76" s="575">
        <v>1</v>
      </c>
      <c r="U76" s="575">
        <v>1</v>
      </c>
      <c r="V76" s="575">
        <v>1</v>
      </c>
      <c r="W76" s="575">
        <v>1</v>
      </c>
      <c r="X76" s="575">
        <v>1</v>
      </c>
      <c r="Y76" s="575"/>
      <c r="Z76" s="575">
        <v>1</v>
      </c>
      <c r="AA76" s="575">
        <v>1</v>
      </c>
      <c r="AB76" s="575">
        <v>1</v>
      </c>
      <c r="AC76" s="575">
        <v>1</v>
      </c>
      <c r="AD76" s="575">
        <v>1</v>
      </c>
      <c r="AE76" s="575">
        <v>1</v>
      </c>
      <c r="AF76" s="575"/>
      <c r="AG76" s="575">
        <v>1</v>
      </c>
      <c r="AH76" s="575">
        <v>1</v>
      </c>
      <c r="AI76" s="575">
        <v>1</v>
      </c>
      <c r="AJ76" s="651">
        <f t="shared" ref="AJ76:AJ78" si="95">SUM(E76:AI76)-AK76</f>
        <v>26</v>
      </c>
      <c r="AK76" s="651">
        <f>SUMIF($E$5:$AI$5,"LT",E76:AI76)</f>
        <v>0</v>
      </c>
      <c r="AL76" s="651">
        <f>COUNTIF(E76:AI76,"P")</f>
        <v>0</v>
      </c>
      <c r="AM76" s="651">
        <f>COUNTIF(E76:AI76,"LT")+MOD(AK76,1)</f>
        <v>1</v>
      </c>
      <c r="AN76" s="601"/>
      <c r="AO76" s="622"/>
      <c r="AP76" s="622"/>
      <c r="AQ76" s="622"/>
      <c r="AR76" s="622"/>
      <c r="AS76" s="622"/>
      <c r="AT76" s="622"/>
      <c r="AU76" s="622"/>
      <c r="AV76" s="622"/>
      <c r="AW76" s="622"/>
      <c r="AX76" s="622"/>
      <c r="AY76" s="622"/>
      <c r="AZ76" s="622"/>
      <c r="BA76" s="622"/>
      <c r="BB76" s="622"/>
      <c r="BC76" s="622"/>
      <c r="BD76" s="622"/>
      <c r="BE76" s="622"/>
      <c r="BF76" s="622"/>
      <c r="BG76" s="622"/>
      <c r="BH76" s="622"/>
      <c r="BI76" s="622"/>
      <c r="BJ76" s="622"/>
      <c r="BK76" s="622"/>
      <c r="BL76" s="622"/>
      <c r="BM76" s="622"/>
      <c r="BN76" s="622"/>
      <c r="BO76" s="622"/>
      <c r="BP76" s="622"/>
      <c r="BQ76" s="622"/>
      <c r="BR76" s="622"/>
      <c r="BS76" s="622"/>
      <c r="BT76" s="604">
        <f>SUM(AO76:BS76)-BU76</f>
        <v>0</v>
      </c>
      <c r="BU76" s="604">
        <f>SUMIF($AO$5:$BS$5,"CN",AO76:BS76)</f>
        <v>0</v>
      </c>
      <c r="BV76" s="633"/>
      <c r="BW76" s="1513">
        <v>20000</v>
      </c>
      <c r="BX76" s="637">
        <f t="shared" si="48"/>
        <v>20000</v>
      </c>
      <c r="BY76" s="638"/>
    </row>
    <row r="77" spans="1:77" s="544" customFormat="1">
      <c r="A77" s="570"/>
      <c r="B77" s="109"/>
      <c r="C77" s="95" t="s">
        <v>380</v>
      </c>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c r="AK77" s="96"/>
      <c r="AL77" s="571"/>
      <c r="AM77" s="571"/>
      <c r="AN77" s="606"/>
      <c r="AO77" s="623"/>
      <c r="AP77" s="623"/>
      <c r="AQ77" s="623"/>
      <c r="AR77" s="623"/>
      <c r="AS77" s="623"/>
      <c r="AT77" s="623"/>
      <c r="AU77" s="623"/>
      <c r="AV77" s="623"/>
      <c r="AW77" s="623"/>
      <c r="AX77" s="623"/>
      <c r="AY77" s="623"/>
      <c r="AZ77" s="623"/>
      <c r="BA77" s="623"/>
      <c r="BB77" s="623"/>
      <c r="BC77" s="623"/>
      <c r="BD77" s="623"/>
      <c r="BE77" s="623"/>
      <c r="BF77" s="623"/>
      <c r="BG77" s="623"/>
      <c r="BH77" s="623"/>
      <c r="BI77" s="623"/>
      <c r="BJ77" s="623"/>
      <c r="BK77" s="623"/>
      <c r="BL77" s="623"/>
      <c r="BM77" s="623"/>
      <c r="BN77" s="623"/>
      <c r="BO77" s="623"/>
      <c r="BP77" s="623"/>
      <c r="BQ77" s="623"/>
      <c r="BR77" s="623"/>
      <c r="BS77" s="623"/>
      <c r="BT77" s="571"/>
      <c r="BU77" s="571"/>
      <c r="BV77" s="571"/>
      <c r="BW77" s="571"/>
      <c r="BX77" s="571"/>
      <c r="BY77" s="635"/>
    </row>
    <row r="78" spans="1:77" s="544" customFormat="1">
      <c r="A78" s="578">
        <v>43</v>
      </c>
      <c r="B78" s="91" t="s">
        <v>381</v>
      </c>
      <c r="C78" s="577" t="str">
        <f>VLOOKUP(B78,'Luong VP'!$B$10:$D$250,2,0)</f>
        <v>Nguyễn Tấn Lộc</v>
      </c>
      <c r="D78" s="106" t="str">
        <f>VLOOKUP(B78,'Luong VP'!$B$10:$D$250,3,0)</f>
        <v>NV kho</v>
      </c>
      <c r="E78" s="1487">
        <v>1</v>
      </c>
      <c r="F78" s="1487">
        <v>1</v>
      </c>
      <c r="G78" s="1487">
        <v>1</v>
      </c>
      <c r="H78" s="1487">
        <v>1</v>
      </c>
      <c r="I78" s="1487">
        <v>1</v>
      </c>
      <c r="J78" s="1487">
        <v>1</v>
      </c>
      <c r="K78" s="1487"/>
      <c r="L78" s="1524" t="s">
        <v>720</v>
      </c>
      <c r="M78" s="1487">
        <v>1</v>
      </c>
      <c r="N78" s="1487">
        <v>1</v>
      </c>
      <c r="O78" s="1487">
        <v>1</v>
      </c>
      <c r="P78" s="1487">
        <v>1</v>
      </c>
      <c r="Q78" s="1487">
        <v>1</v>
      </c>
      <c r="R78" s="1487"/>
      <c r="S78" s="1487">
        <v>1</v>
      </c>
      <c r="T78" s="1487">
        <v>1</v>
      </c>
      <c r="U78" s="1487">
        <v>1</v>
      </c>
      <c r="V78" s="1487">
        <v>1</v>
      </c>
      <c r="W78" s="1487">
        <v>1</v>
      </c>
      <c r="X78" s="1487">
        <v>1</v>
      </c>
      <c r="Y78" s="1487"/>
      <c r="Z78" s="1487">
        <v>1</v>
      </c>
      <c r="AA78" s="1487">
        <v>1</v>
      </c>
      <c r="AB78" s="1487">
        <v>1</v>
      </c>
      <c r="AC78" s="1487">
        <v>1</v>
      </c>
      <c r="AD78" s="1487">
        <v>1</v>
      </c>
      <c r="AE78" s="1487">
        <v>1</v>
      </c>
      <c r="AF78" s="1487"/>
      <c r="AG78" s="1487">
        <v>1</v>
      </c>
      <c r="AH78" s="1487">
        <v>1</v>
      </c>
      <c r="AI78" s="1487">
        <v>1</v>
      </c>
      <c r="AJ78" s="604">
        <f t="shared" si="95"/>
        <v>26</v>
      </c>
      <c r="AK78" s="604">
        <f t="shared" ref="AK78" si="96">SUMIF($E$5:$AI$5,"LT",E78:AI78)</f>
        <v>0</v>
      </c>
      <c r="AL78" s="604">
        <f t="shared" ref="AL78" si="97">COUNTIF(E78:AI78,"P")</f>
        <v>0</v>
      </c>
      <c r="AM78" s="604">
        <f t="shared" ref="AM78" si="98">COUNTIF(E78:AI78,"LT")+MOD(AK78,1)</f>
        <v>1</v>
      </c>
      <c r="AN78" s="601"/>
      <c r="AO78" s="1406">
        <v>1</v>
      </c>
      <c r="AP78" s="1406">
        <v>1</v>
      </c>
      <c r="AQ78" s="1406">
        <v>1</v>
      </c>
      <c r="AR78" s="1406">
        <v>1</v>
      </c>
      <c r="AS78" s="1406">
        <v>1</v>
      </c>
      <c r="AT78" s="1406">
        <v>1</v>
      </c>
      <c r="AU78" s="1406"/>
      <c r="AV78" s="1406"/>
      <c r="AW78" s="1406">
        <v>1</v>
      </c>
      <c r="AX78" s="1406">
        <v>1</v>
      </c>
      <c r="AY78" s="1406">
        <v>1</v>
      </c>
      <c r="AZ78" s="1406">
        <v>1</v>
      </c>
      <c r="BA78" s="1406">
        <v>1</v>
      </c>
      <c r="BB78" s="1406"/>
      <c r="BC78" s="1406">
        <v>1</v>
      </c>
      <c r="BD78" s="1406">
        <v>1</v>
      </c>
      <c r="BE78" s="1406">
        <v>0.5</v>
      </c>
      <c r="BF78" s="1406"/>
      <c r="BG78" s="1406">
        <v>1</v>
      </c>
      <c r="BH78" s="1406">
        <v>1</v>
      </c>
      <c r="BI78" s="1406"/>
      <c r="BJ78" s="1406">
        <v>1</v>
      </c>
      <c r="BK78" s="1406">
        <v>1</v>
      </c>
      <c r="BL78" s="1406">
        <v>1</v>
      </c>
      <c r="BM78" s="1406">
        <v>1</v>
      </c>
      <c r="BN78" s="1406">
        <v>1</v>
      </c>
      <c r="BO78" s="1406">
        <v>1</v>
      </c>
      <c r="BP78" s="1406"/>
      <c r="BQ78" s="1406">
        <v>1</v>
      </c>
      <c r="BR78" s="1406">
        <v>1</v>
      </c>
      <c r="BS78" s="1406">
        <v>1</v>
      </c>
      <c r="BT78" s="604">
        <f t="shared" ref="BT78:BT151" si="99">SUM(AO78:BS78)-BU78</f>
        <v>24.5</v>
      </c>
      <c r="BU78" s="604">
        <f t="shared" ref="BU78:BU151" si="100">SUMIF($AO$5:$BS$5,"CN",AO78:BS78)</f>
        <v>0</v>
      </c>
      <c r="BV78" s="633"/>
      <c r="BW78" s="1513">
        <v>3000</v>
      </c>
      <c r="BX78" s="637">
        <f t="shared" si="48"/>
        <v>3000</v>
      </c>
      <c r="BY78" s="638">
        <v>0</v>
      </c>
    </row>
    <row r="79" spans="1:77" s="544" customFormat="1">
      <c r="A79" s="578">
        <v>44</v>
      </c>
      <c r="B79" s="91" t="s">
        <v>387</v>
      </c>
      <c r="C79" s="577" t="str">
        <f>VLOOKUP(B79,'Luong VP'!$B$10:$D$250,2,0)</f>
        <v>Lương Minh Hòa</v>
      </c>
      <c r="D79" s="106" t="str">
        <f>VLOOKUP(B79,'Luong VP'!$B$10:$D$250,3,0)</f>
        <v>Thủ kho</v>
      </c>
      <c r="E79" s="1487">
        <v>1</v>
      </c>
      <c r="F79" s="1487">
        <v>1</v>
      </c>
      <c r="G79" s="1487">
        <v>1</v>
      </c>
      <c r="H79" s="1487">
        <v>1</v>
      </c>
      <c r="I79" s="1487">
        <v>1</v>
      </c>
      <c r="J79" s="1487">
        <v>1</v>
      </c>
      <c r="K79" s="1487"/>
      <c r="L79" s="1524" t="s">
        <v>720</v>
      </c>
      <c r="M79" s="1487">
        <v>1</v>
      </c>
      <c r="N79" s="1487">
        <v>1</v>
      </c>
      <c r="O79" s="1487">
        <v>1</v>
      </c>
      <c r="P79" s="1487">
        <v>1</v>
      </c>
      <c r="Q79" s="1487">
        <v>1</v>
      </c>
      <c r="R79" s="1487"/>
      <c r="S79" s="1487">
        <v>1</v>
      </c>
      <c r="T79" s="1487">
        <v>1</v>
      </c>
      <c r="U79" s="1487">
        <v>1</v>
      </c>
      <c r="V79" s="1487">
        <v>1</v>
      </c>
      <c r="W79" s="1487">
        <v>1</v>
      </c>
      <c r="X79" s="1487">
        <v>1</v>
      </c>
      <c r="Y79" s="1487"/>
      <c r="Z79" s="1487">
        <v>1</v>
      </c>
      <c r="AA79" s="1487">
        <v>1</v>
      </c>
      <c r="AB79" s="1487">
        <v>1</v>
      </c>
      <c r="AC79" s="1487">
        <v>1</v>
      </c>
      <c r="AD79" s="1487">
        <v>1</v>
      </c>
      <c r="AE79" s="1487">
        <v>1</v>
      </c>
      <c r="AF79" s="1487"/>
      <c r="AG79" s="1487">
        <v>1</v>
      </c>
      <c r="AH79" s="1487">
        <v>1</v>
      </c>
      <c r="AI79" s="1487">
        <v>1</v>
      </c>
      <c r="AJ79" s="604">
        <f t="shared" ref="AJ79:AJ87" si="101">SUM(E79:AI79)-AK79</f>
        <v>26</v>
      </c>
      <c r="AK79" s="604">
        <f t="shared" ref="AK79:AK87" si="102">SUMIF($E$5:$AI$5,"LT",E79:AI79)</f>
        <v>0</v>
      </c>
      <c r="AL79" s="604">
        <f t="shared" ref="AL79:AL87" si="103">COUNTIF(E79:AI79,"P")</f>
        <v>0</v>
      </c>
      <c r="AM79" s="604">
        <f t="shared" ref="AM79:AM87" si="104">COUNTIF(E79:AI79,"LT")+MOD(AK79,1)</f>
        <v>1</v>
      </c>
      <c r="AN79" s="601"/>
      <c r="AO79" s="1406"/>
      <c r="AP79" s="1406"/>
      <c r="AQ79" s="1406"/>
      <c r="AR79" s="1406"/>
      <c r="AS79" s="1406"/>
      <c r="AT79" s="1406"/>
      <c r="AU79" s="1406"/>
      <c r="AV79" s="1406"/>
      <c r="AW79" s="1406"/>
      <c r="AX79" s="1406"/>
      <c r="AY79" s="1406"/>
      <c r="AZ79" s="1406"/>
      <c r="BA79" s="1406"/>
      <c r="BB79" s="1406"/>
      <c r="BC79" s="1406"/>
      <c r="BD79" s="1406"/>
      <c r="BE79" s="1406"/>
      <c r="BF79" s="1406"/>
      <c r="BG79" s="1406"/>
      <c r="BH79" s="1406"/>
      <c r="BI79" s="1406"/>
      <c r="BJ79" s="1406"/>
      <c r="BK79" s="1406"/>
      <c r="BL79" s="1406"/>
      <c r="BM79" s="1406"/>
      <c r="BN79" s="1406"/>
      <c r="BO79" s="1406"/>
      <c r="BP79" s="1406"/>
      <c r="BQ79" s="1406"/>
      <c r="BR79" s="1406"/>
      <c r="BS79" s="1406"/>
      <c r="BT79" s="604">
        <f t="shared" si="99"/>
        <v>0</v>
      </c>
      <c r="BU79" s="604">
        <f t="shared" si="100"/>
        <v>0</v>
      </c>
      <c r="BV79" s="633"/>
      <c r="BW79" s="1513">
        <v>0</v>
      </c>
      <c r="BX79" s="637">
        <f t="shared" si="48"/>
        <v>0</v>
      </c>
      <c r="BY79" s="638">
        <v>0</v>
      </c>
    </row>
    <row r="80" spans="1:77" s="544" customFormat="1">
      <c r="A80" s="578">
        <v>46</v>
      </c>
      <c r="B80" s="91" t="s">
        <v>389</v>
      </c>
      <c r="C80" s="577" t="str">
        <f>VLOOKUP(B80,'Luong VP'!$B$10:$D$250,2,0)</f>
        <v>Nguyễn Hữu Tài</v>
      </c>
      <c r="D80" s="106" t="str">
        <f>VLOOKUP(B80,'Luong VP'!$B$10:$D$250,3,0)</f>
        <v>Thủ kho</v>
      </c>
      <c r="E80" s="1487">
        <v>1</v>
      </c>
      <c r="F80" s="1487">
        <v>1</v>
      </c>
      <c r="G80" s="1487">
        <v>1</v>
      </c>
      <c r="H80" s="1487">
        <v>1</v>
      </c>
      <c r="I80" s="1487">
        <v>1</v>
      </c>
      <c r="J80" s="1487">
        <v>1</v>
      </c>
      <c r="K80" s="1487"/>
      <c r="L80" s="1524" t="s">
        <v>720</v>
      </c>
      <c r="M80" s="1487">
        <v>1</v>
      </c>
      <c r="N80" s="1487">
        <v>1</v>
      </c>
      <c r="O80" s="1487">
        <v>1</v>
      </c>
      <c r="P80" s="1487">
        <v>1</v>
      </c>
      <c r="Q80" s="1487">
        <v>1</v>
      </c>
      <c r="R80" s="1487"/>
      <c r="S80" s="1487">
        <v>1</v>
      </c>
      <c r="T80" s="1487">
        <v>1</v>
      </c>
      <c r="U80" s="1487">
        <v>1</v>
      </c>
      <c r="V80" s="1487">
        <v>1</v>
      </c>
      <c r="W80" s="1487">
        <v>1</v>
      </c>
      <c r="X80" s="1487">
        <v>1</v>
      </c>
      <c r="Y80" s="1487"/>
      <c r="Z80" s="1487">
        <v>1</v>
      </c>
      <c r="AA80" s="1487">
        <v>1</v>
      </c>
      <c r="AB80" s="1487">
        <v>1</v>
      </c>
      <c r="AC80" s="1487">
        <v>1</v>
      </c>
      <c r="AD80" s="1487">
        <v>1</v>
      </c>
      <c r="AE80" s="1487">
        <v>1</v>
      </c>
      <c r="AF80" s="1487"/>
      <c r="AG80" s="1487">
        <v>1</v>
      </c>
      <c r="AH80" s="1487">
        <v>1</v>
      </c>
      <c r="AI80" s="1487">
        <v>1</v>
      </c>
      <c r="AJ80" s="604">
        <f t="shared" si="101"/>
        <v>26</v>
      </c>
      <c r="AK80" s="604">
        <f t="shared" si="102"/>
        <v>0</v>
      </c>
      <c r="AL80" s="604">
        <f t="shared" si="103"/>
        <v>0</v>
      </c>
      <c r="AM80" s="604">
        <f t="shared" si="104"/>
        <v>1</v>
      </c>
      <c r="AN80" s="601"/>
      <c r="AO80" s="1406">
        <f>0.5+2.5</f>
        <v>3</v>
      </c>
      <c r="AP80" s="1406"/>
      <c r="AQ80" s="1406"/>
      <c r="AR80" s="1406">
        <v>3</v>
      </c>
      <c r="AS80" s="1406">
        <v>1.5</v>
      </c>
      <c r="AT80" s="1406"/>
      <c r="AU80" s="1406"/>
      <c r="AV80" s="1406"/>
      <c r="AW80" s="1406">
        <v>0.5</v>
      </c>
      <c r="AX80" s="1406">
        <f>1+3</f>
        <v>4</v>
      </c>
      <c r="AY80" s="1406">
        <v>2.5</v>
      </c>
      <c r="AZ80" s="1406"/>
      <c r="BA80" s="1406">
        <v>6.5</v>
      </c>
      <c r="BB80" s="1406">
        <v>8</v>
      </c>
      <c r="BC80" s="1406">
        <v>0.5</v>
      </c>
      <c r="BD80" s="1406"/>
      <c r="BE80" s="1406"/>
      <c r="BF80" s="1406"/>
      <c r="BG80" s="1406">
        <v>0.5</v>
      </c>
      <c r="BH80" s="1406"/>
      <c r="BI80" s="1406"/>
      <c r="BJ80" s="1406">
        <f>3+0.5</f>
        <v>3.5</v>
      </c>
      <c r="BK80" s="1406">
        <v>0.5</v>
      </c>
      <c r="BL80" s="1406">
        <f>3.5+0.5</f>
        <v>4</v>
      </c>
      <c r="BM80" s="1406">
        <v>0.5</v>
      </c>
      <c r="BN80" s="1406">
        <f>6+0.5</f>
        <v>6.5</v>
      </c>
      <c r="BO80" s="1406">
        <v>0.5</v>
      </c>
      <c r="BP80" s="1406"/>
      <c r="BQ80" s="1406">
        <v>4</v>
      </c>
      <c r="BR80" s="1406">
        <v>0.5</v>
      </c>
      <c r="BS80" s="1406">
        <v>5</v>
      </c>
      <c r="BT80" s="604">
        <f t="shared" si="99"/>
        <v>47</v>
      </c>
      <c r="BU80" s="604">
        <f t="shared" si="100"/>
        <v>8</v>
      </c>
      <c r="BV80" s="633"/>
      <c r="BW80" s="1513">
        <v>2000</v>
      </c>
      <c r="BX80" s="637">
        <f t="shared" si="48"/>
        <v>2000</v>
      </c>
      <c r="BY80" s="638">
        <v>0</v>
      </c>
    </row>
    <row r="81" spans="1:79" s="544" customFormat="1">
      <c r="A81" s="578">
        <v>48</v>
      </c>
      <c r="B81" s="91" t="s">
        <v>383</v>
      </c>
      <c r="C81" s="577" t="str">
        <f>VLOOKUP(B81,'Luong VP'!$B$10:$D$250,2,0)</f>
        <v>Nguyễn Minh Hoàn</v>
      </c>
      <c r="D81" s="106" t="str">
        <f>VLOOKUP(B81,'Luong VP'!$B$10:$D$250,3,0)</f>
        <v>NV kho</v>
      </c>
      <c r="E81" s="1487">
        <v>1</v>
      </c>
      <c r="F81" s="1487">
        <v>1</v>
      </c>
      <c r="G81" s="1487">
        <v>1</v>
      </c>
      <c r="H81" s="1487">
        <v>1</v>
      </c>
      <c r="I81" s="1487">
        <v>1</v>
      </c>
      <c r="J81" s="1487">
        <v>1</v>
      </c>
      <c r="K81" s="1487"/>
      <c r="L81" s="1524" t="s">
        <v>720</v>
      </c>
      <c r="M81" s="1487">
        <v>1</v>
      </c>
      <c r="N81" s="1487">
        <v>1</v>
      </c>
      <c r="O81" s="1487">
        <v>1</v>
      </c>
      <c r="P81" s="1487">
        <v>1</v>
      </c>
      <c r="Q81" s="1487">
        <v>1</v>
      </c>
      <c r="R81" s="1487"/>
      <c r="S81" s="1487">
        <v>1</v>
      </c>
      <c r="T81" s="1487">
        <v>1</v>
      </c>
      <c r="U81" s="1487">
        <v>1</v>
      </c>
      <c r="V81" s="1487">
        <v>1</v>
      </c>
      <c r="W81" s="1487">
        <v>1</v>
      </c>
      <c r="X81" s="1487">
        <v>1</v>
      </c>
      <c r="Y81" s="1487"/>
      <c r="Z81" s="1487">
        <v>1</v>
      </c>
      <c r="AA81" s="1487">
        <v>2</v>
      </c>
      <c r="AB81" s="1487">
        <v>1</v>
      </c>
      <c r="AC81" s="1487">
        <v>1</v>
      </c>
      <c r="AD81" s="1487">
        <v>1</v>
      </c>
      <c r="AE81" s="1487">
        <v>1</v>
      </c>
      <c r="AF81" s="1487"/>
      <c r="AG81" s="1487">
        <v>1</v>
      </c>
      <c r="AH81" s="1487">
        <v>1</v>
      </c>
      <c r="AI81" s="1487">
        <v>1</v>
      </c>
      <c r="AJ81" s="604">
        <f t="shared" si="101"/>
        <v>27</v>
      </c>
      <c r="AK81" s="604">
        <f t="shared" si="102"/>
        <v>0</v>
      </c>
      <c r="AL81" s="604">
        <f t="shared" si="103"/>
        <v>0</v>
      </c>
      <c r="AM81" s="604">
        <f t="shared" si="104"/>
        <v>1</v>
      </c>
      <c r="AN81" s="601"/>
      <c r="AO81" s="1406">
        <v>1</v>
      </c>
      <c r="AP81" s="1406">
        <v>1</v>
      </c>
      <c r="AQ81" s="1406">
        <v>1</v>
      </c>
      <c r="AR81" s="1406">
        <v>1</v>
      </c>
      <c r="AS81" s="1406">
        <v>1</v>
      </c>
      <c r="AT81" s="1406">
        <v>1</v>
      </c>
      <c r="AU81" s="1406"/>
      <c r="AV81" s="1406"/>
      <c r="AW81" s="1406">
        <v>1</v>
      </c>
      <c r="AX81" s="1406">
        <v>1</v>
      </c>
      <c r="AY81" s="1406">
        <v>1</v>
      </c>
      <c r="AZ81" s="1406">
        <v>1</v>
      </c>
      <c r="BA81" s="1406">
        <v>1</v>
      </c>
      <c r="BB81" s="1406">
        <v>8.5</v>
      </c>
      <c r="BC81" s="1406">
        <v>1</v>
      </c>
      <c r="BD81" s="1406"/>
      <c r="BE81" s="1406">
        <v>1.5</v>
      </c>
      <c r="BF81" s="1406">
        <v>5</v>
      </c>
      <c r="BG81" s="1406">
        <v>1</v>
      </c>
      <c r="BH81" s="1406">
        <v>5</v>
      </c>
      <c r="BI81" s="1406"/>
      <c r="BJ81" s="1406">
        <v>2</v>
      </c>
      <c r="BK81" s="1406">
        <v>1</v>
      </c>
      <c r="BL81" s="1406">
        <v>2</v>
      </c>
      <c r="BM81" s="1406">
        <v>2</v>
      </c>
      <c r="BN81" s="1406">
        <v>2</v>
      </c>
      <c r="BO81" s="1406">
        <v>2</v>
      </c>
      <c r="BP81" s="1406"/>
      <c r="BQ81" s="1406"/>
      <c r="BR81" s="1406"/>
      <c r="BS81" s="1406">
        <v>5.5</v>
      </c>
      <c r="BT81" s="604">
        <f t="shared" si="99"/>
        <v>41</v>
      </c>
      <c r="BU81" s="604">
        <f t="shared" si="100"/>
        <v>8.5</v>
      </c>
      <c r="BV81" s="633"/>
      <c r="BW81" s="1513">
        <v>3000</v>
      </c>
      <c r="BX81" s="637">
        <f t="shared" si="48"/>
        <v>3000</v>
      </c>
      <c r="BY81" s="638">
        <v>0</v>
      </c>
    </row>
    <row r="82" spans="1:79" s="544" customFormat="1" ht="13.5" customHeight="1">
      <c r="A82" s="578">
        <v>47</v>
      </c>
      <c r="B82" s="91" t="s">
        <v>391</v>
      </c>
      <c r="C82" s="577" t="str">
        <f>VLOOKUP(B82,'Luong VP'!$B$10:$D$250,2,0)</f>
        <v>Ngô Hoàng Oanh</v>
      </c>
      <c r="D82" s="106" t="str">
        <f>VLOOKUP(B82,'Luong VP'!$B$10:$D$250,3,0)</f>
        <v>NV kho</v>
      </c>
      <c r="E82" s="1487">
        <v>1</v>
      </c>
      <c r="F82" s="1487">
        <v>1</v>
      </c>
      <c r="G82" s="1487">
        <v>1</v>
      </c>
      <c r="H82" s="1487">
        <v>1</v>
      </c>
      <c r="I82" s="1487">
        <v>1</v>
      </c>
      <c r="J82" s="1487">
        <v>1</v>
      </c>
      <c r="K82" s="1487"/>
      <c r="L82" s="1524" t="s">
        <v>720</v>
      </c>
      <c r="M82" s="1487">
        <v>1</v>
      </c>
      <c r="N82" s="1487">
        <v>1</v>
      </c>
      <c r="O82" s="1487">
        <v>1</v>
      </c>
      <c r="P82" s="1487">
        <v>1</v>
      </c>
      <c r="Q82" s="1487">
        <v>1</v>
      </c>
      <c r="R82" s="1487"/>
      <c r="S82" s="1487">
        <v>1</v>
      </c>
      <c r="T82" s="1487">
        <v>1</v>
      </c>
      <c r="U82" s="1487">
        <v>1</v>
      </c>
      <c r="V82" s="1487">
        <v>1</v>
      </c>
      <c r="W82" s="1487">
        <v>1</v>
      </c>
      <c r="X82" s="1487">
        <v>1</v>
      </c>
      <c r="Y82" s="1487"/>
      <c r="Z82" s="1487">
        <v>1</v>
      </c>
      <c r="AA82" s="1487">
        <v>1</v>
      </c>
      <c r="AB82" s="1487">
        <v>1</v>
      </c>
      <c r="AC82" s="1487">
        <v>1</v>
      </c>
      <c r="AD82" s="1487">
        <v>1</v>
      </c>
      <c r="AE82" s="1487">
        <v>1</v>
      </c>
      <c r="AF82" s="1487"/>
      <c r="AG82" s="1487">
        <v>1</v>
      </c>
      <c r="AH82" s="1487">
        <v>1</v>
      </c>
      <c r="AI82" s="1487">
        <v>1</v>
      </c>
      <c r="AJ82" s="604">
        <f t="shared" si="101"/>
        <v>26</v>
      </c>
      <c r="AK82" s="604">
        <f t="shared" si="102"/>
        <v>0</v>
      </c>
      <c r="AL82" s="604">
        <f t="shared" si="103"/>
        <v>0</v>
      </c>
      <c r="AM82" s="604">
        <f t="shared" si="104"/>
        <v>1</v>
      </c>
      <c r="AN82" s="601"/>
      <c r="AO82" s="1406">
        <v>1.5</v>
      </c>
      <c r="AP82" s="1406">
        <v>9</v>
      </c>
      <c r="AQ82" s="1406"/>
      <c r="AR82" s="1406"/>
      <c r="AS82" s="1406">
        <v>3.5</v>
      </c>
      <c r="AT82" s="1406">
        <v>2.5</v>
      </c>
      <c r="AU82" s="1406"/>
      <c r="AV82" s="1406"/>
      <c r="AW82" s="1406">
        <v>0.5</v>
      </c>
      <c r="AX82" s="1406"/>
      <c r="AY82" s="1406"/>
      <c r="AZ82" s="1406"/>
      <c r="BA82" s="1406"/>
      <c r="BB82" s="1406"/>
      <c r="BC82" s="1406"/>
      <c r="BD82" s="1406"/>
      <c r="BE82" s="1406"/>
      <c r="BF82" s="1406"/>
      <c r="BG82" s="1406">
        <v>5.5</v>
      </c>
      <c r="BH82" s="1406"/>
      <c r="BI82" s="1406">
        <v>8</v>
      </c>
      <c r="BJ82" s="1406"/>
      <c r="BK82" s="1406">
        <v>1.5</v>
      </c>
      <c r="BL82" s="1406">
        <v>1.5</v>
      </c>
      <c r="BM82" s="1406">
        <v>1.5</v>
      </c>
      <c r="BN82" s="1406">
        <v>4</v>
      </c>
      <c r="BO82" s="1406"/>
      <c r="BP82" s="1406"/>
      <c r="BQ82" s="1406">
        <v>1.5</v>
      </c>
      <c r="BR82" s="1406">
        <v>2.5</v>
      </c>
      <c r="BS82" s="1406">
        <v>1</v>
      </c>
      <c r="BT82" s="604">
        <f t="shared" si="99"/>
        <v>36</v>
      </c>
      <c r="BU82" s="604">
        <f t="shared" si="100"/>
        <v>8</v>
      </c>
      <c r="BV82" s="633"/>
      <c r="BW82" s="1513">
        <v>3000</v>
      </c>
      <c r="BX82" s="637">
        <f t="shared" si="48"/>
        <v>3000</v>
      </c>
      <c r="BY82" s="638">
        <v>0</v>
      </c>
    </row>
    <row r="83" spans="1:79" s="547" customFormat="1" ht="13.5" customHeight="1">
      <c r="A83" s="579">
        <v>47</v>
      </c>
      <c r="B83" s="580" t="s">
        <v>1307</v>
      </c>
      <c r="C83" s="581" t="str">
        <f>VLOOKUP(B83,'Luong VP'!$B$10:$D$250,2,0)</f>
        <v>Hà Chí Hào</v>
      </c>
      <c r="D83" s="582" t="str">
        <f>VLOOKUP(B83,'Luong VP'!$B$10:$D$250,3,0)</f>
        <v>NV kho</v>
      </c>
      <c r="E83" s="1487">
        <v>1</v>
      </c>
      <c r="F83" s="1487">
        <v>1</v>
      </c>
      <c r="G83" s="1487">
        <v>1</v>
      </c>
      <c r="H83" s="1487">
        <v>1</v>
      </c>
      <c r="I83" s="1487">
        <v>1</v>
      </c>
      <c r="J83" s="1487">
        <v>1</v>
      </c>
      <c r="K83" s="1487"/>
      <c r="L83" s="1524" t="s">
        <v>720</v>
      </c>
      <c r="M83" s="1487">
        <v>1</v>
      </c>
      <c r="N83" s="1487">
        <v>1</v>
      </c>
      <c r="O83" s="1487">
        <v>1</v>
      </c>
      <c r="P83" s="1487">
        <v>1</v>
      </c>
      <c r="Q83" s="1487">
        <v>1</v>
      </c>
      <c r="R83" s="1487"/>
      <c r="S83" s="1487">
        <v>1</v>
      </c>
      <c r="T83" s="1487">
        <v>1</v>
      </c>
      <c r="U83" s="1487">
        <v>1</v>
      </c>
      <c r="V83" s="1487">
        <v>1</v>
      </c>
      <c r="W83" s="1487">
        <v>1</v>
      </c>
      <c r="X83" s="1487">
        <v>1</v>
      </c>
      <c r="Y83" s="1487"/>
      <c r="Z83" s="1487">
        <v>1</v>
      </c>
      <c r="AA83" s="1487">
        <v>1</v>
      </c>
      <c r="AB83" s="1487">
        <v>1</v>
      </c>
      <c r="AC83" s="1487">
        <v>1</v>
      </c>
      <c r="AD83" s="1487">
        <v>1</v>
      </c>
      <c r="AE83" s="1487">
        <v>1</v>
      </c>
      <c r="AF83" s="1487"/>
      <c r="AG83" s="1487">
        <v>1</v>
      </c>
      <c r="AH83" s="1487">
        <v>1</v>
      </c>
      <c r="AI83" s="1487">
        <v>1</v>
      </c>
      <c r="AJ83" s="608">
        <f t="shared" ref="AJ83" si="105">SUM(E83:AI83)-AK83</f>
        <v>26</v>
      </c>
      <c r="AK83" s="608">
        <f t="shared" ref="AK83" si="106">SUMIF($E$5:$AI$5,"LT",E83:AI83)</f>
        <v>0</v>
      </c>
      <c r="AL83" s="608">
        <f t="shared" ref="AL83" si="107">COUNTIF(E83:AI83,"P")</f>
        <v>0</v>
      </c>
      <c r="AM83" s="608">
        <f t="shared" ref="AM83" si="108">COUNTIF(E83:AI83,"LT")+MOD(AK83,1)</f>
        <v>1</v>
      </c>
      <c r="AN83" s="609"/>
      <c r="AO83" s="1406">
        <v>0.5</v>
      </c>
      <c r="AP83" s="1406">
        <v>0.5</v>
      </c>
      <c r="AQ83" s="1406">
        <v>1</v>
      </c>
      <c r="AR83" s="1406">
        <v>1</v>
      </c>
      <c r="AS83" s="1406">
        <v>2.5</v>
      </c>
      <c r="AT83" s="1406">
        <v>1</v>
      </c>
      <c r="AU83" s="1406"/>
      <c r="AV83" s="1406"/>
      <c r="AW83" s="1406"/>
      <c r="AX83" s="1406">
        <v>1</v>
      </c>
      <c r="AY83" s="1406">
        <v>0.5</v>
      </c>
      <c r="AZ83" s="1406">
        <v>2.2000000000000002</v>
      </c>
      <c r="BA83" s="1406">
        <v>0.5</v>
      </c>
      <c r="BB83" s="1406"/>
      <c r="BC83" s="1406"/>
      <c r="BD83" s="1406">
        <v>0.5</v>
      </c>
      <c r="BE83" s="1406">
        <v>0.5</v>
      </c>
      <c r="BF83" s="1406"/>
      <c r="BG83" s="1406"/>
      <c r="BH83" s="1406"/>
      <c r="BI83" s="1406"/>
      <c r="BJ83" s="1406"/>
      <c r="BK83" s="1406"/>
      <c r="BL83" s="1406"/>
      <c r="BM83" s="1406"/>
      <c r="BN83" s="1406"/>
      <c r="BO83" s="1406"/>
      <c r="BP83" s="1406"/>
      <c r="BQ83" s="1406"/>
      <c r="BR83" s="1406"/>
      <c r="BS83" s="1406"/>
      <c r="BT83" s="608">
        <f t="shared" ref="BT83" si="109">SUM(AO83:BS83)-BU83</f>
        <v>11.7</v>
      </c>
      <c r="BU83" s="608">
        <f t="shared" ref="BU83" si="110">SUMIF($AO$5:$BS$5,"CN",AO83:BS83)</f>
        <v>0</v>
      </c>
      <c r="BV83" s="640"/>
      <c r="BW83" s="1514">
        <v>0</v>
      </c>
      <c r="BX83" s="641">
        <f t="shared" ref="BX83" si="111">BW83</f>
        <v>0</v>
      </c>
      <c r="BY83" s="642">
        <v>0</v>
      </c>
    </row>
    <row r="84" spans="1:79" s="545" customFormat="1">
      <c r="A84" s="572">
        <v>27</v>
      </c>
      <c r="B84" s="580" t="s">
        <v>1287</v>
      </c>
      <c r="C84" s="577" t="str">
        <f>VLOOKUP(B84,'Luong VP'!$B$10:$D$250,2,0)</f>
        <v>Đỗ Hoàng Dũng</v>
      </c>
      <c r="D84" s="106" t="str">
        <f>VLOOKUP(B84,'Luong VP'!$B$10:$D$250,3,0)</f>
        <v>NV điều phối đơn hàng</v>
      </c>
      <c r="E84" s="1487">
        <v>1</v>
      </c>
      <c r="F84" s="1487">
        <v>1</v>
      </c>
      <c r="G84" s="1487">
        <v>1</v>
      </c>
      <c r="H84" s="1487">
        <v>1</v>
      </c>
      <c r="I84" s="1487">
        <v>1</v>
      </c>
      <c r="J84" s="1487">
        <v>1</v>
      </c>
      <c r="K84" s="1487"/>
      <c r="L84" s="1524" t="s">
        <v>720</v>
      </c>
      <c r="M84" s="1487">
        <v>1</v>
      </c>
      <c r="N84" s="1487">
        <v>1</v>
      </c>
      <c r="O84" s="1487">
        <v>1</v>
      </c>
      <c r="P84" s="1487">
        <v>1</v>
      </c>
      <c r="Q84" s="1487">
        <v>1</v>
      </c>
      <c r="R84" s="1487"/>
      <c r="S84" s="1487">
        <v>1</v>
      </c>
      <c r="T84" s="1487">
        <v>1</v>
      </c>
      <c r="U84" s="1487">
        <v>1</v>
      </c>
      <c r="V84" s="1487">
        <v>1</v>
      </c>
      <c r="W84" s="1487">
        <v>1</v>
      </c>
      <c r="X84" s="1487">
        <v>1</v>
      </c>
      <c r="Y84" s="1487"/>
      <c r="Z84" s="1487">
        <v>1</v>
      </c>
      <c r="AA84" s="1487">
        <v>1</v>
      </c>
      <c r="AB84" s="1487">
        <v>1</v>
      </c>
      <c r="AC84" s="1487">
        <v>1</v>
      </c>
      <c r="AD84" s="1487">
        <v>1</v>
      </c>
      <c r="AE84" s="1487">
        <v>1</v>
      </c>
      <c r="AF84" s="1487"/>
      <c r="AG84" s="1487">
        <v>1</v>
      </c>
      <c r="AH84" s="1487">
        <v>1</v>
      </c>
      <c r="AI84" s="1487">
        <v>1</v>
      </c>
      <c r="AJ84" s="604">
        <f t="shared" si="101"/>
        <v>26</v>
      </c>
      <c r="AK84" s="604">
        <f t="shared" si="102"/>
        <v>0</v>
      </c>
      <c r="AL84" s="604">
        <f t="shared" si="103"/>
        <v>0</v>
      </c>
      <c r="AM84" s="604">
        <f t="shared" si="104"/>
        <v>1</v>
      </c>
      <c r="AN84" s="605"/>
      <c r="AO84" s="1406"/>
      <c r="AP84" s="1406"/>
      <c r="AQ84" s="1406"/>
      <c r="AR84" s="1406"/>
      <c r="AS84" s="1406"/>
      <c r="AT84" s="1406"/>
      <c r="AU84" s="1406"/>
      <c r="AV84" s="1406"/>
      <c r="AW84" s="1406"/>
      <c r="AX84" s="1406"/>
      <c r="AY84" s="1406"/>
      <c r="AZ84" s="1406"/>
      <c r="BA84" s="1406"/>
      <c r="BB84" s="1406"/>
      <c r="BC84" s="1406"/>
      <c r="BD84" s="1406"/>
      <c r="BE84" s="1406">
        <v>0.5</v>
      </c>
      <c r="BF84" s="1406"/>
      <c r="BG84" s="1406"/>
      <c r="BH84" s="1406"/>
      <c r="BI84" s="1406"/>
      <c r="BJ84" s="1406"/>
      <c r="BK84" s="1406">
        <v>0.5</v>
      </c>
      <c r="BL84" s="1406">
        <v>0.5</v>
      </c>
      <c r="BM84" s="1406"/>
      <c r="BN84" s="1406">
        <v>0.5</v>
      </c>
      <c r="BO84" s="1406"/>
      <c r="BP84" s="1406"/>
      <c r="BQ84" s="1406"/>
      <c r="BR84" s="1406"/>
      <c r="BS84" s="1406"/>
      <c r="BT84" s="604">
        <f>SUM(AO84:BS84)-BU84</f>
        <v>2</v>
      </c>
      <c r="BU84" s="604">
        <f>SUMIF($AO$5:$BS$5,"CN",AO84:BS84)</f>
        <v>0</v>
      </c>
      <c r="BV84" s="636"/>
      <c r="BW84" s="1513">
        <v>3000</v>
      </c>
      <c r="BX84" s="637">
        <f>BW84</f>
        <v>3000</v>
      </c>
      <c r="BY84" s="638">
        <v>0</v>
      </c>
    </row>
    <row r="85" spans="1:79" s="544" customFormat="1">
      <c r="A85" s="578">
        <v>48</v>
      </c>
      <c r="B85" s="91" t="s">
        <v>385</v>
      </c>
      <c r="C85" s="577" t="str">
        <f>VLOOKUP(B85,'Luong VP'!$B$10:$D$250,2,0)</f>
        <v>Nguyễn Đức Hân</v>
      </c>
      <c r="D85" s="106" t="str">
        <f>VLOOKUP(B85,'Luong VP'!$B$10:$D$250,3,0)</f>
        <v>Thủ kho</v>
      </c>
      <c r="E85" s="1487">
        <v>1</v>
      </c>
      <c r="F85" s="1487">
        <v>1</v>
      </c>
      <c r="G85" s="1487">
        <v>1</v>
      </c>
      <c r="H85" s="1487">
        <v>1</v>
      </c>
      <c r="I85" s="1487">
        <v>1</v>
      </c>
      <c r="J85" s="1487">
        <v>1</v>
      </c>
      <c r="K85" s="1487"/>
      <c r="L85" s="1524" t="s">
        <v>720</v>
      </c>
      <c r="M85" s="1487">
        <v>1</v>
      </c>
      <c r="N85" s="1487">
        <v>1</v>
      </c>
      <c r="O85" s="1487">
        <v>1</v>
      </c>
      <c r="P85" s="1487">
        <v>1</v>
      </c>
      <c r="Q85" s="1487">
        <v>1</v>
      </c>
      <c r="R85" s="1487"/>
      <c r="S85" s="1487">
        <v>1</v>
      </c>
      <c r="T85" s="1487">
        <v>1</v>
      </c>
      <c r="U85" s="1487">
        <v>1</v>
      </c>
      <c r="V85" s="1487">
        <v>1</v>
      </c>
      <c r="W85" s="1487">
        <v>1</v>
      </c>
      <c r="X85" s="1487">
        <v>1</v>
      </c>
      <c r="Y85" s="1487"/>
      <c r="Z85" s="1487">
        <v>1</v>
      </c>
      <c r="AA85" s="1487">
        <v>1</v>
      </c>
      <c r="AB85" s="1487">
        <v>1</v>
      </c>
      <c r="AC85" s="1487">
        <v>1</v>
      </c>
      <c r="AD85" s="1487">
        <v>1</v>
      </c>
      <c r="AE85" s="1487">
        <v>1</v>
      </c>
      <c r="AF85" s="1487"/>
      <c r="AG85" s="1487">
        <v>1</v>
      </c>
      <c r="AH85" s="1487">
        <v>1</v>
      </c>
      <c r="AI85" s="1487">
        <v>1</v>
      </c>
      <c r="AJ85" s="604">
        <f t="shared" si="101"/>
        <v>26</v>
      </c>
      <c r="AK85" s="604">
        <f t="shared" si="102"/>
        <v>0</v>
      </c>
      <c r="AL85" s="604">
        <f t="shared" si="103"/>
        <v>0</v>
      </c>
      <c r="AM85" s="604">
        <f t="shared" si="104"/>
        <v>1</v>
      </c>
      <c r="AN85" s="601"/>
      <c r="AO85" s="1406">
        <v>4.5</v>
      </c>
      <c r="AP85" s="1406"/>
      <c r="AQ85" s="1406">
        <v>13.5</v>
      </c>
      <c r="AR85" s="1406">
        <v>2</v>
      </c>
      <c r="AS85" s="1406">
        <v>2.5</v>
      </c>
      <c r="AT85" s="1406"/>
      <c r="AU85" s="1406"/>
      <c r="AV85" s="1406"/>
      <c r="AW85" s="1406">
        <v>1.5</v>
      </c>
      <c r="AX85" s="1406">
        <v>2</v>
      </c>
      <c r="AY85" s="1406"/>
      <c r="AZ85" s="1406"/>
      <c r="BA85" s="1406"/>
      <c r="BB85" s="1406"/>
      <c r="BC85" s="1406">
        <v>13</v>
      </c>
      <c r="BD85" s="1406"/>
      <c r="BE85" s="1406">
        <v>3</v>
      </c>
      <c r="BF85" s="1406"/>
      <c r="BG85" s="1406">
        <v>13</v>
      </c>
      <c r="BH85" s="1406"/>
      <c r="BI85" s="1406"/>
      <c r="BJ85" s="1406">
        <v>3.15</v>
      </c>
      <c r="BK85" s="1406"/>
      <c r="BL85" s="1406"/>
      <c r="BM85" s="1406">
        <v>3</v>
      </c>
      <c r="BN85" s="1406">
        <v>3</v>
      </c>
      <c r="BO85" s="1406"/>
      <c r="BP85" s="1406"/>
      <c r="BQ85" s="1406">
        <v>3</v>
      </c>
      <c r="BR85" s="1406">
        <v>2.5</v>
      </c>
      <c r="BS85" s="1406">
        <v>3</v>
      </c>
      <c r="BT85" s="604">
        <f t="shared" si="99"/>
        <v>72.650000000000006</v>
      </c>
      <c r="BU85" s="604">
        <f t="shared" si="100"/>
        <v>0</v>
      </c>
      <c r="BV85" s="633"/>
      <c r="BW85" s="1513">
        <v>4000</v>
      </c>
      <c r="BX85" s="637">
        <f t="shared" si="48"/>
        <v>4000</v>
      </c>
      <c r="BY85" s="638">
        <v>0</v>
      </c>
    </row>
    <row r="86" spans="1:79" s="544" customFormat="1">
      <c r="A86" s="578">
        <v>48</v>
      </c>
      <c r="B86" s="91" t="s">
        <v>393</v>
      </c>
      <c r="C86" s="577" t="str">
        <f>VLOOKUP(B86,'Luong VP'!$B$10:$D$250,2,0)</f>
        <v>Trần Văn Mơ</v>
      </c>
      <c r="D86" s="106" t="str">
        <f>VLOOKUP(B86,'Luong VP'!$B$10:$D$250,3,0)</f>
        <v>NV Thống kê kho</v>
      </c>
      <c r="E86" s="1487">
        <v>1</v>
      </c>
      <c r="F86" s="1487">
        <v>1</v>
      </c>
      <c r="G86" s="1487">
        <v>1</v>
      </c>
      <c r="H86" s="1487">
        <v>1</v>
      </c>
      <c r="I86" s="1487">
        <v>1</v>
      </c>
      <c r="J86" s="1487">
        <v>1</v>
      </c>
      <c r="K86" s="1487"/>
      <c r="L86" s="1524" t="s">
        <v>720</v>
      </c>
      <c r="M86" s="1487">
        <v>1</v>
      </c>
      <c r="N86" s="1487">
        <v>1</v>
      </c>
      <c r="O86" s="1487">
        <v>1</v>
      </c>
      <c r="P86" s="1487">
        <v>1</v>
      </c>
      <c r="Q86" s="1487">
        <v>1</v>
      </c>
      <c r="R86" s="1487"/>
      <c r="S86" s="1487">
        <v>1</v>
      </c>
      <c r="T86" s="1487">
        <v>1</v>
      </c>
      <c r="U86" s="1487">
        <v>1</v>
      </c>
      <c r="V86" s="1487">
        <v>1</v>
      </c>
      <c r="W86" s="1487">
        <v>1</v>
      </c>
      <c r="X86" s="1487">
        <v>1</v>
      </c>
      <c r="Y86" s="1487"/>
      <c r="Z86" s="1487">
        <v>1</v>
      </c>
      <c r="AA86" s="1487">
        <v>1</v>
      </c>
      <c r="AB86" s="1487">
        <v>1</v>
      </c>
      <c r="AC86" s="1487">
        <v>1</v>
      </c>
      <c r="AD86" s="1487">
        <v>1</v>
      </c>
      <c r="AE86" s="1487">
        <v>1</v>
      </c>
      <c r="AF86" s="1487"/>
      <c r="AG86" s="1487">
        <v>1</v>
      </c>
      <c r="AH86" s="1487">
        <v>1</v>
      </c>
      <c r="AI86" s="1487">
        <v>1</v>
      </c>
      <c r="AJ86" s="604">
        <f t="shared" si="101"/>
        <v>26</v>
      </c>
      <c r="AK86" s="604">
        <f t="shared" si="102"/>
        <v>0</v>
      </c>
      <c r="AL86" s="604">
        <f t="shared" si="103"/>
        <v>0</v>
      </c>
      <c r="AM86" s="604">
        <f t="shared" si="104"/>
        <v>1</v>
      </c>
      <c r="AN86" s="601"/>
      <c r="AO86" s="1406"/>
      <c r="AP86" s="1406"/>
      <c r="AQ86" s="1406"/>
      <c r="AR86" s="1406"/>
      <c r="AS86" s="1406"/>
      <c r="AT86" s="1406"/>
      <c r="AU86" s="1406"/>
      <c r="AV86" s="1406"/>
      <c r="AW86" s="1406"/>
      <c r="AX86" s="1406"/>
      <c r="AY86" s="1406"/>
      <c r="AZ86" s="1406"/>
      <c r="BA86" s="1406"/>
      <c r="BB86" s="1406"/>
      <c r="BC86" s="1406"/>
      <c r="BD86" s="1406"/>
      <c r="BE86" s="1406"/>
      <c r="BF86" s="1406"/>
      <c r="BG86" s="1406"/>
      <c r="BH86" s="1406"/>
      <c r="BI86" s="1406"/>
      <c r="BJ86" s="1406"/>
      <c r="BK86" s="1406"/>
      <c r="BL86" s="1406"/>
      <c r="BM86" s="1406"/>
      <c r="BN86" s="1406"/>
      <c r="BO86" s="1406"/>
      <c r="BP86" s="1406"/>
      <c r="BQ86" s="1406"/>
      <c r="BR86" s="1406"/>
      <c r="BS86" s="1406"/>
      <c r="BT86" s="604">
        <f t="shared" si="99"/>
        <v>0</v>
      </c>
      <c r="BU86" s="604">
        <f t="shared" si="100"/>
        <v>0</v>
      </c>
      <c r="BV86" s="633"/>
      <c r="BW86" s="1513">
        <v>4000</v>
      </c>
      <c r="BX86" s="637">
        <f t="shared" si="48"/>
        <v>4000</v>
      </c>
      <c r="BY86" s="638">
        <v>0</v>
      </c>
    </row>
    <row r="87" spans="1:79" s="1328" customFormat="1">
      <c r="A87" s="1320">
        <v>48</v>
      </c>
      <c r="B87" s="1355" t="s">
        <v>1276</v>
      </c>
      <c r="C87" s="1321" t="str">
        <f>VLOOKUP(B87,'Luong VP'!$B$10:$D$250,2,0)</f>
        <v>Võ Tấn Đạt</v>
      </c>
      <c r="D87" s="1268" t="str">
        <f>VLOOKUP(B87,'Luong VP'!$B$10:$D$250,3,0)</f>
        <v>Trưởng BP Kho</v>
      </c>
      <c r="E87" s="1487">
        <v>1</v>
      </c>
      <c r="F87" s="1487">
        <v>1</v>
      </c>
      <c r="G87" s="1487">
        <v>1</v>
      </c>
      <c r="H87" s="1487">
        <v>1</v>
      </c>
      <c r="I87" s="1487">
        <v>1</v>
      </c>
      <c r="J87" s="1487">
        <v>1</v>
      </c>
      <c r="K87" s="1487"/>
      <c r="L87" s="1524" t="s">
        <v>720</v>
      </c>
      <c r="M87" s="1487">
        <v>1</v>
      </c>
      <c r="N87" s="1487">
        <v>1</v>
      </c>
      <c r="O87" s="1487">
        <v>1</v>
      </c>
      <c r="P87" s="1487">
        <v>1</v>
      </c>
      <c r="Q87" s="1487">
        <v>1</v>
      </c>
      <c r="R87" s="1487"/>
      <c r="S87" s="1487">
        <v>1</v>
      </c>
      <c r="T87" s="1487">
        <v>1</v>
      </c>
      <c r="U87" s="1487">
        <v>1</v>
      </c>
      <c r="V87" s="1487">
        <v>1</v>
      </c>
      <c r="W87" s="1487">
        <v>1</v>
      </c>
      <c r="X87" s="1487">
        <v>1</v>
      </c>
      <c r="Y87" s="1487"/>
      <c r="Z87" s="1487">
        <v>1</v>
      </c>
      <c r="AA87" s="1487">
        <v>1</v>
      </c>
      <c r="AB87" s="1487">
        <v>1</v>
      </c>
      <c r="AC87" s="1487">
        <v>1</v>
      </c>
      <c r="AD87" s="1487">
        <v>1</v>
      </c>
      <c r="AE87" s="1487">
        <v>1</v>
      </c>
      <c r="AF87" s="1487"/>
      <c r="AG87" s="1487">
        <v>1</v>
      </c>
      <c r="AH87" s="1487">
        <v>1</v>
      </c>
      <c r="AI87" s="1487">
        <v>1</v>
      </c>
      <c r="AJ87" s="604">
        <f t="shared" si="101"/>
        <v>26</v>
      </c>
      <c r="AK87" s="604">
        <f t="shared" si="102"/>
        <v>0</v>
      </c>
      <c r="AL87" s="604">
        <f t="shared" si="103"/>
        <v>0</v>
      </c>
      <c r="AM87" s="604">
        <f t="shared" si="104"/>
        <v>1</v>
      </c>
      <c r="AN87" s="1323"/>
      <c r="AO87" s="1406"/>
      <c r="AP87" s="1406"/>
      <c r="AQ87" s="1406"/>
      <c r="AR87" s="1406"/>
      <c r="AS87" s="1406"/>
      <c r="AT87" s="1406"/>
      <c r="AU87" s="1406"/>
      <c r="AV87" s="1406"/>
      <c r="AW87" s="1406"/>
      <c r="AX87" s="1406"/>
      <c r="AY87" s="1406"/>
      <c r="AZ87" s="1406"/>
      <c r="BA87" s="1406"/>
      <c r="BB87" s="1406"/>
      <c r="BC87" s="1406"/>
      <c r="BD87" s="1406"/>
      <c r="BE87" s="1406"/>
      <c r="BF87" s="1406"/>
      <c r="BG87" s="1406"/>
      <c r="BH87" s="1406"/>
      <c r="BI87" s="1406"/>
      <c r="BJ87" s="1406"/>
      <c r="BK87" s="1406"/>
      <c r="BL87" s="1406"/>
      <c r="BM87" s="1406"/>
      <c r="BN87" s="1406"/>
      <c r="BO87" s="1406"/>
      <c r="BP87" s="1406"/>
      <c r="BQ87" s="1406"/>
      <c r="BR87" s="1406"/>
      <c r="BS87" s="1406"/>
      <c r="BT87" s="1322">
        <f t="shared" ref="BT87" si="112">SUM(AO87:BS87)-BU87</f>
        <v>0</v>
      </c>
      <c r="BU87" s="1322">
        <f t="shared" ref="BU87" si="113">SUMIF($AO$5:$BS$5,"CN",AO87:BS87)</f>
        <v>0</v>
      </c>
      <c r="BV87" s="1325"/>
      <c r="BW87" s="637"/>
      <c r="BX87" s="1326">
        <f t="shared" ref="BX87" si="114">BW87</f>
        <v>0</v>
      </c>
      <c r="BY87" s="1327">
        <v>0</v>
      </c>
    </row>
    <row r="88" spans="1:79" s="544" customFormat="1">
      <c r="A88" s="570"/>
      <c r="B88" s="109"/>
      <c r="C88" s="95" t="s">
        <v>397</v>
      </c>
      <c r="D88" s="96"/>
      <c r="E88" s="96"/>
      <c r="F88" s="96"/>
      <c r="G88" s="96"/>
      <c r="H88" s="96"/>
      <c r="I88" s="96"/>
      <c r="J88" s="96"/>
      <c r="K88" s="96"/>
      <c r="L88" s="96"/>
      <c r="M88" s="96"/>
      <c r="N88" s="96"/>
      <c r="O88" s="96"/>
      <c r="P88" s="96"/>
      <c r="Q88" s="96"/>
      <c r="R88" s="96"/>
      <c r="S88" s="96"/>
      <c r="T88" s="96"/>
      <c r="U88" s="96"/>
      <c r="V88" s="96"/>
      <c r="W88" s="96"/>
      <c r="X88" s="96"/>
      <c r="Y88" s="96"/>
      <c r="Z88" s="96"/>
      <c r="AA88" s="96"/>
      <c r="AB88" s="96"/>
      <c r="AC88" s="96"/>
      <c r="AD88" s="96"/>
      <c r="AE88" s="96"/>
      <c r="AF88" s="96"/>
      <c r="AG88" s="96"/>
      <c r="AH88" s="96"/>
      <c r="AI88" s="96"/>
      <c r="AJ88" s="96"/>
      <c r="AK88" s="571"/>
      <c r="AL88" s="571"/>
      <c r="AM88" s="571"/>
      <c r="AN88" s="606"/>
      <c r="AO88" s="623"/>
      <c r="AP88" s="623"/>
      <c r="AQ88" s="623"/>
      <c r="AR88" s="623"/>
      <c r="AS88" s="623"/>
      <c r="AT88" s="623"/>
      <c r="AU88" s="623"/>
      <c r="AV88" s="623"/>
      <c r="AW88" s="623"/>
      <c r="AX88" s="623"/>
      <c r="AY88" s="623"/>
      <c r="AZ88" s="623"/>
      <c r="BA88" s="623"/>
      <c r="BB88" s="623"/>
      <c r="BC88" s="623"/>
      <c r="BD88" s="623"/>
      <c r="BE88" s="623"/>
      <c r="BF88" s="623"/>
      <c r="BG88" s="623"/>
      <c r="BH88" s="623"/>
      <c r="BI88" s="623"/>
      <c r="BJ88" s="623"/>
      <c r="BK88" s="623"/>
      <c r="BL88" s="623"/>
      <c r="BM88" s="623"/>
      <c r="BN88" s="623"/>
      <c r="BO88" s="623"/>
      <c r="BP88" s="623"/>
      <c r="BQ88" s="623"/>
      <c r="BR88" s="623"/>
      <c r="BS88" s="623"/>
      <c r="BT88" s="623"/>
      <c r="BU88" s="623"/>
      <c r="BV88" s="623"/>
      <c r="BW88" s="623"/>
      <c r="BX88" s="623"/>
      <c r="BY88" s="635">
        <v>0</v>
      </c>
    </row>
    <row r="89" spans="1:79" s="544" customFormat="1">
      <c r="A89" s="578">
        <v>48</v>
      </c>
      <c r="B89" s="91" t="s">
        <v>398</v>
      </c>
      <c r="C89" s="577" t="str">
        <f>VLOOKUP(B89,'Luong VP'!$B$10:$D$250,2,0)</f>
        <v>Nguyễn Văn Thanh</v>
      </c>
      <c r="D89" s="106" t="str">
        <f>VLOOKUP(B89,'Luong VP'!$B$10:$D$250,3,0)</f>
        <v>Thủ kho</v>
      </c>
      <c r="E89" s="1487">
        <v>1</v>
      </c>
      <c r="F89" s="1487">
        <v>1</v>
      </c>
      <c r="G89" s="1487">
        <v>1</v>
      </c>
      <c r="H89" s="1487">
        <v>1</v>
      </c>
      <c r="I89" s="1487">
        <v>1</v>
      </c>
      <c r="J89" s="1487">
        <v>1</v>
      </c>
      <c r="K89" s="1487"/>
      <c r="L89" s="1524" t="s">
        <v>720</v>
      </c>
      <c r="M89" s="1487">
        <v>1</v>
      </c>
      <c r="N89" s="1487">
        <v>1</v>
      </c>
      <c r="O89" s="1487">
        <v>1</v>
      </c>
      <c r="P89" s="1487">
        <v>1</v>
      </c>
      <c r="Q89" s="1487">
        <v>1</v>
      </c>
      <c r="R89" s="1487"/>
      <c r="S89" s="1487">
        <v>1</v>
      </c>
      <c r="T89" s="1487">
        <v>1</v>
      </c>
      <c r="U89" s="1487">
        <v>1</v>
      </c>
      <c r="V89" s="1487">
        <v>1</v>
      </c>
      <c r="W89" s="1487">
        <v>1</v>
      </c>
      <c r="X89" s="1487">
        <v>1</v>
      </c>
      <c r="Y89" s="1487"/>
      <c r="Z89" s="1487">
        <v>1</v>
      </c>
      <c r="AA89" s="1487">
        <v>1</v>
      </c>
      <c r="AB89" s="1487">
        <v>1</v>
      </c>
      <c r="AC89" s="1487">
        <v>1</v>
      </c>
      <c r="AD89" s="1487">
        <v>1</v>
      </c>
      <c r="AE89" s="1487">
        <v>1</v>
      </c>
      <c r="AF89" s="1487"/>
      <c r="AG89" s="1487">
        <v>1</v>
      </c>
      <c r="AH89" s="1487">
        <v>1</v>
      </c>
      <c r="AI89" s="1487">
        <v>1</v>
      </c>
      <c r="AJ89" s="604">
        <f t="shared" ref="AJ89" si="115">SUM(E89:AI89)-AK89</f>
        <v>26</v>
      </c>
      <c r="AK89" s="604">
        <f>SUMIF($E$5:$AI$5,"LT",E89:AI89)</f>
        <v>0</v>
      </c>
      <c r="AL89" s="604">
        <f t="shared" ref="AL89" si="116">COUNTIF(E89:AI89,"P")</f>
        <v>0</v>
      </c>
      <c r="AM89" s="604">
        <f t="shared" ref="AM89" si="117">COUNTIF(E89:AI89,"LT")+MOD(AK89,1)</f>
        <v>1</v>
      </c>
      <c r="AN89" s="601"/>
      <c r="AO89" s="622"/>
      <c r="AP89" s="622"/>
      <c r="AQ89" s="622">
        <v>13.5</v>
      </c>
      <c r="AR89" s="622"/>
      <c r="AS89" s="622"/>
      <c r="AT89" s="622"/>
      <c r="AU89" s="622"/>
      <c r="AV89" s="622"/>
      <c r="AW89" s="622"/>
      <c r="AX89" s="622"/>
      <c r="AY89" s="622"/>
      <c r="AZ89" s="622"/>
      <c r="BA89" s="622"/>
      <c r="BB89" s="622"/>
      <c r="BC89" s="622"/>
      <c r="BD89" s="622"/>
      <c r="BE89" s="622"/>
      <c r="BF89" s="622"/>
      <c r="BG89" s="622"/>
      <c r="BH89" s="622"/>
      <c r="BI89" s="622"/>
      <c r="BJ89" s="622"/>
      <c r="BK89" s="622"/>
      <c r="BL89" s="622"/>
      <c r="BM89" s="622"/>
      <c r="BN89" s="622"/>
      <c r="BO89" s="622"/>
      <c r="BP89" s="622"/>
      <c r="BQ89" s="622"/>
      <c r="BR89" s="622"/>
      <c r="BS89" s="622"/>
      <c r="BT89" s="604">
        <f t="shared" si="99"/>
        <v>13.5</v>
      </c>
      <c r="BU89" s="604">
        <f t="shared" si="100"/>
        <v>0</v>
      </c>
      <c r="BV89" s="633"/>
      <c r="BW89" s="637"/>
      <c r="BX89" s="645">
        <f>BW89</f>
        <v>0</v>
      </c>
      <c r="BY89" s="638">
        <v>0</v>
      </c>
      <c r="BZ89" s="1368"/>
    </row>
    <row r="90" spans="1:79" s="544" customFormat="1">
      <c r="A90" s="578">
        <v>49</v>
      </c>
      <c r="B90" s="91" t="s">
        <v>400</v>
      </c>
      <c r="C90" s="577" t="str">
        <f>VLOOKUP(B90,'Luong VP'!$B$10:$D$250,2,0)</f>
        <v>Nguyễn Hùng Dũng</v>
      </c>
      <c r="D90" s="106" t="str">
        <f>VLOOKUP(B90,'Luong VP'!$B$10:$D$250,3,0)</f>
        <v>NV trạm cân</v>
      </c>
      <c r="E90" s="1487">
        <v>1</v>
      </c>
      <c r="F90" s="1487">
        <v>1</v>
      </c>
      <c r="G90" s="1487">
        <v>1</v>
      </c>
      <c r="H90" s="1487">
        <v>1</v>
      </c>
      <c r="I90" s="1487">
        <v>1</v>
      </c>
      <c r="J90" s="1487">
        <v>1</v>
      </c>
      <c r="K90" s="1487"/>
      <c r="L90" s="1524" t="s">
        <v>720</v>
      </c>
      <c r="M90" s="1487">
        <v>1</v>
      </c>
      <c r="N90" s="1487">
        <v>1</v>
      </c>
      <c r="O90" s="1487">
        <v>1</v>
      </c>
      <c r="P90" s="1487">
        <v>1</v>
      </c>
      <c r="Q90" s="1487">
        <v>1</v>
      </c>
      <c r="R90" s="1487"/>
      <c r="S90" s="1487">
        <v>1</v>
      </c>
      <c r="T90" s="1487">
        <v>1</v>
      </c>
      <c r="U90" s="1487">
        <v>1</v>
      </c>
      <c r="V90" s="1487">
        <v>1</v>
      </c>
      <c r="W90" s="1487">
        <v>1</v>
      </c>
      <c r="X90" s="1487">
        <v>1</v>
      </c>
      <c r="Y90" s="1487"/>
      <c r="Z90" s="1487">
        <v>1</v>
      </c>
      <c r="AA90" s="1487">
        <v>1</v>
      </c>
      <c r="AB90" s="1487">
        <v>1</v>
      </c>
      <c r="AC90" s="1487">
        <v>1</v>
      </c>
      <c r="AD90" s="1487">
        <v>1</v>
      </c>
      <c r="AE90" s="1487">
        <v>1</v>
      </c>
      <c r="AF90" s="1487"/>
      <c r="AG90" s="1487">
        <v>1</v>
      </c>
      <c r="AH90" s="1487">
        <v>1</v>
      </c>
      <c r="AI90" s="1487">
        <v>1</v>
      </c>
      <c r="AJ90" s="604">
        <f t="shared" ref="AJ90:AJ92" si="118">SUM(E90:AI90)-AK90</f>
        <v>26</v>
      </c>
      <c r="AK90" s="604">
        <f t="shared" ref="AK90:AK92" si="119">SUMIF($E$5:$AI$5,"LT",E90:AI90)</f>
        <v>0</v>
      </c>
      <c r="AL90" s="604">
        <f t="shared" ref="AL90:AL92" si="120">COUNTIF(E90:AI90,"P")</f>
        <v>0</v>
      </c>
      <c r="AM90" s="604">
        <f t="shared" ref="AM90:AM92" si="121">COUNTIF(E90:AI90,"LT")+MOD(AK90,1)</f>
        <v>1</v>
      </c>
      <c r="AN90" s="601"/>
      <c r="AO90" s="622"/>
      <c r="AP90" s="622"/>
      <c r="AQ90" s="622"/>
      <c r="AR90" s="622"/>
      <c r="AS90" s="622"/>
      <c r="AT90" s="622"/>
      <c r="AU90" s="622"/>
      <c r="AV90" s="622"/>
      <c r="AW90" s="622"/>
      <c r="AX90" s="622"/>
      <c r="AY90" s="622"/>
      <c r="AZ90" s="622"/>
      <c r="BA90" s="622"/>
      <c r="BB90" s="622"/>
      <c r="BC90" s="622"/>
      <c r="BD90" s="622"/>
      <c r="BE90" s="622"/>
      <c r="BF90" s="622"/>
      <c r="BG90" s="622"/>
      <c r="BH90" s="622"/>
      <c r="BI90" s="622"/>
      <c r="BJ90" s="622"/>
      <c r="BK90" s="622"/>
      <c r="BL90" s="622"/>
      <c r="BM90" s="622"/>
      <c r="BN90" s="622"/>
      <c r="BO90" s="622"/>
      <c r="BP90" s="622"/>
      <c r="BQ90" s="622"/>
      <c r="BR90" s="622"/>
      <c r="BS90" s="622"/>
      <c r="BT90" s="604">
        <f t="shared" si="99"/>
        <v>0</v>
      </c>
      <c r="BU90" s="604">
        <f t="shared" si="100"/>
        <v>0</v>
      </c>
      <c r="BV90" s="633"/>
      <c r="BW90" s="1513">
        <v>3000</v>
      </c>
      <c r="BX90" s="645">
        <f>BW90+2000</f>
        <v>5000</v>
      </c>
      <c r="BY90" s="638">
        <v>0</v>
      </c>
      <c r="BZ90" s="544" t="s">
        <v>734</v>
      </c>
      <c r="CA90" s="545" t="s">
        <v>735</v>
      </c>
    </row>
    <row r="91" spans="1:79" s="544" customFormat="1">
      <c r="A91" s="578">
        <v>50</v>
      </c>
      <c r="B91" s="91" t="s">
        <v>402</v>
      </c>
      <c r="C91" s="577" t="str">
        <f>VLOOKUP(B91,'Luong VP'!$B$10:$D$250,2,0)</f>
        <v>Danh Thủy</v>
      </c>
      <c r="D91" s="106" t="str">
        <f>VLOOKUP(B91,'Luong VP'!$B$10:$D$250,3,0)</f>
        <v>NV trạm cân</v>
      </c>
      <c r="E91" s="1487">
        <v>1</v>
      </c>
      <c r="F91" s="1487">
        <v>1</v>
      </c>
      <c r="G91" s="1487">
        <v>1</v>
      </c>
      <c r="H91" s="1487">
        <v>1</v>
      </c>
      <c r="I91" s="1487">
        <v>1</v>
      </c>
      <c r="J91" s="1487">
        <v>1</v>
      </c>
      <c r="K91" s="1487">
        <v>1</v>
      </c>
      <c r="L91" s="1524" t="s">
        <v>720</v>
      </c>
      <c r="M91" s="1487">
        <v>1</v>
      </c>
      <c r="N91" s="1487">
        <v>1</v>
      </c>
      <c r="O91" s="1487">
        <v>1</v>
      </c>
      <c r="P91" s="1487">
        <v>1</v>
      </c>
      <c r="Q91" s="1487">
        <v>1</v>
      </c>
      <c r="R91" s="1487">
        <v>1</v>
      </c>
      <c r="S91" s="1487">
        <v>1</v>
      </c>
      <c r="T91" s="1487">
        <v>1</v>
      </c>
      <c r="U91" s="1487">
        <v>1</v>
      </c>
      <c r="V91" s="1487">
        <v>1</v>
      </c>
      <c r="W91" s="1487">
        <v>1</v>
      </c>
      <c r="X91" s="1487">
        <v>1</v>
      </c>
      <c r="Y91" s="1487">
        <v>1</v>
      </c>
      <c r="Z91" s="1487">
        <v>1</v>
      </c>
      <c r="AA91" s="1487">
        <v>1</v>
      </c>
      <c r="AB91" s="1487">
        <v>1</v>
      </c>
      <c r="AC91" s="1487">
        <v>1</v>
      </c>
      <c r="AD91" s="1487">
        <v>1</v>
      </c>
      <c r="AE91" s="1487">
        <v>1</v>
      </c>
      <c r="AF91" s="1487">
        <v>1</v>
      </c>
      <c r="AG91" s="1487">
        <v>1</v>
      </c>
      <c r="AH91" s="1487">
        <v>1</v>
      </c>
      <c r="AI91" s="1487">
        <v>1</v>
      </c>
      <c r="AJ91" s="604">
        <f t="shared" si="118"/>
        <v>30</v>
      </c>
      <c r="AK91" s="604">
        <f t="shared" si="119"/>
        <v>0</v>
      </c>
      <c r="AL91" s="604">
        <f t="shared" si="120"/>
        <v>0</v>
      </c>
      <c r="AM91" s="604">
        <f t="shared" si="121"/>
        <v>1</v>
      </c>
      <c r="AN91" s="601"/>
      <c r="AO91" s="622"/>
      <c r="AP91" s="622"/>
      <c r="AQ91" s="622"/>
      <c r="AR91" s="622"/>
      <c r="AS91" s="622"/>
      <c r="AT91" s="622"/>
      <c r="AU91" s="622"/>
      <c r="AV91" s="622"/>
      <c r="AW91" s="622"/>
      <c r="AX91" s="622"/>
      <c r="AY91" s="622"/>
      <c r="AZ91" s="622"/>
      <c r="BA91" s="622"/>
      <c r="BB91" s="622"/>
      <c r="BC91" s="622"/>
      <c r="BD91" s="622"/>
      <c r="BE91" s="622"/>
      <c r="BF91" s="622"/>
      <c r="BG91" s="622"/>
      <c r="BH91" s="622"/>
      <c r="BI91" s="622"/>
      <c r="BJ91" s="622"/>
      <c r="BK91" s="622"/>
      <c r="BL91" s="622"/>
      <c r="BM91" s="622"/>
      <c r="BN91" s="622"/>
      <c r="BO91" s="622"/>
      <c r="BP91" s="622"/>
      <c r="BQ91" s="622"/>
      <c r="BR91" s="622"/>
      <c r="BS91" s="622"/>
      <c r="BT91" s="604">
        <f t="shared" si="99"/>
        <v>0</v>
      </c>
      <c r="BU91" s="604">
        <f t="shared" si="100"/>
        <v>0</v>
      </c>
      <c r="BV91" s="633"/>
      <c r="BW91" s="1513">
        <v>3000</v>
      </c>
      <c r="BX91" s="637">
        <f t="shared" si="48"/>
        <v>3000</v>
      </c>
      <c r="BY91" s="638">
        <v>0</v>
      </c>
    </row>
    <row r="92" spans="1:79" s="547" customFormat="1">
      <c r="A92" s="579">
        <v>50</v>
      </c>
      <c r="B92" s="580" t="s">
        <v>1285</v>
      </c>
      <c r="C92" s="581" t="str">
        <f>VLOOKUP(B92,'Luong VP'!$B$10:$D$250,2,0)</f>
        <v>Đỗ Sỹ Long</v>
      </c>
      <c r="D92" s="582" t="str">
        <f>VLOOKUP(B92,'Luong VP'!$B$10:$D$250,3,0)</f>
        <v>NV trạm cân</v>
      </c>
      <c r="E92" s="1487">
        <v>1</v>
      </c>
      <c r="F92" s="1487">
        <v>1</v>
      </c>
      <c r="G92" s="1487">
        <v>1</v>
      </c>
      <c r="H92" s="1487">
        <v>1</v>
      </c>
      <c r="I92" s="1487">
        <v>1</v>
      </c>
      <c r="J92" s="1487">
        <v>1</v>
      </c>
      <c r="K92" s="1487">
        <v>1</v>
      </c>
      <c r="L92" s="1524" t="s">
        <v>720</v>
      </c>
      <c r="M92" s="1487">
        <v>1</v>
      </c>
      <c r="N92" s="1487">
        <v>1</v>
      </c>
      <c r="O92" s="1487">
        <v>1</v>
      </c>
      <c r="P92" s="1487">
        <v>1</v>
      </c>
      <c r="Q92" s="1487">
        <v>1</v>
      </c>
      <c r="R92" s="1487">
        <v>1</v>
      </c>
      <c r="S92" s="1487">
        <v>1</v>
      </c>
      <c r="T92" s="1487">
        <v>1</v>
      </c>
      <c r="U92" s="1487">
        <v>1</v>
      </c>
      <c r="V92" s="1487">
        <v>1</v>
      </c>
      <c r="W92" s="1487">
        <v>1</v>
      </c>
      <c r="X92" s="1487">
        <v>1</v>
      </c>
      <c r="Y92" s="1487">
        <v>1</v>
      </c>
      <c r="Z92" s="1487">
        <v>1</v>
      </c>
      <c r="AA92" s="1487">
        <v>1</v>
      </c>
      <c r="AB92" s="1487">
        <v>1</v>
      </c>
      <c r="AC92" s="1487">
        <v>1</v>
      </c>
      <c r="AD92" s="1487">
        <v>1</v>
      </c>
      <c r="AE92" s="1487">
        <v>1</v>
      </c>
      <c r="AF92" s="1487">
        <v>1</v>
      </c>
      <c r="AG92" s="1487">
        <v>1</v>
      </c>
      <c r="AH92" s="1487">
        <v>1</v>
      </c>
      <c r="AI92" s="1487">
        <v>1</v>
      </c>
      <c r="AJ92" s="604">
        <f t="shared" si="118"/>
        <v>30</v>
      </c>
      <c r="AK92" s="604">
        <f t="shared" si="119"/>
        <v>0</v>
      </c>
      <c r="AL92" s="604">
        <f t="shared" si="120"/>
        <v>0</v>
      </c>
      <c r="AM92" s="604">
        <f t="shared" si="121"/>
        <v>1</v>
      </c>
      <c r="AN92" s="609"/>
      <c r="AO92" s="624"/>
      <c r="AP92" s="624"/>
      <c r="AQ92" s="624"/>
      <c r="AR92" s="624"/>
      <c r="AS92" s="624"/>
      <c r="AT92" s="624"/>
      <c r="AU92" s="624"/>
      <c r="AV92" s="624"/>
      <c r="AW92" s="624"/>
      <c r="AX92" s="624"/>
      <c r="AY92" s="624"/>
      <c r="AZ92" s="624"/>
      <c r="BA92" s="624"/>
      <c r="BB92" s="624"/>
      <c r="BC92" s="624">
        <v>3</v>
      </c>
      <c r="BD92" s="624">
        <v>3</v>
      </c>
      <c r="BE92" s="624">
        <v>3</v>
      </c>
      <c r="BF92" s="624">
        <v>3</v>
      </c>
      <c r="BG92" s="624">
        <v>3</v>
      </c>
      <c r="BH92" s="624">
        <v>3</v>
      </c>
      <c r="BI92" s="624"/>
      <c r="BJ92" s="624"/>
      <c r="BK92" s="624"/>
      <c r="BL92" s="624"/>
      <c r="BM92" s="624"/>
      <c r="BN92" s="624"/>
      <c r="BO92" s="624"/>
      <c r="BP92" s="624"/>
      <c r="BQ92" s="624">
        <v>3</v>
      </c>
      <c r="BR92" s="624">
        <v>3</v>
      </c>
      <c r="BS92" s="624">
        <v>3</v>
      </c>
      <c r="BT92" s="608">
        <f t="shared" ref="BT92" si="122">SUM(AO92:BS92)-BU92</f>
        <v>27</v>
      </c>
      <c r="BU92" s="608">
        <f t="shared" ref="BU92" si="123">SUMIF($AO$5:$BS$5,"CN",AO92:BS92)</f>
        <v>0</v>
      </c>
      <c r="BV92" s="640"/>
      <c r="BW92" s="1514">
        <v>2000</v>
      </c>
      <c r="BX92" s="641">
        <f t="shared" ref="BX92" si="124">BW92</f>
        <v>2000</v>
      </c>
      <c r="BY92" s="642">
        <v>0</v>
      </c>
    </row>
    <row r="93" spans="1:79" s="544" customFormat="1">
      <c r="A93" s="570"/>
      <c r="B93" s="109"/>
      <c r="C93" s="95" t="s">
        <v>404</v>
      </c>
      <c r="D93" s="96"/>
      <c r="E93" s="96"/>
      <c r="F93" s="96"/>
      <c r="G93" s="96"/>
      <c r="H93" s="96"/>
      <c r="I93" s="96"/>
      <c r="J93" s="96"/>
      <c r="K93" s="96"/>
      <c r="L93" s="96"/>
      <c r="M93" s="96"/>
      <c r="N93" s="96"/>
      <c r="O93" s="96"/>
      <c r="P93" s="96"/>
      <c r="Q93" s="96"/>
      <c r="R93" s="96"/>
      <c r="S93" s="96"/>
      <c r="T93" s="96"/>
      <c r="U93" s="96"/>
      <c r="V93" s="96"/>
      <c r="W93" s="96"/>
      <c r="X93" s="96"/>
      <c r="Y93" s="96"/>
      <c r="Z93" s="96"/>
      <c r="AA93" s="96"/>
      <c r="AB93" s="96"/>
      <c r="AC93" s="96"/>
      <c r="AD93" s="96"/>
      <c r="AE93" s="96"/>
      <c r="AF93" s="96"/>
      <c r="AG93" s="96"/>
      <c r="AH93" s="96"/>
      <c r="AI93" s="96"/>
      <c r="AJ93" s="96"/>
      <c r="AK93" s="571"/>
      <c r="AL93" s="571"/>
      <c r="AM93" s="571"/>
      <c r="AN93" s="606"/>
      <c r="AO93" s="623"/>
      <c r="AP93" s="623"/>
      <c r="AQ93" s="623"/>
      <c r="AR93" s="623"/>
      <c r="AS93" s="623"/>
      <c r="AT93" s="623"/>
      <c r="AU93" s="623"/>
      <c r="AV93" s="623"/>
      <c r="AW93" s="623"/>
      <c r="AX93" s="623"/>
      <c r="AY93" s="623"/>
      <c r="AZ93" s="623"/>
      <c r="BA93" s="623"/>
      <c r="BB93" s="623"/>
      <c r="BC93" s="623"/>
      <c r="BD93" s="623"/>
      <c r="BE93" s="623"/>
      <c r="BF93" s="623"/>
      <c r="BG93" s="623"/>
      <c r="BH93" s="623"/>
      <c r="BI93" s="623"/>
      <c r="BJ93" s="623"/>
      <c r="BK93" s="623"/>
      <c r="BL93" s="623"/>
      <c r="BM93" s="623"/>
      <c r="BN93" s="623"/>
      <c r="BO93" s="623"/>
      <c r="BP93" s="623"/>
      <c r="BQ93" s="623"/>
      <c r="BR93" s="623"/>
      <c r="BS93" s="623"/>
      <c r="BT93" s="623"/>
      <c r="BU93" s="623"/>
      <c r="BV93" s="623"/>
      <c r="BW93" s="623"/>
      <c r="BX93" s="623"/>
      <c r="BY93" s="635"/>
    </row>
    <row r="94" spans="1:79" s="544" customFormat="1">
      <c r="A94" s="578">
        <v>50</v>
      </c>
      <c r="B94" s="91" t="s">
        <v>405</v>
      </c>
      <c r="C94" s="577" t="str">
        <f>VLOOKUP(B94,'Luong VP'!$B$10:$D$250,2,0)</f>
        <v>Đào Công Thắng</v>
      </c>
      <c r="D94" s="106" t="str">
        <f>VLOOKUP(B94,'Luong VP'!$B$10:$D$250,3,0)</f>
        <v>Trưởng BP bảo trì</v>
      </c>
      <c r="E94" s="1487">
        <v>1</v>
      </c>
      <c r="F94" s="1487">
        <v>1</v>
      </c>
      <c r="G94" s="1487">
        <v>1</v>
      </c>
      <c r="H94" s="1487">
        <v>1</v>
      </c>
      <c r="I94" s="1487">
        <v>1</v>
      </c>
      <c r="J94" s="1487">
        <v>1</v>
      </c>
      <c r="K94" s="1487"/>
      <c r="L94" s="1524" t="s">
        <v>720</v>
      </c>
      <c r="M94" s="1487">
        <v>1</v>
      </c>
      <c r="N94" s="1487">
        <v>1</v>
      </c>
      <c r="O94" s="1487">
        <v>1</v>
      </c>
      <c r="P94" s="1487">
        <v>1</v>
      </c>
      <c r="Q94" s="1487">
        <v>1</v>
      </c>
      <c r="R94" s="1487"/>
      <c r="S94" s="1487">
        <v>1</v>
      </c>
      <c r="T94" s="1487">
        <v>1</v>
      </c>
      <c r="U94" s="1487">
        <v>1</v>
      </c>
      <c r="V94" s="1487">
        <v>1</v>
      </c>
      <c r="W94" s="1487">
        <v>1</v>
      </c>
      <c r="X94" s="1487">
        <v>1</v>
      </c>
      <c r="Y94" s="1487"/>
      <c r="Z94" s="1487">
        <v>1</v>
      </c>
      <c r="AA94" s="1487">
        <v>1</v>
      </c>
      <c r="AB94" s="1487">
        <v>1</v>
      </c>
      <c r="AC94" s="1487">
        <v>1</v>
      </c>
      <c r="AD94" s="1487">
        <v>1</v>
      </c>
      <c r="AE94" s="1487">
        <v>1</v>
      </c>
      <c r="AF94" s="1487"/>
      <c r="AG94" s="1487">
        <v>1</v>
      </c>
      <c r="AH94" s="1487">
        <v>1</v>
      </c>
      <c r="AI94" s="1487">
        <v>1</v>
      </c>
      <c r="AJ94" s="604">
        <f t="shared" ref="AJ94" si="125">SUM(E94:AI94)-AK94</f>
        <v>26</v>
      </c>
      <c r="AK94" s="604">
        <f t="shared" ref="AK94" si="126">SUMIF($E$5:$AI$5,"LT",E94:AI94)</f>
        <v>0</v>
      </c>
      <c r="AL94" s="604">
        <f t="shared" ref="AL94" si="127">COUNTIF(E94:AI94,"P")</f>
        <v>0</v>
      </c>
      <c r="AM94" s="604">
        <f t="shared" ref="AM94" si="128">COUNTIF(E94:AI94,"LT")+MOD(AK94,1)</f>
        <v>1</v>
      </c>
      <c r="AN94" s="601"/>
      <c r="AO94" s="1406"/>
      <c r="AP94" s="1406"/>
      <c r="AQ94" s="1406"/>
      <c r="AR94" s="1406"/>
      <c r="AS94" s="1406"/>
      <c r="AT94" s="1406"/>
      <c r="AU94" s="1406"/>
      <c r="AV94" s="1406"/>
      <c r="AW94" s="1406"/>
      <c r="AX94" s="1406"/>
      <c r="AY94" s="1406"/>
      <c r="AZ94" s="1406"/>
      <c r="BA94" s="1406"/>
      <c r="BB94" s="1406"/>
      <c r="BC94" s="1406"/>
      <c r="BD94" s="1406"/>
      <c r="BE94" s="1406"/>
      <c r="BF94" s="1406"/>
      <c r="BG94" s="1406"/>
      <c r="BH94" s="1406"/>
      <c r="BI94" s="1406">
        <v>8</v>
      </c>
      <c r="BJ94" s="1406"/>
      <c r="BK94" s="1406"/>
      <c r="BL94" s="1406"/>
      <c r="BM94" s="1406"/>
      <c r="BN94" s="1406"/>
      <c r="BO94" s="1406"/>
      <c r="BP94" s="1406"/>
      <c r="BQ94" s="1406"/>
      <c r="BR94" s="1406"/>
      <c r="BS94" s="1406"/>
      <c r="BT94" s="604">
        <f t="shared" si="99"/>
        <v>0</v>
      </c>
      <c r="BU94" s="604">
        <f t="shared" si="100"/>
        <v>8</v>
      </c>
      <c r="BV94" s="633"/>
      <c r="BW94" s="1513">
        <v>3000</v>
      </c>
      <c r="BX94" s="637">
        <f t="shared" ref="BX94:BX122" si="129">BW94</f>
        <v>3000</v>
      </c>
      <c r="BY94" s="638">
        <v>0</v>
      </c>
    </row>
    <row r="95" spans="1:79" s="544" customFormat="1">
      <c r="A95" s="578">
        <v>51</v>
      </c>
      <c r="B95" s="91" t="s">
        <v>410</v>
      </c>
      <c r="C95" s="577" t="str">
        <f>VLOOKUP(B95,'Luong VP'!$B$10:$D$250,2,0)</f>
        <v>Nguyễn Thanh Nhàn</v>
      </c>
      <c r="D95" s="106" t="str">
        <f>VLOOKUP(B95,'Luong VP'!$B$10:$D$250,3,0)</f>
        <v>Tổ trưởng cơ khí - xe cơ giới</v>
      </c>
      <c r="E95" s="1487">
        <v>1</v>
      </c>
      <c r="F95" s="1487">
        <v>1</v>
      </c>
      <c r="G95" s="1487">
        <v>1</v>
      </c>
      <c r="H95" s="1487">
        <v>1</v>
      </c>
      <c r="I95" s="1487">
        <v>1</v>
      </c>
      <c r="J95" s="1487">
        <v>1</v>
      </c>
      <c r="K95" s="1487"/>
      <c r="L95" s="1524" t="s">
        <v>720</v>
      </c>
      <c r="M95" s="1487">
        <v>1</v>
      </c>
      <c r="N95" s="1487">
        <v>1</v>
      </c>
      <c r="O95" s="1487">
        <v>1</v>
      </c>
      <c r="P95" s="1487">
        <v>1</v>
      </c>
      <c r="Q95" s="1487">
        <v>1</v>
      </c>
      <c r="R95" s="1487"/>
      <c r="S95" s="1487">
        <v>1</v>
      </c>
      <c r="T95" s="1487">
        <v>1</v>
      </c>
      <c r="U95" s="1487">
        <v>1</v>
      </c>
      <c r="V95" s="1487">
        <v>1</v>
      </c>
      <c r="W95" s="1487">
        <v>1</v>
      </c>
      <c r="X95" s="1487">
        <v>1</v>
      </c>
      <c r="Y95" s="1487"/>
      <c r="Z95" s="1487">
        <v>1</v>
      </c>
      <c r="AA95" s="1487">
        <v>1</v>
      </c>
      <c r="AB95" s="1487">
        <v>1</v>
      </c>
      <c r="AC95" s="1487">
        <v>1</v>
      </c>
      <c r="AD95" s="1487">
        <v>1</v>
      </c>
      <c r="AE95" s="1487">
        <v>1</v>
      </c>
      <c r="AF95" s="1487"/>
      <c r="AG95" s="1487">
        <v>1</v>
      </c>
      <c r="AH95" s="1487">
        <v>1</v>
      </c>
      <c r="AI95" s="1487">
        <v>1</v>
      </c>
      <c r="AJ95" s="604">
        <f t="shared" ref="AJ95:AJ116" si="130">SUM(E95:AI95)-AK95</f>
        <v>26</v>
      </c>
      <c r="AK95" s="604">
        <f t="shared" ref="AK95:AK116" si="131">SUMIF($E$5:$AI$5,"LT",E95:AI95)</f>
        <v>0</v>
      </c>
      <c r="AL95" s="604">
        <f t="shared" ref="AL95:AL116" si="132">COUNTIF(E95:AI95,"P")</f>
        <v>0</v>
      </c>
      <c r="AM95" s="604">
        <f t="shared" ref="AM95:AM116" si="133">COUNTIF(E95:AI95,"LT")+MOD(AK95,1)</f>
        <v>1</v>
      </c>
      <c r="AN95" s="601"/>
      <c r="AO95" s="1406"/>
      <c r="AP95" s="1406"/>
      <c r="AQ95" s="1406"/>
      <c r="AR95" s="1406"/>
      <c r="AS95" s="1406"/>
      <c r="AT95" s="1406"/>
      <c r="AU95" s="1406"/>
      <c r="AV95" s="1406"/>
      <c r="AW95" s="1406"/>
      <c r="AX95" s="1406"/>
      <c r="AY95" s="1406"/>
      <c r="AZ95" s="1406"/>
      <c r="BA95" s="1406"/>
      <c r="BB95" s="1406"/>
      <c r="BC95" s="1406"/>
      <c r="BD95" s="1406"/>
      <c r="BE95" s="1406"/>
      <c r="BF95" s="1406"/>
      <c r="BG95" s="1406"/>
      <c r="BH95" s="1406"/>
      <c r="BI95" s="1406">
        <v>8</v>
      </c>
      <c r="BJ95" s="1406"/>
      <c r="BK95" s="1406"/>
      <c r="BL95" s="1406"/>
      <c r="BM95" s="1406"/>
      <c r="BN95" s="1406"/>
      <c r="BO95" s="1406"/>
      <c r="BP95" s="1406"/>
      <c r="BQ95" s="1406"/>
      <c r="BR95" s="1406"/>
      <c r="BS95" s="1406"/>
      <c r="BT95" s="604">
        <f t="shared" si="99"/>
        <v>0</v>
      </c>
      <c r="BU95" s="604">
        <f t="shared" si="100"/>
        <v>8</v>
      </c>
      <c r="BV95" s="633"/>
      <c r="BW95" s="1513">
        <v>3000</v>
      </c>
      <c r="BX95" s="637">
        <f t="shared" si="129"/>
        <v>3000</v>
      </c>
      <c r="BY95" s="638">
        <v>0</v>
      </c>
    </row>
    <row r="96" spans="1:79" s="544" customFormat="1">
      <c r="A96" s="578">
        <v>52</v>
      </c>
      <c r="B96" s="91" t="s">
        <v>412</v>
      </c>
      <c r="C96" s="577" t="str">
        <f>VLOOKUP(B96,'Luong VP'!$B$10:$D$250,2,0)</f>
        <v>Nguyễn Thanh Lâm</v>
      </c>
      <c r="D96" s="106" t="str">
        <f>VLOOKUP(B96,'Luong VP'!$B$10:$D$250,3,0)</f>
        <v>Nhân viên bảo trì cơ khí</v>
      </c>
      <c r="E96" s="1487">
        <v>1</v>
      </c>
      <c r="F96" s="1487">
        <v>1</v>
      </c>
      <c r="G96" s="1487">
        <v>1</v>
      </c>
      <c r="H96" s="1487">
        <v>1</v>
      </c>
      <c r="I96" s="1487">
        <v>1</v>
      </c>
      <c r="J96" s="1487">
        <v>1</v>
      </c>
      <c r="K96" s="1487"/>
      <c r="L96" s="1524" t="s">
        <v>720</v>
      </c>
      <c r="M96" s="1487">
        <v>1</v>
      </c>
      <c r="N96" s="1487">
        <v>1</v>
      </c>
      <c r="O96" s="1487">
        <v>1</v>
      </c>
      <c r="P96" s="1487">
        <v>1</v>
      </c>
      <c r="Q96" s="1487">
        <v>1</v>
      </c>
      <c r="R96" s="1487"/>
      <c r="S96" s="1487">
        <v>1</v>
      </c>
      <c r="T96" s="1487">
        <v>1</v>
      </c>
      <c r="U96" s="1487">
        <v>1</v>
      </c>
      <c r="V96" s="1487">
        <v>1</v>
      </c>
      <c r="W96" s="1487">
        <v>1</v>
      </c>
      <c r="X96" s="1487">
        <v>1</v>
      </c>
      <c r="Y96" s="1487"/>
      <c r="Z96" s="1487">
        <v>1</v>
      </c>
      <c r="AA96" s="1487">
        <v>1</v>
      </c>
      <c r="AB96" s="1487">
        <v>1</v>
      </c>
      <c r="AC96" s="1487">
        <v>1</v>
      </c>
      <c r="AD96" s="1487">
        <v>1</v>
      </c>
      <c r="AE96" s="1487">
        <v>1</v>
      </c>
      <c r="AF96" s="1487"/>
      <c r="AG96" s="1487">
        <v>1</v>
      </c>
      <c r="AH96" s="1487">
        <v>1</v>
      </c>
      <c r="AI96" s="1487">
        <v>1</v>
      </c>
      <c r="AJ96" s="604">
        <f t="shared" si="130"/>
        <v>26</v>
      </c>
      <c r="AK96" s="604">
        <f t="shared" si="131"/>
        <v>0</v>
      </c>
      <c r="AL96" s="604">
        <f t="shared" si="132"/>
        <v>0</v>
      </c>
      <c r="AM96" s="604">
        <f t="shared" si="133"/>
        <v>1</v>
      </c>
      <c r="AN96" s="601"/>
      <c r="AO96" s="1406"/>
      <c r="AP96" s="1406"/>
      <c r="AQ96" s="1406"/>
      <c r="AR96" s="1406"/>
      <c r="AS96" s="1406"/>
      <c r="AT96" s="1406"/>
      <c r="AU96" s="1406"/>
      <c r="AV96" s="1406"/>
      <c r="AW96" s="1406"/>
      <c r="AX96" s="1406"/>
      <c r="AY96" s="1406"/>
      <c r="AZ96" s="1406"/>
      <c r="BA96" s="1406"/>
      <c r="BB96" s="1406"/>
      <c r="BC96" s="1406"/>
      <c r="BD96" s="1406"/>
      <c r="BE96" s="1406"/>
      <c r="BF96" s="1406"/>
      <c r="BG96" s="1406"/>
      <c r="BH96" s="1406"/>
      <c r="BI96" s="1406">
        <v>8</v>
      </c>
      <c r="BJ96" s="1406"/>
      <c r="BK96" s="1406"/>
      <c r="BL96" s="1406"/>
      <c r="BM96" s="1406"/>
      <c r="BN96" s="1406"/>
      <c r="BO96" s="1406"/>
      <c r="BP96" s="1406"/>
      <c r="BQ96" s="1406"/>
      <c r="BR96" s="1406"/>
      <c r="BS96" s="1406"/>
      <c r="BT96" s="604">
        <f t="shared" si="99"/>
        <v>0</v>
      </c>
      <c r="BU96" s="604">
        <f t="shared" si="100"/>
        <v>8</v>
      </c>
      <c r="BV96" s="633"/>
      <c r="BW96" s="1513">
        <v>4000</v>
      </c>
      <c r="BX96" s="637">
        <f t="shared" si="129"/>
        <v>4000</v>
      </c>
      <c r="BY96" s="638">
        <v>0</v>
      </c>
    </row>
    <row r="97" spans="1:78" s="544" customFormat="1">
      <c r="A97" s="578">
        <v>54</v>
      </c>
      <c r="B97" s="91" t="s">
        <v>414</v>
      </c>
      <c r="C97" s="577" t="str">
        <f>VLOOKUP(B97,'Luong VP'!$B$10:$D$250,2,0)</f>
        <v>Trần Ngọc Minh</v>
      </c>
      <c r="D97" s="106" t="str">
        <f>VLOOKUP(B97,'Luong VP'!$B$10:$D$250,3,0)</f>
        <v>Nhân viên bảo trì cơ khí</v>
      </c>
      <c r="E97" s="1487">
        <v>1</v>
      </c>
      <c r="F97" s="1487">
        <v>1</v>
      </c>
      <c r="G97" s="1487">
        <v>1</v>
      </c>
      <c r="H97" s="1487">
        <v>1</v>
      </c>
      <c r="I97" s="1487">
        <v>1</v>
      </c>
      <c r="J97" s="1487">
        <v>1</v>
      </c>
      <c r="K97" s="1487"/>
      <c r="L97" s="1524" t="s">
        <v>720</v>
      </c>
      <c r="M97" s="1487">
        <v>1</v>
      </c>
      <c r="N97" s="1487">
        <v>1</v>
      </c>
      <c r="O97" s="1487">
        <v>1</v>
      </c>
      <c r="P97" s="1487">
        <v>1</v>
      </c>
      <c r="Q97" s="1487">
        <v>1</v>
      </c>
      <c r="R97" s="1487"/>
      <c r="S97" s="1487">
        <v>1</v>
      </c>
      <c r="T97" s="1487">
        <v>1</v>
      </c>
      <c r="U97" s="1487">
        <v>1</v>
      </c>
      <c r="V97" s="1487">
        <v>1</v>
      </c>
      <c r="W97" s="1487">
        <v>1</v>
      </c>
      <c r="X97" s="1487">
        <v>1</v>
      </c>
      <c r="Y97" s="1487"/>
      <c r="Z97" s="1487">
        <v>1</v>
      </c>
      <c r="AA97" s="1487">
        <v>1</v>
      </c>
      <c r="AB97" s="1487">
        <v>1</v>
      </c>
      <c r="AC97" s="1487">
        <v>1</v>
      </c>
      <c r="AD97" s="1487">
        <v>1</v>
      </c>
      <c r="AE97" s="1487">
        <v>1</v>
      </c>
      <c r="AF97" s="1487"/>
      <c r="AG97" s="1487">
        <v>1</v>
      </c>
      <c r="AH97" s="1487">
        <v>1</v>
      </c>
      <c r="AI97" s="1487">
        <v>1</v>
      </c>
      <c r="AJ97" s="604">
        <f t="shared" si="130"/>
        <v>26</v>
      </c>
      <c r="AK97" s="604">
        <f t="shared" si="131"/>
        <v>0</v>
      </c>
      <c r="AL97" s="604">
        <f t="shared" si="132"/>
        <v>0</v>
      </c>
      <c r="AM97" s="604">
        <f t="shared" si="133"/>
        <v>1</v>
      </c>
      <c r="AN97" s="601"/>
      <c r="AO97" s="1406"/>
      <c r="AP97" s="1406"/>
      <c r="AQ97" s="1406"/>
      <c r="AR97" s="1406"/>
      <c r="AS97" s="1406"/>
      <c r="AT97" s="1406"/>
      <c r="AU97" s="1406"/>
      <c r="AV97" s="1406"/>
      <c r="AW97" s="1406"/>
      <c r="AX97" s="1406"/>
      <c r="AY97" s="1406"/>
      <c r="AZ97" s="1406"/>
      <c r="BA97" s="1406"/>
      <c r="BB97" s="1406"/>
      <c r="BC97" s="1406"/>
      <c r="BD97" s="1406"/>
      <c r="BE97" s="1406"/>
      <c r="BF97" s="1406"/>
      <c r="BG97" s="1406"/>
      <c r="BH97" s="1406"/>
      <c r="BI97" s="1406">
        <v>8</v>
      </c>
      <c r="BJ97" s="1406"/>
      <c r="BK97" s="1406"/>
      <c r="BL97" s="1406"/>
      <c r="BM97" s="1406"/>
      <c r="BN97" s="1406"/>
      <c r="BO97" s="1406"/>
      <c r="BP97" s="1406"/>
      <c r="BQ97" s="1406"/>
      <c r="BR97" s="1406"/>
      <c r="BS97" s="1406"/>
      <c r="BT97" s="604">
        <f t="shared" si="99"/>
        <v>0</v>
      </c>
      <c r="BU97" s="604">
        <f t="shared" si="100"/>
        <v>8</v>
      </c>
      <c r="BV97" s="633"/>
      <c r="BW97" s="1513">
        <v>4000</v>
      </c>
      <c r="BX97" s="637">
        <f t="shared" si="129"/>
        <v>4000</v>
      </c>
      <c r="BY97" s="638">
        <v>0</v>
      </c>
    </row>
    <row r="98" spans="1:78" s="544" customFormat="1">
      <c r="A98" s="578">
        <v>50</v>
      </c>
      <c r="B98" s="91" t="s">
        <v>407</v>
      </c>
      <c r="C98" s="577" t="str">
        <f>VLOOKUP(B98,'Luong VP'!$B$10:$D$250,2,0)</f>
        <v>Nguyễn Thành Luân</v>
      </c>
      <c r="D98" s="106" t="str">
        <f>VLOOKUP(B98,'Luong VP'!$B$10:$D$250,3,0)</f>
        <v>Chuyên viên kỹ thuật bảo trì</v>
      </c>
      <c r="E98" s="1487">
        <v>1</v>
      </c>
      <c r="F98" s="1487">
        <v>1</v>
      </c>
      <c r="G98" s="1487">
        <v>1</v>
      </c>
      <c r="H98" s="1487">
        <v>1</v>
      </c>
      <c r="I98" s="1487">
        <v>1</v>
      </c>
      <c r="J98" s="1487">
        <v>1</v>
      </c>
      <c r="K98" s="1487"/>
      <c r="L98" s="1524" t="s">
        <v>720</v>
      </c>
      <c r="M98" s="1487">
        <v>1</v>
      </c>
      <c r="N98" s="1487">
        <v>1</v>
      </c>
      <c r="O98" s="1487">
        <v>1</v>
      </c>
      <c r="P98" s="1487">
        <v>1</v>
      </c>
      <c r="Q98" s="1487">
        <v>1</v>
      </c>
      <c r="R98" s="1487"/>
      <c r="S98" s="1487">
        <v>1</v>
      </c>
      <c r="T98" s="1487">
        <v>1</v>
      </c>
      <c r="U98" s="1487">
        <v>1</v>
      </c>
      <c r="V98" s="1487">
        <v>1</v>
      </c>
      <c r="W98" s="1487">
        <v>1</v>
      </c>
      <c r="X98" s="1487">
        <v>1</v>
      </c>
      <c r="Y98" s="1487"/>
      <c r="Z98" s="1487">
        <v>1</v>
      </c>
      <c r="AA98" s="1487">
        <v>1</v>
      </c>
      <c r="AB98" s="1487">
        <v>1</v>
      </c>
      <c r="AC98" s="1487">
        <v>1</v>
      </c>
      <c r="AD98" s="1487">
        <v>1</v>
      </c>
      <c r="AE98" s="1487">
        <v>1</v>
      </c>
      <c r="AF98" s="1487"/>
      <c r="AG98" s="1487">
        <v>1</v>
      </c>
      <c r="AH98" s="1487">
        <v>1</v>
      </c>
      <c r="AI98" s="1487">
        <v>1</v>
      </c>
      <c r="AJ98" s="604">
        <f t="shared" si="130"/>
        <v>26</v>
      </c>
      <c r="AK98" s="604">
        <f t="shared" si="131"/>
        <v>0</v>
      </c>
      <c r="AL98" s="604">
        <f t="shared" si="132"/>
        <v>0</v>
      </c>
      <c r="AM98" s="604">
        <f t="shared" si="133"/>
        <v>1</v>
      </c>
      <c r="AN98" s="601"/>
      <c r="AO98" s="1406"/>
      <c r="AP98" s="1406"/>
      <c r="AQ98" s="1406"/>
      <c r="AR98" s="1406"/>
      <c r="AS98" s="1406"/>
      <c r="AT98" s="1406"/>
      <c r="AU98" s="1406"/>
      <c r="AV98" s="1406"/>
      <c r="AW98" s="1406"/>
      <c r="AX98" s="1406"/>
      <c r="AY98" s="1406"/>
      <c r="AZ98" s="1406"/>
      <c r="BA98" s="1406"/>
      <c r="BB98" s="1406"/>
      <c r="BC98" s="1406"/>
      <c r="BD98" s="1406"/>
      <c r="BE98" s="1406"/>
      <c r="BF98" s="1406"/>
      <c r="BG98" s="1406"/>
      <c r="BH98" s="1406"/>
      <c r="BI98" s="1406"/>
      <c r="BJ98" s="1406"/>
      <c r="BK98" s="1406"/>
      <c r="BL98" s="1406"/>
      <c r="BM98" s="1406"/>
      <c r="BN98" s="1406"/>
      <c r="BO98" s="1406"/>
      <c r="BP98" s="1406"/>
      <c r="BQ98" s="1406"/>
      <c r="BR98" s="1406"/>
      <c r="BS98" s="1406"/>
      <c r="BT98" s="604">
        <f>SUM(AO98:BS98)-BU98</f>
        <v>0</v>
      </c>
      <c r="BU98" s="604">
        <f>SUMIF($AO$5:$BS$5,"CN",AO98:BS98)</f>
        <v>0</v>
      </c>
      <c r="BV98" s="633"/>
      <c r="BW98" s="1513">
        <v>4000</v>
      </c>
      <c r="BX98" s="637">
        <f>BW98</f>
        <v>4000</v>
      </c>
      <c r="BY98" s="638">
        <v>0</v>
      </c>
    </row>
    <row r="99" spans="1:78" s="544" customFormat="1">
      <c r="A99" s="578">
        <v>54</v>
      </c>
      <c r="B99" s="91" t="s">
        <v>416</v>
      </c>
      <c r="C99" s="577" t="str">
        <f>VLOOKUP(B99,'Luong VP'!$B$10:$D$250,2,0)</f>
        <v>Nguyễn Công Thuận</v>
      </c>
      <c r="D99" s="106" t="str">
        <f>VLOOKUP(B99,'Luong VP'!$B$10:$D$250,3,0)</f>
        <v>Nhân viên bảo trì điện - cơ điện</v>
      </c>
      <c r="E99" s="1487">
        <v>1</v>
      </c>
      <c r="F99" s="1487">
        <v>1</v>
      </c>
      <c r="G99" s="1487">
        <v>1</v>
      </c>
      <c r="H99" s="1487">
        <v>1</v>
      </c>
      <c r="I99" s="1487">
        <v>1</v>
      </c>
      <c r="J99" s="1487">
        <v>1</v>
      </c>
      <c r="K99" s="1487"/>
      <c r="L99" s="1524" t="s">
        <v>720</v>
      </c>
      <c r="M99" s="1487">
        <v>1</v>
      </c>
      <c r="N99" s="1487">
        <v>1</v>
      </c>
      <c r="O99" s="1487">
        <v>1</v>
      </c>
      <c r="P99" s="1487">
        <v>1</v>
      </c>
      <c r="Q99" s="1487">
        <v>1</v>
      </c>
      <c r="R99" s="1487"/>
      <c r="S99" s="1487">
        <v>1</v>
      </c>
      <c r="T99" s="1487">
        <v>1</v>
      </c>
      <c r="U99" s="1487">
        <v>1</v>
      </c>
      <c r="V99" s="1487">
        <v>1</v>
      </c>
      <c r="W99" s="1487">
        <v>1</v>
      </c>
      <c r="X99" s="1487">
        <v>1</v>
      </c>
      <c r="Y99" s="1487"/>
      <c r="Z99" s="1487">
        <v>1</v>
      </c>
      <c r="AA99" s="1487">
        <v>1</v>
      </c>
      <c r="AB99" s="1487">
        <v>1</v>
      </c>
      <c r="AC99" s="1487">
        <v>1</v>
      </c>
      <c r="AD99" s="1487">
        <v>1</v>
      </c>
      <c r="AE99" s="1487">
        <v>1</v>
      </c>
      <c r="AF99" s="1487"/>
      <c r="AG99" s="1487">
        <v>1</v>
      </c>
      <c r="AH99" s="1487">
        <v>1</v>
      </c>
      <c r="AI99" s="1487">
        <v>1</v>
      </c>
      <c r="AJ99" s="604">
        <f t="shared" si="130"/>
        <v>26</v>
      </c>
      <c r="AK99" s="604">
        <f t="shared" si="131"/>
        <v>0</v>
      </c>
      <c r="AL99" s="604">
        <f t="shared" si="132"/>
        <v>0</v>
      </c>
      <c r="AM99" s="604">
        <f t="shared" si="133"/>
        <v>1</v>
      </c>
      <c r="AN99" s="601"/>
      <c r="AO99" s="1406"/>
      <c r="AP99" s="1406"/>
      <c r="AQ99" s="1406"/>
      <c r="AR99" s="1406"/>
      <c r="AS99" s="1406"/>
      <c r="AT99" s="1406"/>
      <c r="AU99" s="1406"/>
      <c r="AV99" s="1406"/>
      <c r="AW99" s="1406"/>
      <c r="AX99" s="1406"/>
      <c r="AY99" s="1406"/>
      <c r="AZ99" s="1406"/>
      <c r="BA99" s="1406"/>
      <c r="BB99" s="1406"/>
      <c r="BC99" s="1406"/>
      <c r="BD99" s="1406"/>
      <c r="BE99" s="1406"/>
      <c r="BF99" s="1406"/>
      <c r="BG99" s="1406"/>
      <c r="BH99" s="1406"/>
      <c r="BI99" s="1406">
        <v>8</v>
      </c>
      <c r="BJ99" s="1406"/>
      <c r="BK99" s="1406"/>
      <c r="BL99" s="1406"/>
      <c r="BM99" s="1406"/>
      <c r="BN99" s="1406"/>
      <c r="BO99" s="1406"/>
      <c r="BP99" s="1406"/>
      <c r="BQ99" s="1406"/>
      <c r="BR99" s="1406"/>
      <c r="BS99" s="1406"/>
      <c r="BT99" s="604">
        <f t="shared" si="99"/>
        <v>0</v>
      </c>
      <c r="BU99" s="604">
        <f t="shared" si="100"/>
        <v>8</v>
      </c>
      <c r="BV99" s="633"/>
      <c r="BW99" s="1513">
        <v>3000</v>
      </c>
      <c r="BX99" s="637">
        <f t="shared" si="129"/>
        <v>3000</v>
      </c>
      <c r="BY99" s="638">
        <v>0</v>
      </c>
    </row>
    <row r="100" spans="1:78" s="544" customFormat="1">
      <c r="A100" s="578">
        <v>55</v>
      </c>
      <c r="B100" s="91" t="s">
        <v>418</v>
      </c>
      <c r="C100" s="577" t="str">
        <f>VLOOKUP(B100,'Luong VP'!$B$10:$D$250,2,0)</f>
        <v>Huỳnh Văn Phương</v>
      </c>
      <c r="D100" s="106" t="str">
        <f>VLOOKUP(B100,'Luong VP'!$B$10:$D$250,3,0)</f>
        <v>Nhân viên vận hành máy</v>
      </c>
      <c r="E100" s="1487">
        <v>1</v>
      </c>
      <c r="F100" s="1487">
        <v>1</v>
      </c>
      <c r="G100" s="1487">
        <v>1</v>
      </c>
      <c r="H100" s="1487">
        <v>1</v>
      </c>
      <c r="I100" s="1487">
        <v>1</v>
      </c>
      <c r="J100" s="1487">
        <v>1</v>
      </c>
      <c r="K100" s="1487"/>
      <c r="L100" s="1524" t="s">
        <v>720</v>
      </c>
      <c r="M100" s="1487">
        <v>1</v>
      </c>
      <c r="N100" s="1487">
        <v>1</v>
      </c>
      <c r="O100" s="1487">
        <v>1</v>
      </c>
      <c r="P100" s="1487">
        <v>1</v>
      </c>
      <c r="Q100" s="1487">
        <v>1</v>
      </c>
      <c r="R100" s="1487"/>
      <c r="S100" s="1487">
        <v>1</v>
      </c>
      <c r="T100" s="1487">
        <v>1</v>
      </c>
      <c r="U100" s="1487">
        <v>1</v>
      </c>
      <c r="V100" s="1487">
        <v>1</v>
      </c>
      <c r="W100" s="1487">
        <v>1</v>
      </c>
      <c r="X100" s="1487">
        <v>1</v>
      </c>
      <c r="Y100" s="1487"/>
      <c r="Z100" s="1487">
        <v>1</v>
      </c>
      <c r="AA100" s="1487">
        <v>1</v>
      </c>
      <c r="AB100" s="1487">
        <v>1</v>
      </c>
      <c r="AC100" s="1487">
        <v>1</v>
      </c>
      <c r="AD100" s="1487">
        <v>1</v>
      </c>
      <c r="AE100" s="1487">
        <v>1</v>
      </c>
      <c r="AF100" s="1487"/>
      <c r="AG100" s="1487">
        <v>1</v>
      </c>
      <c r="AH100" s="1487">
        <v>1</v>
      </c>
      <c r="AI100" s="1487">
        <v>1</v>
      </c>
      <c r="AJ100" s="604">
        <f t="shared" si="130"/>
        <v>26</v>
      </c>
      <c r="AK100" s="604">
        <f t="shared" si="131"/>
        <v>0</v>
      </c>
      <c r="AL100" s="604">
        <f t="shared" si="132"/>
        <v>0</v>
      </c>
      <c r="AM100" s="604">
        <f t="shared" si="133"/>
        <v>1</v>
      </c>
      <c r="AN100" s="601"/>
      <c r="AO100" s="1406"/>
      <c r="AP100" s="1406"/>
      <c r="AQ100" s="1406"/>
      <c r="AR100" s="1406"/>
      <c r="AS100" s="1406"/>
      <c r="AT100" s="1406"/>
      <c r="AU100" s="1406"/>
      <c r="AV100" s="1406"/>
      <c r="AW100" s="1406"/>
      <c r="AX100" s="1406"/>
      <c r="AY100" s="1406"/>
      <c r="AZ100" s="1406"/>
      <c r="BA100" s="1406"/>
      <c r="BB100" s="1406"/>
      <c r="BC100" s="1406"/>
      <c r="BD100" s="1406"/>
      <c r="BE100" s="1406"/>
      <c r="BF100" s="1406"/>
      <c r="BG100" s="1406"/>
      <c r="BH100" s="1406"/>
      <c r="BI100" s="1406">
        <v>8</v>
      </c>
      <c r="BJ100" s="1406"/>
      <c r="BK100" s="1406"/>
      <c r="BL100" s="1406"/>
      <c r="BM100" s="1406"/>
      <c r="BN100" s="1406"/>
      <c r="BO100" s="1406"/>
      <c r="BP100" s="1406"/>
      <c r="BQ100" s="1406"/>
      <c r="BR100" s="1406"/>
      <c r="BS100" s="1406"/>
      <c r="BT100" s="604">
        <f t="shared" si="99"/>
        <v>0</v>
      </c>
      <c r="BU100" s="604">
        <f t="shared" si="100"/>
        <v>8</v>
      </c>
      <c r="BV100" s="633"/>
      <c r="BW100" s="1513">
        <v>3000</v>
      </c>
      <c r="BX100" s="637">
        <f t="shared" si="129"/>
        <v>3000</v>
      </c>
      <c r="BY100" s="638">
        <v>0</v>
      </c>
    </row>
    <row r="101" spans="1:78" s="544" customFormat="1">
      <c r="A101" s="578">
        <v>53</v>
      </c>
      <c r="B101" s="91" t="s">
        <v>420</v>
      </c>
      <c r="C101" s="577" t="str">
        <f>VLOOKUP(B101,'Luong VP'!$B$10:$D$250,2,0)</f>
        <v>Đổng Ngọc Trung</v>
      </c>
      <c r="D101" s="106" t="str">
        <f>VLOOKUP(B101,'Luong VP'!$B$10:$D$250,3,0)</f>
        <v>Trưởng BP cải tiến máy móc</v>
      </c>
      <c r="E101" s="1487">
        <v>1</v>
      </c>
      <c r="F101" s="1487">
        <v>1</v>
      </c>
      <c r="G101" s="1487">
        <v>1</v>
      </c>
      <c r="H101" s="1487">
        <v>1</v>
      </c>
      <c r="I101" s="1487">
        <v>1</v>
      </c>
      <c r="J101" s="1487">
        <v>1</v>
      </c>
      <c r="K101" s="1487"/>
      <c r="L101" s="1524" t="s">
        <v>720</v>
      </c>
      <c r="M101" s="1487">
        <v>1</v>
      </c>
      <c r="N101" s="1487">
        <v>1</v>
      </c>
      <c r="O101" s="1487">
        <v>1</v>
      </c>
      <c r="P101" s="1487">
        <v>1</v>
      </c>
      <c r="Q101" s="1487">
        <v>1</v>
      </c>
      <c r="R101" s="1487"/>
      <c r="S101" s="1487">
        <v>1</v>
      </c>
      <c r="T101" s="1487">
        <v>1</v>
      </c>
      <c r="U101" s="1487">
        <v>1</v>
      </c>
      <c r="V101" s="1487">
        <v>1</v>
      </c>
      <c r="W101" s="1487">
        <v>1</v>
      </c>
      <c r="X101" s="1487">
        <v>1</v>
      </c>
      <c r="Y101" s="1487"/>
      <c r="Z101" s="1487">
        <v>1</v>
      </c>
      <c r="AA101" s="1487">
        <v>1</v>
      </c>
      <c r="AB101" s="1487">
        <v>1</v>
      </c>
      <c r="AC101" s="1487">
        <v>1</v>
      </c>
      <c r="AD101" s="1487">
        <v>1</v>
      </c>
      <c r="AE101" s="1487">
        <v>1</v>
      </c>
      <c r="AF101" s="1487"/>
      <c r="AG101" s="1487">
        <v>1</v>
      </c>
      <c r="AH101" s="1487">
        <v>1</v>
      </c>
      <c r="AI101" s="1487">
        <v>1</v>
      </c>
      <c r="AJ101" s="604">
        <f t="shared" si="130"/>
        <v>26</v>
      </c>
      <c r="AK101" s="604">
        <f t="shared" si="131"/>
        <v>0</v>
      </c>
      <c r="AL101" s="604">
        <f t="shared" si="132"/>
        <v>0</v>
      </c>
      <c r="AM101" s="604">
        <f t="shared" si="133"/>
        <v>1</v>
      </c>
      <c r="AN101" s="601"/>
      <c r="AO101" s="1406"/>
      <c r="AP101" s="1406"/>
      <c r="AQ101" s="1406"/>
      <c r="AR101" s="1406"/>
      <c r="AS101" s="1406"/>
      <c r="AT101" s="1406"/>
      <c r="AU101" s="1406"/>
      <c r="AV101" s="1406"/>
      <c r="AW101" s="1406"/>
      <c r="AX101" s="1406"/>
      <c r="AY101" s="1406"/>
      <c r="AZ101" s="1406"/>
      <c r="BA101" s="1406"/>
      <c r="BB101" s="1406"/>
      <c r="BC101" s="1406"/>
      <c r="BD101" s="1406"/>
      <c r="BE101" s="1406"/>
      <c r="BF101" s="1406"/>
      <c r="BG101" s="1406"/>
      <c r="BH101" s="1406"/>
      <c r="BI101" s="1406"/>
      <c r="BJ101" s="1406"/>
      <c r="BK101" s="1406"/>
      <c r="BL101" s="1406"/>
      <c r="BM101" s="1406"/>
      <c r="BN101" s="1406"/>
      <c r="BO101" s="1406"/>
      <c r="BP101" s="1406"/>
      <c r="BQ101" s="1406"/>
      <c r="BR101" s="1406"/>
      <c r="BS101" s="1406"/>
      <c r="BT101" s="604">
        <f t="shared" si="99"/>
        <v>0</v>
      </c>
      <c r="BU101" s="604">
        <f t="shared" si="100"/>
        <v>0</v>
      </c>
      <c r="BV101" s="633"/>
      <c r="BW101" s="1513">
        <v>3000</v>
      </c>
      <c r="BX101" s="637">
        <f t="shared" si="129"/>
        <v>3000</v>
      </c>
      <c r="BY101" s="638">
        <v>0</v>
      </c>
    </row>
    <row r="102" spans="1:78" s="547" customFormat="1">
      <c r="A102" s="579">
        <v>53</v>
      </c>
      <c r="B102" s="580" t="s">
        <v>422</v>
      </c>
      <c r="C102" s="581" t="str">
        <f>VLOOKUP(B102,'Luong VP'!$B$10:$D$250,2,0)</f>
        <v>Nguyễn Thành Khương</v>
      </c>
      <c r="D102" s="582" t="str">
        <f>VLOOKUP(B102,'Luong VP'!$B$10:$D$250,3,0)</f>
        <v>Nhân viên giám sát - thiết kế</v>
      </c>
      <c r="E102" s="1487">
        <v>1</v>
      </c>
      <c r="F102" s="1487">
        <v>1</v>
      </c>
      <c r="G102" s="1487">
        <v>1</v>
      </c>
      <c r="H102" s="1487">
        <v>1</v>
      </c>
      <c r="I102" s="1487">
        <v>1</v>
      </c>
      <c r="J102" s="1487">
        <v>1</v>
      </c>
      <c r="K102" s="1487"/>
      <c r="L102" s="1524" t="s">
        <v>720</v>
      </c>
      <c r="M102" s="1487">
        <v>1</v>
      </c>
      <c r="N102" s="1487">
        <v>1</v>
      </c>
      <c r="O102" s="1487">
        <v>1</v>
      </c>
      <c r="P102" s="1487">
        <v>1</v>
      </c>
      <c r="Q102" s="1487">
        <v>1</v>
      </c>
      <c r="R102" s="1487"/>
      <c r="S102" s="1487">
        <v>1</v>
      </c>
      <c r="T102" s="1487">
        <v>1</v>
      </c>
      <c r="U102" s="1487">
        <v>1</v>
      </c>
      <c r="V102" s="1487">
        <v>1</v>
      </c>
      <c r="W102" s="1487">
        <v>1</v>
      </c>
      <c r="X102" s="1487">
        <v>1</v>
      </c>
      <c r="Y102" s="1487"/>
      <c r="Z102" s="1487">
        <v>1</v>
      </c>
      <c r="AA102" s="1487">
        <v>1</v>
      </c>
      <c r="AB102" s="1487">
        <v>1</v>
      </c>
      <c r="AC102" s="1487">
        <v>1</v>
      </c>
      <c r="AD102" s="1487">
        <v>1</v>
      </c>
      <c r="AE102" s="1487">
        <v>1</v>
      </c>
      <c r="AF102" s="1487"/>
      <c r="AG102" s="1487">
        <v>1</v>
      </c>
      <c r="AH102" s="1487">
        <v>1</v>
      </c>
      <c r="AI102" s="1487">
        <v>1</v>
      </c>
      <c r="AJ102" s="604">
        <f t="shared" si="130"/>
        <v>26</v>
      </c>
      <c r="AK102" s="604">
        <f t="shared" si="131"/>
        <v>0</v>
      </c>
      <c r="AL102" s="604">
        <f t="shared" si="132"/>
        <v>0</v>
      </c>
      <c r="AM102" s="604">
        <f t="shared" si="133"/>
        <v>1</v>
      </c>
      <c r="AN102" s="609"/>
      <c r="AO102" s="1406"/>
      <c r="AP102" s="1406"/>
      <c r="AQ102" s="1406"/>
      <c r="AR102" s="1406"/>
      <c r="AS102" s="1406"/>
      <c r="AT102" s="1406"/>
      <c r="AU102" s="1406"/>
      <c r="AV102" s="1406"/>
      <c r="AW102" s="1406"/>
      <c r="AX102" s="1406"/>
      <c r="AY102" s="1406"/>
      <c r="AZ102" s="1406"/>
      <c r="BA102" s="1406"/>
      <c r="BB102" s="1406"/>
      <c r="BC102" s="1406"/>
      <c r="BD102" s="1406"/>
      <c r="BE102" s="1406"/>
      <c r="BF102" s="1406"/>
      <c r="BG102" s="1406"/>
      <c r="BH102" s="1406"/>
      <c r="BI102" s="1406"/>
      <c r="BJ102" s="1406"/>
      <c r="BK102" s="1406"/>
      <c r="BL102" s="1406"/>
      <c r="BM102" s="1406"/>
      <c r="BN102" s="1406"/>
      <c r="BO102" s="1406"/>
      <c r="BP102" s="1406"/>
      <c r="BQ102" s="1406"/>
      <c r="BR102" s="1406"/>
      <c r="BS102" s="1406"/>
      <c r="BT102" s="608">
        <f t="shared" si="99"/>
        <v>0</v>
      </c>
      <c r="BU102" s="608">
        <f t="shared" si="100"/>
        <v>0</v>
      </c>
      <c r="BV102" s="640"/>
      <c r="BW102" s="1513">
        <v>3000</v>
      </c>
      <c r="BX102" s="641">
        <f t="shared" si="129"/>
        <v>3000</v>
      </c>
      <c r="BY102" s="642">
        <v>0</v>
      </c>
    </row>
    <row r="103" spans="1:78" s="1278" customFormat="1">
      <c r="A103" s="1270">
        <v>53</v>
      </c>
      <c r="B103" s="1271" t="s">
        <v>424</v>
      </c>
      <c r="C103" s="1272" t="str">
        <f>VLOOKUP(B103,'Luong VP'!$B$10:$D$250,2,0)</f>
        <v>Nguyễn Duy Kha</v>
      </c>
      <c r="D103" s="1269" t="str">
        <f>VLOOKUP(B103,'Luong VP'!$B$10:$D$250,3,0)</f>
        <v>Nhân viên thiết kế máy</v>
      </c>
      <c r="E103" s="1487">
        <v>1</v>
      </c>
      <c r="F103" s="1487">
        <v>1</v>
      </c>
      <c r="G103" s="1487">
        <v>1</v>
      </c>
      <c r="H103" s="1487">
        <v>1</v>
      </c>
      <c r="I103" s="1487">
        <v>1</v>
      </c>
      <c r="J103" s="1487">
        <v>1</v>
      </c>
      <c r="K103" s="1487"/>
      <c r="L103" s="1524" t="s">
        <v>720</v>
      </c>
      <c r="M103" s="1487">
        <v>1</v>
      </c>
      <c r="N103" s="1487">
        <v>1</v>
      </c>
      <c r="O103" s="1487">
        <v>1</v>
      </c>
      <c r="P103" s="1487">
        <v>1</v>
      </c>
      <c r="Q103" s="1487">
        <v>1</v>
      </c>
      <c r="R103" s="1487"/>
      <c r="S103" s="1487">
        <v>1</v>
      </c>
      <c r="T103" s="1487">
        <v>1</v>
      </c>
      <c r="U103" s="1487">
        <v>1</v>
      </c>
      <c r="V103" s="1487">
        <v>1</v>
      </c>
      <c r="W103" s="1487">
        <v>1</v>
      </c>
      <c r="X103" s="1487">
        <v>1</v>
      </c>
      <c r="Y103" s="1487"/>
      <c r="Z103" s="1487">
        <v>1</v>
      </c>
      <c r="AA103" s="1487">
        <v>1</v>
      </c>
      <c r="AB103" s="1487">
        <v>1</v>
      </c>
      <c r="AC103" s="1487">
        <v>1</v>
      </c>
      <c r="AD103" s="1487">
        <v>1</v>
      </c>
      <c r="AE103" s="1487">
        <v>1</v>
      </c>
      <c r="AF103" s="1487"/>
      <c r="AG103" s="1487">
        <v>1</v>
      </c>
      <c r="AH103" s="1487">
        <v>1</v>
      </c>
      <c r="AI103" s="1487">
        <v>1</v>
      </c>
      <c r="AJ103" s="604">
        <f t="shared" si="130"/>
        <v>26</v>
      </c>
      <c r="AK103" s="604">
        <f t="shared" si="131"/>
        <v>0</v>
      </c>
      <c r="AL103" s="604">
        <f t="shared" si="132"/>
        <v>0</v>
      </c>
      <c r="AM103" s="604">
        <f t="shared" si="133"/>
        <v>1</v>
      </c>
      <c r="AN103" s="1274"/>
      <c r="AO103" s="1406"/>
      <c r="AP103" s="1406"/>
      <c r="AQ103" s="1406"/>
      <c r="AR103" s="1406"/>
      <c r="AS103" s="1406"/>
      <c r="AT103" s="1406"/>
      <c r="AU103" s="1406"/>
      <c r="AV103" s="1406"/>
      <c r="AW103" s="1406"/>
      <c r="AX103" s="1406"/>
      <c r="AY103" s="1406"/>
      <c r="AZ103" s="1406"/>
      <c r="BA103" s="1406"/>
      <c r="BB103" s="1406"/>
      <c r="BC103" s="1406"/>
      <c r="BD103" s="1406"/>
      <c r="BE103" s="1406"/>
      <c r="BF103" s="1406"/>
      <c r="BG103" s="1406"/>
      <c r="BH103" s="1406"/>
      <c r="BI103" s="1406"/>
      <c r="BJ103" s="1406"/>
      <c r="BK103" s="1406"/>
      <c r="BL103" s="1406"/>
      <c r="BM103" s="1406"/>
      <c r="BN103" s="1406"/>
      <c r="BO103" s="1406"/>
      <c r="BP103" s="1406"/>
      <c r="BQ103" s="1406"/>
      <c r="BR103" s="1406"/>
      <c r="BS103" s="1406"/>
      <c r="BT103" s="1273">
        <f t="shared" si="99"/>
        <v>0</v>
      </c>
      <c r="BU103" s="1273">
        <f t="shared" si="100"/>
        <v>0</v>
      </c>
      <c r="BV103" s="1275"/>
      <c r="BW103" s="1516">
        <v>0</v>
      </c>
      <c r="BX103" s="1277">
        <f t="shared" ref="BX103" si="134">BW103</f>
        <v>0</v>
      </c>
      <c r="BY103" s="1276">
        <v>0</v>
      </c>
    </row>
    <row r="104" spans="1:78" s="1367" customFormat="1" ht="13.5" customHeight="1">
      <c r="A104" s="1358">
        <v>59</v>
      </c>
      <c r="B104" s="1359" t="s">
        <v>435</v>
      </c>
      <c r="C104" s="1360" t="str">
        <f>VLOOKUP(B104,'Luong VP'!$B$10:$D$250,2,0)</f>
        <v>Nguyễn Lê Tân</v>
      </c>
      <c r="D104" s="1334" t="str">
        <f>VLOOKUP(B104,'Luong VP'!$B$10:$D$250,3,0)</f>
        <v>Trưởng BP Vận hành máy</v>
      </c>
      <c r="E104" s="1487">
        <v>1</v>
      </c>
      <c r="F104" s="1487">
        <v>1</v>
      </c>
      <c r="G104" s="1487">
        <v>1</v>
      </c>
      <c r="H104" s="1487">
        <v>1</v>
      </c>
      <c r="I104" s="1487">
        <v>1</v>
      </c>
      <c r="J104" s="1487">
        <v>1</v>
      </c>
      <c r="K104" s="1487"/>
      <c r="L104" s="1524" t="s">
        <v>720</v>
      </c>
      <c r="M104" s="1487">
        <v>1</v>
      </c>
      <c r="N104" s="1487">
        <v>1</v>
      </c>
      <c r="O104" s="1487">
        <v>1</v>
      </c>
      <c r="P104" s="1487">
        <v>1</v>
      </c>
      <c r="Q104" s="1487">
        <v>1</v>
      </c>
      <c r="R104" s="1487"/>
      <c r="S104" s="1487">
        <v>1</v>
      </c>
      <c r="T104" s="1487">
        <v>1</v>
      </c>
      <c r="U104" s="1487">
        <v>1</v>
      </c>
      <c r="V104" s="1487">
        <v>1</v>
      </c>
      <c r="W104" s="1487">
        <v>1</v>
      </c>
      <c r="X104" s="1487">
        <v>1</v>
      </c>
      <c r="Y104" s="1487"/>
      <c r="Z104" s="1487">
        <v>1</v>
      </c>
      <c r="AA104" s="1487">
        <v>1</v>
      </c>
      <c r="AB104" s="1487">
        <v>1</v>
      </c>
      <c r="AC104" s="1487">
        <v>1</v>
      </c>
      <c r="AD104" s="1487">
        <v>1</v>
      </c>
      <c r="AE104" s="1487">
        <v>1</v>
      </c>
      <c r="AF104" s="1487"/>
      <c r="AG104" s="1487">
        <v>1</v>
      </c>
      <c r="AH104" s="1487">
        <v>1</v>
      </c>
      <c r="AI104" s="1487">
        <v>1</v>
      </c>
      <c r="AJ104" s="604">
        <f t="shared" si="130"/>
        <v>26</v>
      </c>
      <c r="AK104" s="604">
        <f t="shared" si="131"/>
        <v>0</v>
      </c>
      <c r="AL104" s="604">
        <f t="shared" si="132"/>
        <v>0</v>
      </c>
      <c r="AM104" s="604">
        <f t="shared" si="133"/>
        <v>1</v>
      </c>
      <c r="AN104" s="1362"/>
      <c r="AO104" s="1406"/>
      <c r="AP104" s="1406"/>
      <c r="AQ104" s="1406"/>
      <c r="AR104" s="1406"/>
      <c r="AS104" s="1406"/>
      <c r="AT104" s="1406"/>
      <c r="AU104" s="1406"/>
      <c r="AV104" s="1406"/>
      <c r="AW104" s="1406"/>
      <c r="AX104" s="1406"/>
      <c r="AY104" s="1406"/>
      <c r="AZ104" s="1406"/>
      <c r="BA104" s="1406"/>
      <c r="BB104" s="1406"/>
      <c r="BC104" s="1406"/>
      <c r="BD104" s="1406"/>
      <c r="BE104" s="1406"/>
      <c r="BF104" s="1406"/>
      <c r="BG104" s="1406"/>
      <c r="BH104" s="1406"/>
      <c r="BI104" s="1406"/>
      <c r="BJ104" s="1406"/>
      <c r="BK104" s="1406"/>
      <c r="BL104" s="1406"/>
      <c r="BM104" s="1406"/>
      <c r="BN104" s="1406"/>
      <c r="BO104" s="1406"/>
      <c r="BP104" s="1406"/>
      <c r="BQ104" s="1406"/>
      <c r="BR104" s="1406"/>
      <c r="BS104" s="1406"/>
      <c r="BT104" s="1361">
        <f>SUM(AO104:BS104)-BU104</f>
        <v>0</v>
      </c>
      <c r="BU104" s="1361">
        <f>SUMIF($AO$5:$BS$5,"CN",AO104:BS104)</f>
        <v>0</v>
      </c>
      <c r="BV104" s="1364"/>
      <c r="BW104" s="1365">
        <v>0</v>
      </c>
      <c r="BX104" s="1365">
        <f>BW104</f>
        <v>0</v>
      </c>
      <c r="BY104" s="1366">
        <v>0</v>
      </c>
    </row>
    <row r="105" spans="1:78" s="1288" customFormat="1">
      <c r="A105" s="1279">
        <v>58</v>
      </c>
      <c r="B105" s="1280" t="s">
        <v>437</v>
      </c>
      <c r="C105" s="1281" t="str">
        <f>VLOOKUP(B105,'Luong VP'!$B$10:$D$250,2,0)</f>
        <v>Cao Chánh Dũng</v>
      </c>
      <c r="D105" s="1282" t="str">
        <f>VLOOKUP(B105,'Luong VP'!$B$10:$D$250,3,0)</f>
        <v>Nhóm trưởng VHM XLB</v>
      </c>
      <c r="E105" s="1487">
        <v>1</v>
      </c>
      <c r="F105" s="1487">
        <v>1</v>
      </c>
      <c r="G105" s="1487">
        <v>1</v>
      </c>
      <c r="H105" s="1487">
        <v>1</v>
      </c>
      <c r="I105" s="1487">
        <v>1</v>
      </c>
      <c r="J105" s="1487">
        <v>1</v>
      </c>
      <c r="K105" s="1487"/>
      <c r="L105" s="1524" t="s">
        <v>720</v>
      </c>
      <c r="M105" s="1487">
        <v>1</v>
      </c>
      <c r="N105" s="1487">
        <v>1</v>
      </c>
      <c r="O105" s="1487">
        <v>1</v>
      </c>
      <c r="P105" s="1487">
        <v>1</v>
      </c>
      <c r="Q105" s="1487">
        <v>1</v>
      </c>
      <c r="R105" s="1487"/>
      <c r="S105" s="1487">
        <v>1</v>
      </c>
      <c r="T105" s="1487">
        <v>1</v>
      </c>
      <c r="U105" s="1487">
        <v>1</v>
      </c>
      <c r="V105" s="1487">
        <v>1</v>
      </c>
      <c r="W105" s="1487">
        <v>1</v>
      </c>
      <c r="X105" s="1487">
        <v>1</v>
      </c>
      <c r="Y105" s="1487"/>
      <c r="Z105" s="1487">
        <v>1</v>
      </c>
      <c r="AA105" s="1487">
        <v>1</v>
      </c>
      <c r="AB105" s="1487">
        <v>1</v>
      </c>
      <c r="AC105" s="1487">
        <v>1</v>
      </c>
      <c r="AD105" s="1487">
        <v>1</v>
      </c>
      <c r="AE105" s="1487">
        <v>1</v>
      </c>
      <c r="AF105" s="1487"/>
      <c r="AG105" s="1487">
        <v>1</v>
      </c>
      <c r="AH105" s="1487">
        <v>1</v>
      </c>
      <c r="AI105" s="1487">
        <v>1</v>
      </c>
      <c r="AJ105" s="604">
        <f t="shared" si="130"/>
        <v>26</v>
      </c>
      <c r="AK105" s="604">
        <f t="shared" si="131"/>
        <v>0</v>
      </c>
      <c r="AL105" s="604">
        <f t="shared" si="132"/>
        <v>0</v>
      </c>
      <c r="AM105" s="604">
        <f t="shared" si="133"/>
        <v>1</v>
      </c>
      <c r="AN105" s="1284"/>
      <c r="AO105" s="1406"/>
      <c r="AP105" s="1406"/>
      <c r="AQ105" s="1406"/>
      <c r="AR105" s="1406"/>
      <c r="AS105" s="1406"/>
      <c r="AT105" s="1406"/>
      <c r="AU105" s="1406"/>
      <c r="AV105" s="1406"/>
      <c r="AW105" s="1406"/>
      <c r="AX105" s="1406"/>
      <c r="AY105" s="1406"/>
      <c r="AZ105" s="1406"/>
      <c r="BA105" s="1406"/>
      <c r="BB105" s="1406"/>
      <c r="BC105" s="1406"/>
      <c r="BD105" s="1406"/>
      <c r="BE105" s="1406"/>
      <c r="BF105" s="1406"/>
      <c r="BG105" s="1406"/>
      <c r="BH105" s="1406"/>
      <c r="BI105" s="1406"/>
      <c r="BJ105" s="1406"/>
      <c r="BK105" s="1406"/>
      <c r="BL105" s="1406"/>
      <c r="BM105" s="1406"/>
      <c r="BN105" s="1406"/>
      <c r="BO105" s="1406"/>
      <c r="BP105" s="1406"/>
      <c r="BQ105" s="1406"/>
      <c r="BR105" s="1406"/>
      <c r="BS105" s="1406"/>
      <c r="BT105" s="1283">
        <f t="shared" si="99"/>
        <v>0</v>
      </c>
      <c r="BU105" s="1283">
        <f t="shared" si="100"/>
        <v>0</v>
      </c>
      <c r="BV105" s="1285"/>
      <c r="BW105" s="1516">
        <v>3000</v>
      </c>
      <c r="BX105" s="1286">
        <f>BW105+1000</f>
        <v>4000</v>
      </c>
      <c r="BY105" s="1287">
        <v>0</v>
      </c>
      <c r="BZ105" s="1347" t="s">
        <v>1261</v>
      </c>
    </row>
    <row r="106" spans="1:78" s="1288" customFormat="1">
      <c r="A106" s="1279"/>
      <c r="B106" s="1280" t="s">
        <v>439</v>
      </c>
      <c r="C106" s="1281" t="str">
        <f>VLOOKUP(B106,'Luong VP'!$B$10:$D$250,2,0)</f>
        <v>Nguyễn Văn Đức</v>
      </c>
      <c r="D106" s="1282" t="str">
        <f>VLOOKUP(B106,'Luong VP'!$B$10:$D$250,3,0)</f>
        <v>Nhân viên vận hành máy</v>
      </c>
      <c r="E106" s="1487">
        <v>1</v>
      </c>
      <c r="F106" s="1487">
        <v>1</v>
      </c>
      <c r="G106" s="1487">
        <v>1</v>
      </c>
      <c r="H106" s="1487">
        <v>1</v>
      </c>
      <c r="I106" s="1487">
        <v>1</v>
      </c>
      <c r="J106" s="1487">
        <v>1</v>
      </c>
      <c r="K106" s="1487"/>
      <c r="L106" s="1524" t="s">
        <v>720</v>
      </c>
      <c r="M106" s="1487">
        <v>1</v>
      </c>
      <c r="N106" s="1487">
        <v>1</v>
      </c>
      <c r="O106" s="1487">
        <v>1</v>
      </c>
      <c r="P106" s="1487">
        <v>1</v>
      </c>
      <c r="Q106" s="1487">
        <v>1</v>
      </c>
      <c r="R106" s="1487"/>
      <c r="S106" s="1487">
        <v>1</v>
      </c>
      <c r="T106" s="1487">
        <v>1</v>
      </c>
      <c r="U106" s="1487">
        <v>1</v>
      </c>
      <c r="V106" s="1487">
        <v>1</v>
      </c>
      <c r="W106" s="1487">
        <v>1</v>
      </c>
      <c r="X106" s="1487">
        <v>1</v>
      </c>
      <c r="Y106" s="1487"/>
      <c r="Z106" s="1487">
        <v>1</v>
      </c>
      <c r="AA106" s="1487">
        <v>1</v>
      </c>
      <c r="AB106" s="1487">
        <v>1</v>
      </c>
      <c r="AC106" s="1487">
        <v>1</v>
      </c>
      <c r="AD106" s="1487">
        <v>1</v>
      </c>
      <c r="AE106" s="1487">
        <v>1</v>
      </c>
      <c r="AF106" s="1487"/>
      <c r="AG106" s="1487">
        <v>1</v>
      </c>
      <c r="AH106" s="1487">
        <v>1</v>
      </c>
      <c r="AI106" s="1487">
        <v>1</v>
      </c>
      <c r="AJ106" s="604">
        <f t="shared" si="130"/>
        <v>26</v>
      </c>
      <c r="AK106" s="604">
        <f t="shared" si="131"/>
        <v>0</v>
      </c>
      <c r="AL106" s="604">
        <f t="shared" si="132"/>
        <v>0</v>
      </c>
      <c r="AM106" s="604">
        <f t="shared" si="133"/>
        <v>1</v>
      </c>
      <c r="AN106" s="1284"/>
      <c r="AO106" s="1406"/>
      <c r="AP106" s="1406"/>
      <c r="AQ106" s="1406"/>
      <c r="AR106" s="1406"/>
      <c r="AS106" s="1406"/>
      <c r="AT106" s="1406"/>
      <c r="AU106" s="1406"/>
      <c r="AV106" s="1406"/>
      <c r="AW106" s="1406"/>
      <c r="AX106" s="1406"/>
      <c r="AY106" s="1406"/>
      <c r="AZ106" s="1406"/>
      <c r="BA106" s="1406"/>
      <c r="BB106" s="1406"/>
      <c r="BC106" s="1406"/>
      <c r="BD106" s="1406"/>
      <c r="BE106" s="1406"/>
      <c r="BF106" s="1406"/>
      <c r="BG106" s="1406"/>
      <c r="BH106" s="1406"/>
      <c r="BI106" s="1406"/>
      <c r="BJ106" s="1406"/>
      <c r="BK106" s="1406"/>
      <c r="BL106" s="1406"/>
      <c r="BM106" s="1406"/>
      <c r="BN106" s="1406"/>
      <c r="BO106" s="1406"/>
      <c r="BP106" s="1406"/>
      <c r="BQ106" s="1406"/>
      <c r="BR106" s="1406"/>
      <c r="BS106" s="1406"/>
      <c r="BT106" s="1283">
        <f t="shared" si="99"/>
        <v>0</v>
      </c>
      <c r="BU106" s="1283">
        <f t="shared" si="100"/>
        <v>0</v>
      </c>
      <c r="BV106" s="1285"/>
      <c r="BW106" s="1516">
        <v>2000</v>
      </c>
      <c r="BX106" s="1286">
        <f t="shared" si="129"/>
        <v>2000</v>
      </c>
      <c r="BY106" s="1287">
        <v>0</v>
      </c>
      <c r="BZ106" s="1288" t="s">
        <v>1291</v>
      </c>
    </row>
    <row r="107" spans="1:78" s="1288" customFormat="1">
      <c r="A107" s="1279"/>
      <c r="B107" s="1280" t="s">
        <v>441</v>
      </c>
      <c r="C107" s="1281" t="str">
        <f>VLOOKUP(B107,'Luong VP'!$B$10:$D$250,2,0)</f>
        <v>Cao Văn Lượm</v>
      </c>
      <c r="D107" s="1282" t="str">
        <f>VLOOKUP(B107,'Luong VP'!$B$10:$D$250,3,0)</f>
        <v>Nhân viên vận hành máy</v>
      </c>
      <c r="E107" s="1487">
        <v>1</v>
      </c>
      <c r="F107" s="1487">
        <v>1</v>
      </c>
      <c r="G107" s="1487">
        <v>1</v>
      </c>
      <c r="H107" s="1487">
        <v>1</v>
      </c>
      <c r="I107" s="1487">
        <v>1</v>
      </c>
      <c r="J107" s="1487">
        <v>1</v>
      </c>
      <c r="K107" s="1487"/>
      <c r="L107" s="1524" t="s">
        <v>720</v>
      </c>
      <c r="M107" s="1487">
        <v>1</v>
      </c>
      <c r="N107" s="1487">
        <v>1</v>
      </c>
      <c r="O107" s="1487">
        <v>1</v>
      </c>
      <c r="P107" s="1487">
        <v>1</v>
      </c>
      <c r="Q107" s="1487">
        <v>1</v>
      </c>
      <c r="R107" s="1487"/>
      <c r="S107" s="1487">
        <v>1</v>
      </c>
      <c r="T107" s="1487">
        <v>1</v>
      </c>
      <c r="U107" s="1487">
        <v>1</v>
      </c>
      <c r="V107" s="1487">
        <v>1</v>
      </c>
      <c r="W107" s="1487">
        <v>1</v>
      </c>
      <c r="X107" s="1487">
        <v>1</v>
      </c>
      <c r="Y107" s="1487"/>
      <c r="Z107" s="1487">
        <v>1</v>
      </c>
      <c r="AA107" s="1487">
        <v>1</v>
      </c>
      <c r="AB107" s="1487">
        <v>1</v>
      </c>
      <c r="AC107" s="1487">
        <v>1</v>
      </c>
      <c r="AD107" s="1487">
        <v>1</v>
      </c>
      <c r="AE107" s="1487">
        <v>1</v>
      </c>
      <c r="AF107" s="1487"/>
      <c r="AG107" s="1487">
        <v>1</v>
      </c>
      <c r="AH107" s="1487">
        <v>1</v>
      </c>
      <c r="AI107" s="1487">
        <v>1</v>
      </c>
      <c r="AJ107" s="604">
        <f t="shared" si="130"/>
        <v>26</v>
      </c>
      <c r="AK107" s="604">
        <f t="shared" si="131"/>
        <v>0</v>
      </c>
      <c r="AL107" s="604">
        <f t="shared" si="132"/>
        <v>0</v>
      </c>
      <c r="AM107" s="604">
        <f t="shared" si="133"/>
        <v>1</v>
      </c>
      <c r="AN107" s="1284"/>
      <c r="AO107" s="1406"/>
      <c r="AP107" s="1406"/>
      <c r="AQ107" s="1406"/>
      <c r="AR107" s="1406"/>
      <c r="AS107" s="1406"/>
      <c r="AT107" s="1406"/>
      <c r="AU107" s="1406"/>
      <c r="AV107" s="1406"/>
      <c r="AW107" s="1406"/>
      <c r="AX107" s="1406"/>
      <c r="AY107" s="1406"/>
      <c r="AZ107" s="1406"/>
      <c r="BA107" s="1406"/>
      <c r="BB107" s="1406"/>
      <c r="BC107" s="1406"/>
      <c r="BD107" s="1406"/>
      <c r="BE107" s="1406"/>
      <c r="BF107" s="1406"/>
      <c r="BG107" s="1406"/>
      <c r="BH107" s="1406"/>
      <c r="BI107" s="1406"/>
      <c r="BJ107" s="1406"/>
      <c r="BK107" s="1406"/>
      <c r="BL107" s="1406"/>
      <c r="BM107" s="1406"/>
      <c r="BN107" s="1406"/>
      <c r="BO107" s="1406"/>
      <c r="BP107" s="1406"/>
      <c r="BQ107" s="1406"/>
      <c r="BR107" s="1406"/>
      <c r="BS107" s="1406"/>
      <c r="BT107" s="1283">
        <f t="shared" si="99"/>
        <v>0</v>
      </c>
      <c r="BU107" s="1283">
        <f t="shared" si="100"/>
        <v>0</v>
      </c>
      <c r="BV107" s="1285"/>
      <c r="BW107" s="1517">
        <v>2000</v>
      </c>
      <c r="BX107" s="1286">
        <f t="shared" si="129"/>
        <v>2000</v>
      </c>
      <c r="BY107" s="1287">
        <v>0</v>
      </c>
      <c r="BZ107" s="1288" t="s">
        <v>1292</v>
      </c>
    </row>
    <row r="108" spans="1:78" s="544" customFormat="1">
      <c r="A108" s="578"/>
      <c r="B108" s="584" t="s">
        <v>443</v>
      </c>
      <c r="C108" s="647" t="str">
        <f>VLOOKUP(B108,'Luong VP'!$B$10:$D$250,2,0)</f>
        <v>Nguyễn Đăng Khoa</v>
      </c>
      <c r="D108" s="648" t="str">
        <f>VLOOKUP(B108,'Luong VP'!$B$10:$D$250,3,0)</f>
        <v>Nhân viên vận hành máy</v>
      </c>
      <c r="E108" s="1487">
        <v>1</v>
      </c>
      <c r="F108" s="1487">
        <v>1</v>
      </c>
      <c r="G108" s="1487">
        <v>1</v>
      </c>
      <c r="H108" s="1487">
        <v>1</v>
      </c>
      <c r="I108" s="1487">
        <v>1</v>
      </c>
      <c r="J108" s="1487">
        <v>1</v>
      </c>
      <c r="K108" s="1487"/>
      <c r="L108" s="1524" t="s">
        <v>720</v>
      </c>
      <c r="M108" s="1487">
        <v>1</v>
      </c>
      <c r="N108" s="1487">
        <v>1</v>
      </c>
      <c r="O108" s="1487">
        <v>1</v>
      </c>
      <c r="P108" s="1487">
        <v>1</v>
      </c>
      <c r="Q108" s="1487">
        <v>1</v>
      </c>
      <c r="R108" s="1487"/>
      <c r="S108" s="1487">
        <v>1</v>
      </c>
      <c r="T108" s="1487">
        <v>1</v>
      </c>
      <c r="U108" s="1487">
        <v>1</v>
      </c>
      <c r="V108" s="1487">
        <v>1</v>
      </c>
      <c r="W108" s="1487">
        <v>1</v>
      </c>
      <c r="X108" s="1487">
        <v>1</v>
      </c>
      <c r="Y108" s="1487"/>
      <c r="Z108" s="1487">
        <v>1</v>
      </c>
      <c r="AA108" s="1487">
        <v>1</v>
      </c>
      <c r="AB108" s="1487">
        <v>1</v>
      </c>
      <c r="AC108" s="1487">
        <v>1</v>
      </c>
      <c r="AD108" s="1487">
        <v>1</v>
      </c>
      <c r="AE108" s="1487">
        <v>1</v>
      </c>
      <c r="AF108" s="1487"/>
      <c r="AG108" s="1487">
        <v>1</v>
      </c>
      <c r="AH108" s="1487">
        <v>1</v>
      </c>
      <c r="AI108" s="1487">
        <v>1</v>
      </c>
      <c r="AJ108" s="604">
        <f t="shared" si="130"/>
        <v>26</v>
      </c>
      <c r="AK108" s="604">
        <f t="shared" si="131"/>
        <v>0</v>
      </c>
      <c r="AL108" s="604">
        <f t="shared" si="132"/>
        <v>0</v>
      </c>
      <c r="AM108" s="604">
        <f t="shared" si="133"/>
        <v>1</v>
      </c>
      <c r="AN108" s="601"/>
      <c r="AO108" s="1406"/>
      <c r="AP108" s="1406"/>
      <c r="AQ108" s="1406"/>
      <c r="AR108" s="1406"/>
      <c r="AS108" s="1406"/>
      <c r="AT108" s="1406"/>
      <c r="AU108" s="1406"/>
      <c r="AV108" s="1406"/>
      <c r="AW108" s="1406"/>
      <c r="AX108" s="1406"/>
      <c r="AY108" s="1406"/>
      <c r="AZ108" s="1406"/>
      <c r="BA108" s="1406"/>
      <c r="BB108" s="1406"/>
      <c r="BC108" s="1406"/>
      <c r="BD108" s="1406"/>
      <c r="BE108" s="1406"/>
      <c r="BF108" s="1406"/>
      <c r="BG108" s="1406"/>
      <c r="BH108" s="1406"/>
      <c r="BI108" s="1406"/>
      <c r="BJ108" s="1406"/>
      <c r="BK108" s="1406"/>
      <c r="BL108" s="1406"/>
      <c r="BM108" s="1406"/>
      <c r="BN108" s="1406"/>
      <c r="BO108" s="1406"/>
      <c r="BP108" s="1406"/>
      <c r="BQ108" s="1406"/>
      <c r="BR108" s="1406"/>
      <c r="BS108" s="1406"/>
      <c r="BT108" s="604">
        <f t="shared" si="99"/>
        <v>0</v>
      </c>
      <c r="BU108" s="604">
        <f t="shared" si="100"/>
        <v>0</v>
      </c>
      <c r="BV108" s="633"/>
      <c r="BW108" s="1513">
        <v>3000</v>
      </c>
      <c r="BX108" s="637">
        <f t="shared" si="129"/>
        <v>3000</v>
      </c>
      <c r="BY108" s="638">
        <v>0</v>
      </c>
      <c r="BZ108" s="544" t="s">
        <v>1293</v>
      </c>
    </row>
    <row r="109" spans="1:78" s="544" customFormat="1">
      <c r="A109" s="578"/>
      <c r="B109" s="584" t="s">
        <v>445</v>
      </c>
      <c r="C109" s="647" t="str">
        <f>VLOOKUP(B109,'Luong VP'!$B$10:$D$250,2,0)</f>
        <v>Thạch Phương</v>
      </c>
      <c r="D109" s="648" t="str">
        <f>VLOOKUP(B109,'Luong VP'!$B$10:$D$250,3,0)</f>
        <v>Nhân viên vận hành máy</v>
      </c>
      <c r="E109" s="1487">
        <v>1</v>
      </c>
      <c r="F109" s="1487">
        <v>1</v>
      </c>
      <c r="G109" s="1487">
        <v>1</v>
      </c>
      <c r="H109" s="1487">
        <v>1</v>
      </c>
      <c r="I109" s="1487">
        <v>1</v>
      </c>
      <c r="J109" s="1487">
        <v>1</v>
      </c>
      <c r="K109" s="1487"/>
      <c r="L109" s="1524" t="s">
        <v>720</v>
      </c>
      <c r="M109" s="1487">
        <v>1</v>
      </c>
      <c r="N109" s="1487">
        <v>1</v>
      </c>
      <c r="O109" s="1487">
        <v>1</v>
      </c>
      <c r="P109" s="1487">
        <v>1</v>
      </c>
      <c r="Q109" s="1487">
        <v>1</v>
      </c>
      <c r="R109" s="1487"/>
      <c r="S109" s="1487">
        <v>1</v>
      </c>
      <c r="T109" s="1487">
        <v>1</v>
      </c>
      <c r="U109" s="1487">
        <v>1</v>
      </c>
      <c r="V109" s="1487">
        <v>1</v>
      </c>
      <c r="W109" s="1487">
        <v>1</v>
      </c>
      <c r="X109" s="1487">
        <v>1</v>
      </c>
      <c r="Y109" s="1487"/>
      <c r="Z109" s="1487">
        <v>1</v>
      </c>
      <c r="AA109" s="1487">
        <v>1</v>
      </c>
      <c r="AB109" s="1487">
        <v>1</v>
      </c>
      <c r="AC109" s="1487">
        <v>1</v>
      </c>
      <c r="AD109" s="1487">
        <v>1</v>
      </c>
      <c r="AE109" s="1487">
        <v>1</v>
      </c>
      <c r="AF109" s="1487"/>
      <c r="AG109" s="1487">
        <v>1</v>
      </c>
      <c r="AH109" s="1487">
        <v>1</v>
      </c>
      <c r="AI109" s="1487">
        <v>1</v>
      </c>
      <c r="AJ109" s="604">
        <f t="shared" si="130"/>
        <v>26</v>
      </c>
      <c r="AK109" s="604">
        <f t="shared" si="131"/>
        <v>0</v>
      </c>
      <c r="AL109" s="604">
        <f t="shared" si="132"/>
        <v>0</v>
      </c>
      <c r="AM109" s="604">
        <f t="shared" si="133"/>
        <v>1</v>
      </c>
      <c r="AN109" s="601"/>
      <c r="AO109" s="1406"/>
      <c r="AP109" s="1406"/>
      <c r="AQ109" s="1406"/>
      <c r="AR109" s="1406"/>
      <c r="AS109" s="1406"/>
      <c r="AT109" s="1406"/>
      <c r="AU109" s="1406"/>
      <c r="AV109" s="1406"/>
      <c r="AW109" s="1406"/>
      <c r="AX109" s="1406"/>
      <c r="AY109" s="1406"/>
      <c r="AZ109" s="1406"/>
      <c r="BA109" s="1406"/>
      <c r="BB109" s="1406"/>
      <c r="BC109" s="1406"/>
      <c r="BD109" s="1406"/>
      <c r="BE109" s="1406"/>
      <c r="BF109" s="1406"/>
      <c r="BG109" s="1406"/>
      <c r="BH109" s="1406"/>
      <c r="BI109" s="1406"/>
      <c r="BJ109" s="1406"/>
      <c r="BK109" s="1406"/>
      <c r="BL109" s="1406"/>
      <c r="BM109" s="1406"/>
      <c r="BN109" s="1406"/>
      <c r="BO109" s="1406"/>
      <c r="BP109" s="1406"/>
      <c r="BQ109" s="1406"/>
      <c r="BR109" s="1406"/>
      <c r="BS109" s="1406"/>
      <c r="BT109" s="604">
        <f t="shared" si="99"/>
        <v>0</v>
      </c>
      <c r="BU109" s="604">
        <f t="shared" si="100"/>
        <v>0</v>
      </c>
      <c r="BV109" s="633"/>
      <c r="BW109" s="1513">
        <v>2000</v>
      </c>
      <c r="BX109" s="637">
        <f t="shared" si="129"/>
        <v>2000</v>
      </c>
      <c r="BY109" s="638">
        <v>0</v>
      </c>
    </row>
    <row r="110" spans="1:78" s="544" customFormat="1">
      <c r="A110" s="578"/>
      <c r="B110" s="584" t="s">
        <v>447</v>
      </c>
      <c r="C110" s="647" t="str">
        <f>VLOOKUP(B110,'Luong VP'!$B$10:$D$250,2,0)</f>
        <v>Lê Tấn Hùng</v>
      </c>
      <c r="D110" s="648" t="str">
        <f>VLOOKUP(B110,'Luong VP'!$B$10:$D$250,3,0)</f>
        <v>Nhân viên vận hành máy</v>
      </c>
      <c r="E110" s="1487">
        <v>1</v>
      </c>
      <c r="F110" s="1487">
        <v>1</v>
      </c>
      <c r="G110" s="1487">
        <v>1</v>
      </c>
      <c r="H110" s="1487">
        <v>1</v>
      </c>
      <c r="I110" s="1487">
        <v>1</v>
      </c>
      <c r="J110" s="1487">
        <v>1</v>
      </c>
      <c r="K110" s="1487"/>
      <c r="L110" s="1524" t="s">
        <v>720</v>
      </c>
      <c r="M110" s="1487">
        <v>1</v>
      </c>
      <c r="N110" s="1487">
        <v>1</v>
      </c>
      <c r="O110" s="1487">
        <v>1</v>
      </c>
      <c r="P110" s="1487">
        <v>1</v>
      </c>
      <c r="Q110" s="1487">
        <v>1</v>
      </c>
      <c r="R110" s="1487"/>
      <c r="S110" s="1487">
        <v>1</v>
      </c>
      <c r="T110" s="1487">
        <v>1</v>
      </c>
      <c r="U110" s="1487">
        <v>1</v>
      </c>
      <c r="V110" s="1487">
        <v>1</v>
      </c>
      <c r="W110" s="1487">
        <v>1</v>
      </c>
      <c r="X110" s="1487">
        <v>1</v>
      </c>
      <c r="Y110" s="1487"/>
      <c r="Z110" s="1487">
        <v>1</v>
      </c>
      <c r="AA110" s="1487">
        <v>1</v>
      </c>
      <c r="AB110" s="1487">
        <v>1</v>
      </c>
      <c r="AC110" s="1487">
        <v>1</v>
      </c>
      <c r="AD110" s="1487">
        <v>1</v>
      </c>
      <c r="AE110" s="1487">
        <v>1</v>
      </c>
      <c r="AF110" s="1487"/>
      <c r="AG110" s="1487">
        <v>1</v>
      </c>
      <c r="AH110" s="1487">
        <v>1</v>
      </c>
      <c r="AI110" s="1487">
        <v>1</v>
      </c>
      <c r="AJ110" s="604">
        <f t="shared" si="130"/>
        <v>26</v>
      </c>
      <c r="AK110" s="604">
        <f t="shared" si="131"/>
        <v>0</v>
      </c>
      <c r="AL110" s="604">
        <f t="shared" si="132"/>
        <v>0</v>
      </c>
      <c r="AM110" s="604">
        <f t="shared" si="133"/>
        <v>1</v>
      </c>
      <c r="AN110" s="601"/>
      <c r="AO110" s="1406"/>
      <c r="AP110" s="1406"/>
      <c r="AQ110" s="1406"/>
      <c r="AR110" s="1406"/>
      <c r="AS110" s="1406"/>
      <c r="AT110" s="1406"/>
      <c r="AU110" s="1406"/>
      <c r="AV110" s="1406"/>
      <c r="AW110" s="1406"/>
      <c r="AX110" s="1406"/>
      <c r="AY110" s="1406"/>
      <c r="AZ110" s="1406"/>
      <c r="BA110" s="1406"/>
      <c r="BB110" s="1406"/>
      <c r="BC110" s="1406"/>
      <c r="BD110" s="1406"/>
      <c r="BE110" s="1406"/>
      <c r="BF110" s="1406"/>
      <c r="BG110" s="1406"/>
      <c r="BH110" s="1406"/>
      <c r="BI110" s="1406"/>
      <c r="BJ110" s="1406"/>
      <c r="BK110" s="1406"/>
      <c r="BL110" s="1406"/>
      <c r="BM110" s="1406"/>
      <c r="BN110" s="1406"/>
      <c r="BO110" s="1406"/>
      <c r="BP110" s="1406"/>
      <c r="BQ110" s="1406"/>
      <c r="BR110" s="1406"/>
      <c r="BS110" s="1406"/>
      <c r="BT110" s="604">
        <f t="shared" si="99"/>
        <v>0</v>
      </c>
      <c r="BU110" s="604">
        <f t="shared" si="100"/>
        <v>0</v>
      </c>
      <c r="BV110" s="633"/>
      <c r="BW110" s="1513">
        <v>4000</v>
      </c>
      <c r="BX110" s="637">
        <f t="shared" si="129"/>
        <v>4000</v>
      </c>
      <c r="BY110" s="638">
        <v>0</v>
      </c>
    </row>
    <row r="111" spans="1:78" s="544" customFormat="1">
      <c r="A111" s="578"/>
      <c r="B111" s="584" t="s">
        <v>449</v>
      </c>
      <c r="C111" s="647" t="str">
        <f>VLOOKUP(B111,'Luong VP'!$B$10:$D$250,2,0)</f>
        <v>Thái Minh Tân</v>
      </c>
      <c r="D111" s="648" t="str">
        <f>VLOOKUP(B111,'Luong VP'!$B$10:$D$250,3,0)</f>
        <v>Nhân viên vận hành máy</v>
      </c>
      <c r="E111" s="1487">
        <v>1</v>
      </c>
      <c r="F111" s="1487">
        <v>1</v>
      </c>
      <c r="G111" s="1487">
        <v>1</v>
      </c>
      <c r="H111" s="1487">
        <v>1</v>
      </c>
      <c r="I111" s="1487">
        <v>1</v>
      </c>
      <c r="J111" s="1487">
        <v>1</v>
      </c>
      <c r="K111" s="1487"/>
      <c r="L111" s="1524" t="s">
        <v>720</v>
      </c>
      <c r="M111" s="1487">
        <v>1</v>
      </c>
      <c r="N111" s="1487">
        <v>1</v>
      </c>
      <c r="O111" s="1487">
        <v>1</v>
      </c>
      <c r="P111" s="1487">
        <v>1</v>
      </c>
      <c r="Q111" s="1487">
        <v>1</v>
      </c>
      <c r="R111" s="1487"/>
      <c r="S111" s="1487">
        <v>1</v>
      </c>
      <c r="T111" s="1487">
        <v>1</v>
      </c>
      <c r="U111" s="1487">
        <v>1</v>
      </c>
      <c r="V111" s="1487">
        <v>1</v>
      </c>
      <c r="W111" s="1487">
        <v>1</v>
      </c>
      <c r="X111" s="1487">
        <v>1</v>
      </c>
      <c r="Y111" s="1487"/>
      <c r="Z111" s="1487">
        <v>1</v>
      </c>
      <c r="AA111" s="1487">
        <v>1</v>
      </c>
      <c r="AB111" s="1487">
        <v>1</v>
      </c>
      <c r="AC111" s="1487">
        <v>1</v>
      </c>
      <c r="AD111" s="1487">
        <v>1</v>
      </c>
      <c r="AE111" s="1487">
        <v>1</v>
      </c>
      <c r="AF111" s="1487"/>
      <c r="AG111" s="1487">
        <v>1</v>
      </c>
      <c r="AH111" s="1487">
        <v>1</v>
      </c>
      <c r="AI111" s="1487">
        <v>1</v>
      </c>
      <c r="AJ111" s="604">
        <f t="shared" si="130"/>
        <v>26</v>
      </c>
      <c r="AK111" s="604">
        <f t="shared" si="131"/>
        <v>0</v>
      </c>
      <c r="AL111" s="604">
        <f t="shared" si="132"/>
        <v>0</v>
      </c>
      <c r="AM111" s="604">
        <f t="shared" si="133"/>
        <v>1</v>
      </c>
      <c r="AN111" s="601"/>
      <c r="AO111" s="1406"/>
      <c r="AP111" s="1406"/>
      <c r="AQ111" s="1406"/>
      <c r="AR111" s="1406"/>
      <c r="AS111" s="1406"/>
      <c r="AT111" s="1406"/>
      <c r="AU111" s="1406"/>
      <c r="AV111" s="1406"/>
      <c r="AW111" s="1406"/>
      <c r="AX111" s="1406"/>
      <c r="AY111" s="1406"/>
      <c r="AZ111" s="1406"/>
      <c r="BA111" s="1406"/>
      <c r="BB111" s="1406"/>
      <c r="BC111" s="1406"/>
      <c r="BD111" s="1406"/>
      <c r="BE111" s="1406"/>
      <c r="BF111" s="1406"/>
      <c r="BG111" s="1406"/>
      <c r="BH111" s="1406"/>
      <c r="BI111" s="1406"/>
      <c r="BJ111" s="1406"/>
      <c r="BK111" s="1406"/>
      <c r="BL111" s="1406"/>
      <c r="BM111" s="1406"/>
      <c r="BN111" s="1406"/>
      <c r="BO111" s="1406"/>
      <c r="BP111" s="1406"/>
      <c r="BQ111" s="1406"/>
      <c r="BR111" s="1406"/>
      <c r="BS111" s="1406"/>
      <c r="BT111" s="604">
        <f t="shared" si="99"/>
        <v>0</v>
      </c>
      <c r="BU111" s="604">
        <f t="shared" si="100"/>
        <v>0</v>
      </c>
      <c r="BV111" s="633"/>
      <c r="BW111" s="1513">
        <v>4000</v>
      </c>
      <c r="BX111" s="637">
        <f t="shared" si="129"/>
        <v>4000</v>
      </c>
      <c r="BY111" s="638">
        <v>0</v>
      </c>
    </row>
    <row r="112" spans="1:78" s="544" customFormat="1">
      <c r="A112" s="578"/>
      <c r="B112" s="584" t="s">
        <v>451</v>
      </c>
      <c r="C112" s="647" t="str">
        <f>VLOOKUP(B112,'Luong VP'!$B$10:$D$250,2,0)</f>
        <v>Trần Văn Phi</v>
      </c>
      <c r="D112" s="648" t="str">
        <f>VLOOKUP(B112,'Luong VP'!$B$10:$D$250,3,0)</f>
        <v>Nhân viên vận hành máy</v>
      </c>
      <c r="E112" s="1487">
        <v>1</v>
      </c>
      <c r="F112" s="1487">
        <v>1</v>
      </c>
      <c r="G112" s="1487">
        <v>1</v>
      </c>
      <c r="H112" s="1487">
        <v>1</v>
      </c>
      <c r="I112" s="1487">
        <v>1</v>
      </c>
      <c r="J112" s="1487">
        <v>1</v>
      </c>
      <c r="K112" s="1487"/>
      <c r="L112" s="1524" t="s">
        <v>720</v>
      </c>
      <c r="M112" s="1487">
        <v>1</v>
      </c>
      <c r="N112" s="1487">
        <v>1</v>
      </c>
      <c r="O112" s="1487">
        <v>1</v>
      </c>
      <c r="P112" s="1487">
        <v>1</v>
      </c>
      <c r="Q112" s="1487">
        <v>1</v>
      </c>
      <c r="R112" s="1487"/>
      <c r="S112" s="1487">
        <v>1</v>
      </c>
      <c r="T112" s="1487">
        <v>1</v>
      </c>
      <c r="U112" s="1487">
        <v>1</v>
      </c>
      <c r="V112" s="1487">
        <v>1</v>
      </c>
      <c r="W112" s="1487">
        <v>1</v>
      </c>
      <c r="X112" s="1487">
        <v>1</v>
      </c>
      <c r="Y112" s="1487"/>
      <c r="Z112" s="1487">
        <v>1</v>
      </c>
      <c r="AA112" s="1487">
        <v>1</v>
      </c>
      <c r="AB112" s="1487">
        <v>1</v>
      </c>
      <c r="AC112" s="1487">
        <v>1</v>
      </c>
      <c r="AD112" s="1487">
        <v>1</v>
      </c>
      <c r="AE112" s="1487">
        <v>1</v>
      </c>
      <c r="AF112" s="1487"/>
      <c r="AG112" s="1487">
        <v>1</v>
      </c>
      <c r="AH112" s="1487">
        <v>1</v>
      </c>
      <c r="AI112" s="1487">
        <v>1</v>
      </c>
      <c r="AJ112" s="604">
        <f t="shared" si="130"/>
        <v>26</v>
      </c>
      <c r="AK112" s="604">
        <f t="shared" si="131"/>
        <v>0</v>
      </c>
      <c r="AL112" s="604">
        <f t="shared" si="132"/>
        <v>0</v>
      </c>
      <c r="AM112" s="604">
        <f t="shared" si="133"/>
        <v>1</v>
      </c>
      <c r="AN112" s="601"/>
      <c r="AO112" s="1406"/>
      <c r="AP112" s="1406"/>
      <c r="AQ112" s="1406"/>
      <c r="AR112" s="1406"/>
      <c r="AS112" s="1406"/>
      <c r="AT112" s="1406"/>
      <c r="AU112" s="1406"/>
      <c r="AV112" s="1406"/>
      <c r="AW112" s="1406"/>
      <c r="AX112" s="1406"/>
      <c r="AY112" s="1406"/>
      <c r="AZ112" s="1406"/>
      <c r="BA112" s="1406"/>
      <c r="BB112" s="1406"/>
      <c r="BC112" s="1406"/>
      <c r="BD112" s="1406"/>
      <c r="BE112" s="1406"/>
      <c r="BF112" s="1406"/>
      <c r="BG112" s="1406"/>
      <c r="BH112" s="1406"/>
      <c r="BI112" s="1406"/>
      <c r="BJ112" s="1406"/>
      <c r="BK112" s="1406"/>
      <c r="BL112" s="1406"/>
      <c r="BM112" s="1406"/>
      <c r="BN112" s="1406"/>
      <c r="BO112" s="1406"/>
      <c r="BP112" s="1406"/>
      <c r="BQ112" s="1406"/>
      <c r="BR112" s="1406"/>
      <c r="BS112" s="1406"/>
      <c r="BT112" s="604">
        <f t="shared" si="99"/>
        <v>0</v>
      </c>
      <c r="BU112" s="604">
        <f t="shared" si="100"/>
        <v>0</v>
      </c>
      <c r="BV112" s="633"/>
      <c r="BW112" s="1513">
        <v>4000</v>
      </c>
      <c r="BX112" s="637">
        <f t="shared" si="129"/>
        <v>4000</v>
      </c>
      <c r="BY112" s="638">
        <v>0</v>
      </c>
    </row>
    <row r="113" spans="1:78" s="544" customFormat="1">
      <c r="A113" s="578"/>
      <c r="B113" s="584" t="s">
        <v>453</v>
      </c>
      <c r="C113" s="647" t="str">
        <f>VLOOKUP(B113,'Luong VP'!$B$10:$D$250,2,0)</f>
        <v>Lê Văn Triệu</v>
      </c>
      <c r="D113" s="648" t="str">
        <f>VLOOKUP(B113,'Luong VP'!$B$10:$D$250,3,0)</f>
        <v>Nhân viên vận hành máy</v>
      </c>
      <c r="E113" s="1487">
        <v>1</v>
      </c>
      <c r="F113" s="1487">
        <v>1</v>
      </c>
      <c r="G113" s="1487">
        <v>1</v>
      </c>
      <c r="H113" s="1487">
        <v>1</v>
      </c>
      <c r="I113" s="1487">
        <v>1</v>
      </c>
      <c r="J113" s="1487">
        <v>1</v>
      </c>
      <c r="K113" s="1487"/>
      <c r="L113" s="1524" t="s">
        <v>720</v>
      </c>
      <c r="M113" s="1487">
        <v>1</v>
      </c>
      <c r="N113" s="1487">
        <v>1</v>
      </c>
      <c r="O113" s="1487">
        <v>1</v>
      </c>
      <c r="P113" s="1487">
        <v>1</v>
      </c>
      <c r="Q113" s="1487">
        <v>1</v>
      </c>
      <c r="R113" s="1487"/>
      <c r="S113" s="1487">
        <v>1</v>
      </c>
      <c r="T113" s="1487">
        <v>1</v>
      </c>
      <c r="U113" s="1487">
        <v>1</v>
      </c>
      <c r="V113" s="1487">
        <v>1</v>
      </c>
      <c r="W113" s="1487">
        <v>1</v>
      </c>
      <c r="X113" s="1487">
        <v>1</v>
      </c>
      <c r="Y113" s="1487"/>
      <c r="Z113" s="1487">
        <v>1</v>
      </c>
      <c r="AA113" s="1487">
        <v>1</v>
      </c>
      <c r="AB113" s="1487">
        <v>1</v>
      </c>
      <c r="AC113" s="1487">
        <v>1</v>
      </c>
      <c r="AD113" s="1487">
        <v>1</v>
      </c>
      <c r="AE113" s="1487">
        <v>1</v>
      </c>
      <c r="AF113" s="1487"/>
      <c r="AG113" s="1487">
        <v>1</v>
      </c>
      <c r="AH113" s="1487">
        <v>1</v>
      </c>
      <c r="AI113" s="1487">
        <v>1</v>
      </c>
      <c r="AJ113" s="604">
        <f t="shared" si="130"/>
        <v>26</v>
      </c>
      <c r="AK113" s="604">
        <f t="shared" si="131"/>
        <v>0</v>
      </c>
      <c r="AL113" s="604">
        <f t="shared" si="132"/>
        <v>0</v>
      </c>
      <c r="AM113" s="604">
        <f t="shared" si="133"/>
        <v>1</v>
      </c>
      <c r="AN113" s="601"/>
      <c r="AO113" s="1406"/>
      <c r="AP113" s="1406"/>
      <c r="AQ113" s="1406"/>
      <c r="AR113" s="1406"/>
      <c r="AS113" s="1406"/>
      <c r="AT113" s="1406"/>
      <c r="AU113" s="1406"/>
      <c r="AV113" s="1406"/>
      <c r="AW113" s="1406"/>
      <c r="AX113" s="1406"/>
      <c r="AY113" s="1406"/>
      <c r="AZ113" s="1406"/>
      <c r="BA113" s="1406"/>
      <c r="BB113" s="1406"/>
      <c r="BC113" s="1406"/>
      <c r="BD113" s="1406"/>
      <c r="BE113" s="1406"/>
      <c r="BF113" s="1406"/>
      <c r="BG113" s="1406"/>
      <c r="BH113" s="1406"/>
      <c r="BI113" s="1406"/>
      <c r="BJ113" s="1406"/>
      <c r="BK113" s="1406"/>
      <c r="BL113" s="1406"/>
      <c r="BM113" s="1406"/>
      <c r="BN113" s="1406"/>
      <c r="BO113" s="1406"/>
      <c r="BP113" s="1406"/>
      <c r="BQ113" s="1406"/>
      <c r="BR113" s="1406"/>
      <c r="BS113" s="1406"/>
      <c r="BT113" s="604">
        <f t="shared" si="99"/>
        <v>0</v>
      </c>
      <c r="BU113" s="604">
        <f t="shared" si="100"/>
        <v>0</v>
      </c>
      <c r="BV113" s="633"/>
      <c r="BW113" s="1513">
        <v>4000</v>
      </c>
      <c r="BX113" s="637">
        <f t="shared" si="129"/>
        <v>4000</v>
      </c>
      <c r="BY113" s="638">
        <v>0</v>
      </c>
    </row>
    <row r="114" spans="1:78" s="544" customFormat="1">
      <c r="A114" s="578"/>
      <c r="B114" s="584" t="s">
        <v>455</v>
      </c>
      <c r="C114" s="647" t="str">
        <f>VLOOKUP(B114,'Luong VP'!$B$10:$D$250,2,0)</f>
        <v>Lâm Bal</v>
      </c>
      <c r="D114" s="648" t="str">
        <f>VLOOKUP(B114,'Luong VP'!$B$10:$D$250,3,0)</f>
        <v>Nhân viên vận hành máy</v>
      </c>
      <c r="E114" s="1487">
        <v>1</v>
      </c>
      <c r="F114" s="1487">
        <v>1</v>
      </c>
      <c r="G114" s="1487">
        <v>1</v>
      </c>
      <c r="H114" s="1487">
        <v>1</v>
      </c>
      <c r="I114" s="1487">
        <v>1</v>
      </c>
      <c r="J114" s="1487">
        <v>1</v>
      </c>
      <c r="K114" s="1487"/>
      <c r="L114" s="1524" t="s">
        <v>720</v>
      </c>
      <c r="M114" s="1487">
        <v>1</v>
      </c>
      <c r="N114" s="1487">
        <v>1</v>
      </c>
      <c r="O114" s="1487">
        <v>1</v>
      </c>
      <c r="P114" s="1487">
        <v>1</v>
      </c>
      <c r="Q114" s="1487">
        <v>1</v>
      </c>
      <c r="R114" s="1487"/>
      <c r="S114" s="1487">
        <v>1</v>
      </c>
      <c r="T114" s="1487">
        <v>1</v>
      </c>
      <c r="U114" s="1487">
        <v>1</v>
      </c>
      <c r="V114" s="1487">
        <v>1</v>
      </c>
      <c r="W114" s="1487">
        <v>1</v>
      </c>
      <c r="X114" s="1487">
        <v>1</v>
      </c>
      <c r="Y114" s="1487"/>
      <c r="Z114" s="1487">
        <v>1</v>
      </c>
      <c r="AA114" s="1487">
        <v>1</v>
      </c>
      <c r="AB114" s="1487">
        <v>1</v>
      </c>
      <c r="AC114" s="1487">
        <v>1</v>
      </c>
      <c r="AD114" s="1487">
        <v>1</v>
      </c>
      <c r="AE114" s="1487">
        <v>1</v>
      </c>
      <c r="AF114" s="1487"/>
      <c r="AG114" s="1487">
        <v>1</v>
      </c>
      <c r="AH114" s="1487">
        <v>1</v>
      </c>
      <c r="AI114" s="1487">
        <v>1</v>
      </c>
      <c r="AJ114" s="604">
        <f t="shared" si="130"/>
        <v>26</v>
      </c>
      <c r="AK114" s="604">
        <f t="shared" si="131"/>
        <v>0</v>
      </c>
      <c r="AL114" s="604">
        <f t="shared" si="132"/>
        <v>0</v>
      </c>
      <c r="AM114" s="604">
        <f t="shared" si="133"/>
        <v>1</v>
      </c>
      <c r="AN114" s="601"/>
      <c r="AO114" s="1406"/>
      <c r="AP114" s="1406"/>
      <c r="AQ114" s="1406"/>
      <c r="AR114" s="1406"/>
      <c r="AS114" s="1406"/>
      <c r="AT114" s="1406"/>
      <c r="AU114" s="1406"/>
      <c r="AV114" s="1406"/>
      <c r="AW114" s="1406"/>
      <c r="AX114" s="1406"/>
      <c r="AY114" s="1406"/>
      <c r="AZ114" s="1406"/>
      <c r="BA114" s="1406"/>
      <c r="BB114" s="1406"/>
      <c r="BC114" s="1406"/>
      <c r="BD114" s="1406"/>
      <c r="BE114" s="1406"/>
      <c r="BF114" s="1406"/>
      <c r="BG114" s="1406"/>
      <c r="BH114" s="1406"/>
      <c r="BI114" s="1406"/>
      <c r="BJ114" s="1406"/>
      <c r="BK114" s="1406"/>
      <c r="BL114" s="1406"/>
      <c r="BM114" s="1406"/>
      <c r="BN114" s="1406"/>
      <c r="BO114" s="1406"/>
      <c r="BP114" s="1406"/>
      <c r="BQ114" s="1406"/>
      <c r="BR114" s="1406"/>
      <c r="BS114" s="1406"/>
      <c r="BT114" s="604">
        <f t="shared" si="99"/>
        <v>0</v>
      </c>
      <c r="BU114" s="604">
        <f t="shared" si="100"/>
        <v>0</v>
      </c>
      <c r="BV114" s="633"/>
      <c r="BW114" s="1513">
        <v>4000</v>
      </c>
      <c r="BX114" s="637">
        <f t="shared" si="129"/>
        <v>4000</v>
      </c>
      <c r="BY114" s="638">
        <v>0</v>
      </c>
    </row>
    <row r="115" spans="1:78" s="544" customFormat="1">
      <c r="A115" s="578"/>
      <c r="B115" s="584" t="s">
        <v>457</v>
      </c>
      <c r="C115" s="647" t="str">
        <f>VLOOKUP(B115,'Luong VP'!$B$10:$D$250,2,0)</f>
        <v>Thạch Phiên</v>
      </c>
      <c r="D115" s="648" t="str">
        <f>VLOOKUP(B115,'Luong VP'!$B$10:$D$250,3,0)</f>
        <v>Nhân viên vận hành máy</v>
      </c>
      <c r="E115" s="1487">
        <v>1</v>
      </c>
      <c r="F115" s="1487">
        <v>1</v>
      </c>
      <c r="G115" s="1487">
        <v>1</v>
      </c>
      <c r="H115" s="1487">
        <v>1</v>
      </c>
      <c r="I115" s="1487">
        <v>1</v>
      </c>
      <c r="J115" s="1487">
        <v>1</v>
      </c>
      <c r="K115" s="1487"/>
      <c r="L115" s="1524" t="s">
        <v>720</v>
      </c>
      <c r="M115" s="1487">
        <v>1</v>
      </c>
      <c r="N115" s="1487">
        <v>1</v>
      </c>
      <c r="O115" s="1487">
        <v>1</v>
      </c>
      <c r="P115" s="1487">
        <v>1</v>
      </c>
      <c r="Q115" s="1487">
        <v>1</v>
      </c>
      <c r="R115" s="1487"/>
      <c r="S115" s="1487">
        <v>1</v>
      </c>
      <c r="T115" s="1487">
        <v>1</v>
      </c>
      <c r="U115" s="1487">
        <v>1</v>
      </c>
      <c r="V115" s="1487">
        <v>1</v>
      </c>
      <c r="W115" s="1487">
        <v>1</v>
      </c>
      <c r="X115" s="1487">
        <v>1</v>
      </c>
      <c r="Y115" s="1487"/>
      <c r="Z115" s="1487">
        <v>1</v>
      </c>
      <c r="AA115" s="1487">
        <v>1</v>
      </c>
      <c r="AB115" s="1487">
        <v>1</v>
      </c>
      <c r="AC115" s="1487">
        <v>1</v>
      </c>
      <c r="AD115" s="1487">
        <v>1</v>
      </c>
      <c r="AE115" s="1487">
        <v>1</v>
      </c>
      <c r="AF115" s="1487"/>
      <c r="AG115" s="1487">
        <v>1</v>
      </c>
      <c r="AH115" s="1487">
        <v>1</v>
      </c>
      <c r="AI115" s="1487">
        <v>1</v>
      </c>
      <c r="AJ115" s="604">
        <f t="shared" si="130"/>
        <v>26</v>
      </c>
      <c r="AK115" s="604">
        <f t="shared" si="131"/>
        <v>0</v>
      </c>
      <c r="AL115" s="604">
        <f t="shared" si="132"/>
        <v>0</v>
      </c>
      <c r="AM115" s="604">
        <f t="shared" si="133"/>
        <v>1</v>
      </c>
      <c r="AN115" s="601"/>
      <c r="AO115" s="1406"/>
      <c r="AP115" s="1406"/>
      <c r="AQ115" s="1406"/>
      <c r="AR115" s="1406"/>
      <c r="AS115" s="1406"/>
      <c r="AT115" s="1406"/>
      <c r="AU115" s="1406"/>
      <c r="AV115" s="1406"/>
      <c r="AW115" s="1406"/>
      <c r="AX115" s="1406"/>
      <c r="AY115" s="1406"/>
      <c r="AZ115" s="1406"/>
      <c r="BA115" s="1406"/>
      <c r="BB115" s="1406"/>
      <c r="BC115" s="1406"/>
      <c r="BD115" s="1406"/>
      <c r="BE115" s="1406"/>
      <c r="BF115" s="1406"/>
      <c r="BG115" s="1406"/>
      <c r="BH115" s="1406"/>
      <c r="BI115" s="1406"/>
      <c r="BJ115" s="1406"/>
      <c r="BK115" s="1406"/>
      <c r="BL115" s="1406"/>
      <c r="BM115" s="1406"/>
      <c r="BN115" s="1406"/>
      <c r="BO115" s="1406"/>
      <c r="BP115" s="1406"/>
      <c r="BQ115" s="1406"/>
      <c r="BR115" s="1406"/>
      <c r="BS115" s="1406"/>
      <c r="BT115" s="604">
        <f t="shared" si="99"/>
        <v>0</v>
      </c>
      <c r="BU115" s="604">
        <f t="shared" si="100"/>
        <v>0</v>
      </c>
      <c r="BV115" s="633"/>
      <c r="BW115" s="1513">
        <v>3000</v>
      </c>
      <c r="BX115" s="637">
        <f t="shared" si="129"/>
        <v>3000</v>
      </c>
      <c r="BY115" s="638">
        <v>0</v>
      </c>
    </row>
    <row r="116" spans="1:78" s="544" customFormat="1">
      <c r="A116" s="578"/>
      <c r="B116" s="584" t="s">
        <v>433</v>
      </c>
      <c r="C116" s="647" t="str">
        <f>VLOOKUP(B116,'Luong VP'!$B$10:$D$250,2,0)</f>
        <v>Trần Quốc Nam</v>
      </c>
      <c r="D116" s="648" t="str">
        <f>VLOOKUP(B116,'Luong VP'!$B$10:$D$250,3,0)</f>
        <v>Nhân viên vận hành máy</v>
      </c>
      <c r="E116" s="1487">
        <v>1</v>
      </c>
      <c r="F116" s="1487">
        <v>1</v>
      </c>
      <c r="G116" s="1487">
        <v>1</v>
      </c>
      <c r="H116" s="1487">
        <v>1</v>
      </c>
      <c r="I116" s="1487">
        <v>1</v>
      </c>
      <c r="J116" s="1487">
        <v>1</v>
      </c>
      <c r="K116" s="1487"/>
      <c r="L116" s="1524" t="s">
        <v>720</v>
      </c>
      <c r="M116" s="1487">
        <v>1</v>
      </c>
      <c r="N116" s="1487">
        <v>1</v>
      </c>
      <c r="O116" s="1487">
        <v>1</v>
      </c>
      <c r="P116" s="1487">
        <v>1</v>
      </c>
      <c r="Q116" s="1487">
        <v>1</v>
      </c>
      <c r="R116" s="1487"/>
      <c r="S116" s="1487">
        <v>1</v>
      </c>
      <c r="T116" s="1487">
        <v>1</v>
      </c>
      <c r="U116" s="1487">
        <v>1</v>
      </c>
      <c r="V116" s="1487">
        <v>1</v>
      </c>
      <c r="W116" s="1487">
        <v>1</v>
      </c>
      <c r="X116" s="1487">
        <v>1</v>
      </c>
      <c r="Y116" s="1487"/>
      <c r="Z116" s="1487">
        <v>1</v>
      </c>
      <c r="AA116" s="1487">
        <v>1</v>
      </c>
      <c r="AB116" s="1487">
        <v>1</v>
      </c>
      <c r="AC116" s="1487">
        <v>1</v>
      </c>
      <c r="AD116" s="1487">
        <v>1</v>
      </c>
      <c r="AE116" s="1487">
        <v>1</v>
      </c>
      <c r="AF116" s="1487"/>
      <c r="AG116" s="1487">
        <v>1</v>
      </c>
      <c r="AH116" s="1487">
        <v>1</v>
      </c>
      <c r="AI116" s="1487">
        <v>1</v>
      </c>
      <c r="AJ116" s="604">
        <f t="shared" si="130"/>
        <v>26</v>
      </c>
      <c r="AK116" s="604">
        <f t="shared" si="131"/>
        <v>0</v>
      </c>
      <c r="AL116" s="604">
        <f t="shared" si="132"/>
        <v>0</v>
      </c>
      <c r="AM116" s="604">
        <f t="shared" si="133"/>
        <v>1</v>
      </c>
      <c r="AN116" s="601"/>
      <c r="AO116" s="1406"/>
      <c r="AP116" s="1406"/>
      <c r="AQ116" s="1406"/>
      <c r="AR116" s="1406"/>
      <c r="AS116" s="1406"/>
      <c r="AT116" s="1406"/>
      <c r="AU116" s="1406"/>
      <c r="AV116" s="1406"/>
      <c r="AW116" s="1406">
        <v>3</v>
      </c>
      <c r="AX116" s="1406"/>
      <c r="AY116" s="1406"/>
      <c r="AZ116" s="1406"/>
      <c r="BA116" s="1406"/>
      <c r="BB116" s="1406">
        <v>8</v>
      </c>
      <c r="BC116" s="1406"/>
      <c r="BD116" s="1406"/>
      <c r="BE116" s="1406"/>
      <c r="BF116" s="1406">
        <v>1.5</v>
      </c>
      <c r="BG116" s="1406">
        <v>4</v>
      </c>
      <c r="BH116" s="1406"/>
      <c r="BI116" s="1406">
        <v>8</v>
      </c>
      <c r="BJ116" s="1406"/>
      <c r="BK116" s="1406"/>
      <c r="BL116" s="1406"/>
      <c r="BM116" s="1406"/>
      <c r="BN116" s="1406"/>
      <c r="BO116" s="1406"/>
      <c r="BP116" s="1406"/>
      <c r="BQ116" s="1406"/>
      <c r="BR116" s="1406"/>
      <c r="BS116" s="1406"/>
      <c r="BT116" s="604">
        <f t="shared" si="99"/>
        <v>8.5</v>
      </c>
      <c r="BU116" s="604">
        <f t="shared" si="100"/>
        <v>16</v>
      </c>
      <c r="BV116" s="633"/>
      <c r="BW116" s="1513">
        <v>4000</v>
      </c>
      <c r="BX116" s="637">
        <f t="shared" si="129"/>
        <v>4000</v>
      </c>
      <c r="BY116" s="638">
        <v>0</v>
      </c>
    </row>
    <row r="117" spans="1:78" s="544" customFormat="1">
      <c r="A117" s="570"/>
      <c r="B117" s="109"/>
      <c r="C117" s="95" t="s">
        <v>736</v>
      </c>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6"/>
      <c r="AB117" s="96"/>
      <c r="AC117" s="96"/>
      <c r="AD117" s="96"/>
      <c r="AE117" s="96"/>
      <c r="AF117" s="96"/>
      <c r="AG117" s="96"/>
      <c r="AH117" s="96"/>
      <c r="AI117" s="96"/>
      <c r="AJ117" s="96"/>
      <c r="AK117" s="96"/>
      <c r="AL117" s="571"/>
      <c r="AM117" s="571"/>
      <c r="AN117" s="606"/>
      <c r="AO117" s="571"/>
      <c r="AP117" s="623"/>
      <c r="AQ117" s="623"/>
      <c r="AR117" s="623"/>
      <c r="AS117" s="623"/>
      <c r="AT117" s="623"/>
      <c r="AU117" s="623"/>
      <c r="AV117" s="623"/>
      <c r="AW117" s="623"/>
      <c r="AX117" s="623"/>
      <c r="AY117" s="623"/>
      <c r="AZ117" s="623"/>
      <c r="BA117" s="623"/>
      <c r="BB117" s="623"/>
      <c r="BC117" s="623"/>
      <c r="BD117" s="623"/>
      <c r="BE117" s="623"/>
      <c r="BF117" s="623"/>
      <c r="BG117" s="623"/>
      <c r="BH117" s="623"/>
      <c r="BI117" s="623"/>
      <c r="BJ117" s="623"/>
      <c r="BK117" s="623"/>
      <c r="BL117" s="623"/>
      <c r="BM117" s="623"/>
      <c r="BN117" s="623"/>
      <c r="BO117" s="623"/>
      <c r="BP117" s="623"/>
      <c r="BQ117" s="623"/>
      <c r="BR117" s="623"/>
      <c r="BS117" s="623"/>
      <c r="BT117" s="571"/>
      <c r="BU117" s="571"/>
      <c r="BV117" s="571"/>
      <c r="BW117" s="571"/>
      <c r="BX117" s="571"/>
      <c r="BY117" s="571"/>
    </row>
    <row r="118" spans="1:78" s="544" customFormat="1" ht="13.5" customHeight="1">
      <c r="A118" s="578">
        <v>59</v>
      </c>
      <c r="B118" s="133" t="s">
        <v>460</v>
      </c>
      <c r="C118" s="577" t="str">
        <f>VLOOKUP(B118,'Luong VP'!$B$10:$D$250,2,0)</f>
        <v>Đặng Văn Thông</v>
      </c>
      <c r="D118" s="106" t="str">
        <f>VLOOKUP(B118,'Luong VP'!$B$10:$D$250,3,0)</f>
        <v>Trưởng BP An ninh</v>
      </c>
      <c r="E118" s="1487">
        <v>1</v>
      </c>
      <c r="F118" s="1487">
        <v>1</v>
      </c>
      <c r="G118" s="1487">
        <v>1</v>
      </c>
      <c r="H118" s="1487">
        <v>1</v>
      </c>
      <c r="I118" s="1487">
        <v>1</v>
      </c>
      <c r="J118" s="1487">
        <v>1</v>
      </c>
      <c r="K118" s="1487"/>
      <c r="L118" s="1524" t="s">
        <v>720</v>
      </c>
      <c r="M118" s="1487">
        <v>1</v>
      </c>
      <c r="N118" s="1487">
        <v>1</v>
      </c>
      <c r="O118" s="1487">
        <v>1</v>
      </c>
      <c r="P118" s="1487">
        <v>1</v>
      </c>
      <c r="Q118" s="1487">
        <v>1</v>
      </c>
      <c r="R118" s="1487"/>
      <c r="S118" s="1487">
        <v>1</v>
      </c>
      <c r="T118" s="1487">
        <v>1</v>
      </c>
      <c r="U118" s="1487">
        <v>1</v>
      </c>
      <c r="V118" s="1487">
        <v>1</v>
      </c>
      <c r="W118" s="1487">
        <v>1</v>
      </c>
      <c r="X118" s="1487">
        <v>1</v>
      </c>
      <c r="Y118" s="1487"/>
      <c r="Z118" s="1487">
        <v>1</v>
      </c>
      <c r="AA118" s="1487">
        <v>1</v>
      </c>
      <c r="AB118" s="1487">
        <v>1</v>
      </c>
      <c r="AC118" s="1487">
        <v>1</v>
      </c>
      <c r="AD118" s="1487">
        <v>1</v>
      </c>
      <c r="AE118" s="1487">
        <v>1</v>
      </c>
      <c r="AF118" s="1487"/>
      <c r="AG118" s="1487">
        <v>1</v>
      </c>
      <c r="AH118" s="1487">
        <v>1</v>
      </c>
      <c r="AI118" s="1487">
        <v>1</v>
      </c>
      <c r="AJ118" s="604">
        <f t="shared" ref="AJ118" si="135">SUM(E118:AI118)-AK118</f>
        <v>26</v>
      </c>
      <c r="AK118" s="604">
        <f t="shared" ref="AK118" si="136">SUMIF($E$5:$AI$5,"LT",E118:AI118)</f>
        <v>0</v>
      </c>
      <c r="AL118" s="604">
        <f>COUNTIF(E118:AI118,"P")</f>
        <v>0</v>
      </c>
      <c r="AM118" s="604">
        <f t="shared" ref="AM118" si="137">COUNTIF(E118:AI118,"LT")+MOD(AK118,1)</f>
        <v>1</v>
      </c>
      <c r="AN118" s="601"/>
      <c r="AO118" s="1406"/>
      <c r="AP118" s="1406"/>
      <c r="AQ118" s="1406"/>
      <c r="AR118" s="1406"/>
      <c r="AS118" s="1406"/>
      <c r="AT118" s="1406"/>
      <c r="AU118" s="1406"/>
      <c r="AV118" s="1406"/>
      <c r="AW118" s="1406"/>
      <c r="AX118" s="1406"/>
      <c r="AY118" s="1406"/>
      <c r="AZ118" s="1406"/>
      <c r="BA118" s="1406"/>
      <c r="BB118" s="1406"/>
      <c r="BC118" s="1406"/>
      <c r="BD118" s="1406"/>
      <c r="BE118" s="1406"/>
      <c r="BF118" s="1406"/>
      <c r="BG118" s="1406"/>
      <c r="BH118" s="1406"/>
      <c r="BI118" s="1406"/>
      <c r="BJ118" s="1406"/>
      <c r="BK118" s="1406"/>
      <c r="BL118" s="1406"/>
      <c r="BM118" s="1406"/>
      <c r="BN118" s="1406"/>
      <c r="BO118" s="1406"/>
      <c r="BP118" s="1406"/>
      <c r="BQ118" s="1406"/>
      <c r="BR118" s="1406"/>
      <c r="BS118" s="1406"/>
      <c r="BT118" s="604">
        <f t="shared" si="99"/>
        <v>0</v>
      </c>
      <c r="BU118" s="604">
        <f t="shared" si="100"/>
        <v>0</v>
      </c>
      <c r="BV118" s="633"/>
      <c r="BW118" s="637">
        <v>0</v>
      </c>
      <c r="BX118" s="637">
        <f t="shared" si="129"/>
        <v>0</v>
      </c>
      <c r="BY118" s="638">
        <v>0</v>
      </c>
    </row>
    <row r="119" spans="1:78" s="544" customFormat="1">
      <c r="A119" s="572">
        <v>32</v>
      </c>
      <c r="B119" s="91" t="s">
        <v>466</v>
      </c>
      <c r="C119" s="577" t="str">
        <f>VLOOKUP(B119,'Luong VP'!$B$10:$D$250,2,0)</f>
        <v xml:space="preserve"> Trần Văn Hà </v>
      </c>
      <c r="D119" s="106" t="str">
        <f>VLOOKUP(B119,'Luong VP'!$B$10:$D$250,3,0)</f>
        <v>Trưởng BP môi trường</v>
      </c>
      <c r="E119" s="1487">
        <v>1</v>
      </c>
      <c r="F119" s="1487">
        <v>1</v>
      </c>
      <c r="G119" s="1487">
        <v>1</v>
      </c>
      <c r="H119" s="1487">
        <v>1</v>
      </c>
      <c r="I119" s="1487">
        <v>1</v>
      </c>
      <c r="J119" s="1487">
        <v>1</v>
      </c>
      <c r="K119" s="1487"/>
      <c r="L119" s="1524" t="s">
        <v>720</v>
      </c>
      <c r="M119" s="1487">
        <v>1</v>
      </c>
      <c r="N119" s="1487">
        <v>1</v>
      </c>
      <c r="O119" s="1487">
        <v>1</v>
      </c>
      <c r="P119" s="1487">
        <v>1</v>
      </c>
      <c r="Q119" s="1487">
        <v>1</v>
      </c>
      <c r="R119" s="1487"/>
      <c r="S119" s="1487">
        <v>1</v>
      </c>
      <c r="T119" s="1487">
        <v>1</v>
      </c>
      <c r="U119" s="1487">
        <v>1</v>
      </c>
      <c r="V119" s="1487">
        <v>1</v>
      </c>
      <c r="W119" s="1487">
        <v>1</v>
      </c>
      <c r="X119" s="1487">
        <v>1</v>
      </c>
      <c r="Y119" s="1487"/>
      <c r="Z119" s="1487">
        <v>1</v>
      </c>
      <c r="AA119" s="1487">
        <v>1</v>
      </c>
      <c r="AB119" s="1487">
        <v>1</v>
      </c>
      <c r="AC119" s="1487">
        <v>1</v>
      </c>
      <c r="AD119" s="1487">
        <v>1</v>
      </c>
      <c r="AE119" s="1487">
        <v>1</v>
      </c>
      <c r="AF119" s="1487"/>
      <c r="AG119" s="1487">
        <v>1</v>
      </c>
      <c r="AH119" s="1487">
        <v>1</v>
      </c>
      <c r="AI119" s="1487">
        <v>1</v>
      </c>
      <c r="AJ119" s="604">
        <f t="shared" ref="AJ119:AJ122" si="138">SUM(E119:AI119)-AK119</f>
        <v>26</v>
      </c>
      <c r="AK119" s="604">
        <f t="shared" ref="AK119:AK122" si="139">SUMIF($E$5:$AI$5,"LT",E119:AI119)</f>
        <v>0</v>
      </c>
      <c r="AL119" s="604">
        <f t="shared" ref="AL119:AL122" si="140">COUNTIF(E119:AI119,"P")</f>
        <v>0</v>
      </c>
      <c r="AM119" s="604">
        <f t="shared" ref="AM119:AM122" si="141">COUNTIF(E119:AI119,"LT")+MOD(AK119,1)</f>
        <v>1</v>
      </c>
      <c r="AN119" s="601"/>
      <c r="AO119" s="1406"/>
      <c r="AP119" s="1406"/>
      <c r="AQ119" s="1406"/>
      <c r="AR119" s="1406"/>
      <c r="AS119" s="1406"/>
      <c r="AT119" s="1406"/>
      <c r="AU119" s="1406"/>
      <c r="AV119" s="1406"/>
      <c r="AW119" s="1406"/>
      <c r="AX119" s="1406"/>
      <c r="AY119" s="1406"/>
      <c r="AZ119" s="1406"/>
      <c r="BA119" s="1406"/>
      <c r="BB119" s="1406"/>
      <c r="BC119" s="1406"/>
      <c r="BD119" s="1406"/>
      <c r="BE119" s="1406"/>
      <c r="BF119" s="1406"/>
      <c r="BG119" s="1406"/>
      <c r="BH119" s="1406"/>
      <c r="BI119" s="1406"/>
      <c r="BJ119" s="1406"/>
      <c r="BK119" s="1406"/>
      <c r="BL119" s="1406"/>
      <c r="BM119" s="1406"/>
      <c r="BN119" s="1406"/>
      <c r="BO119" s="1406"/>
      <c r="BP119" s="1406"/>
      <c r="BQ119" s="1406"/>
      <c r="BR119" s="1406"/>
      <c r="BS119" s="1406"/>
      <c r="BT119" s="604">
        <f t="shared" si="99"/>
        <v>0</v>
      </c>
      <c r="BU119" s="604">
        <f t="shared" si="100"/>
        <v>0</v>
      </c>
      <c r="BV119" s="633"/>
      <c r="BW119" s="637">
        <v>0</v>
      </c>
      <c r="BX119" s="637">
        <f t="shared" si="129"/>
        <v>0</v>
      </c>
      <c r="BY119" s="638">
        <v>0</v>
      </c>
      <c r="BZ119" s="1346" t="s">
        <v>1259</v>
      </c>
    </row>
    <row r="120" spans="1:78" s="547" customFormat="1">
      <c r="A120" s="579">
        <v>32</v>
      </c>
      <c r="B120" s="580" t="s">
        <v>468</v>
      </c>
      <c r="C120" s="581" t="str">
        <f>VLOOKUP(B120,'Luong VP'!$B$10:$D$250,2,0)</f>
        <v>Đinh Thanh Trí</v>
      </c>
      <c r="D120" s="582" t="str">
        <f>VLOOKUP(B120,'Luong VP'!$B$10:$D$250,3,0)</f>
        <v>NV vận hành trạm xử lý nước thải</v>
      </c>
      <c r="E120" s="1487">
        <v>1</v>
      </c>
      <c r="F120" s="1487">
        <v>1</v>
      </c>
      <c r="G120" s="1487">
        <v>1</v>
      </c>
      <c r="H120" s="1487">
        <v>1</v>
      </c>
      <c r="I120" s="1487">
        <v>1</v>
      </c>
      <c r="J120" s="1487">
        <v>1</v>
      </c>
      <c r="K120" s="1487"/>
      <c r="L120" s="1524" t="s">
        <v>720</v>
      </c>
      <c r="M120" s="1487">
        <v>1</v>
      </c>
      <c r="N120" s="1487">
        <v>1</v>
      </c>
      <c r="O120" s="1487">
        <v>1</v>
      </c>
      <c r="P120" s="1487">
        <v>1</v>
      </c>
      <c r="Q120" s="1487">
        <v>1</v>
      </c>
      <c r="R120" s="1487"/>
      <c r="S120" s="1487">
        <v>1</v>
      </c>
      <c r="T120" s="1487">
        <v>1</v>
      </c>
      <c r="U120" s="1487">
        <v>1</v>
      </c>
      <c r="V120" s="1487">
        <v>1</v>
      </c>
      <c r="W120" s="1487">
        <v>1</v>
      </c>
      <c r="X120" s="1487">
        <v>1</v>
      </c>
      <c r="Y120" s="1487"/>
      <c r="Z120" s="1487">
        <v>1</v>
      </c>
      <c r="AA120" s="1487">
        <v>1</v>
      </c>
      <c r="AB120" s="1487">
        <v>1</v>
      </c>
      <c r="AC120" s="1487">
        <v>1</v>
      </c>
      <c r="AD120" s="1487">
        <v>1</v>
      </c>
      <c r="AE120" s="1487">
        <v>1</v>
      </c>
      <c r="AF120" s="1487"/>
      <c r="AG120" s="1487">
        <v>1</v>
      </c>
      <c r="AH120" s="1487">
        <v>1</v>
      </c>
      <c r="AI120" s="1487">
        <v>1</v>
      </c>
      <c r="AJ120" s="604">
        <f t="shared" si="138"/>
        <v>26</v>
      </c>
      <c r="AK120" s="604">
        <f t="shared" si="139"/>
        <v>0</v>
      </c>
      <c r="AL120" s="604">
        <f t="shared" si="140"/>
        <v>0</v>
      </c>
      <c r="AM120" s="604">
        <f t="shared" si="141"/>
        <v>1</v>
      </c>
      <c r="AN120" s="609"/>
      <c r="AO120" s="1406"/>
      <c r="AP120" s="1406"/>
      <c r="AQ120" s="1406"/>
      <c r="AR120" s="1406"/>
      <c r="AS120" s="1406"/>
      <c r="AT120" s="1406"/>
      <c r="AU120" s="1406"/>
      <c r="AV120" s="1406"/>
      <c r="AW120" s="1406"/>
      <c r="AX120" s="1406"/>
      <c r="AY120" s="1406"/>
      <c r="AZ120" s="1406"/>
      <c r="BA120" s="1406"/>
      <c r="BB120" s="1406"/>
      <c r="BC120" s="1406"/>
      <c r="BD120" s="1406"/>
      <c r="BE120" s="1406"/>
      <c r="BF120" s="1406"/>
      <c r="BG120" s="1406"/>
      <c r="BH120" s="1406"/>
      <c r="BI120" s="1406"/>
      <c r="BJ120" s="1406"/>
      <c r="BK120" s="1406"/>
      <c r="BL120" s="1406"/>
      <c r="BM120" s="1406"/>
      <c r="BN120" s="1406"/>
      <c r="BO120" s="1406"/>
      <c r="BP120" s="1406"/>
      <c r="BQ120" s="1406"/>
      <c r="BR120" s="1406"/>
      <c r="BS120" s="1406"/>
      <c r="BT120" s="608">
        <f t="shared" si="99"/>
        <v>0</v>
      </c>
      <c r="BU120" s="608">
        <f t="shared" si="100"/>
        <v>0</v>
      </c>
      <c r="BV120" s="640"/>
      <c r="BW120" s="1513">
        <v>4000</v>
      </c>
      <c r="BX120" s="641">
        <f t="shared" si="129"/>
        <v>4000</v>
      </c>
      <c r="BY120" s="642">
        <v>0</v>
      </c>
    </row>
    <row r="121" spans="1:78" s="545" customFormat="1">
      <c r="A121" s="578">
        <v>61</v>
      </c>
      <c r="B121" s="91" t="s">
        <v>470</v>
      </c>
      <c r="C121" s="577" t="str">
        <f>VLOOKUP(B121,'Luong VP'!$B$10:$D$250,2,0)</f>
        <v>Nguyễn Tiến Khanh</v>
      </c>
      <c r="D121" s="106" t="str">
        <f>VLOOKUP(B121,'Luong VP'!$B$10:$D$250,3,0)</f>
        <v>Trưởng BP Cây xanh - vệ sinh</v>
      </c>
      <c r="E121" s="1487">
        <v>1</v>
      </c>
      <c r="F121" s="1487">
        <v>1</v>
      </c>
      <c r="G121" s="1487">
        <v>1</v>
      </c>
      <c r="H121" s="1487">
        <v>1</v>
      </c>
      <c r="I121" s="1487">
        <v>1</v>
      </c>
      <c r="J121" s="1487">
        <v>1</v>
      </c>
      <c r="K121" s="1487"/>
      <c r="L121" s="1524" t="s">
        <v>720</v>
      </c>
      <c r="M121" s="1487">
        <v>1</v>
      </c>
      <c r="N121" s="1487">
        <v>1</v>
      </c>
      <c r="O121" s="1487">
        <v>1</v>
      </c>
      <c r="P121" s="1487">
        <v>1</v>
      </c>
      <c r="Q121" s="1487">
        <v>1</v>
      </c>
      <c r="R121" s="1487"/>
      <c r="S121" s="1487">
        <v>1</v>
      </c>
      <c r="T121" s="1487">
        <v>1</v>
      </c>
      <c r="U121" s="1487">
        <v>1</v>
      </c>
      <c r="V121" s="1487">
        <v>1</v>
      </c>
      <c r="W121" s="1487">
        <v>1</v>
      </c>
      <c r="X121" s="1487">
        <v>1</v>
      </c>
      <c r="Y121" s="1487"/>
      <c r="Z121" s="1487">
        <v>1</v>
      </c>
      <c r="AA121" s="1487">
        <v>1</v>
      </c>
      <c r="AB121" s="1487">
        <v>1</v>
      </c>
      <c r="AC121" s="1487">
        <v>1</v>
      </c>
      <c r="AD121" s="1487">
        <v>1</v>
      </c>
      <c r="AE121" s="1487">
        <v>1</v>
      </c>
      <c r="AF121" s="1487"/>
      <c r="AG121" s="1487">
        <v>1</v>
      </c>
      <c r="AH121" s="1487">
        <v>1</v>
      </c>
      <c r="AI121" s="1487">
        <v>1</v>
      </c>
      <c r="AJ121" s="604">
        <f t="shared" si="138"/>
        <v>26</v>
      </c>
      <c r="AK121" s="604">
        <f t="shared" si="139"/>
        <v>0</v>
      </c>
      <c r="AL121" s="604">
        <f t="shared" si="140"/>
        <v>0</v>
      </c>
      <c r="AM121" s="604">
        <f t="shared" si="141"/>
        <v>1</v>
      </c>
      <c r="AN121" s="605"/>
      <c r="AO121" s="1406"/>
      <c r="AP121" s="1406"/>
      <c r="AQ121" s="1406"/>
      <c r="AR121" s="1406"/>
      <c r="AS121" s="1406"/>
      <c r="AT121" s="1406"/>
      <c r="AU121" s="1406">
        <v>6</v>
      </c>
      <c r="AV121" s="1406"/>
      <c r="AW121" s="1406"/>
      <c r="AX121" s="1406"/>
      <c r="AY121" s="1406"/>
      <c r="AZ121" s="1406"/>
      <c r="BA121" s="1406"/>
      <c r="BB121" s="1406">
        <v>9</v>
      </c>
      <c r="BC121" s="1406"/>
      <c r="BD121" s="1406"/>
      <c r="BE121" s="1406"/>
      <c r="BF121" s="1406"/>
      <c r="BG121" s="1406"/>
      <c r="BH121" s="1406"/>
      <c r="BI121" s="1406">
        <v>8</v>
      </c>
      <c r="BJ121" s="1406"/>
      <c r="BK121" s="1406"/>
      <c r="BL121" s="1406"/>
      <c r="BM121" s="1406"/>
      <c r="BN121" s="1406"/>
      <c r="BO121" s="1406"/>
      <c r="BP121" s="1406">
        <v>10</v>
      </c>
      <c r="BQ121" s="1406"/>
      <c r="BR121" s="1406"/>
      <c r="BS121" s="1406"/>
      <c r="BT121" s="604">
        <f>SUM(AO121:BS121)-BU121</f>
        <v>0</v>
      </c>
      <c r="BU121" s="604">
        <f>SUMIF($AO$5:$BS$5,"CN",AO121:BS121)</f>
        <v>33</v>
      </c>
      <c r="BV121" s="636"/>
      <c r="BW121" s="637">
        <v>0</v>
      </c>
      <c r="BX121" s="637">
        <f>BW121</f>
        <v>0</v>
      </c>
      <c r="BY121" s="638">
        <v>0</v>
      </c>
    </row>
    <row r="122" spans="1:78" s="547" customFormat="1">
      <c r="A122" s="579">
        <v>21</v>
      </c>
      <c r="B122" s="580" t="s">
        <v>463</v>
      </c>
      <c r="C122" s="581" t="str">
        <f>VLOOKUP(B122,'Luong VP'!$B$10:$D$250,2,0)</f>
        <v>Phan Hồng Chương</v>
      </c>
      <c r="D122" s="582" t="str">
        <f>VLOOKUP(B122,'Luong VP'!$B$10:$D$250,3,0)</f>
        <v>Tổ trưởng CX - VSCN</v>
      </c>
      <c r="E122" s="1487">
        <v>1</v>
      </c>
      <c r="F122" s="1487">
        <v>1</v>
      </c>
      <c r="G122" s="1487">
        <v>1</v>
      </c>
      <c r="H122" s="1487">
        <v>1</v>
      </c>
      <c r="I122" s="1487">
        <v>1</v>
      </c>
      <c r="J122" s="1487">
        <v>1</v>
      </c>
      <c r="K122" s="1487"/>
      <c r="L122" s="1524" t="s">
        <v>720</v>
      </c>
      <c r="M122" s="1487">
        <v>1</v>
      </c>
      <c r="N122" s="1487">
        <v>1</v>
      </c>
      <c r="O122" s="1487">
        <v>1</v>
      </c>
      <c r="P122" s="1487">
        <v>1</v>
      </c>
      <c r="Q122" s="1487">
        <v>1</v>
      </c>
      <c r="R122" s="1487"/>
      <c r="S122" s="1487">
        <v>1</v>
      </c>
      <c r="T122" s="1487">
        <v>1</v>
      </c>
      <c r="U122" s="1487">
        <v>1</v>
      </c>
      <c r="V122" s="1487">
        <v>1</v>
      </c>
      <c r="W122" s="1487">
        <v>1</v>
      </c>
      <c r="X122" s="1487">
        <v>1</v>
      </c>
      <c r="Y122" s="1487"/>
      <c r="Z122" s="1487">
        <v>1</v>
      </c>
      <c r="AA122" s="1487">
        <v>1</v>
      </c>
      <c r="AB122" s="1487">
        <v>1</v>
      </c>
      <c r="AC122" s="1487">
        <v>1</v>
      </c>
      <c r="AD122" s="1487">
        <v>1</v>
      </c>
      <c r="AE122" s="1487">
        <v>1</v>
      </c>
      <c r="AF122" s="1487"/>
      <c r="AG122" s="1487">
        <v>1</v>
      </c>
      <c r="AH122" s="1487">
        <v>1</v>
      </c>
      <c r="AI122" s="1487">
        <v>1</v>
      </c>
      <c r="AJ122" s="604">
        <f t="shared" si="138"/>
        <v>26</v>
      </c>
      <c r="AK122" s="604">
        <f t="shared" si="139"/>
        <v>0</v>
      </c>
      <c r="AL122" s="604">
        <f t="shared" si="140"/>
        <v>0</v>
      </c>
      <c r="AM122" s="604">
        <f t="shared" si="141"/>
        <v>1</v>
      </c>
      <c r="AN122" s="609"/>
      <c r="AO122" s="1406"/>
      <c r="AP122" s="1406"/>
      <c r="AQ122" s="1406"/>
      <c r="AR122" s="1406"/>
      <c r="AS122" s="1406"/>
      <c r="AT122" s="1406"/>
      <c r="AU122" s="1406"/>
      <c r="AV122" s="1406"/>
      <c r="AW122" s="1406"/>
      <c r="AX122" s="1406"/>
      <c r="AY122" s="1406"/>
      <c r="AZ122" s="1406"/>
      <c r="BA122" s="1406"/>
      <c r="BB122" s="1406"/>
      <c r="BC122" s="1406"/>
      <c r="BD122" s="1406"/>
      <c r="BE122" s="1406"/>
      <c r="BF122" s="1406"/>
      <c r="BG122" s="1406"/>
      <c r="BH122" s="1406"/>
      <c r="BI122" s="1406"/>
      <c r="BJ122" s="1406"/>
      <c r="BK122" s="1406"/>
      <c r="BL122" s="1406"/>
      <c r="BM122" s="1406"/>
      <c r="BN122" s="1406"/>
      <c r="BO122" s="1406"/>
      <c r="BP122" s="1406"/>
      <c r="BQ122" s="1406"/>
      <c r="BR122" s="1406"/>
      <c r="BS122" s="1406"/>
      <c r="BT122" s="608">
        <f t="shared" si="99"/>
        <v>0</v>
      </c>
      <c r="BU122" s="608">
        <f t="shared" si="100"/>
        <v>0</v>
      </c>
      <c r="BV122" s="640"/>
      <c r="BW122" s="1513">
        <v>4000</v>
      </c>
      <c r="BX122" s="641">
        <f t="shared" si="129"/>
        <v>4000</v>
      </c>
      <c r="BY122" s="642">
        <v>0</v>
      </c>
    </row>
    <row r="123" spans="1:78" s="544" customFormat="1">
      <c r="A123" s="570"/>
      <c r="B123" s="109"/>
      <c r="C123" s="95" t="s">
        <v>737</v>
      </c>
      <c r="D123" s="96"/>
      <c r="E123" s="96"/>
      <c r="F123" s="96"/>
      <c r="G123" s="96"/>
      <c r="H123" s="96"/>
      <c r="I123" s="96"/>
      <c r="J123" s="96"/>
      <c r="K123" s="96"/>
      <c r="L123" s="96"/>
      <c r="M123" s="96"/>
      <c r="N123" s="96"/>
      <c r="O123" s="96"/>
      <c r="P123" s="96"/>
      <c r="Q123" s="96"/>
      <c r="R123" s="96"/>
      <c r="S123" s="96"/>
      <c r="T123" s="96"/>
      <c r="U123" s="96"/>
      <c r="V123" s="96"/>
      <c r="W123" s="96"/>
      <c r="X123" s="96"/>
      <c r="Y123" s="96"/>
      <c r="Z123" s="96"/>
      <c r="AA123" s="96"/>
      <c r="AB123" s="96"/>
      <c r="AC123" s="96"/>
      <c r="AD123" s="96"/>
      <c r="AE123" s="96"/>
      <c r="AF123" s="96"/>
      <c r="AG123" s="96"/>
      <c r="AH123" s="96"/>
      <c r="AI123" s="96"/>
      <c r="AJ123" s="96"/>
      <c r="AK123" s="96"/>
      <c r="AL123" s="96"/>
      <c r="AM123" s="571"/>
      <c r="AN123" s="606"/>
      <c r="AO123" s="623"/>
      <c r="AP123" s="623"/>
      <c r="AQ123" s="623"/>
      <c r="AR123" s="623"/>
      <c r="AS123" s="623"/>
      <c r="AT123" s="623"/>
      <c r="AU123" s="623"/>
      <c r="AV123" s="623"/>
      <c r="AW123" s="623"/>
      <c r="AX123" s="623"/>
      <c r="AY123" s="623"/>
      <c r="AZ123" s="623"/>
      <c r="BA123" s="623"/>
      <c r="BB123" s="623"/>
      <c r="BC123" s="623"/>
      <c r="BD123" s="623"/>
      <c r="BE123" s="623"/>
      <c r="BF123" s="623"/>
      <c r="BG123" s="623"/>
      <c r="BH123" s="623"/>
      <c r="BI123" s="623"/>
      <c r="BJ123" s="623"/>
      <c r="BK123" s="623"/>
      <c r="BL123" s="623"/>
      <c r="BM123" s="623"/>
      <c r="BN123" s="623"/>
      <c r="BO123" s="623"/>
      <c r="BP123" s="623"/>
      <c r="BQ123" s="623"/>
      <c r="BR123" s="623"/>
      <c r="BS123" s="623"/>
      <c r="BT123" s="623"/>
      <c r="BU123" s="623"/>
      <c r="BV123" s="623"/>
      <c r="BW123" s="623"/>
      <c r="BX123" s="623"/>
      <c r="BY123" s="623"/>
    </row>
    <row r="124" spans="1:78" s="544" customFormat="1">
      <c r="A124" s="649"/>
      <c r="B124" s="650" t="s">
        <v>473</v>
      </c>
      <c r="C124" s="577" t="str">
        <f>VLOOKUP(B124,'Luong VP'!$B$10:$D$250,2,0)</f>
        <v>Nguyễn Hữu Thái</v>
      </c>
      <c r="D124" s="106" t="str">
        <f>VLOOKUP(B124,'Luong VP'!$B$10:$D$250,3,0)</f>
        <v>Trưởng phòng Quản trị SX NM</v>
      </c>
      <c r="E124" s="575">
        <v>1</v>
      </c>
      <c r="F124" s="575">
        <v>1</v>
      </c>
      <c r="G124" s="575">
        <v>1</v>
      </c>
      <c r="H124" s="575">
        <v>1</v>
      </c>
      <c r="I124" s="575">
        <v>1</v>
      </c>
      <c r="J124" s="575">
        <v>1</v>
      </c>
      <c r="K124" s="575"/>
      <c r="L124" s="1524" t="s">
        <v>720</v>
      </c>
      <c r="M124" s="575">
        <v>1</v>
      </c>
      <c r="N124" s="575">
        <v>1</v>
      </c>
      <c r="O124" s="575">
        <v>1</v>
      </c>
      <c r="P124" s="575">
        <v>1</v>
      </c>
      <c r="Q124" s="575">
        <v>1</v>
      </c>
      <c r="R124" s="575"/>
      <c r="S124" s="575">
        <v>1</v>
      </c>
      <c r="T124" s="575">
        <v>1</v>
      </c>
      <c r="U124" s="575">
        <v>1</v>
      </c>
      <c r="V124" s="575">
        <v>1</v>
      </c>
      <c r="W124" s="575">
        <v>1</v>
      </c>
      <c r="X124" s="575">
        <v>1</v>
      </c>
      <c r="Y124" s="575"/>
      <c r="Z124" s="575">
        <v>1</v>
      </c>
      <c r="AA124" s="575">
        <v>1</v>
      </c>
      <c r="AB124" s="575">
        <v>1</v>
      </c>
      <c r="AC124" s="575">
        <v>1</v>
      </c>
      <c r="AD124" s="575">
        <v>1</v>
      </c>
      <c r="AE124" s="575">
        <v>1</v>
      </c>
      <c r="AF124" s="575"/>
      <c r="AG124" s="575">
        <v>1</v>
      </c>
      <c r="AH124" s="575">
        <v>1</v>
      </c>
      <c r="AI124" s="575">
        <v>1</v>
      </c>
      <c r="AJ124" s="604">
        <f t="shared" ref="AJ124" si="142">SUM(E124:AI124)-AK124</f>
        <v>26</v>
      </c>
      <c r="AK124" s="604">
        <f t="shared" ref="AK124" si="143">SUMIF($E$5:$AI$5,"LT",E124:AI124)</f>
        <v>0</v>
      </c>
      <c r="AL124" s="604">
        <f t="shared" ref="AL124" si="144">COUNTIF(E124:AI124,"P")</f>
        <v>0</v>
      </c>
      <c r="AM124" s="604">
        <f t="shared" ref="AM124" si="145">COUNTIF(E124:AI124,"LT")+MOD(AK124,1)</f>
        <v>1</v>
      </c>
      <c r="AN124" s="606"/>
      <c r="AO124" s="653"/>
      <c r="AP124" s="1547"/>
      <c r="AQ124" s="1547"/>
      <c r="AR124" s="1547"/>
      <c r="AS124" s="1547"/>
      <c r="AT124" s="1547"/>
      <c r="AU124" s="1547"/>
      <c r="AV124" s="1547"/>
      <c r="AW124" s="1547"/>
      <c r="AX124" s="1547"/>
      <c r="AY124" s="1547"/>
      <c r="AZ124" s="1547"/>
      <c r="BA124" s="1547"/>
      <c r="BB124" s="1547"/>
      <c r="BC124" s="1547"/>
      <c r="BD124" s="1547"/>
      <c r="BE124" s="1547"/>
      <c r="BF124" s="1547"/>
      <c r="BG124" s="1547"/>
      <c r="BH124" s="1547"/>
      <c r="BI124" s="1547"/>
      <c r="BJ124" s="1547"/>
      <c r="BK124" s="1547"/>
      <c r="BL124" s="1547"/>
      <c r="BM124" s="1547"/>
      <c r="BN124" s="1547"/>
      <c r="BO124" s="1547"/>
      <c r="BP124" s="1547"/>
      <c r="BQ124" s="1547"/>
      <c r="BR124" s="1547"/>
      <c r="BS124" s="1547"/>
      <c r="BT124" s="604">
        <f t="shared" si="99"/>
        <v>0</v>
      </c>
      <c r="BU124" s="604">
        <f t="shared" si="100"/>
        <v>0</v>
      </c>
      <c r="BV124" s="633"/>
      <c r="BW124" s="1513">
        <v>15000</v>
      </c>
      <c r="BX124" s="637">
        <f t="shared" ref="BX124:BX151" si="146">BW124</f>
        <v>15000</v>
      </c>
      <c r="BY124" s="637"/>
    </row>
    <row r="125" spans="1:78" s="544" customFormat="1">
      <c r="A125" s="578">
        <v>62</v>
      </c>
      <c r="B125" s="650" t="s">
        <v>428</v>
      </c>
      <c r="C125" s="577" t="str">
        <f>VLOOKUP(B125,'Luong VP'!$B$10:$D$250,2,0)</f>
        <v xml:space="preserve"> Đào Ngọc Long </v>
      </c>
      <c r="D125" s="106" t="str">
        <f>VLOOKUP(B125,'Luong VP'!$B$10:$D$250,3,0)</f>
        <v>Trưởng BP kế hoạch sản xuất</v>
      </c>
      <c r="E125" s="575">
        <v>1</v>
      </c>
      <c r="F125" s="575">
        <v>1</v>
      </c>
      <c r="G125" s="575">
        <v>1</v>
      </c>
      <c r="H125" s="575">
        <v>1</v>
      </c>
      <c r="I125" s="575">
        <v>1</v>
      </c>
      <c r="J125" s="575">
        <v>1</v>
      </c>
      <c r="K125" s="575"/>
      <c r="L125" s="1524" t="s">
        <v>720</v>
      </c>
      <c r="M125" s="575">
        <v>1</v>
      </c>
      <c r="N125" s="575">
        <v>1</v>
      </c>
      <c r="O125" s="575">
        <v>1</v>
      </c>
      <c r="P125" s="575">
        <v>1</v>
      </c>
      <c r="Q125" s="575">
        <v>1</v>
      </c>
      <c r="R125" s="575"/>
      <c r="S125" s="575">
        <v>1</v>
      </c>
      <c r="T125" s="575">
        <v>1</v>
      </c>
      <c r="U125" s="575">
        <v>1</v>
      </c>
      <c r="V125" s="575">
        <v>1</v>
      </c>
      <c r="W125" s="575">
        <v>1</v>
      </c>
      <c r="X125" s="575">
        <v>1</v>
      </c>
      <c r="Y125" s="575"/>
      <c r="Z125" s="575">
        <v>1</v>
      </c>
      <c r="AA125" s="575">
        <v>1</v>
      </c>
      <c r="AB125" s="575">
        <v>1</v>
      </c>
      <c r="AC125" s="575">
        <v>1</v>
      </c>
      <c r="AD125" s="575">
        <v>1</v>
      </c>
      <c r="AE125" s="575">
        <v>1</v>
      </c>
      <c r="AF125" s="575"/>
      <c r="AG125" s="575">
        <v>1</v>
      </c>
      <c r="AH125" s="575">
        <v>1</v>
      </c>
      <c r="AI125" s="575">
        <v>1</v>
      </c>
      <c r="AJ125" s="604">
        <f t="shared" ref="AJ125:AJ130" si="147">SUM(E125:AI125)-AK125</f>
        <v>26</v>
      </c>
      <c r="AK125" s="604">
        <f t="shared" ref="AK125:AK130" si="148">SUMIF($E$5:$AI$5,"LT",E125:AI125)</f>
        <v>0</v>
      </c>
      <c r="AL125" s="604">
        <f t="shared" ref="AL125:AL130" si="149">COUNTIF(E125:AI125,"P")</f>
        <v>0</v>
      </c>
      <c r="AM125" s="604">
        <f t="shared" ref="AM125:AM130" si="150">COUNTIF(E125:AI125,"LT")+MOD(AK125,1)</f>
        <v>1</v>
      </c>
      <c r="AN125" s="606"/>
      <c r="AO125" s="653"/>
      <c r="AP125" s="1547"/>
      <c r="AQ125" s="1547"/>
      <c r="AR125" s="1547"/>
      <c r="AS125" s="1547"/>
      <c r="AT125" s="1547"/>
      <c r="AU125" s="1547"/>
      <c r="AV125" s="1547"/>
      <c r="AW125" s="1547"/>
      <c r="AX125" s="1547"/>
      <c r="AY125" s="1547"/>
      <c r="AZ125" s="1547"/>
      <c r="BA125" s="1547"/>
      <c r="BB125" s="1547"/>
      <c r="BC125" s="1547"/>
      <c r="BD125" s="1547"/>
      <c r="BE125" s="1547"/>
      <c r="BF125" s="1547"/>
      <c r="BG125" s="1547"/>
      <c r="BH125" s="1547"/>
      <c r="BI125" s="1547">
        <v>6</v>
      </c>
      <c r="BJ125" s="1547"/>
      <c r="BK125" s="1547"/>
      <c r="BL125" s="1547"/>
      <c r="BM125" s="1547"/>
      <c r="BN125" s="1547"/>
      <c r="BO125" s="1547"/>
      <c r="BP125" s="1547">
        <v>7.2</v>
      </c>
      <c r="BQ125" s="1547"/>
      <c r="BR125" s="1547"/>
      <c r="BS125" s="1547"/>
      <c r="BT125" s="604">
        <f t="shared" si="99"/>
        <v>0</v>
      </c>
      <c r="BU125" s="604">
        <f t="shared" si="100"/>
        <v>13.2</v>
      </c>
      <c r="BV125" s="633"/>
      <c r="BW125" s="1513">
        <v>2000</v>
      </c>
      <c r="BX125" s="637">
        <f t="shared" si="146"/>
        <v>2000</v>
      </c>
      <c r="BY125" s="638">
        <v>0</v>
      </c>
    </row>
    <row r="126" spans="1:78" s="544" customFormat="1">
      <c r="A126" s="578">
        <v>62</v>
      </c>
      <c r="B126" s="650" t="s">
        <v>475</v>
      </c>
      <c r="C126" s="577" t="str">
        <f>VLOOKUP(B126,'Luong VP'!$B$10:$D$250,2,0)</f>
        <v>Phạm Thành Nhân</v>
      </c>
      <c r="D126" s="106" t="str">
        <f>VLOOKUP(B126,'Luong VP'!$B$10:$D$250,3,0)</f>
        <v>Trưởng BP thống kê sản xuất</v>
      </c>
      <c r="E126" s="575">
        <v>1</v>
      </c>
      <c r="F126" s="575">
        <v>1</v>
      </c>
      <c r="G126" s="575">
        <v>1</v>
      </c>
      <c r="H126" s="575">
        <v>1</v>
      </c>
      <c r="I126" s="575">
        <v>1</v>
      </c>
      <c r="J126" s="575">
        <v>1</v>
      </c>
      <c r="K126" s="575"/>
      <c r="L126" s="1524" t="s">
        <v>720</v>
      </c>
      <c r="M126" s="575">
        <v>1</v>
      </c>
      <c r="N126" s="575">
        <v>1</v>
      </c>
      <c r="O126" s="575">
        <v>1</v>
      </c>
      <c r="P126" s="575">
        <v>1</v>
      </c>
      <c r="Q126" s="575">
        <v>1</v>
      </c>
      <c r="R126" s="575"/>
      <c r="S126" s="575">
        <v>1</v>
      </c>
      <c r="T126" s="575">
        <v>1</v>
      </c>
      <c r="U126" s="575">
        <v>1</v>
      </c>
      <c r="V126" s="575">
        <v>1</v>
      </c>
      <c r="W126" s="575">
        <v>1</v>
      </c>
      <c r="X126" s="575">
        <v>1</v>
      </c>
      <c r="Y126" s="575"/>
      <c r="Z126" s="575">
        <v>1</v>
      </c>
      <c r="AA126" s="575">
        <v>1</v>
      </c>
      <c r="AB126" s="575">
        <v>1</v>
      </c>
      <c r="AC126" s="575">
        <v>1</v>
      </c>
      <c r="AD126" s="575">
        <v>1</v>
      </c>
      <c r="AE126" s="575">
        <v>1</v>
      </c>
      <c r="AF126" s="575"/>
      <c r="AG126" s="575">
        <v>1</v>
      </c>
      <c r="AH126" s="575">
        <v>1</v>
      </c>
      <c r="AI126" s="575">
        <v>1</v>
      </c>
      <c r="AJ126" s="604">
        <f t="shared" si="147"/>
        <v>26</v>
      </c>
      <c r="AK126" s="604">
        <f t="shared" si="148"/>
        <v>0</v>
      </c>
      <c r="AL126" s="604">
        <f t="shared" si="149"/>
        <v>0</v>
      </c>
      <c r="AM126" s="604">
        <f t="shared" si="150"/>
        <v>1</v>
      </c>
      <c r="AN126" s="652"/>
      <c r="AO126" s="653"/>
      <c r="AP126" s="1547"/>
      <c r="AQ126" s="1547"/>
      <c r="AR126" s="1547"/>
      <c r="AS126" s="1547"/>
      <c r="AT126" s="1547"/>
      <c r="AU126" s="1547"/>
      <c r="AV126" s="1547"/>
      <c r="AW126" s="1547"/>
      <c r="AX126" s="1547"/>
      <c r="AY126" s="1547"/>
      <c r="AZ126" s="1547"/>
      <c r="BA126" s="1547"/>
      <c r="BB126" s="1547"/>
      <c r="BC126" s="1547"/>
      <c r="BD126" s="1547"/>
      <c r="BE126" s="1547"/>
      <c r="BF126" s="1547"/>
      <c r="BG126" s="1547"/>
      <c r="BH126" s="1547"/>
      <c r="BI126" s="1547"/>
      <c r="BJ126" s="1547"/>
      <c r="BK126" s="1547"/>
      <c r="BL126" s="1547"/>
      <c r="BM126" s="1547"/>
      <c r="BN126" s="1547"/>
      <c r="BO126" s="1547"/>
      <c r="BP126" s="1547"/>
      <c r="BQ126" s="1547"/>
      <c r="BR126" s="1547"/>
      <c r="BS126" s="1547"/>
      <c r="BT126" s="604">
        <f t="shared" si="99"/>
        <v>0</v>
      </c>
      <c r="BU126" s="604">
        <f t="shared" si="100"/>
        <v>0</v>
      </c>
      <c r="BV126" s="633"/>
      <c r="BW126" s="1513">
        <v>0</v>
      </c>
      <c r="BX126" s="637">
        <f t="shared" si="146"/>
        <v>0</v>
      </c>
      <c r="BY126" s="638">
        <v>0</v>
      </c>
    </row>
    <row r="127" spans="1:78" s="544" customFormat="1">
      <c r="A127" s="578">
        <v>62</v>
      </c>
      <c r="B127" s="650" t="s">
        <v>477</v>
      </c>
      <c r="C127" s="577" t="str">
        <f>VLOOKUP(B127,'Luong VP'!$B$10:$D$250,2,0)</f>
        <v>Mai Thanh Điền</v>
      </c>
      <c r="D127" s="106" t="str">
        <f>VLOOKUP(B127,'Luong VP'!$B$10:$D$250,3,0)</f>
        <v xml:space="preserve">NV thống kê ĐS - PB nguyên liệu </v>
      </c>
      <c r="E127" s="575">
        <v>1</v>
      </c>
      <c r="F127" s="575">
        <v>1</v>
      </c>
      <c r="G127" s="575">
        <v>1</v>
      </c>
      <c r="H127" s="575">
        <v>1</v>
      </c>
      <c r="I127" s="575">
        <v>1</v>
      </c>
      <c r="J127" s="575">
        <v>1</v>
      </c>
      <c r="K127" s="575"/>
      <c r="L127" s="1524" t="s">
        <v>720</v>
      </c>
      <c r="M127" s="575">
        <v>1</v>
      </c>
      <c r="N127" s="575">
        <v>1</v>
      </c>
      <c r="O127" s="575">
        <v>1</v>
      </c>
      <c r="P127" s="575">
        <v>1</v>
      </c>
      <c r="Q127" s="575">
        <v>1</v>
      </c>
      <c r="R127" s="575"/>
      <c r="S127" s="575">
        <v>1</v>
      </c>
      <c r="T127" s="575">
        <v>1</v>
      </c>
      <c r="U127" s="575">
        <v>1</v>
      </c>
      <c r="V127" s="575">
        <v>1</v>
      </c>
      <c r="W127" s="575">
        <v>1</v>
      </c>
      <c r="X127" s="575">
        <v>1</v>
      </c>
      <c r="Y127" s="575"/>
      <c r="Z127" s="575">
        <v>1</v>
      </c>
      <c r="AA127" s="575">
        <v>1</v>
      </c>
      <c r="AB127" s="575">
        <v>1</v>
      </c>
      <c r="AC127" s="575">
        <v>1</v>
      </c>
      <c r="AD127" s="575">
        <v>1</v>
      </c>
      <c r="AE127" s="575">
        <v>1</v>
      </c>
      <c r="AF127" s="575"/>
      <c r="AG127" s="575">
        <v>1</v>
      </c>
      <c r="AH127" s="575">
        <v>1</v>
      </c>
      <c r="AI127" s="575">
        <v>1</v>
      </c>
      <c r="AJ127" s="604">
        <f t="shared" si="147"/>
        <v>26</v>
      </c>
      <c r="AK127" s="604">
        <f t="shared" si="148"/>
        <v>0</v>
      </c>
      <c r="AL127" s="604">
        <f t="shared" si="149"/>
        <v>0</v>
      </c>
      <c r="AM127" s="604">
        <f t="shared" si="150"/>
        <v>1</v>
      </c>
      <c r="AN127" s="652"/>
      <c r="AO127" s="653">
        <v>5</v>
      </c>
      <c r="AP127" s="1547"/>
      <c r="AQ127" s="1547">
        <v>1</v>
      </c>
      <c r="AR127" s="1547">
        <v>6</v>
      </c>
      <c r="AS127" s="1547"/>
      <c r="AT127" s="1547"/>
      <c r="AU127" s="1547">
        <v>8</v>
      </c>
      <c r="AV127" s="1547"/>
      <c r="AW127" s="1547">
        <v>4.5</v>
      </c>
      <c r="AX127" s="1547">
        <v>4.5</v>
      </c>
      <c r="AY127" s="1547"/>
      <c r="AZ127" s="1547"/>
      <c r="BA127" s="1547">
        <v>3</v>
      </c>
      <c r="BB127" s="1547"/>
      <c r="BC127" s="1547"/>
      <c r="BD127" s="1547">
        <v>2</v>
      </c>
      <c r="BE127" s="1547">
        <v>2</v>
      </c>
      <c r="BF127" s="1547">
        <v>2</v>
      </c>
      <c r="BG127" s="1547">
        <v>2</v>
      </c>
      <c r="BH127" s="1547">
        <v>2</v>
      </c>
      <c r="BI127" s="1547">
        <v>9</v>
      </c>
      <c r="BJ127" s="1547">
        <v>1</v>
      </c>
      <c r="BK127" s="1547"/>
      <c r="BL127" s="1547">
        <f>2+4.5</f>
        <v>6.5</v>
      </c>
      <c r="BM127" s="1547">
        <v>5</v>
      </c>
      <c r="BN127" s="1547">
        <v>1.5</v>
      </c>
      <c r="BO127" s="1547">
        <v>1</v>
      </c>
      <c r="BP127" s="1547">
        <v>8</v>
      </c>
      <c r="BQ127" s="1547">
        <v>1</v>
      </c>
      <c r="BR127" s="1547">
        <v>4.5</v>
      </c>
      <c r="BS127" s="1547">
        <v>1</v>
      </c>
      <c r="BT127" s="604">
        <f t="shared" si="99"/>
        <v>55.5</v>
      </c>
      <c r="BU127" s="604">
        <f t="shared" si="100"/>
        <v>25</v>
      </c>
      <c r="BV127" s="633"/>
      <c r="BW127" s="1513">
        <v>4000</v>
      </c>
      <c r="BX127" s="637">
        <f t="shared" si="146"/>
        <v>4000</v>
      </c>
      <c r="BY127" s="638">
        <v>0</v>
      </c>
    </row>
    <row r="128" spans="1:78" s="544" customFormat="1">
      <c r="A128" s="578">
        <v>62</v>
      </c>
      <c r="B128" s="650" t="s">
        <v>479</v>
      </c>
      <c r="C128" s="577" t="str">
        <f>VLOOKUP(B128,'Luong VP'!$B$10:$D$250,2,0)</f>
        <v>Trần Minh Tâm</v>
      </c>
      <c r="D128" s="106" t="str">
        <f>VLOOKUP(B128,'Luong VP'!$B$10:$D$250,3,0)</f>
        <v>NV thống kê ĐS - PB thành phẩm</v>
      </c>
      <c r="E128" s="575">
        <v>1</v>
      </c>
      <c r="F128" s="575">
        <v>1</v>
      </c>
      <c r="G128" s="575">
        <v>1</v>
      </c>
      <c r="H128" s="575">
        <v>1</v>
      </c>
      <c r="I128" s="575">
        <v>1</v>
      </c>
      <c r="J128" s="575">
        <v>1</v>
      </c>
      <c r="K128" s="575"/>
      <c r="L128" s="1524" t="s">
        <v>720</v>
      </c>
      <c r="M128" s="575">
        <v>1</v>
      </c>
      <c r="N128" s="575">
        <v>1</v>
      </c>
      <c r="O128" s="575">
        <v>1</v>
      </c>
      <c r="P128" s="575">
        <v>1</v>
      </c>
      <c r="Q128" s="575">
        <v>1</v>
      </c>
      <c r="R128" s="575"/>
      <c r="S128" s="575">
        <v>1</v>
      </c>
      <c r="T128" s="575">
        <v>1</v>
      </c>
      <c r="U128" s="575">
        <v>1</v>
      </c>
      <c r="V128" s="575">
        <v>1</v>
      </c>
      <c r="W128" s="575">
        <v>1</v>
      </c>
      <c r="X128" s="575">
        <v>1</v>
      </c>
      <c r="Y128" s="575"/>
      <c r="Z128" s="575">
        <v>1</v>
      </c>
      <c r="AA128" s="575">
        <v>1</v>
      </c>
      <c r="AB128" s="575">
        <v>1</v>
      </c>
      <c r="AC128" s="575">
        <v>1</v>
      </c>
      <c r="AD128" s="575">
        <v>1</v>
      </c>
      <c r="AE128" s="575">
        <v>1</v>
      </c>
      <c r="AF128" s="575"/>
      <c r="AG128" s="575">
        <v>1</v>
      </c>
      <c r="AH128" s="575">
        <v>1</v>
      </c>
      <c r="AI128" s="575">
        <v>1</v>
      </c>
      <c r="AJ128" s="604">
        <f t="shared" si="147"/>
        <v>26</v>
      </c>
      <c r="AK128" s="604">
        <f t="shared" si="148"/>
        <v>0</v>
      </c>
      <c r="AL128" s="604">
        <f t="shared" si="149"/>
        <v>0</v>
      </c>
      <c r="AM128" s="604">
        <f t="shared" si="150"/>
        <v>1</v>
      </c>
      <c r="AN128" s="652"/>
      <c r="AO128" s="653">
        <v>5</v>
      </c>
      <c r="AP128" s="1547"/>
      <c r="AQ128" s="1547"/>
      <c r="AR128" s="1547"/>
      <c r="AS128" s="1547"/>
      <c r="AT128" s="1547">
        <v>4.5</v>
      </c>
      <c r="AU128" s="1547"/>
      <c r="AV128" s="1547"/>
      <c r="AW128" s="1547">
        <v>5</v>
      </c>
      <c r="AX128" s="1547">
        <v>1</v>
      </c>
      <c r="AY128" s="1547"/>
      <c r="AZ128" s="1547">
        <v>4.5</v>
      </c>
      <c r="BA128" s="1547"/>
      <c r="BB128" s="1547">
        <v>8.5</v>
      </c>
      <c r="BC128" s="1547">
        <v>4.5</v>
      </c>
      <c r="BD128" s="1547">
        <v>5</v>
      </c>
      <c r="BE128" s="1547"/>
      <c r="BF128" s="1547"/>
      <c r="BG128" s="1547">
        <v>4.5</v>
      </c>
      <c r="BH128" s="1547"/>
      <c r="BI128" s="1547"/>
      <c r="BJ128" s="1547"/>
      <c r="BK128" s="1547">
        <v>5.5</v>
      </c>
      <c r="BL128" s="1547">
        <v>1</v>
      </c>
      <c r="BM128" s="1547"/>
      <c r="BN128" s="1547"/>
      <c r="BO128" s="1547">
        <v>5</v>
      </c>
      <c r="BP128" s="1547"/>
      <c r="BQ128" s="1547">
        <v>5.5</v>
      </c>
      <c r="BR128" s="1547"/>
      <c r="BS128" s="1547">
        <v>5.5</v>
      </c>
      <c r="BT128" s="604">
        <f t="shared" si="99"/>
        <v>56.5</v>
      </c>
      <c r="BU128" s="604">
        <f t="shared" si="100"/>
        <v>8.5</v>
      </c>
      <c r="BV128" s="633"/>
      <c r="BW128" s="1513">
        <v>0</v>
      </c>
      <c r="BX128" s="637">
        <f t="shared" si="146"/>
        <v>0</v>
      </c>
      <c r="BY128" s="638">
        <v>0</v>
      </c>
    </row>
    <row r="129" spans="1:78" s="544" customFormat="1">
      <c r="A129" s="578">
        <v>62</v>
      </c>
      <c r="B129" s="650" t="s">
        <v>481</v>
      </c>
      <c r="C129" s="577" t="str">
        <f>VLOOKUP(B129,'Luong VP'!$B$10:$D$250,2,0)</f>
        <v>Lê Thị Duyên</v>
      </c>
      <c r="D129" s="106" t="str">
        <f>VLOOKUP(B129,'Luong VP'!$B$10:$D$250,3,0)</f>
        <v xml:space="preserve">NV thống kê ĐS - PB nguyên liệu </v>
      </c>
      <c r="E129" s="575">
        <v>1</v>
      </c>
      <c r="F129" s="575">
        <v>1</v>
      </c>
      <c r="G129" s="575">
        <v>1</v>
      </c>
      <c r="H129" s="575">
        <v>1</v>
      </c>
      <c r="I129" s="575">
        <v>1</v>
      </c>
      <c r="J129" s="575">
        <v>1</v>
      </c>
      <c r="K129" s="575"/>
      <c r="L129" s="1524" t="s">
        <v>720</v>
      </c>
      <c r="M129" s="575">
        <v>1</v>
      </c>
      <c r="N129" s="575">
        <v>1</v>
      </c>
      <c r="O129" s="575">
        <v>1</v>
      </c>
      <c r="P129" s="575">
        <v>1</v>
      </c>
      <c r="Q129" s="575">
        <v>1</v>
      </c>
      <c r="R129" s="575"/>
      <c r="S129" s="575">
        <v>1</v>
      </c>
      <c r="T129" s="575">
        <v>1</v>
      </c>
      <c r="U129" s="575">
        <v>1</v>
      </c>
      <c r="V129" s="575">
        <v>1</v>
      </c>
      <c r="W129" s="575">
        <v>1</v>
      </c>
      <c r="X129" s="575">
        <v>1</v>
      </c>
      <c r="Y129" s="575"/>
      <c r="Z129" s="575">
        <v>1</v>
      </c>
      <c r="AA129" s="575">
        <v>1</v>
      </c>
      <c r="AB129" s="575">
        <v>1</v>
      </c>
      <c r="AC129" s="575">
        <v>1</v>
      </c>
      <c r="AD129" s="575">
        <v>1</v>
      </c>
      <c r="AE129" s="575">
        <v>1</v>
      </c>
      <c r="AF129" s="575"/>
      <c r="AG129" s="575">
        <v>1</v>
      </c>
      <c r="AH129" s="575">
        <v>1</v>
      </c>
      <c r="AI129" s="575">
        <v>1</v>
      </c>
      <c r="AJ129" s="604">
        <f t="shared" si="147"/>
        <v>26</v>
      </c>
      <c r="AK129" s="604">
        <f t="shared" si="148"/>
        <v>0</v>
      </c>
      <c r="AL129" s="604">
        <f t="shared" si="149"/>
        <v>0</v>
      </c>
      <c r="AM129" s="604">
        <f t="shared" si="150"/>
        <v>1</v>
      </c>
      <c r="AN129" s="652"/>
      <c r="AO129" s="653"/>
      <c r="AP129" s="1547"/>
      <c r="AQ129" s="1547"/>
      <c r="AR129" s="1547"/>
      <c r="AS129" s="1547"/>
      <c r="AT129" s="1547"/>
      <c r="AU129" s="1547"/>
      <c r="AV129" s="1547"/>
      <c r="AW129" s="1547"/>
      <c r="AX129" s="1547"/>
      <c r="AY129" s="1547"/>
      <c r="AZ129" s="1547"/>
      <c r="BA129" s="1547"/>
      <c r="BB129" s="1547"/>
      <c r="BC129" s="1547"/>
      <c r="BD129" s="1547"/>
      <c r="BE129" s="1547"/>
      <c r="BF129" s="1547"/>
      <c r="BG129" s="1547"/>
      <c r="BH129" s="1547"/>
      <c r="BI129" s="1547"/>
      <c r="BJ129" s="1547"/>
      <c r="BK129" s="1547"/>
      <c r="BL129" s="1547"/>
      <c r="BM129" s="1547"/>
      <c r="BN129" s="1547"/>
      <c r="BO129" s="1547"/>
      <c r="BP129" s="1547"/>
      <c r="BQ129" s="1547"/>
      <c r="BR129" s="1547"/>
      <c r="BS129" s="1547"/>
      <c r="BT129" s="604">
        <f t="shared" si="99"/>
        <v>0</v>
      </c>
      <c r="BU129" s="604">
        <f t="shared" si="100"/>
        <v>0</v>
      </c>
      <c r="BV129" s="633"/>
      <c r="BW129" s="1513">
        <v>3000</v>
      </c>
      <c r="BX129" s="637">
        <f t="shared" si="146"/>
        <v>3000</v>
      </c>
      <c r="BY129" s="638">
        <v>0</v>
      </c>
    </row>
    <row r="130" spans="1:78" s="544" customFormat="1">
      <c r="A130" s="578">
        <v>62</v>
      </c>
      <c r="B130" s="650" t="s">
        <v>483</v>
      </c>
      <c r="C130" s="577" t="str">
        <f>VLOOKUP(B130,'Luong VP'!$B$10:$D$250,2,0)</f>
        <v>Đoàn Tấn Tài</v>
      </c>
      <c r="D130" s="106" t="str">
        <f>VLOOKUP(B130,'Luong VP'!$B$10:$D$250,3,0)</f>
        <v>NV thống kê xử lý bùn</v>
      </c>
      <c r="E130" s="575">
        <v>1</v>
      </c>
      <c r="F130" s="575">
        <v>1</v>
      </c>
      <c r="G130" s="575">
        <v>1</v>
      </c>
      <c r="H130" s="575">
        <v>1</v>
      </c>
      <c r="I130" s="575">
        <v>1</v>
      </c>
      <c r="J130" s="575">
        <v>1</v>
      </c>
      <c r="K130" s="575"/>
      <c r="L130" s="1524" t="s">
        <v>720</v>
      </c>
      <c r="M130" s="575">
        <v>1</v>
      </c>
      <c r="N130" s="575">
        <v>1</v>
      </c>
      <c r="O130" s="575">
        <v>1</v>
      </c>
      <c r="P130" s="575">
        <v>1</v>
      </c>
      <c r="Q130" s="575">
        <v>1</v>
      </c>
      <c r="R130" s="575"/>
      <c r="S130" s="575">
        <v>1</v>
      </c>
      <c r="T130" s="575">
        <v>1</v>
      </c>
      <c r="U130" s="575">
        <v>1</v>
      </c>
      <c r="V130" s="575">
        <v>1</v>
      </c>
      <c r="W130" s="575">
        <v>1</v>
      </c>
      <c r="X130" s="575">
        <v>1</v>
      </c>
      <c r="Y130" s="575"/>
      <c r="Z130" s="575">
        <v>1</v>
      </c>
      <c r="AA130" s="575">
        <v>1</v>
      </c>
      <c r="AB130" s="575">
        <v>1</v>
      </c>
      <c r="AC130" s="575">
        <v>1</v>
      </c>
      <c r="AD130" s="575">
        <v>1</v>
      </c>
      <c r="AE130" s="575">
        <v>1</v>
      </c>
      <c r="AF130" s="575"/>
      <c r="AG130" s="575">
        <v>1</v>
      </c>
      <c r="AH130" s="575">
        <v>1</v>
      </c>
      <c r="AI130" s="575">
        <v>1</v>
      </c>
      <c r="AJ130" s="604">
        <f t="shared" si="147"/>
        <v>26</v>
      </c>
      <c r="AK130" s="604">
        <f t="shared" si="148"/>
        <v>0</v>
      </c>
      <c r="AL130" s="604">
        <f t="shared" si="149"/>
        <v>0</v>
      </c>
      <c r="AM130" s="604">
        <f t="shared" si="150"/>
        <v>1</v>
      </c>
      <c r="AN130" s="652"/>
      <c r="AO130" s="653"/>
      <c r="AP130" s="1547"/>
      <c r="AQ130" s="1547">
        <v>4.5</v>
      </c>
      <c r="AR130" s="1547"/>
      <c r="AS130" s="1547"/>
      <c r="AT130" s="1547"/>
      <c r="AU130" s="1547"/>
      <c r="AV130" s="1547"/>
      <c r="AW130" s="1547">
        <v>4.5</v>
      </c>
      <c r="AX130" s="1547">
        <v>4.5</v>
      </c>
      <c r="AY130" s="1547"/>
      <c r="AZ130" s="1547"/>
      <c r="BA130" s="1547">
        <v>4.5</v>
      </c>
      <c r="BB130" s="1547"/>
      <c r="BC130" s="1547"/>
      <c r="BD130" s="1547"/>
      <c r="BE130" s="1547">
        <v>5</v>
      </c>
      <c r="BF130" s="1547"/>
      <c r="BG130" s="1547"/>
      <c r="BH130" s="1547"/>
      <c r="BI130" s="1547">
        <v>8</v>
      </c>
      <c r="BJ130" s="1547">
        <v>4.5</v>
      </c>
      <c r="BK130" s="1547"/>
      <c r="BL130" s="1547"/>
      <c r="BM130" s="1547">
        <v>4.5</v>
      </c>
      <c r="BN130" s="1547">
        <v>4.5</v>
      </c>
      <c r="BO130" s="1547"/>
      <c r="BP130" s="1547"/>
      <c r="BQ130" s="1547">
        <v>1</v>
      </c>
      <c r="BR130" s="1547">
        <v>1</v>
      </c>
      <c r="BS130" s="1547">
        <v>1</v>
      </c>
      <c r="BT130" s="604">
        <f t="shared" si="99"/>
        <v>39.5</v>
      </c>
      <c r="BU130" s="604">
        <f t="shared" si="100"/>
        <v>8</v>
      </c>
      <c r="BV130" s="633"/>
      <c r="BW130" s="1513">
        <v>0</v>
      </c>
      <c r="BX130" s="637">
        <f t="shared" si="146"/>
        <v>0</v>
      </c>
      <c r="BY130" s="638">
        <v>0</v>
      </c>
    </row>
    <row r="131" spans="1:78" s="544" customFormat="1">
      <c r="A131" s="570"/>
      <c r="B131" s="109"/>
      <c r="C131" s="95" t="s">
        <v>485</v>
      </c>
      <c r="D131" s="96"/>
      <c r="E131" s="96"/>
      <c r="F131" s="96"/>
      <c r="G131" s="96"/>
      <c r="H131" s="96"/>
      <c r="I131" s="96"/>
      <c r="J131" s="96"/>
      <c r="K131" s="96"/>
      <c r="L131" s="96"/>
      <c r="M131" s="96"/>
      <c r="N131" s="96"/>
      <c r="O131" s="96"/>
      <c r="P131" s="96"/>
      <c r="Q131" s="96"/>
      <c r="R131" s="96"/>
      <c r="S131" s="96"/>
      <c r="T131" s="96"/>
      <c r="U131" s="96"/>
      <c r="V131" s="96"/>
      <c r="W131" s="96"/>
      <c r="X131" s="96"/>
      <c r="Y131" s="96"/>
      <c r="Z131" s="96"/>
      <c r="AA131" s="96"/>
      <c r="AB131" s="96"/>
      <c r="AC131" s="96"/>
      <c r="AD131" s="96"/>
      <c r="AE131" s="96"/>
      <c r="AF131" s="96"/>
      <c r="AG131" s="96"/>
      <c r="AH131" s="96"/>
      <c r="AI131" s="96"/>
      <c r="AJ131" s="96"/>
      <c r="AK131" s="96"/>
      <c r="AL131" s="571"/>
      <c r="AM131" s="571"/>
      <c r="AN131" s="606"/>
      <c r="AO131" s="623"/>
      <c r="AP131" s="623"/>
      <c r="AQ131" s="623"/>
      <c r="AR131" s="623"/>
      <c r="AS131" s="623"/>
      <c r="AT131" s="623"/>
      <c r="AU131" s="623"/>
      <c r="AV131" s="623"/>
      <c r="AW131" s="623"/>
      <c r="AX131" s="623"/>
      <c r="AY131" s="623"/>
      <c r="AZ131" s="623"/>
      <c r="BA131" s="623"/>
      <c r="BB131" s="623"/>
      <c r="BC131" s="623"/>
      <c r="BD131" s="623"/>
      <c r="BE131" s="623"/>
      <c r="BF131" s="623"/>
      <c r="BG131" s="623"/>
      <c r="BH131" s="623"/>
      <c r="BI131" s="623"/>
      <c r="BJ131" s="623"/>
      <c r="BK131" s="623"/>
      <c r="BL131" s="623"/>
      <c r="BM131" s="623"/>
      <c r="BN131" s="623"/>
      <c r="BO131" s="623"/>
      <c r="BP131" s="623"/>
      <c r="BQ131" s="623"/>
      <c r="BR131" s="623"/>
      <c r="BS131" s="623"/>
      <c r="BT131" s="623"/>
      <c r="BU131" s="623"/>
      <c r="BV131" s="623"/>
      <c r="BW131" s="623"/>
      <c r="BX131" s="623"/>
      <c r="BY131" s="623"/>
    </row>
    <row r="132" spans="1:78" s="544" customFormat="1">
      <c r="A132" s="578">
        <v>63</v>
      </c>
      <c r="B132" s="91" t="s">
        <v>486</v>
      </c>
      <c r="C132" s="577" t="str">
        <f>VLOOKUP(B132,'Luong VP'!$B$10:$D$250,2,0)</f>
        <v xml:space="preserve"> Nguyễn Ngọc Đông </v>
      </c>
      <c r="D132" s="106" t="str">
        <f>VLOOKUP(B132,'Luong VP'!$B$10:$D$250,3,0)</f>
        <v>Trưởng BP xe cơ giới</v>
      </c>
      <c r="E132" s="1487">
        <v>1</v>
      </c>
      <c r="F132" s="1487">
        <v>1</v>
      </c>
      <c r="G132" s="1487">
        <v>1</v>
      </c>
      <c r="H132" s="1487">
        <v>1</v>
      </c>
      <c r="I132" s="1487">
        <v>1</v>
      </c>
      <c r="J132" s="1487">
        <v>1</v>
      </c>
      <c r="K132" s="1487"/>
      <c r="L132" s="1524" t="s">
        <v>720</v>
      </c>
      <c r="M132" s="1487">
        <v>1</v>
      </c>
      <c r="N132" s="1487">
        <v>1</v>
      </c>
      <c r="O132" s="1487">
        <v>1</v>
      </c>
      <c r="P132" s="1487">
        <v>1</v>
      </c>
      <c r="Q132" s="1487">
        <v>1</v>
      </c>
      <c r="R132" s="1487"/>
      <c r="S132" s="1487">
        <v>1</v>
      </c>
      <c r="T132" s="1487">
        <v>1</v>
      </c>
      <c r="U132" s="1487">
        <v>1</v>
      </c>
      <c r="V132" s="1487">
        <v>1</v>
      </c>
      <c r="W132" s="1487">
        <v>1</v>
      </c>
      <c r="X132" s="1487">
        <v>1</v>
      </c>
      <c r="Y132" s="1487"/>
      <c r="Z132" s="1487">
        <v>1</v>
      </c>
      <c r="AA132" s="1487">
        <v>1</v>
      </c>
      <c r="AB132" s="1487">
        <v>1</v>
      </c>
      <c r="AC132" s="1487">
        <v>1</v>
      </c>
      <c r="AD132" s="1487">
        <v>1</v>
      </c>
      <c r="AE132" s="1487">
        <v>1</v>
      </c>
      <c r="AF132" s="1487"/>
      <c r="AG132" s="1487">
        <v>1</v>
      </c>
      <c r="AH132" s="1487">
        <v>1</v>
      </c>
      <c r="AI132" s="1487">
        <v>1</v>
      </c>
      <c r="AJ132" s="604">
        <f t="shared" ref="AJ132:AJ135" si="151">SUM(E132:AI132)-AK132</f>
        <v>26</v>
      </c>
      <c r="AK132" s="604">
        <f>SUMIF($E$5:$AI$5,"LT",E132:AI132)</f>
        <v>0</v>
      </c>
      <c r="AL132" s="604">
        <f t="shared" ref="AL132:AL135" si="152">COUNTIF(E132:AI132,"P")</f>
        <v>0</v>
      </c>
      <c r="AM132" s="604">
        <f t="shared" ref="AM132:AM135" si="153">COUNTIF(E132:AI132,"LT")+MOD(AK132,1)</f>
        <v>1</v>
      </c>
      <c r="AN132" s="601"/>
      <c r="AO132" s="622"/>
      <c r="AP132" s="622"/>
      <c r="AQ132" s="622"/>
      <c r="AR132" s="622"/>
      <c r="AS132" s="622"/>
      <c r="AT132" s="622"/>
      <c r="AU132" s="622"/>
      <c r="AV132" s="622"/>
      <c r="AW132" s="622"/>
      <c r="AX132" s="622"/>
      <c r="AY132" s="622"/>
      <c r="AZ132" s="622"/>
      <c r="BA132" s="622"/>
      <c r="BB132" s="622"/>
      <c r="BC132" s="622"/>
      <c r="BD132" s="622"/>
      <c r="BE132" s="622"/>
      <c r="BF132" s="622"/>
      <c r="BG132" s="622"/>
      <c r="BH132" s="622"/>
      <c r="BI132" s="622"/>
      <c r="BJ132" s="622"/>
      <c r="BK132" s="622"/>
      <c r="BL132" s="622"/>
      <c r="BM132" s="622"/>
      <c r="BN132" s="622"/>
      <c r="BO132" s="622"/>
      <c r="BP132" s="622"/>
      <c r="BQ132" s="622"/>
      <c r="BR132" s="622"/>
      <c r="BS132" s="622"/>
      <c r="BT132" s="604">
        <f t="shared" si="99"/>
        <v>0</v>
      </c>
      <c r="BU132" s="604">
        <f t="shared" si="100"/>
        <v>0</v>
      </c>
      <c r="BV132" s="633"/>
      <c r="BW132" s="1513">
        <v>5000</v>
      </c>
      <c r="BX132" s="637">
        <f t="shared" si="146"/>
        <v>5000</v>
      </c>
      <c r="BY132" s="638">
        <v>0</v>
      </c>
    </row>
    <row r="133" spans="1:78" s="544" customFormat="1">
      <c r="A133" s="578">
        <v>64</v>
      </c>
      <c r="B133" s="91" t="s">
        <v>488</v>
      </c>
      <c r="C133" s="577" t="str">
        <f>VLOOKUP(B133,'Luong VP'!$B$10:$D$250,2,0)</f>
        <v>Đồng Tấn Tài</v>
      </c>
      <c r="D133" s="106" t="str">
        <f>VLOOKUP(B133,'Luong VP'!$B$10:$D$250,3,0)</f>
        <v>Tổ trưởng XCG xử lý bùn</v>
      </c>
      <c r="E133" s="1487">
        <v>1</v>
      </c>
      <c r="F133" s="1487">
        <v>1</v>
      </c>
      <c r="G133" s="1487">
        <v>1</v>
      </c>
      <c r="H133" s="1487">
        <v>1</v>
      </c>
      <c r="I133" s="1487">
        <v>1</v>
      </c>
      <c r="J133" s="1487">
        <v>1</v>
      </c>
      <c r="K133" s="1487"/>
      <c r="L133" s="1524" t="s">
        <v>720</v>
      </c>
      <c r="M133" s="1487">
        <v>1</v>
      </c>
      <c r="N133" s="1487">
        <v>1</v>
      </c>
      <c r="O133" s="1487">
        <v>1</v>
      </c>
      <c r="P133" s="1487">
        <v>1</v>
      </c>
      <c r="Q133" s="1487">
        <v>1</v>
      </c>
      <c r="R133" s="1487"/>
      <c r="S133" s="1487">
        <v>1</v>
      </c>
      <c r="T133" s="1487">
        <v>1</v>
      </c>
      <c r="U133" s="1487">
        <v>1</v>
      </c>
      <c r="V133" s="1487">
        <v>1</v>
      </c>
      <c r="W133" s="1487">
        <v>1</v>
      </c>
      <c r="X133" s="1487">
        <v>1</v>
      </c>
      <c r="Y133" s="1487"/>
      <c r="Z133" s="1487">
        <v>1</v>
      </c>
      <c r="AA133" s="1487">
        <v>1</v>
      </c>
      <c r="AB133" s="1487">
        <v>1</v>
      </c>
      <c r="AC133" s="1487">
        <v>1</v>
      </c>
      <c r="AD133" s="1487">
        <v>1</v>
      </c>
      <c r="AE133" s="1487">
        <v>1</v>
      </c>
      <c r="AF133" s="1487"/>
      <c r="AG133" s="1487">
        <v>2</v>
      </c>
      <c r="AH133" s="1487">
        <v>2</v>
      </c>
      <c r="AI133" s="1487">
        <v>1</v>
      </c>
      <c r="AJ133" s="604">
        <f t="shared" ref="AJ133" si="154">SUM(E133:AI133)-AK133</f>
        <v>28</v>
      </c>
      <c r="AK133" s="604">
        <f>SUMIF($E$5:$AI$5,"LT",E133:AI133)</f>
        <v>0</v>
      </c>
      <c r="AL133" s="604">
        <f t="shared" ref="AL133" si="155">COUNTIF(E133:AI133,"P")</f>
        <v>0</v>
      </c>
      <c r="AM133" s="604">
        <f t="shared" ref="AM133" si="156">COUNTIF(E133:AI133,"LT")+MOD(AK133,1)</f>
        <v>1</v>
      </c>
      <c r="AN133" s="601"/>
      <c r="AO133" s="622"/>
      <c r="AP133" s="622"/>
      <c r="AQ133" s="622"/>
      <c r="AR133" s="622"/>
      <c r="AS133" s="622"/>
      <c r="AT133" s="622"/>
      <c r="AU133" s="622"/>
      <c r="AV133" s="622"/>
      <c r="AW133" s="622"/>
      <c r="AX133" s="622"/>
      <c r="AY133" s="622"/>
      <c r="AZ133" s="622"/>
      <c r="BA133" s="622"/>
      <c r="BB133" s="622"/>
      <c r="BC133" s="622"/>
      <c r="BD133" s="622"/>
      <c r="BE133" s="622"/>
      <c r="BF133" s="622"/>
      <c r="BG133" s="622"/>
      <c r="BH133" s="622"/>
      <c r="BI133" s="622"/>
      <c r="BJ133" s="622"/>
      <c r="BK133" s="622"/>
      <c r="BL133" s="622"/>
      <c r="BM133" s="622"/>
      <c r="BN133" s="622"/>
      <c r="BO133" s="622"/>
      <c r="BP133" s="622"/>
      <c r="BQ133" s="622"/>
      <c r="BR133" s="622"/>
      <c r="BS133" s="622"/>
      <c r="BT133" s="604">
        <f t="shared" si="99"/>
        <v>0</v>
      </c>
      <c r="BU133" s="604">
        <f t="shared" si="100"/>
        <v>0</v>
      </c>
      <c r="BV133" s="633"/>
      <c r="BW133" s="1513">
        <v>4000</v>
      </c>
      <c r="BX133" s="637">
        <f>BW133+2000</f>
        <v>6000</v>
      </c>
      <c r="BY133" s="638">
        <v>0</v>
      </c>
      <c r="BZ133" s="1346" t="s">
        <v>1260</v>
      </c>
    </row>
    <row r="134" spans="1:78" s="544" customFormat="1">
      <c r="A134" s="570"/>
      <c r="B134" s="109"/>
      <c r="C134" s="95" t="s">
        <v>738</v>
      </c>
      <c r="D134" s="96"/>
      <c r="E134" s="96"/>
      <c r="F134" s="96"/>
      <c r="G134" s="96"/>
      <c r="H134" s="96"/>
      <c r="I134" s="96"/>
      <c r="J134" s="96"/>
      <c r="K134" s="96"/>
      <c r="L134" s="96"/>
      <c r="M134" s="96"/>
      <c r="N134" s="96"/>
      <c r="O134" s="96"/>
      <c r="P134" s="96"/>
      <c r="Q134" s="96"/>
      <c r="R134" s="96"/>
      <c r="S134" s="96"/>
      <c r="T134" s="96"/>
      <c r="U134" s="96"/>
      <c r="V134" s="96"/>
      <c r="W134" s="96"/>
      <c r="X134" s="96"/>
      <c r="Y134" s="96"/>
      <c r="Z134" s="96"/>
      <c r="AA134" s="96"/>
      <c r="AB134" s="96"/>
      <c r="AC134" s="96"/>
      <c r="AD134" s="96"/>
      <c r="AE134" s="96"/>
      <c r="AF134" s="96"/>
      <c r="AG134" s="96"/>
      <c r="AH134" s="96"/>
      <c r="AI134" s="96"/>
      <c r="AJ134" s="96"/>
      <c r="AK134" s="96"/>
      <c r="AL134" s="571"/>
      <c r="AM134" s="571"/>
      <c r="AN134" s="606"/>
      <c r="AO134" s="623"/>
      <c r="AP134" s="623"/>
      <c r="AQ134" s="623"/>
      <c r="AR134" s="623"/>
      <c r="AS134" s="623"/>
      <c r="AT134" s="623"/>
      <c r="AU134" s="623"/>
      <c r="AV134" s="623"/>
      <c r="AW134" s="623"/>
      <c r="AX134" s="623"/>
      <c r="AY134" s="623"/>
      <c r="AZ134" s="623"/>
      <c r="BA134" s="623"/>
      <c r="BB134" s="623"/>
      <c r="BC134" s="623"/>
      <c r="BD134" s="623"/>
      <c r="BE134" s="623"/>
      <c r="BF134" s="623"/>
      <c r="BG134" s="623"/>
      <c r="BH134" s="623"/>
      <c r="BI134" s="623"/>
      <c r="BJ134" s="623"/>
      <c r="BK134" s="623"/>
      <c r="BL134" s="623"/>
      <c r="BM134" s="623"/>
      <c r="BN134" s="623"/>
      <c r="BO134" s="623"/>
      <c r="BP134" s="623"/>
      <c r="BQ134" s="623"/>
      <c r="BR134" s="623"/>
      <c r="BS134" s="623"/>
      <c r="BT134" s="623"/>
      <c r="BU134" s="623"/>
      <c r="BV134" s="623"/>
      <c r="BW134" s="623"/>
      <c r="BX134" s="623"/>
      <c r="BY134" s="623"/>
    </row>
    <row r="135" spans="1:78" s="544" customFormat="1">
      <c r="A135" s="578">
        <v>65</v>
      </c>
      <c r="B135" s="91" t="s">
        <v>491</v>
      </c>
      <c r="C135" s="577" t="str">
        <f>VLOOKUP(B135,'Luong VP'!$B$10:$D$250,2,0)</f>
        <v xml:space="preserve"> Nguyễn Thọ Ngọc </v>
      </c>
      <c r="D135" s="106" t="str">
        <f>VLOOKUP(B135,'Luong VP'!$B$10:$D$250,3,0)</f>
        <v>Trưởng BP QC Inline</v>
      </c>
      <c r="E135" s="1487">
        <v>1</v>
      </c>
      <c r="F135" s="1487">
        <v>1</v>
      </c>
      <c r="G135" s="1487">
        <v>1</v>
      </c>
      <c r="H135" s="1487">
        <v>1</v>
      </c>
      <c r="I135" s="1487">
        <v>1</v>
      </c>
      <c r="J135" s="1487">
        <v>1</v>
      </c>
      <c r="K135" s="1487"/>
      <c r="L135" s="1524" t="s">
        <v>720</v>
      </c>
      <c r="M135" s="1487">
        <v>1</v>
      </c>
      <c r="N135" s="1487">
        <v>1</v>
      </c>
      <c r="O135" s="1487">
        <v>1</v>
      </c>
      <c r="P135" s="1487">
        <v>1</v>
      </c>
      <c r="Q135" s="1487">
        <v>1</v>
      </c>
      <c r="R135" s="1487"/>
      <c r="S135" s="1487">
        <v>1</v>
      </c>
      <c r="T135" s="1487">
        <v>1</v>
      </c>
      <c r="U135" s="1487">
        <v>1</v>
      </c>
      <c r="V135" s="1487">
        <v>1</v>
      </c>
      <c r="W135" s="1487">
        <v>1</v>
      </c>
      <c r="X135" s="1487">
        <v>1</v>
      </c>
      <c r="Y135" s="1487"/>
      <c r="Z135" s="1487">
        <v>1</v>
      </c>
      <c r="AA135" s="1487">
        <v>1</v>
      </c>
      <c r="AB135" s="1487">
        <v>1</v>
      </c>
      <c r="AC135" s="1487">
        <v>1</v>
      </c>
      <c r="AD135" s="1487">
        <v>1</v>
      </c>
      <c r="AE135" s="1487">
        <v>1</v>
      </c>
      <c r="AF135" s="1487"/>
      <c r="AG135" s="1487">
        <v>1</v>
      </c>
      <c r="AH135" s="1487">
        <v>1</v>
      </c>
      <c r="AI135" s="1487">
        <v>1</v>
      </c>
      <c r="AJ135" s="604">
        <f t="shared" si="151"/>
        <v>26</v>
      </c>
      <c r="AK135" s="604">
        <f>SUMIF($E$5:$AI$5,"LT",E135:AI135)</f>
        <v>0</v>
      </c>
      <c r="AL135" s="604">
        <f t="shared" si="152"/>
        <v>0</v>
      </c>
      <c r="AM135" s="604">
        <f t="shared" si="153"/>
        <v>1</v>
      </c>
      <c r="AN135" s="601"/>
      <c r="AO135" s="621"/>
      <c r="AP135" s="622"/>
      <c r="AQ135" s="622"/>
      <c r="AR135" s="622"/>
      <c r="AS135" s="622"/>
      <c r="AT135" s="622"/>
      <c r="AU135" s="622"/>
      <c r="AV135" s="622"/>
      <c r="AW135" s="622"/>
      <c r="AX135" s="622"/>
      <c r="AY135" s="622"/>
      <c r="AZ135" s="622"/>
      <c r="BA135" s="622"/>
      <c r="BB135" s="622"/>
      <c r="BC135" s="622"/>
      <c r="BD135" s="622"/>
      <c r="BE135" s="622"/>
      <c r="BF135" s="622"/>
      <c r="BG135" s="622"/>
      <c r="BH135" s="622"/>
      <c r="BI135" s="622"/>
      <c r="BJ135" s="622"/>
      <c r="BK135" s="622"/>
      <c r="BL135" s="622"/>
      <c r="BM135" s="622"/>
      <c r="BN135" s="622"/>
      <c r="BO135" s="622"/>
      <c r="BP135" s="622"/>
      <c r="BQ135" s="622"/>
      <c r="BR135" s="622"/>
      <c r="BS135" s="622"/>
      <c r="BT135" s="604">
        <f t="shared" si="99"/>
        <v>0</v>
      </c>
      <c r="BU135" s="604">
        <f t="shared" si="100"/>
        <v>0</v>
      </c>
      <c r="BV135" s="633"/>
      <c r="BW135" s="1513">
        <v>10000</v>
      </c>
      <c r="BX135" s="637">
        <f t="shared" si="146"/>
        <v>10000</v>
      </c>
      <c r="BY135" s="638">
        <v>0</v>
      </c>
    </row>
    <row r="136" spans="1:78" s="544" customFormat="1">
      <c r="A136" s="578">
        <v>65</v>
      </c>
      <c r="B136" s="655" t="s">
        <v>493</v>
      </c>
      <c r="C136" s="577" t="str">
        <f>VLOOKUP(B136,'Luong VP'!$B$10:$D$250,2,0)</f>
        <v>Nguyễn Thành Long</v>
      </c>
      <c r="D136" s="656" t="str">
        <f>VLOOKUP(B136,'Luong VP'!$B$10:$D$250,3,0)</f>
        <v>NV QC inline ĐS - PB</v>
      </c>
      <c r="E136" s="1487">
        <v>1</v>
      </c>
      <c r="F136" s="1487">
        <v>1</v>
      </c>
      <c r="G136" s="1487">
        <v>1</v>
      </c>
      <c r="H136" s="1487">
        <v>1</v>
      </c>
      <c r="I136" s="1487">
        <v>1</v>
      </c>
      <c r="J136" s="1487">
        <v>1</v>
      </c>
      <c r="K136" s="1487"/>
      <c r="L136" s="1524" t="s">
        <v>720</v>
      </c>
      <c r="M136" s="1487">
        <v>1</v>
      </c>
      <c r="N136" s="1487">
        <v>1</v>
      </c>
      <c r="O136" s="1487">
        <v>1</v>
      </c>
      <c r="P136" s="1487">
        <v>1</v>
      </c>
      <c r="Q136" s="1487">
        <v>1</v>
      </c>
      <c r="R136" s="1487"/>
      <c r="S136" s="1487">
        <v>1</v>
      </c>
      <c r="T136" s="1487">
        <v>1</v>
      </c>
      <c r="U136" s="1487">
        <v>1</v>
      </c>
      <c r="V136" s="1487">
        <v>1</v>
      </c>
      <c r="W136" s="1487">
        <v>1</v>
      </c>
      <c r="X136" s="1487">
        <v>1</v>
      </c>
      <c r="Y136" s="1487"/>
      <c r="Z136" s="1487">
        <v>1</v>
      </c>
      <c r="AA136" s="1487">
        <v>1</v>
      </c>
      <c r="AB136" s="1487">
        <v>1</v>
      </c>
      <c r="AC136" s="1487">
        <v>1</v>
      </c>
      <c r="AD136" s="1487">
        <v>1</v>
      </c>
      <c r="AE136" s="1487">
        <v>1</v>
      </c>
      <c r="AF136" s="1487"/>
      <c r="AG136" s="1487">
        <v>1</v>
      </c>
      <c r="AH136" s="1487">
        <v>1</v>
      </c>
      <c r="AI136" s="1487">
        <v>1</v>
      </c>
      <c r="AJ136" s="604">
        <f t="shared" ref="AJ136:AJ137" si="157">SUM(E136:AI136)-AK136</f>
        <v>26</v>
      </c>
      <c r="AK136" s="604">
        <f t="shared" ref="AK136:AK137" si="158">SUMIF($E$5:$AI$5,"LT",E136:AI136)</f>
        <v>0</v>
      </c>
      <c r="AL136" s="604">
        <f t="shared" ref="AL136:AL137" si="159">COUNTIF(E136:AI136,"P")</f>
        <v>0</v>
      </c>
      <c r="AM136" s="604">
        <f t="shared" ref="AM136:AM137" si="160">COUNTIF(E136:AI136,"LT")+MOD(AK136,1)</f>
        <v>1</v>
      </c>
      <c r="AN136" s="601"/>
      <c r="AO136" s="622"/>
      <c r="AP136" s="622">
        <v>3.5</v>
      </c>
      <c r="AQ136" s="622"/>
      <c r="AR136" s="622"/>
      <c r="AS136" s="622"/>
      <c r="AT136" s="622">
        <v>3.5</v>
      </c>
      <c r="AU136" s="622"/>
      <c r="AV136" s="622"/>
      <c r="AW136" s="622"/>
      <c r="AX136" s="622"/>
      <c r="AY136" s="622"/>
      <c r="AZ136" s="622"/>
      <c r="BA136" s="622"/>
      <c r="BB136" s="622">
        <v>8</v>
      </c>
      <c r="BC136" s="622">
        <v>2</v>
      </c>
      <c r="BD136" s="622">
        <v>2</v>
      </c>
      <c r="BE136" s="622">
        <v>2</v>
      </c>
      <c r="BF136" s="622">
        <v>2</v>
      </c>
      <c r="BG136" s="622">
        <v>2</v>
      </c>
      <c r="BH136" s="622">
        <v>2</v>
      </c>
      <c r="BI136" s="622"/>
      <c r="BJ136" s="622">
        <v>2</v>
      </c>
      <c r="BK136" s="622">
        <v>2</v>
      </c>
      <c r="BL136" s="622">
        <v>2</v>
      </c>
      <c r="BM136" s="622">
        <v>4</v>
      </c>
      <c r="BN136" s="622">
        <v>2</v>
      </c>
      <c r="BO136" s="622">
        <v>2</v>
      </c>
      <c r="BP136" s="622"/>
      <c r="BQ136" s="622">
        <v>5.5</v>
      </c>
      <c r="BR136" s="622">
        <v>5.5</v>
      </c>
      <c r="BS136" s="622">
        <v>5.5</v>
      </c>
      <c r="BT136" s="604">
        <f t="shared" si="99"/>
        <v>49.5</v>
      </c>
      <c r="BU136" s="604">
        <f t="shared" si="100"/>
        <v>8</v>
      </c>
      <c r="BV136" s="633"/>
      <c r="BW136" s="1513">
        <v>0</v>
      </c>
      <c r="BX136" s="637">
        <f t="shared" si="146"/>
        <v>0</v>
      </c>
      <c r="BY136" s="638">
        <v>0</v>
      </c>
    </row>
    <row r="137" spans="1:78" s="544" customFormat="1">
      <c r="A137" s="578">
        <v>65</v>
      </c>
      <c r="B137" s="91" t="s">
        <v>495</v>
      </c>
      <c r="C137" s="577" t="str">
        <f>VLOOKUP(B137,'Luong VP'!$B$10:$D$250,2,0)</f>
        <v>Nguyễn Trung Hậu</v>
      </c>
      <c r="D137" s="656" t="str">
        <f>VLOOKUP(B137,'Luong VP'!$B$10:$D$250,3,0)</f>
        <v>NV QC inline ĐS - PB</v>
      </c>
      <c r="E137" s="1487">
        <v>1</v>
      </c>
      <c r="F137" s="1487">
        <v>1</v>
      </c>
      <c r="G137" s="1487">
        <v>1</v>
      </c>
      <c r="H137" s="1487">
        <v>1</v>
      </c>
      <c r="I137" s="1487">
        <v>1</v>
      </c>
      <c r="J137" s="1487">
        <v>1</v>
      </c>
      <c r="K137" s="1487"/>
      <c r="L137" s="1524" t="s">
        <v>720</v>
      </c>
      <c r="M137" s="1487">
        <v>1</v>
      </c>
      <c r="N137" s="1487">
        <v>1</v>
      </c>
      <c r="O137" s="1487">
        <v>1</v>
      </c>
      <c r="P137" s="1487">
        <v>1</v>
      </c>
      <c r="Q137" s="1487">
        <v>1</v>
      </c>
      <c r="R137" s="1487"/>
      <c r="S137" s="1487">
        <v>1</v>
      </c>
      <c r="T137" s="1487">
        <v>1</v>
      </c>
      <c r="U137" s="1487">
        <v>1</v>
      </c>
      <c r="V137" s="1487">
        <v>1</v>
      </c>
      <c r="W137" s="1487">
        <v>1</v>
      </c>
      <c r="X137" s="1487">
        <v>1</v>
      </c>
      <c r="Y137" s="1487"/>
      <c r="Z137" s="1487">
        <v>1</v>
      </c>
      <c r="AA137" s="1487">
        <v>1</v>
      </c>
      <c r="AB137" s="1487">
        <v>1</v>
      </c>
      <c r="AC137" s="1487">
        <v>1</v>
      </c>
      <c r="AD137" s="1487">
        <v>1</v>
      </c>
      <c r="AE137" s="1487">
        <v>1</v>
      </c>
      <c r="AF137" s="1487"/>
      <c r="AG137" s="1487">
        <v>1</v>
      </c>
      <c r="AH137" s="1487">
        <v>1</v>
      </c>
      <c r="AI137" s="1487">
        <v>1</v>
      </c>
      <c r="AJ137" s="604">
        <f t="shared" si="157"/>
        <v>26</v>
      </c>
      <c r="AK137" s="604">
        <f t="shared" si="158"/>
        <v>0</v>
      </c>
      <c r="AL137" s="604">
        <f t="shared" si="159"/>
        <v>0</v>
      </c>
      <c r="AM137" s="604">
        <f t="shared" si="160"/>
        <v>1</v>
      </c>
      <c r="AN137" s="601"/>
      <c r="AO137" s="622">
        <v>2</v>
      </c>
      <c r="AP137" s="622"/>
      <c r="AQ137" s="622"/>
      <c r="AR137" s="622"/>
      <c r="AS137" s="622">
        <v>1</v>
      </c>
      <c r="AT137" s="622"/>
      <c r="AU137" s="622"/>
      <c r="AV137" s="622"/>
      <c r="AW137" s="622"/>
      <c r="AX137" s="622">
        <v>3</v>
      </c>
      <c r="AY137" s="622">
        <v>1.5</v>
      </c>
      <c r="AZ137" s="622">
        <v>1</v>
      </c>
      <c r="BA137" s="622"/>
      <c r="BB137" s="622"/>
      <c r="BC137" s="622"/>
      <c r="BD137" s="622"/>
      <c r="BE137" s="622"/>
      <c r="BF137" s="622"/>
      <c r="BG137" s="622"/>
      <c r="BH137" s="622"/>
      <c r="BI137" s="622">
        <v>8</v>
      </c>
      <c r="BJ137" s="622"/>
      <c r="BK137" s="622">
        <v>3</v>
      </c>
      <c r="BL137" s="622"/>
      <c r="BM137" s="622"/>
      <c r="BN137" s="622"/>
      <c r="BO137" s="622">
        <v>1</v>
      </c>
      <c r="BP137" s="622">
        <v>8</v>
      </c>
      <c r="BQ137" s="622"/>
      <c r="BR137" s="622"/>
      <c r="BS137" s="622"/>
      <c r="BT137" s="604">
        <f t="shared" si="99"/>
        <v>12.5</v>
      </c>
      <c r="BU137" s="604">
        <f t="shared" si="100"/>
        <v>16</v>
      </c>
      <c r="BV137" s="633"/>
      <c r="BW137" s="1513">
        <v>3000</v>
      </c>
      <c r="BX137" s="637">
        <f t="shared" si="146"/>
        <v>3000</v>
      </c>
      <c r="BY137" s="638">
        <v>0</v>
      </c>
    </row>
    <row r="138" spans="1:78" s="544" customFormat="1">
      <c r="A138" s="578">
        <v>65</v>
      </c>
      <c r="B138" s="1255" t="s">
        <v>1310</v>
      </c>
      <c r="C138" s="577" t="str">
        <f>VLOOKUP(B138,'Luong VP'!$B$10:$D$250,2,0)</f>
        <v>Phan Văn Ninh</v>
      </c>
      <c r="D138" s="656" t="str">
        <f>VLOOKUP(B138,'Luong VP'!$B$10:$D$250,3,0)</f>
        <v>NV QC inline xử lý bùn</v>
      </c>
      <c r="E138" s="1487">
        <v>1</v>
      </c>
      <c r="F138" s="1487">
        <v>1</v>
      </c>
      <c r="G138" s="1487">
        <v>1</v>
      </c>
      <c r="H138" s="1487">
        <v>1</v>
      </c>
      <c r="I138" s="1487">
        <v>1</v>
      </c>
      <c r="J138" s="1487">
        <v>1</v>
      </c>
      <c r="K138" s="1487"/>
      <c r="L138" s="1524" t="s">
        <v>720</v>
      </c>
      <c r="M138" s="1487">
        <v>1</v>
      </c>
      <c r="N138" s="1487">
        <v>1</v>
      </c>
      <c r="O138" s="1487">
        <v>1</v>
      </c>
      <c r="P138" s="1487">
        <v>1</v>
      </c>
      <c r="Q138" s="1487">
        <v>1</v>
      </c>
      <c r="R138" s="1487"/>
      <c r="S138" s="1487">
        <v>1</v>
      </c>
      <c r="T138" s="1487">
        <v>1</v>
      </c>
      <c r="U138" s="1487">
        <v>1</v>
      </c>
      <c r="V138" s="1487">
        <v>1</v>
      </c>
      <c r="W138" s="1487">
        <v>1</v>
      </c>
      <c r="X138" s="1487">
        <v>1</v>
      </c>
      <c r="Y138" s="1487"/>
      <c r="Z138" s="1487">
        <v>1</v>
      </c>
      <c r="AA138" s="1487">
        <v>1</v>
      </c>
      <c r="AB138" s="1487">
        <v>1</v>
      </c>
      <c r="AC138" s="1487">
        <v>1</v>
      </c>
      <c r="AD138" s="1487">
        <v>1</v>
      </c>
      <c r="AE138" s="1487">
        <v>1</v>
      </c>
      <c r="AF138" s="1487"/>
      <c r="AG138" s="1487">
        <v>1</v>
      </c>
      <c r="AH138" s="1487">
        <v>1</v>
      </c>
      <c r="AI138" s="1487">
        <v>1</v>
      </c>
      <c r="AJ138" s="604">
        <f t="shared" ref="AJ138" si="161">SUM(E138:AI138)-AK138</f>
        <v>26</v>
      </c>
      <c r="AK138" s="604">
        <f t="shared" ref="AK138" si="162">SUMIF($E$5:$AI$5,"LT",E138:AI138)</f>
        <v>0</v>
      </c>
      <c r="AL138" s="604">
        <f t="shared" ref="AL138" si="163">COUNTIF(E138:AI138,"P")</f>
        <v>0</v>
      </c>
      <c r="AM138" s="604">
        <f t="shared" ref="AM138" si="164">COUNTIF(E138:AI138,"LT")+MOD(AK138,1)</f>
        <v>1</v>
      </c>
      <c r="AN138" s="601"/>
      <c r="AO138" s="622">
        <v>1</v>
      </c>
      <c r="AP138" s="622">
        <v>3.5</v>
      </c>
      <c r="AQ138" s="622"/>
      <c r="AR138" s="622"/>
      <c r="AS138" s="622"/>
      <c r="AT138" s="622">
        <v>3.5</v>
      </c>
      <c r="AU138" s="622"/>
      <c r="AV138" s="622"/>
      <c r="AW138" s="622">
        <v>3</v>
      </c>
      <c r="AX138" s="622"/>
      <c r="AY138" s="622"/>
      <c r="AZ138" s="622"/>
      <c r="BA138" s="622"/>
      <c r="BB138" s="622">
        <v>8</v>
      </c>
      <c r="BC138" s="622"/>
      <c r="BD138" s="622"/>
      <c r="BE138" s="622"/>
      <c r="BF138" s="622"/>
      <c r="BG138" s="622"/>
      <c r="BH138" s="622"/>
      <c r="BI138" s="622">
        <v>8</v>
      </c>
      <c r="BJ138" s="622"/>
      <c r="BK138" s="622"/>
      <c r="BL138" s="622">
        <v>2</v>
      </c>
      <c r="BM138" s="622">
        <v>2</v>
      </c>
      <c r="BN138" s="622"/>
      <c r="BO138" s="622"/>
      <c r="BP138" s="622"/>
      <c r="BQ138" s="622">
        <v>5.5</v>
      </c>
      <c r="BR138" s="622">
        <v>5.5</v>
      </c>
      <c r="BS138" s="622">
        <v>5.5</v>
      </c>
      <c r="BT138" s="604">
        <f t="shared" ref="BT138" si="165">SUM(AO138:BS138)-BU138</f>
        <v>31.5</v>
      </c>
      <c r="BU138" s="604">
        <f t="shared" ref="BU138" si="166">SUMIF($AO$5:$BS$5,"CN",AO138:BS138)</f>
        <v>16</v>
      </c>
      <c r="BV138" s="633"/>
      <c r="BW138" s="637"/>
      <c r="BX138" s="637">
        <f t="shared" ref="BX138" si="167">BW138</f>
        <v>0</v>
      </c>
      <c r="BY138" s="638">
        <v>0</v>
      </c>
    </row>
    <row r="139" spans="1:78" s="544" customFormat="1">
      <c r="A139" s="566"/>
      <c r="B139" s="567" t="s">
        <v>497</v>
      </c>
      <c r="C139" s="568"/>
      <c r="D139" s="568"/>
      <c r="E139" s="568"/>
      <c r="F139" s="568"/>
      <c r="G139" s="568"/>
      <c r="H139" s="568"/>
      <c r="I139" s="568"/>
      <c r="J139" s="568"/>
      <c r="K139" s="568"/>
      <c r="L139" s="1524" t="s">
        <v>720</v>
      </c>
      <c r="M139" s="568"/>
      <c r="N139" s="568"/>
      <c r="O139" s="568"/>
      <c r="P139" s="568"/>
      <c r="Q139" s="568"/>
      <c r="R139" s="568"/>
      <c r="S139" s="568"/>
      <c r="T139" s="568"/>
      <c r="U139" s="568"/>
      <c r="V139" s="568"/>
      <c r="W139" s="568"/>
      <c r="X139" s="568"/>
      <c r="Y139" s="568"/>
      <c r="Z139" s="568"/>
      <c r="AA139" s="568"/>
      <c r="AB139" s="568"/>
      <c r="AC139" s="568"/>
      <c r="AD139" s="568"/>
      <c r="AE139" s="568"/>
      <c r="AF139" s="568"/>
      <c r="AG139" s="568"/>
      <c r="AH139" s="568"/>
      <c r="AI139" s="568"/>
      <c r="AJ139" s="568"/>
      <c r="AK139" s="569"/>
      <c r="AL139" s="569"/>
      <c r="AM139" s="569"/>
      <c r="AN139" s="601"/>
      <c r="AO139" s="618"/>
      <c r="AP139" s="629"/>
      <c r="AQ139" s="629"/>
      <c r="AR139" s="629"/>
      <c r="AS139" s="629"/>
      <c r="AT139" s="629"/>
      <c r="AU139" s="629"/>
      <c r="AV139" s="629"/>
      <c r="AW139" s="629"/>
      <c r="AX139" s="629"/>
      <c r="AY139" s="629"/>
      <c r="AZ139" s="629"/>
      <c r="BA139" s="629"/>
      <c r="BB139" s="629"/>
      <c r="BC139" s="629"/>
      <c r="BD139" s="629"/>
      <c r="BE139" s="629"/>
      <c r="BF139" s="629"/>
      <c r="BG139" s="629"/>
      <c r="BH139" s="629"/>
      <c r="BI139" s="629"/>
      <c r="BJ139" s="629"/>
      <c r="BK139" s="629"/>
      <c r="BL139" s="629"/>
      <c r="BM139" s="629"/>
      <c r="BN139" s="629"/>
      <c r="BO139" s="629"/>
      <c r="BP139" s="629"/>
      <c r="BQ139" s="629"/>
      <c r="BR139" s="629"/>
      <c r="BS139" s="629"/>
      <c r="BT139" s="629"/>
      <c r="BU139" s="629"/>
      <c r="BV139" s="629"/>
      <c r="BW139" s="629"/>
      <c r="BX139" s="629"/>
      <c r="BY139" s="629"/>
    </row>
    <row r="140" spans="1:78" s="544" customFormat="1">
      <c r="A140" s="570"/>
      <c r="B140" s="109"/>
      <c r="C140" s="95" t="s">
        <v>74</v>
      </c>
      <c r="D140" s="96"/>
      <c r="E140" s="96"/>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J140" s="96"/>
      <c r="AK140" s="571"/>
      <c r="AL140" s="571"/>
      <c r="AM140" s="571"/>
      <c r="AN140" s="606"/>
      <c r="AO140" s="571"/>
      <c r="AP140" s="623"/>
      <c r="AQ140" s="623"/>
      <c r="AR140" s="623"/>
      <c r="AS140" s="623"/>
      <c r="AT140" s="623"/>
      <c r="AU140" s="623"/>
      <c r="AV140" s="623"/>
      <c r="AW140" s="623"/>
      <c r="AX140" s="623"/>
      <c r="AY140" s="623"/>
      <c r="AZ140" s="623"/>
      <c r="BA140" s="623"/>
      <c r="BB140" s="623"/>
      <c r="BC140" s="623"/>
      <c r="BD140" s="623"/>
      <c r="BE140" s="623"/>
      <c r="BF140" s="623"/>
      <c r="BG140" s="623"/>
      <c r="BH140" s="623"/>
      <c r="BI140" s="623"/>
      <c r="BJ140" s="623"/>
      <c r="BK140" s="623"/>
      <c r="BL140" s="623"/>
      <c r="BM140" s="623"/>
      <c r="BN140" s="623"/>
      <c r="BO140" s="623"/>
      <c r="BP140" s="623"/>
      <c r="BQ140" s="623"/>
      <c r="BR140" s="623"/>
      <c r="BS140" s="623"/>
      <c r="BT140" s="571"/>
      <c r="BU140" s="571"/>
      <c r="BV140" s="571"/>
      <c r="BW140" s="571"/>
      <c r="BX140" s="571"/>
      <c r="BY140" s="571"/>
    </row>
    <row r="141" spans="1:78" s="544" customFormat="1" ht="15" customHeight="1">
      <c r="A141" s="578">
        <v>66</v>
      </c>
      <c r="B141" s="105" t="s">
        <v>499</v>
      </c>
      <c r="C141" s="573" t="str">
        <f>VLOOKUP(B141,'Luong VP'!$B$10:$D$250,2,0)</f>
        <v>Huỳnh Kim Hải</v>
      </c>
      <c r="D141" s="93" t="str">
        <f>VLOOKUP(B141,'Luong VP'!$B$10:$D$250,3,0)</f>
        <v>GIÁM ĐỐC KINH DOANH</v>
      </c>
      <c r="E141" s="575">
        <v>1</v>
      </c>
      <c r="F141" s="575">
        <v>1</v>
      </c>
      <c r="G141" s="575">
        <v>1</v>
      </c>
      <c r="H141" s="575">
        <v>1</v>
      </c>
      <c r="I141" s="575">
        <v>1</v>
      </c>
      <c r="J141" s="575">
        <v>1</v>
      </c>
      <c r="K141" s="575"/>
      <c r="L141" s="1524" t="s">
        <v>720</v>
      </c>
      <c r="M141" s="575">
        <v>1</v>
      </c>
      <c r="N141" s="575">
        <v>1</v>
      </c>
      <c r="O141" s="575">
        <v>1</v>
      </c>
      <c r="P141" s="575">
        <v>1</v>
      </c>
      <c r="Q141" s="575">
        <v>1</v>
      </c>
      <c r="R141" s="575"/>
      <c r="S141" s="575">
        <v>1</v>
      </c>
      <c r="T141" s="575">
        <v>1</v>
      </c>
      <c r="U141" s="575">
        <v>1</v>
      </c>
      <c r="V141" s="575">
        <v>1</v>
      </c>
      <c r="W141" s="575">
        <v>1</v>
      </c>
      <c r="X141" s="575">
        <v>1</v>
      </c>
      <c r="Y141" s="575"/>
      <c r="Z141" s="575">
        <v>1</v>
      </c>
      <c r="AA141" s="575">
        <v>1</v>
      </c>
      <c r="AB141" s="575">
        <v>1</v>
      </c>
      <c r="AC141" s="575">
        <v>1</v>
      </c>
      <c r="AD141" s="575">
        <v>1</v>
      </c>
      <c r="AE141" s="575">
        <v>1</v>
      </c>
      <c r="AF141" s="575"/>
      <c r="AG141" s="575">
        <v>1</v>
      </c>
      <c r="AH141" s="575">
        <v>1</v>
      </c>
      <c r="AI141" s="575">
        <v>1</v>
      </c>
      <c r="AJ141" s="651">
        <f t="shared" ref="AJ141:AJ143" si="168">SUM(E141:AI141)-AK141</f>
        <v>26</v>
      </c>
      <c r="AK141" s="651">
        <f>SUMIF($E$5:$AI$5,"LT",E141:AI141)</f>
        <v>0</v>
      </c>
      <c r="AL141" s="651">
        <f t="shared" ref="AL141:AL143" si="169">COUNTIF(E141:AI141,"P")</f>
        <v>0</v>
      </c>
      <c r="AM141" s="651">
        <f t="shared" ref="AM141:AM143" si="170">COUNTIF(E141:AI141,"LT")+MOD(AK141,1)</f>
        <v>1</v>
      </c>
      <c r="AN141" s="601"/>
      <c r="AO141" s="621"/>
      <c r="AP141" s="622"/>
      <c r="AQ141" s="622"/>
      <c r="AR141" s="622"/>
      <c r="AS141" s="622"/>
      <c r="AT141" s="622"/>
      <c r="AU141" s="622"/>
      <c r="AV141" s="622"/>
      <c r="AW141" s="622"/>
      <c r="AX141" s="622"/>
      <c r="AY141" s="622"/>
      <c r="AZ141" s="622"/>
      <c r="BA141" s="622"/>
      <c r="BB141" s="622"/>
      <c r="BC141" s="622"/>
      <c r="BD141" s="622"/>
      <c r="BE141" s="622"/>
      <c r="BF141" s="622"/>
      <c r="BG141" s="622"/>
      <c r="BH141" s="622"/>
      <c r="BI141" s="622"/>
      <c r="BJ141" s="622"/>
      <c r="BK141" s="622"/>
      <c r="BL141" s="622"/>
      <c r="BM141" s="622"/>
      <c r="BN141" s="622"/>
      <c r="BO141" s="622"/>
      <c r="BP141" s="622"/>
      <c r="BQ141" s="622"/>
      <c r="BR141" s="622"/>
      <c r="BS141" s="622"/>
      <c r="BT141" s="604">
        <f t="shared" si="99"/>
        <v>0</v>
      </c>
      <c r="BU141" s="604">
        <f t="shared" si="100"/>
        <v>0</v>
      </c>
      <c r="BV141" s="633"/>
      <c r="BW141" s="637"/>
      <c r="BX141" s="637">
        <f t="shared" si="146"/>
        <v>0</v>
      </c>
      <c r="BY141" s="638">
        <v>0</v>
      </c>
    </row>
    <row r="142" spans="1:78" s="544" customFormat="1">
      <c r="A142" s="570"/>
      <c r="B142" s="109"/>
      <c r="C142" s="95" t="s">
        <v>502</v>
      </c>
      <c r="D142" s="96"/>
      <c r="E142" s="96"/>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G142" s="96"/>
      <c r="AH142" s="96"/>
      <c r="AI142" s="96"/>
      <c r="AJ142" s="96"/>
      <c r="AK142" s="96"/>
      <c r="AL142" s="96"/>
      <c r="AM142" s="571"/>
      <c r="AN142" s="606"/>
      <c r="AO142" s="571"/>
      <c r="AP142" s="623"/>
      <c r="AQ142" s="623"/>
      <c r="AR142" s="623"/>
      <c r="AS142" s="623"/>
      <c r="AT142" s="623"/>
      <c r="AU142" s="623"/>
      <c r="AV142" s="623"/>
      <c r="AW142" s="623"/>
      <c r="AX142" s="623"/>
      <c r="AY142" s="623"/>
      <c r="AZ142" s="623"/>
      <c r="BA142" s="623"/>
      <c r="BB142" s="623"/>
      <c r="BC142" s="623"/>
      <c r="BD142" s="623"/>
      <c r="BE142" s="623"/>
      <c r="BF142" s="623"/>
      <c r="BG142" s="623"/>
      <c r="BH142" s="623"/>
      <c r="BI142" s="623"/>
      <c r="BJ142" s="623"/>
      <c r="BK142" s="623"/>
      <c r="BL142" s="623"/>
      <c r="BM142" s="623"/>
      <c r="BN142" s="623"/>
      <c r="BO142" s="623"/>
      <c r="BP142" s="623"/>
      <c r="BQ142" s="623"/>
      <c r="BR142" s="623"/>
      <c r="BS142" s="623"/>
      <c r="BT142" s="571"/>
      <c r="BU142" s="571"/>
      <c r="BV142" s="571"/>
      <c r="BW142" s="571"/>
      <c r="BX142" s="571"/>
      <c r="BY142" s="571"/>
    </row>
    <row r="143" spans="1:78" s="544" customFormat="1" ht="15" customHeight="1">
      <c r="A143" s="578">
        <v>67</v>
      </c>
      <c r="B143" s="105" t="s">
        <v>504</v>
      </c>
      <c r="C143" s="577" t="str">
        <f>VLOOKUP(B143,'Luong VP'!$B$10:$D$250,2,0)</f>
        <v xml:space="preserve"> Thạch Minh Châu </v>
      </c>
      <c r="D143" s="106" t="str">
        <f>VLOOKUP(B143,'Luong VP'!$B$10:$D$250,3,0)</f>
        <v>Sale admin</v>
      </c>
      <c r="E143" s="575">
        <v>1</v>
      </c>
      <c r="F143" s="575">
        <v>1</v>
      </c>
      <c r="G143" s="575">
        <v>1</v>
      </c>
      <c r="H143" s="575">
        <v>1</v>
      </c>
      <c r="I143" s="575">
        <v>1</v>
      </c>
      <c r="J143" s="575">
        <v>1</v>
      </c>
      <c r="K143" s="575"/>
      <c r="L143" s="1524" t="s">
        <v>720</v>
      </c>
      <c r="M143" s="575">
        <v>1</v>
      </c>
      <c r="N143" s="575">
        <v>1</v>
      </c>
      <c r="O143" s="575">
        <v>1</v>
      </c>
      <c r="P143" s="575">
        <v>1</v>
      </c>
      <c r="Q143" s="575">
        <v>1</v>
      </c>
      <c r="R143" s="575"/>
      <c r="S143" s="575">
        <v>1</v>
      </c>
      <c r="T143" s="575">
        <v>1</v>
      </c>
      <c r="U143" s="575">
        <v>1</v>
      </c>
      <c r="V143" s="575">
        <v>1</v>
      </c>
      <c r="W143" s="575">
        <v>1</v>
      </c>
      <c r="X143" s="575">
        <v>1</v>
      </c>
      <c r="Y143" s="575"/>
      <c r="Z143" s="575">
        <v>1</v>
      </c>
      <c r="AA143" s="575">
        <v>1</v>
      </c>
      <c r="AB143" s="575">
        <v>1</v>
      </c>
      <c r="AC143" s="575">
        <v>1</v>
      </c>
      <c r="AD143" s="575">
        <v>1</v>
      </c>
      <c r="AE143" s="575">
        <v>1</v>
      </c>
      <c r="AF143" s="575"/>
      <c r="AG143" s="575">
        <v>1</v>
      </c>
      <c r="AH143" s="575">
        <v>1</v>
      </c>
      <c r="AI143" s="575">
        <v>1</v>
      </c>
      <c r="AJ143" s="604">
        <f t="shared" si="168"/>
        <v>26</v>
      </c>
      <c r="AK143" s="604">
        <f>SUMIF($E$5:$AI$5,"LT",E143:AI143)</f>
        <v>0</v>
      </c>
      <c r="AL143" s="604">
        <f t="shared" si="169"/>
        <v>0</v>
      </c>
      <c r="AM143" s="604">
        <f t="shared" si="170"/>
        <v>1</v>
      </c>
      <c r="AN143" s="601"/>
      <c r="AO143" s="621"/>
      <c r="AP143" s="622"/>
      <c r="AQ143" s="622"/>
      <c r="AR143" s="622"/>
      <c r="AS143" s="622"/>
      <c r="AT143" s="622"/>
      <c r="AU143" s="622"/>
      <c r="AV143" s="622"/>
      <c r="AW143" s="622"/>
      <c r="AX143" s="622"/>
      <c r="AY143" s="622"/>
      <c r="AZ143" s="622"/>
      <c r="BA143" s="622"/>
      <c r="BB143" s="622"/>
      <c r="BC143" s="622"/>
      <c r="BD143" s="622"/>
      <c r="BE143" s="622"/>
      <c r="BF143" s="622"/>
      <c r="BG143" s="622"/>
      <c r="BH143" s="622"/>
      <c r="BI143" s="622"/>
      <c r="BJ143" s="622"/>
      <c r="BK143" s="622"/>
      <c r="BL143" s="622"/>
      <c r="BM143" s="622"/>
      <c r="BN143" s="622"/>
      <c r="BO143" s="622"/>
      <c r="BP143" s="622"/>
      <c r="BQ143" s="622"/>
      <c r="BR143" s="622"/>
      <c r="BS143" s="622"/>
      <c r="BT143" s="604">
        <f t="shared" si="99"/>
        <v>0</v>
      </c>
      <c r="BU143" s="604">
        <f t="shared" si="100"/>
        <v>0</v>
      </c>
      <c r="BV143" s="633"/>
      <c r="BW143" s="637"/>
      <c r="BX143" s="637">
        <f t="shared" si="146"/>
        <v>0</v>
      </c>
      <c r="BY143" s="638">
        <v>0</v>
      </c>
    </row>
    <row r="144" spans="1:78" s="544" customFormat="1">
      <c r="A144" s="570"/>
      <c r="B144" s="109"/>
      <c r="C144" s="95" t="s">
        <v>507</v>
      </c>
      <c r="D144" s="96"/>
      <c r="E144" s="96"/>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6"/>
      <c r="AI144" s="96"/>
      <c r="AJ144" s="96"/>
      <c r="AK144" s="96"/>
      <c r="AL144" s="571"/>
      <c r="AM144" s="571"/>
      <c r="AN144" s="606"/>
      <c r="AO144" s="571"/>
      <c r="AP144" s="623"/>
      <c r="AQ144" s="623"/>
      <c r="AR144" s="623"/>
      <c r="AS144" s="623"/>
      <c r="AT144" s="623"/>
      <c r="AU144" s="623"/>
      <c r="AV144" s="623"/>
      <c r="AW144" s="623"/>
      <c r="AX144" s="623"/>
      <c r="AY144" s="623"/>
      <c r="AZ144" s="623"/>
      <c r="BA144" s="623"/>
      <c r="BB144" s="623"/>
      <c r="BC144" s="623"/>
      <c r="BD144" s="623"/>
      <c r="BE144" s="623"/>
      <c r="BF144" s="623"/>
      <c r="BG144" s="623"/>
      <c r="BH144" s="623"/>
      <c r="BI144" s="623"/>
      <c r="BJ144" s="623"/>
      <c r="BK144" s="623"/>
      <c r="BL144" s="623"/>
      <c r="BM144" s="623"/>
      <c r="BN144" s="623"/>
      <c r="BO144" s="623"/>
      <c r="BP144" s="623"/>
      <c r="BQ144" s="623"/>
      <c r="BR144" s="623"/>
      <c r="BS144" s="623"/>
      <c r="BT144" s="571"/>
      <c r="BU144" s="571"/>
      <c r="BV144" s="571"/>
      <c r="BW144" s="571"/>
      <c r="BX144" s="571"/>
      <c r="BY144" s="571"/>
    </row>
    <row r="145" spans="1:77" s="1367" customFormat="1" ht="13.5" customHeight="1">
      <c r="A145" s="1358">
        <v>71</v>
      </c>
      <c r="B145" s="1330" t="s">
        <v>509</v>
      </c>
      <c r="C145" s="1330" t="str">
        <f>VLOOKUP(B145,'Luong VP'!$B$10:$D$250,2,0)</f>
        <v xml:space="preserve"> Trịnh Minh Hảo</v>
      </c>
      <c r="D145" s="1334" t="str">
        <f>VLOOKUP(B145,'Luong VP'!$B$10:$D$250,3,0)</f>
        <v>Trưởng sale TP</v>
      </c>
      <c r="E145" s="575">
        <v>1</v>
      </c>
      <c r="F145" s="575">
        <v>1</v>
      </c>
      <c r="G145" s="575">
        <v>1</v>
      </c>
      <c r="H145" s="575">
        <v>1</v>
      </c>
      <c r="I145" s="575">
        <v>1</v>
      </c>
      <c r="J145" s="575">
        <v>1</v>
      </c>
      <c r="K145" s="575"/>
      <c r="L145" s="1524" t="s">
        <v>720</v>
      </c>
      <c r="M145" s="575">
        <v>1</v>
      </c>
      <c r="N145" s="575">
        <v>1</v>
      </c>
      <c r="O145" s="575">
        <v>1</v>
      </c>
      <c r="P145" s="575">
        <v>1</v>
      </c>
      <c r="Q145" s="575">
        <v>1</v>
      </c>
      <c r="R145" s="575"/>
      <c r="S145" s="575">
        <v>1</v>
      </c>
      <c r="T145" s="575">
        <v>1</v>
      </c>
      <c r="U145" s="575">
        <v>1</v>
      </c>
      <c r="V145" s="575">
        <v>1</v>
      </c>
      <c r="W145" s="575">
        <v>1</v>
      </c>
      <c r="X145" s="575">
        <v>1</v>
      </c>
      <c r="Y145" s="575"/>
      <c r="Z145" s="575">
        <v>1</v>
      </c>
      <c r="AA145" s="575">
        <v>1</v>
      </c>
      <c r="AB145" s="575">
        <v>1</v>
      </c>
      <c r="AC145" s="575">
        <v>1</v>
      </c>
      <c r="AD145" s="575">
        <v>1</v>
      </c>
      <c r="AE145" s="575">
        <v>1</v>
      </c>
      <c r="AF145" s="575"/>
      <c r="AG145" s="575">
        <v>1</v>
      </c>
      <c r="AH145" s="575">
        <v>1</v>
      </c>
      <c r="AI145" s="575">
        <v>1</v>
      </c>
      <c r="AJ145" s="604">
        <f t="shared" ref="AJ145" si="171">SUM(E145:AI145)-AK145</f>
        <v>26</v>
      </c>
      <c r="AK145" s="604">
        <f t="shared" ref="AK145" si="172">SUMIF($E$5:$AI$5,"LT",E145:AI145)</f>
        <v>0</v>
      </c>
      <c r="AL145" s="604">
        <f t="shared" ref="AL145" si="173">COUNTIF(E145:AI145,"P")</f>
        <v>0</v>
      </c>
      <c r="AM145" s="604">
        <f t="shared" ref="AM145" si="174">COUNTIF(E145:AI145,"LT")+MOD(AK145,1)</f>
        <v>1</v>
      </c>
      <c r="AN145" s="1362"/>
      <c r="AO145" s="1369"/>
      <c r="AP145" s="1363"/>
      <c r="AQ145" s="1363"/>
      <c r="AR145" s="1363"/>
      <c r="AS145" s="1363"/>
      <c r="AT145" s="1363"/>
      <c r="AU145" s="1363"/>
      <c r="AV145" s="1363"/>
      <c r="AW145" s="1363"/>
      <c r="AX145" s="1363"/>
      <c r="AY145" s="1363"/>
      <c r="AZ145" s="1363"/>
      <c r="BA145" s="1363"/>
      <c r="BB145" s="1363"/>
      <c r="BC145" s="1363"/>
      <c r="BD145" s="1363"/>
      <c r="BE145" s="1363"/>
      <c r="BF145" s="1363"/>
      <c r="BG145" s="1363"/>
      <c r="BH145" s="1363"/>
      <c r="BI145" s="1363"/>
      <c r="BJ145" s="1363"/>
      <c r="BK145" s="1363"/>
      <c r="BL145" s="1363"/>
      <c r="BM145" s="1363"/>
      <c r="BN145" s="1363"/>
      <c r="BO145" s="1363"/>
      <c r="BP145" s="1363"/>
      <c r="BQ145" s="1363"/>
      <c r="BR145" s="1363"/>
      <c r="BS145" s="1363"/>
      <c r="BT145" s="1361">
        <f t="shared" si="99"/>
        <v>0</v>
      </c>
      <c r="BU145" s="1361">
        <f t="shared" si="100"/>
        <v>0</v>
      </c>
      <c r="BV145" s="1364"/>
      <c r="BW145" s="1365"/>
      <c r="BX145" s="1365">
        <f t="shared" si="146"/>
        <v>0</v>
      </c>
      <c r="BY145" s="1366">
        <v>0</v>
      </c>
    </row>
    <row r="146" spans="1:77" s="544" customFormat="1">
      <c r="A146" s="578">
        <v>71</v>
      </c>
      <c r="B146" s="105" t="s">
        <v>512</v>
      </c>
      <c r="C146" s="577" t="str">
        <f>VLOOKUP(B146,'Luong VP'!$B$10:$D$250,2,0)</f>
        <v>Nguyễn Thái Bình</v>
      </c>
      <c r="D146" s="106" t="str">
        <f>VLOOKUP(B146,'Luong VP'!$B$10:$D$250,3,0)</f>
        <v>NV sale</v>
      </c>
      <c r="E146" s="575">
        <v>1</v>
      </c>
      <c r="F146" s="575">
        <v>1</v>
      </c>
      <c r="G146" s="575">
        <v>1</v>
      </c>
      <c r="H146" s="575">
        <v>1</v>
      </c>
      <c r="I146" s="575">
        <v>1</v>
      </c>
      <c r="J146" s="575">
        <v>1</v>
      </c>
      <c r="K146" s="575"/>
      <c r="L146" s="1524" t="s">
        <v>720</v>
      </c>
      <c r="M146" s="575">
        <v>1</v>
      </c>
      <c r="N146" s="575">
        <v>1</v>
      </c>
      <c r="O146" s="575">
        <v>1</v>
      </c>
      <c r="P146" s="575">
        <v>1</v>
      </c>
      <c r="Q146" s="575">
        <v>1</v>
      </c>
      <c r="R146" s="575"/>
      <c r="S146" s="575">
        <v>1</v>
      </c>
      <c r="T146" s="575">
        <v>1</v>
      </c>
      <c r="U146" s="575">
        <v>1</v>
      </c>
      <c r="V146" s="575">
        <v>1</v>
      </c>
      <c r="W146" s="575">
        <v>1</v>
      </c>
      <c r="X146" s="575">
        <v>1</v>
      </c>
      <c r="Y146" s="575"/>
      <c r="Z146" s="575">
        <v>1</v>
      </c>
      <c r="AA146" s="575">
        <v>1</v>
      </c>
      <c r="AB146" s="575">
        <v>1</v>
      </c>
      <c r="AC146" s="575">
        <v>1</v>
      </c>
      <c r="AD146" s="575">
        <v>1</v>
      </c>
      <c r="AE146" s="575">
        <v>1</v>
      </c>
      <c r="AF146" s="575"/>
      <c r="AG146" s="575">
        <v>1</v>
      </c>
      <c r="AH146" s="575">
        <v>1</v>
      </c>
      <c r="AI146" s="575">
        <v>1</v>
      </c>
      <c r="AJ146" s="604">
        <f t="shared" ref="AJ146:AJ147" si="175">SUM(E146:AI146)-AK146</f>
        <v>26</v>
      </c>
      <c r="AK146" s="604">
        <f t="shared" ref="AK146:AK147" si="176">SUMIF($E$5:$AI$5,"LT",E146:AI146)</f>
        <v>0</v>
      </c>
      <c r="AL146" s="604">
        <f t="shared" ref="AL146:AL147" si="177">COUNTIF(E146:AI146,"P")</f>
        <v>0</v>
      </c>
      <c r="AM146" s="604">
        <f t="shared" ref="AM146:AM147" si="178">COUNTIF(E146:AI146,"LT")+MOD(AK146,1)</f>
        <v>1</v>
      </c>
      <c r="AN146" s="601"/>
      <c r="AO146" s="622"/>
      <c r="AP146" s="622"/>
      <c r="AQ146" s="622"/>
      <c r="AR146" s="622"/>
      <c r="AS146" s="622"/>
      <c r="AT146" s="622"/>
      <c r="AU146" s="622"/>
      <c r="AV146" s="622"/>
      <c r="AW146" s="622"/>
      <c r="AX146" s="622"/>
      <c r="AY146" s="622"/>
      <c r="AZ146" s="622"/>
      <c r="BA146" s="622"/>
      <c r="BB146" s="622"/>
      <c r="BC146" s="622"/>
      <c r="BD146" s="622"/>
      <c r="BE146" s="622"/>
      <c r="BF146" s="622"/>
      <c r="BG146" s="622"/>
      <c r="BH146" s="622"/>
      <c r="BI146" s="622"/>
      <c r="BJ146" s="622"/>
      <c r="BK146" s="622"/>
      <c r="BL146" s="622"/>
      <c r="BM146" s="622"/>
      <c r="BN146" s="622"/>
      <c r="BO146" s="622"/>
      <c r="BP146" s="622"/>
      <c r="BQ146" s="622"/>
      <c r="BR146" s="622"/>
      <c r="BS146" s="622"/>
      <c r="BT146" s="604">
        <f t="shared" si="99"/>
        <v>0</v>
      </c>
      <c r="BU146" s="604">
        <f t="shared" si="100"/>
        <v>0</v>
      </c>
      <c r="BV146" s="633"/>
      <c r="BW146" s="637"/>
      <c r="BX146" s="637">
        <f t="shared" si="146"/>
        <v>0</v>
      </c>
      <c r="BY146" s="638">
        <v>0</v>
      </c>
    </row>
    <row r="147" spans="1:77" s="544" customFormat="1">
      <c r="A147" s="578">
        <v>71</v>
      </c>
      <c r="B147" s="105" t="s">
        <v>515</v>
      </c>
      <c r="C147" s="577" t="str">
        <f>VLOOKUP(B147,'Luong VP'!$B$10:$D$250,2,0)</f>
        <v>Nguyễn Ngọc Hồng Vy</v>
      </c>
      <c r="D147" s="106" t="str">
        <f>VLOOKUP(B147,'Luong VP'!$B$10:$D$250,3,0)</f>
        <v>NV sale</v>
      </c>
      <c r="E147" s="575">
        <v>1</v>
      </c>
      <c r="F147" s="575">
        <v>1</v>
      </c>
      <c r="G147" s="575">
        <v>1</v>
      </c>
      <c r="H147" s="575">
        <v>1</v>
      </c>
      <c r="I147" s="575">
        <v>1</v>
      </c>
      <c r="J147" s="575">
        <v>1</v>
      </c>
      <c r="K147" s="575"/>
      <c r="L147" s="1524" t="s">
        <v>720</v>
      </c>
      <c r="M147" s="575">
        <v>1</v>
      </c>
      <c r="N147" s="575">
        <v>1</v>
      </c>
      <c r="O147" s="575">
        <v>1</v>
      </c>
      <c r="P147" s="575">
        <v>1</v>
      </c>
      <c r="Q147" s="575">
        <v>1</v>
      </c>
      <c r="R147" s="575"/>
      <c r="S147" s="575">
        <v>1</v>
      </c>
      <c r="T147" s="575">
        <v>1</v>
      </c>
      <c r="U147" s="575">
        <v>1</v>
      </c>
      <c r="V147" s="575">
        <v>1</v>
      </c>
      <c r="W147" s="575">
        <v>1</v>
      </c>
      <c r="X147" s="575">
        <v>1</v>
      </c>
      <c r="Y147" s="575"/>
      <c r="Z147" s="575">
        <v>1</v>
      </c>
      <c r="AA147" s="575">
        <v>1</v>
      </c>
      <c r="AB147" s="575">
        <v>1</v>
      </c>
      <c r="AC147" s="575">
        <v>1</v>
      </c>
      <c r="AD147" s="575">
        <v>1</v>
      </c>
      <c r="AE147" s="575">
        <v>1</v>
      </c>
      <c r="AF147" s="575"/>
      <c r="AG147" s="575">
        <v>1</v>
      </c>
      <c r="AH147" s="575">
        <v>1</v>
      </c>
      <c r="AI147" s="575">
        <v>1</v>
      </c>
      <c r="AJ147" s="604">
        <f t="shared" si="175"/>
        <v>26</v>
      </c>
      <c r="AK147" s="604">
        <f t="shared" si="176"/>
        <v>0</v>
      </c>
      <c r="AL147" s="604">
        <f t="shared" si="177"/>
        <v>0</v>
      </c>
      <c r="AM147" s="604">
        <f t="shared" si="178"/>
        <v>1</v>
      </c>
      <c r="AN147" s="601"/>
      <c r="AO147" s="622"/>
      <c r="AP147" s="622"/>
      <c r="AQ147" s="622"/>
      <c r="AR147" s="622"/>
      <c r="AS147" s="622"/>
      <c r="AT147" s="622"/>
      <c r="AU147" s="622"/>
      <c r="AV147" s="622"/>
      <c r="AW147" s="622"/>
      <c r="AX147" s="622"/>
      <c r="AY147" s="622"/>
      <c r="AZ147" s="622"/>
      <c r="BA147" s="622"/>
      <c r="BB147" s="622"/>
      <c r="BC147" s="622"/>
      <c r="BD147" s="622"/>
      <c r="BE147" s="622"/>
      <c r="BF147" s="622"/>
      <c r="BG147" s="622"/>
      <c r="BH147" s="622"/>
      <c r="BI147" s="622"/>
      <c r="BJ147" s="622"/>
      <c r="BK147" s="622"/>
      <c r="BL147" s="622"/>
      <c r="BM147" s="622"/>
      <c r="BN147" s="622"/>
      <c r="BO147" s="622"/>
      <c r="BP147" s="622"/>
      <c r="BQ147" s="622"/>
      <c r="BR147" s="622"/>
      <c r="BS147" s="622"/>
      <c r="BT147" s="604">
        <f t="shared" si="99"/>
        <v>0</v>
      </c>
      <c r="BU147" s="604">
        <f t="shared" si="100"/>
        <v>0</v>
      </c>
      <c r="BV147" s="633"/>
      <c r="BW147" s="637"/>
      <c r="BX147" s="637">
        <f t="shared" si="146"/>
        <v>0</v>
      </c>
      <c r="BY147" s="638">
        <v>0</v>
      </c>
    </row>
    <row r="148" spans="1:77" s="544" customFormat="1">
      <c r="A148" s="578">
        <v>71</v>
      </c>
      <c r="B148" s="907" t="s">
        <v>1299</v>
      </c>
      <c r="C148" s="577" t="str">
        <f>VLOOKUP(B148,'Luong VP'!$B$10:$D$250,2,0)</f>
        <v>Nguyễn Lê Thanh Thùy</v>
      </c>
      <c r="D148" s="106" t="str">
        <f>VLOOKUP(B148,'Luong VP'!$B$10:$D$250,3,0)</f>
        <v>NV sale</v>
      </c>
      <c r="E148" s="575">
        <v>1</v>
      </c>
      <c r="F148" s="575">
        <v>1</v>
      </c>
      <c r="G148" s="575">
        <v>1</v>
      </c>
      <c r="H148" s="575">
        <v>1</v>
      </c>
      <c r="I148" s="575">
        <v>1</v>
      </c>
      <c r="J148" s="575">
        <v>1</v>
      </c>
      <c r="K148" s="575"/>
      <c r="L148" s="1524" t="s">
        <v>720</v>
      </c>
      <c r="M148" s="575">
        <v>1</v>
      </c>
      <c r="N148" s="575">
        <v>1</v>
      </c>
      <c r="O148" s="575">
        <v>1</v>
      </c>
      <c r="P148" s="575">
        <v>1</v>
      </c>
      <c r="Q148" s="575">
        <v>1</v>
      </c>
      <c r="R148" s="575"/>
      <c r="S148" s="575">
        <v>1</v>
      </c>
      <c r="T148" s="575">
        <v>1</v>
      </c>
      <c r="U148" s="575">
        <v>1</v>
      </c>
      <c r="V148" s="575">
        <v>1</v>
      </c>
      <c r="W148" s="575">
        <v>1</v>
      </c>
      <c r="X148" s="575">
        <v>1</v>
      </c>
      <c r="Y148" s="575"/>
      <c r="Z148" s="575">
        <v>1</v>
      </c>
      <c r="AA148" s="575">
        <v>1</v>
      </c>
      <c r="AB148" s="575">
        <v>1</v>
      </c>
      <c r="AC148" s="575">
        <v>1</v>
      </c>
      <c r="AD148" s="575">
        <v>1</v>
      </c>
      <c r="AE148" s="575">
        <v>1</v>
      </c>
      <c r="AF148" s="575"/>
      <c r="AG148" s="575">
        <v>1</v>
      </c>
      <c r="AH148" s="575">
        <v>1</v>
      </c>
      <c r="AI148" s="575">
        <v>1</v>
      </c>
      <c r="AJ148" s="604">
        <f t="shared" ref="AJ148:AJ164" si="179">SUM(E148:AI148)-AK148</f>
        <v>26</v>
      </c>
      <c r="AK148" s="604">
        <f t="shared" ref="AK148:AK164" si="180">SUMIF($E$5:$AI$5,"LT",E148:AI148)</f>
        <v>0</v>
      </c>
      <c r="AL148" s="604">
        <f t="shared" ref="AL148:AL164" si="181">COUNTIF(E148:AI148,"P")</f>
        <v>0</v>
      </c>
      <c r="AM148" s="604">
        <f t="shared" ref="AM148:AM164" si="182">COUNTIF(E148:AI148,"LT")+MOD(AK148,1)</f>
        <v>1</v>
      </c>
      <c r="AN148" s="601"/>
      <c r="AO148" s="622"/>
      <c r="AP148" s="622"/>
      <c r="AQ148" s="622"/>
      <c r="AR148" s="622"/>
      <c r="AS148" s="622"/>
      <c r="AT148" s="622"/>
      <c r="AU148" s="622"/>
      <c r="AV148" s="622"/>
      <c r="AW148" s="622"/>
      <c r="AX148" s="622"/>
      <c r="AY148" s="622"/>
      <c r="AZ148" s="622"/>
      <c r="BA148" s="622"/>
      <c r="BB148" s="622"/>
      <c r="BC148" s="622"/>
      <c r="BD148" s="622"/>
      <c r="BE148" s="622"/>
      <c r="BF148" s="622"/>
      <c r="BG148" s="622"/>
      <c r="BH148" s="622"/>
      <c r="BI148" s="622"/>
      <c r="BJ148" s="622"/>
      <c r="BK148" s="622"/>
      <c r="BL148" s="622"/>
      <c r="BM148" s="622"/>
      <c r="BN148" s="622"/>
      <c r="BO148" s="622"/>
      <c r="BP148" s="622"/>
      <c r="BQ148" s="622"/>
      <c r="BR148" s="622"/>
      <c r="BS148" s="622"/>
      <c r="BT148" s="604">
        <f t="shared" ref="BT148" si="183">SUM(AO148:BS148)-BU148</f>
        <v>0</v>
      </c>
      <c r="BU148" s="604">
        <f t="shared" ref="BU148" si="184">SUMIF($AO$5:$BS$5,"CN",AO148:BS148)</f>
        <v>0</v>
      </c>
      <c r="BV148" s="633"/>
      <c r="BW148" s="637"/>
      <c r="BX148" s="637">
        <f t="shared" ref="BX148" si="185">BW148</f>
        <v>0</v>
      </c>
      <c r="BY148" s="638">
        <v>0</v>
      </c>
    </row>
    <row r="149" spans="1:77" s="544" customFormat="1">
      <c r="A149" s="578">
        <v>69</v>
      </c>
      <c r="B149" s="105" t="s">
        <v>518</v>
      </c>
      <c r="C149" s="577" t="str">
        <f>VLOOKUP(B149,'Luong VP'!$B$10:$D$250,2,0)</f>
        <v xml:space="preserve"> Phan Thanh Tùng </v>
      </c>
      <c r="D149" s="106" t="str">
        <f>VLOOKUP(B149,'Luong VP'!$B$10:$D$250,3,0)</f>
        <v>NV sale</v>
      </c>
      <c r="E149" s="575">
        <v>1</v>
      </c>
      <c r="F149" s="575">
        <v>1</v>
      </c>
      <c r="G149" s="575">
        <v>1</v>
      </c>
      <c r="H149" s="575">
        <v>1</v>
      </c>
      <c r="I149" s="575">
        <v>1</v>
      </c>
      <c r="J149" s="575">
        <v>1</v>
      </c>
      <c r="K149" s="575"/>
      <c r="L149" s="1524" t="s">
        <v>720</v>
      </c>
      <c r="M149" s="575">
        <v>1</v>
      </c>
      <c r="N149" s="575">
        <v>1</v>
      </c>
      <c r="O149" s="575">
        <v>1</v>
      </c>
      <c r="P149" s="575">
        <v>1</v>
      </c>
      <c r="Q149" s="575">
        <v>1</v>
      </c>
      <c r="R149" s="575"/>
      <c r="S149" s="575">
        <v>1</v>
      </c>
      <c r="T149" s="575">
        <v>1</v>
      </c>
      <c r="U149" s="575">
        <v>1</v>
      </c>
      <c r="V149" s="575">
        <v>1</v>
      </c>
      <c r="W149" s="575">
        <v>1</v>
      </c>
      <c r="X149" s="575">
        <v>1</v>
      </c>
      <c r="Y149" s="575"/>
      <c r="Z149" s="575">
        <v>1</v>
      </c>
      <c r="AA149" s="575">
        <v>1</v>
      </c>
      <c r="AB149" s="575">
        <v>1</v>
      </c>
      <c r="AC149" s="575">
        <v>1</v>
      </c>
      <c r="AD149" s="575">
        <v>1</v>
      </c>
      <c r="AE149" s="575">
        <v>1</v>
      </c>
      <c r="AF149" s="575"/>
      <c r="AG149" s="575">
        <v>1</v>
      </c>
      <c r="AH149" s="575">
        <v>1</v>
      </c>
      <c r="AI149" s="575">
        <v>1</v>
      </c>
      <c r="AJ149" s="604">
        <f t="shared" si="179"/>
        <v>26</v>
      </c>
      <c r="AK149" s="604">
        <f t="shared" si="180"/>
        <v>0</v>
      </c>
      <c r="AL149" s="604">
        <f t="shared" si="181"/>
        <v>0</v>
      </c>
      <c r="AM149" s="604">
        <f t="shared" si="182"/>
        <v>1</v>
      </c>
      <c r="AN149" s="601"/>
      <c r="AO149" s="622"/>
      <c r="AP149" s="622"/>
      <c r="AQ149" s="622"/>
      <c r="AR149" s="622"/>
      <c r="AS149" s="622"/>
      <c r="AT149" s="622"/>
      <c r="AU149" s="622"/>
      <c r="AV149" s="622"/>
      <c r="AW149" s="622"/>
      <c r="AX149" s="622"/>
      <c r="AY149" s="622"/>
      <c r="AZ149" s="622"/>
      <c r="BA149" s="622"/>
      <c r="BB149" s="622"/>
      <c r="BC149" s="622"/>
      <c r="BD149" s="622"/>
      <c r="BE149" s="622"/>
      <c r="BF149" s="622"/>
      <c r="BG149" s="622"/>
      <c r="BH149" s="622"/>
      <c r="BI149" s="622"/>
      <c r="BJ149" s="622"/>
      <c r="BK149" s="622"/>
      <c r="BL149" s="622"/>
      <c r="BM149" s="622"/>
      <c r="BN149" s="622"/>
      <c r="BO149" s="622"/>
      <c r="BP149" s="622"/>
      <c r="BQ149" s="622"/>
      <c r="BR149" s="622"/>
      <c r="BS149" s="622"/>
      <c r="BT149" s="604">
        <f t="shared" si="99"/>
        <v>0</v>
      </c>
      <c r="BU149" s="604">
        <f t="shared" si="100"/>
        <v>0</v>
      </c>
      <c r="BV149" s="633"/>
      <c r="BW149" s="637"/>
      <c r="BX149" s="637">
        <f t="shared" si="146"/>
        <v>0</v>
      </c>
      <c r="BY149" s="638">
        <v>0</v>
      </c>
    </row>
    <row r="150" spans="1:77" s="544" customFormat="1">
      <c r="A150" s="578">
        <v>74</v>
      </c>
      <c r="B150" s="105" t="s">
        <v>521</v>
      </c>
      <c r="C150" s="577" t="str">
        <f>VLOOKUP(B150,'Luong VP'!$B$10:$D$250,2,0)</f>
        <v xml:space="preserve"> Nguyễn Đức Trung </v>
      </c>
      <c r="D150" s="106" t="str">
        <f>VLOOKUP(B150,'Luong VP'!$B$10:$D$250,3,0)</f>
        <v>NV sale</v>
      </c>
      <c r="E150" s="575">
        <v>1</v>
      </c>
      <c r="F150" s="575">
        <v>1</v>
      </c>
      <c r="G150" s="575">
        <v>1</v>
      </c>
      <c r="H150" s="575">
        <v>1</v>
      </c>
      <c r="I150" s="575">
        <v>1</v>
      </c>
      <c r="J150" s="575">
        <v>1</v>
      </c>
      <c r="K150" s="575"/>
      <c r="L150" s="1524" t="s">
        <v>720</v>
      </c>
      <c r="M150" s="575">
        <v>1</v>
      </c>
      <c r="N150" s="575">
        <v>1</v>
      </c>
      <c r="O150" s="575">
        <v>1</v>
      </c>
      <c r="P150" s="575">
        <v>1</v>
      </c>
      <c r="Q150" s="575">
        <v>1</v>
      </c>
      <c r="R150" s="575"/>
      <c r="S150" s="575">
        <v>1</v>
      </c>
      <c r="T150" s="575">
        <v>1</v>
      </c>
      <c r="U150" s="575">
        <v>1</v>
      </c>
      <c r="V150" s="575">
        <v>1</v>
      </c>
      <c r="W150" s="575">
        <v>1</v>
      </c>
      <c r="X150" s="575">
        <v>1</v>
      </c>
      <c r="Y150" s="575"/>
      <c r="Z150" s="575">
        <v>1</v>
      </c>
      <c r="AA150" s="575">
        <v>1</v>
      </c>
      <c r="AB150" s="575">
        <v>1</v>
      </c>
      <c r="AC150" s="575">
        <v>1</v>
      </c>
      <c r="AD150" s="575">
        <v>1</v>
      </c>
      <c r="AE150" s="575">
        <v>1</v>
      </c>
      <c r="AF150" s="575"/>
      <c r="AG150" s="575">
        <v>1</v>
      </c>
      <c r="AH150" s="575">
        <v>1</v>
      </c>
      <c r="AI150" s="575">
        <v>1</v>
      </c>
      <c r="AJ150" s="604">
        <f t="shared" si="179"/>
        <v>26</v>
      </c>
      <c r="AK150" s="604">
        <f t="shared" si="180"/>
        <v>0</v>
      </c>
      <c r="AL150" s="604">
        <f t="shared" si="181"/>
        <v>0</v>
      </c>
      <c r="AM150" s="604">
        <f t="shared" si="182"/>
        <v>1</v>
      </c>
      <c r="AN150" s="601"/>
      <c r="AO150" s="622"/>
      <c r="AP150" s="622"/>
      <c r="AQ150" s="622"/>
      <c r="AR150" s="622"/>
      <c r="AS150" s="622"/>
      <c r="AT150" s="622"/>
      <c r="AU150" s="622"/>
      <c r="AV150" s="622"/>
      <c r="AW150" s="622"/>
      <c r="AX150" s="622"/>
      <c r="AY150" s="622"/>
      <c r="AZ150" s="622"/>
      <c r="BA150" s="622"/>
      <c r="BB150" s="622"/>
      <c r="BC150" s="622"/>
      <c r="BD150" s="622"/>
      <c r="BE150" s="622"/>
      <c r="BF150" s="622"/>
      <c r="BG150" s="622"/>
      <c r="BH150" s="622"/>
      <c r="BI150" s="622"/>
      <c r="BJ150" s="622"/>
      <c r="BK150" s="622"/>
      <c r="BL150" s="622"/>
      <c r="BM150" s="622"/>
      <c r="BN150" s="622"/>
      <c r="BO150" s="622"/>
      <c r="BP150" s="622"/>
      <c r="BQ150" s="622"/>
      <c r="BR150" s="622"/>
      <c r="BS150" s="622"/>
      <c r="BT150" s="604">
        <f t="shared" si="99"/>
        <v>0</v>
      </c>
      <c r="BU150" s="604">
        <f t="shared" si="100"/>
        <v>0</v>
      </c>
      <c r="BV150" s="633"/>
      <c r="BW150" s="637"/>
      <c r="BX150" s="637">
        <f t="shared" si="146"/>
        <v>0</v>
      </c>
      <c r="BY150" s="638">
        <v>0</v>
      </c>
    </row>
    <row r="151" spans="1:77" s="544" customFormat="1">
      <c r="A151" s="578">
        <v>75</v>
      </c>
      <c r="B151" s="105" t="s">
        <v>524</v>
      </c>
      <c r="C151" s="577" t="str">
        <f>VLOOKUP(B151,'Luong VP'!$B$10:$D$250,2,0)</f>
        <v xml:space="preserve"> Nguyễn Minh Đại </v>
      </c>
      <c r="D151" s="106" t="str">
        <f>VLOOKUP(B151,'Luong VP'!$B$10:$D$250,3,0)</f>
        <v>NV sale</v>
      </c>
      <c r="E151" s="575">
        <v>1</v>
      </c>
      <c r="F151" s="575">
        <v>1</v>
      </c>
      <c r="G151" s="575">
        <v>1</v>
      </c>
      <c r="H151" s="575">
        <v>1</v>
      </c>
      <c r="I151" s="575">
        <v>1</v>
      </c>
      <c r="J151" s="575">
        <v>1</v>
      </c>
      <c r="K151" s="575"/>
      <c r="L151" s="1524" t="s">
        <v>720</v>
      </c>
      <c r="M151" s="575">
        <v>1</v>
      </c>
      <c r="N151" s="575">
        <v>1</v>
      </c>
      <c r="O151" s="575">
        <v>1</v>
      </c>
      <c r="P151" s="575">
        <v>1</v>
      </c>
      <c r="Q151" s="575">
        <v>1</v>
      </c>
      <c r="R151" s="575"/>
      <c r="S151" s="575">
        <v>1</v>
      </c>
      <c r="T151" s="575">
        <v>1</v>
      </c>
      <c r="U151" s="575">
        <v>1</v>
      </c>
      <c r="V151" s="575">
        <v>1</v>
      </c>
      <c r="W151" s="575">
        <v>1</v>
      </c>
      <c r="X151" s="575">
        <v>1</v>
      </c>
      <c r="Y151" s="575"/>
      <c r="Z151" s="575">
        <v>1</v>
      </c>
      <c r="AA151" s="575">
        <v>1</v>
      </c>
      <c r="AB151" s="575">
        <v>1</v>
      </c>
      <c r="AC151" s="575">
        <v>1</v>
      </c>
      <c r="AD151" s="575">
        <v>1</v>
      </c>
      <c r="AE151" s="575">
        <v>1</v>
      </c>
      <c r="AF151" s="575"/>
      <c r="AG151" s="575">
        <v>1</v>
      </c>
      <c r="AH151" s="575">
        <v>1</v>
      </c>
      <c r="AI151" s="575">
        <v>1</v>
      </c>
      <c r="AJ151" s="604">
        <f t="shared" si="179"/>
        <v>26</v>
      </c>
      <c r="AK151" s="604">
        <f t="shared" si="180"/>
        <v>0</v>
      </c>
      <c r="AL151" s="604">
        <f t="shared" si="181"/>
        <v>0</v>
      </c>
      <c r="AM151" s="604">
        <f t="shared" si="182"/>
        <v>1</v>
      </c>
      <c r="AN151" s="601"/>
      <c r="AO151" s="622"/>
      <c r="AP151" s="622"/>
      <c r="AQ151" s="622"/>
      <c r="AR151" s="622"/>
      <c r="AS151" s="622"/>
      <c r="AT151" s="622"/>
      <c r="AU151" s="622"/>
      <c r="AV151" s="622"/>
      <c r="AW151" s="622"/>
      <c r="AX151" s="622"/>
      <c r="AY151" s="622"/>
      <c r="AZ151" s="622"/>
      <c r="BA151" s="622"/>
      <c r="BB151" s="622"/>
      <c r="BC151" s="622"/>
      <c r="BD151" s="622"/>
      <c r="BE151" s="622"/>
      <c r="BF151" s="622"/>
      <c r="BG151" s="622"/>
      <c r="BH151" s="622"/>
      <c r="BI151" s="622"/>
      <c r="BJ151" s="622"/>
      <c r="BK151" s="622"/>
      <c r="BL151" s="622"/>
      <c r="BM151" s="622"/>
      <c r="BN151" s="622"/>
      <c r="BO151" s="622"/>
      <c r="BP151" s="622"/>
      <c r="BQ151" s="622"/>
      <c r="BR151" s="622"/>
      <c r="BS151" s="622"/>
      <c r="BT151" s="604">
        <f t="shared" si="99"/>
        <v>0</v>
      </c>
      <c r="BU151" s="604">
        <f t="shared" si="100"/>
        <v>0</v>
      </c>
      <c r="BV151" s="633"/>
      <c r="BW151" s="637"/>
      <c r="BX151" s="637">
        <f t="shared" si="146"/>
        <v>0</v>
      </c>
      <c r="BY151" s="638">
        <v>0</v>
      </c>
    </row>
    <row r="152" spans="1:77" s="1328" customFormat="1">
      <c r="A152" s="1320">
        <v>75</v>
      </c>
      <c r="B152" s="1267" t="s">
        <v>1254</v>
      </c>
      <c r="C152" s="1321" t="str">
        <f>VLOOKUP(B152,'Luong VP'!$B$10:$D$250,2,0)</f>
        <v>Đậu Minh Hùng</v>
      </c>
      <c r="D152" s="1268" t="str">
        <f>VLOOKUP(B152,'Luong VP'!$B$10:$D$250,3,0)</f>
        <v>NV sale</v>
      </c>
      <c r="E152" s="575">
        <v>1</v>
      </c>
      <c r="F152" s="575">
        <v>1</v>
      </c>
      <c r="G152" s="575">
        <v>1</v>
      </c>
      <c r="H152" s="575">
        <v>1</v>
      </c>
      <c r="I152" s="575">
        <v>1</v>
      </c>
      <c r="J152" s="575">
        <v>1</v>
      </c>
      <c r="K152" s="575"/>
      <c r="L152" s="1524" t="s">
        <v>720</v>
      </c>
      <c r="M152" s="575">
        <v>1</v>
      </c>
      <c r="N152" s="575">
        <v>1</v>
      </c>
      <c r="O152" s="575">
        <v>1</v>
      </c>
      <c r="P152" s="575">
        <v>1</v>
      </c>
      <c r="Q152" s="575">
        <v>1</v>
      </c>
      <c r="R152" s="575"/>
      <c r="S152" s="575">
        <v>1</v>
      </c>
      <c r="T152" s="575">
        <v>1</v>
      </c>
      <c r="U152" s="575">
        <v>1</v>
      </c>
      <c r="V152" s="575">
        <v>1</v>
      </c>
      <c r="W152" s="575">
        <v>1</v>
      </c>
      <c r="X152" s="575">
        <v>1</v>
      </c>
      <c r="Y152" s="575"/>
      <c r="Z152" s="575">
        <v>1</v>
      </c>
      <c r="AA152" s="575">
        <v>1</v>
      </c>
      <c r="AB152" s="575">
        <v>1</v>
      </c>
      <c r="AC152" s="575">
        <v>1</v>
      </c>
      <c r="AD152" s="575">
        <v>1</v>
      </c>
      <c r="AE152" s="575">
        <v>1</v>
      </c>
      <c r="AF152" s="575"/>
      <c r="AG152" s="575">
        <v>1</v>
      </c>
      <c r="AH152" s="575">
        <v>1</v>
      </c>
      <c r="AI152" s="575">
        <v>1</v>
      </c>
      <c r="AJ152" s="604">
        <f t="shared" si="179"/>
        <v>26</v>
      </c>
      <c r="AK152" s="604">
        <f t="shared" si="180"/>
        <v>0</v>
      </c>
      <c r="AL152" s="604">
        <f t="shared" si="181"/>
        <v>0</v>
      </c>
      <c r="AM152" s="604">
        <f t="shared" si="182"/>
        <v>1</v>
      </c>
      <c r="AN152" s="1323"/>
      <c r="AO152" s="1324"/>
      <c r="AP152" s="1324"/>
      <c r="AQ152" s="1324"/>
      <c r="AR152" s="1324"/>
      <c r="AS152" s="1324"/>
      <c r="AT152" s="1324"/>
      <c r="AU152" s="1324"/>
      <c r="AV152" s="1324"/>
      <c r="AW152" s="1324"/>
      <c r="AX152" s="1324"/>
      <c r="AY152" s="1324"/>
      <c r="AZ152" s="1324"/>
      <c r="BA152" s="1324"/>
      <c r="BB152" s="1324"/>
      <c r="BC152" s="1324"/>
      <c r="BD152" s="1324"/>
      <c r="BE152" s="1324"/>
      <c r="BF152" s="1324"/>
      <c r="BG152" s="1324"/>
      <c r="BH152" s="1324"/>
      <c r="BI152" s="1324"/>
      <c r="BJ152" s="1324"/>
      <c r="BK152" s="1324"/>
      <c r="BL152" s="1324"/>
      <c r="BM152" s="1324"/>
      <c r="BN152" s="1324"/>
      <c r="BO152" s="1324"/>
      <c r="BP152" s="1324"/>
      <c r="BQ152" s="1324"/>
      <c r="BR152" s="1324"/>
      <c r="BS152" s="1324"/>
      <c r="BT152" s="1322">
        <f t="shared" ref="BT152" si="186">SUM(AO152:BS152)-BU152</f>
        <v>0</v>
      </c>
      <c r="BU152" s="1322">
        <f t="shared" ref="BU152" si="187">SUMIF($AO$5:$BS$5,"CN",AO152:BS152)</f>
        <v>0</v>
      </c>
      <c r="BV152" s="1325"/>
      <c r="BW152" s="1326"/>
      <c r="BX152" s="1326">
        <f t="shared" ref="BX152" si="188">BW152</f>
        <v>0</v>
      </c>
      <c r="BY152" s="1327">
        <v>0</v>
      </c>
    </row>
    <row r="153" spans="1:77" s="1367" customFormat="1">
      <c r="A153" s="1358"/>
      <c r="B153" s="1330" t="s">
        <v>527</v>
      </c>
      <c r="C153" s="1360" t="str">
        <f>VLOOKUP(B153,'Luong VP'!$B$10:$D$250,2,0)</f>
        <v>Hoàng Văn Nhân</v>
      </c>
      <c r="D153" s="1334" t="str">
        <f>VLOOKUP(B153,'Luong VP'!$B$10:$D$250,3,0)</f>
        <v>Trưởng sale Tỉnh</v>
      </c>
      <c r="E153" s="575">
        <v>1</v>
      </c>
      <c r="F153" s="575">
        <v>1</v>
      </c>
      <c r="G153" s="575">
        <v>1</v>
      </c>
      <c r="H153" s="575">
        <v>1</v>
      </c>
      <c r="I153" s="575">
        <v>1</v>
      </c>
      <c r="J153" s="575">
        <v>1</v>
      </c>
      <c r="K153" s="575"/>
      <c r="L153" s="1524" t="s">
        <v>720</v>
      </c>
      <c r="M153" s="575">
        <v>1</v>
      </c>
      <c r="N153" s="575">
        <v>1</v>
      </c>
      <c r="O153" s="575">
        <v>1</v>
      </c>
      <c r="P153" s="575">
        <v>1</v>
      </c>
      <c r="Q153" s="575">
        <v>1</v>
      </c>
      <c r="R153" s="575"/>
      <c r="S153" s="575">
        <v>1</v>
      </c>
      <c r="T153" s="575">
        <v>1</v>
      </c>
      <c r="U153" s="575">
        <v>1</v>
      </c>
      <c r="V153" s="575">
        <v>1</v>
      </c>
      <c r="W153" s="575">
        <v>1</v>
      </c>
      <c r="X153" s="575">
        <v>1</v>
      </c>
      <c r="Y153" s="575"/>
      <c r="Z153" s="575">
        <v>1</v>
      </c>
      <c r="AA153" s="575">
        <v>1</v>
      </c>
      <c r="AB153" s="575">
        <v>1</v>
      </c>
      <c r="AC153" s="575">
        <v>1</v>
      </c>
      <c r="AD153" s="575">
        <v>1</v>
      </c>
      <c r="AE153" s="575">
        <v>1</v>
      </c>
      <c r="AF153" s="575"/>
      <c r="AG153" s="575">
        <v>1</v>
      </c>
      <c r="AH153" s="575">
        <v>1</v>
      </c>
      <c r="AI153" s="575">
        <v>1</v>
      </c>
      <c r="AJ153" s="604">
        <f t="shared" si="179"/>
        <v>26</v>
      </c>
      <c r="AK153" s="604">
        <f t="shared" si="180"/>
        <v>0</v>
      </c>
      <c r="AL153" s="604">
        <f t="shared" si="181"/>
        <v>0</v>
      </c>
      <c r="AM153" s="604">
        <f t="shared" si="182"/>
        <v>1</v>
      </c>
      <c r="AN153" s="1362"/>
      <c r="AO153" s="1363"/>
      <c r="AP153" s="1363"/>
      <c r="AQ153" s="1363"/>
      <c r="AR153" s="1363"/>
      <c r="AS153" s="1363"/>
      <c r="AT153" s="1363"/>
      <c r="AU153" s="1363"/>
      <c r="AV153" s="1363"/>
      <c r="AW153" s="1363"/>
      <c r="AX153" s="1363"/>
      <c r="AY153" s="1363"/>
      <c r="AZ153" s="1363"/>
      <c r="BA153" s="1363"/>
      <c r="BB153" s="1363"/>
      <c r="BC153" s="1363"/>
      <c r="BD153" s="1363"/>
      <c r="BE153" s="1363"/>
      <c r="BF153" s="1363"/>
      <c r="BG153" s="1363"/>
      <c r="BH153" s="1363"/>
      <c r="BI153" s="1363"/>
      <c r="BJ153" s="1363"/>
      <c r="BK153" s="1363"/>
      <c r="BL153" s="1363"/>
      <c r="BM153" s="1363"/>
      <c r="BN153" s="1363"/>
      <c r="BO153" s="1363"/>
      <c r="BP153" s="1363"/>
      <c r="BQ153" s="1363"/>
      <c r="BR153" s="1363"/>
      <c r="BS153" s="1363"/>
      <c r="BT153" s="1361">
        <f t="shared" ref="BT153:BT204" si="189">SUM(AO153:BS153)-BU153</f>
        <v>0</v>
      </c>
      <c r="BU153" s="1361">
        <f t="shared" ref="BU153:BU204" si="190">SUMIF($AO$5:$BS$5,"CN",AO153:BS153)</f>
        <v>0</v>
      </c>
      <c r="BV153" s="1364"/>
      <c r="BW153" s="1365"/>
      <c r="BX153" s="1365">
        <f t="shared" ref="BX153:BX163" si="191">BW153</f>
        <v>0</v>
      </c>
      <c r="BY153" s="1366">
        <v>0</v>
      </c>
    </row>
    <row r="154" spans="1:77" s="1328" customFormat="1">
      <c r="A154" s="1320"/>
      <c r="B154" s="1267" t="s">
        <v>1249</v>
      </c>
      <c r="C154" s="1321" t="str">
        <f>VLOOKUP(B154,'Luong VP'!$B$10:$D$250,2,0)</f>
        <v>Nguyễn Hoàng Luân</v>
      </c>
      <c r="D154" s="1268" t="str">
        <f>VLOOKUP(B154,'Luong VP'!$B$10:$D$250,3,0)</f>
        <v>NV sale</v>
      </c>
      <c r="E154" s="575">
        <v>1</v>
      </c>
      <c r="F154" s="575">
        <v>1</v>
      </c>
      <c r="G154" s="575">
        <v>1</v>
      </c>
      <c r="H154" s="575">
        <v>1</v>
      </c>
      <c r="I154" s="575">
        <v>1</v>
      </c>
      <c r="J154" s="575">
        <v>1</v>
      </c>
      <c r="K154" s="575"/>
      <c r="L154" s="1524" t="s">
        <v>720</v>
      </c>
      <c r="M154" s="575">
        <v>1</v>
      </c>
      <c r="N154" s="575">
        <v>1</v>
      </c>
      <c r="O154" s="575">
        <v>1</v>
      </c>
      <c r="P154" s="575">
        <v>1</v>
      </c>
      <c r="Q154" s="575">
        <v>1</v>
      </c>
      <c r="R154" s="575"/>
      <c r="S154" s="575">
        <v>1</v>
      </c>
      <c r="T154" s="575">
        <v>1</v>
      </c>
      <c r="U154" s="575">
        <v>1</v>
      </c>
      <c r="V154" s="575">
        <v>1</v>
      </c>
      <c r="W154" s="575">
        <v>1</v>
      </c>
      <c r="X154" s="575">
        <v>1</v>
      </c>
      <c r="Y154" s="575"/>
      <c r="Z154" s="575">
        <v>1</v>
      </c>
      <c r="AA154" s="575">
        <v>1</v>
      </c>
      <c r="AB154" s="575">
        <v>1</v>
      </c>
      <c r="AC154" s="575">
        <v>1</v>
      </c>
      <c r="AD154" s="575">
        <v>1</v>
      </c>
      <c r="AE154" s="575">
        <v>1</v>
      </c>
      <c r="AF154" s="575"/>
      <c r="AG154" s="575">
        <v>1</v>
      </c>
      <c r="AH154" s="575">
        <v>1</v>
      </c>
      <c r="AI154" s="575">
        <v>1</v>
      </c>
      <c r="AJ154" s="604">
        <f t="shared" si="179"/>
        <v>26</v>
      </c>
      <c r="AK154" s="604">
        <f t="shared" si="180"/>
        <v>0</v>
      </c>
      <c r="AL154" s="604">
        <f t="shared" si="181"/>
        <v>0</v>
      </c>
      <c r="AM154" s="604">
        <f t="shared" si="182"/>
        <v>1</v>
      </c>
      <c r="AN154" s="1323"/>
      <c r="AO154" s="1324"/>
      <c r="AP154" s="1324"/>
      <c r="AQ154" s="1324"/>
      <c r="AR154" s="1324"/>
      <c r="AS154" s="1324"/>
      <c r="AT154" s="1324"/>
      <c r="AU154" s="1324"/>
      <c r="AV154" s="1324"/>
      <c r="AW154" s="1324"/>
      <c r="AX154" s="1324"/>
      <c r="AY154" s="1324"/>
      <c r="AZ154" s="1324"/>
      <c r="BA154" s="1324"/>
      <c r="BB154" s="1324"/>
      <c r="BC154" s="1324"/>
      <c r="BD154" s="1324"/>
      <c r="BE154" s="1324"/>
      <c r="BF154" s="1324"/>
      <c r="BG154" s="1324"/>
      <c r="BH154" s="1324"/>
      <c r="BI154" s="1324"/>
      <c r="BJ154" s="1324"/>
      <c r="BK154" s="1324"/>
      <c r="BL154" s="1324"/>
      <c r="BM154" s="1324"/>
      <c r="BN154" s="1324"/>
      <c r="BO154" s="1324"/>
      <c r="BP154" s="1324"/>
      <c r="BQ154" s="1324"/>
      <c r="BR154" s="1324"/>
      <c r="BS154" s="1324"/>
      <c r="BT154" s="1322">
        <f t="shared" ref="BT154" si="192">SUM(AO154:BS154)-BU154</f>
        <v>0</v>
      </c>
      <c r="BU154" s="1322">
        <f t="shared" ref="BU154" si="193">SUMIF($AO$5:$BS$5,"CN",AO154:BS154)</f>
        <v>0</v>
      </c>
      <c r="BV154" s="1325"/>
      <c r="BW154" s="1326"/>
      <c r="BX154" s="1326">
        <f t="shared" ref="BX154" si="194">BW154</f>
        <v>0</v>
      </c>
      <c r="BY154" s="1327">
        <v>0</v>
      </c>
    </row>
    <row r="155" spans="1:77" s="544" customFormat="1">
      <c r="A155" s="578"/>
      <c r="B155" s="105" t="s">
        <v>532</v>
      </c>
      <c r="C155" s="577" t="str">
        <f>VLOOKUP(B155,'Luong VP'!$B$10:$D$250,2,0)</f>
        <v>Đinh Hiệp Thương</v>
      </c>
      <c r="D155" s="106" t="str">
        <f>VLOOKUP(B155,'Luong VP'!$B$10:$D$250,3,0)</f>
        <v>NV sale</v>
      </c>
      <c r="E155" s="575">
        <v>1</v>
      </c>
      <c r="F155" s="575">
        <v>1</v>
      </c>
      <c r="G155" s="575">
        <v>1</v>
      </c>
      <c r="H155" s="575">
        <v>1</v>
      </c>
      <c r="I155" s="575">
        <v>1</v>
      </c>
      <c r="J155" s="575">
        <v>1</v>
      </c>
      <c r="K155" s="575"/>
      <c r="L155" s="1524" t="s">
        <v>720</v>
      </c>
      <c r="M155" s="575">
        <v>1</v>
      </c>
      <c r="N155" s="575">
        <v>1</v>
      </c>
      <c r="O155" s="575">
        <v>1</v>
      </c>
      <c r="P155" s="575">
        <v>1</v>
      </c>
      <c r="Q155" s="575">
        <v>1</v>
      </c>
      <c r="R155" s="575"/>
      <c r="S155" s="575">
        <v>1</v>
      </c>
      <c r="T155" s="575">
        <v>1</v>
      </c>
      <c r="U155" s="575">
        <v>1</v>
      </c>
      <c r="V155" s="575">
        <v>1</v>
      </c>
      <c r="W155" s="575">
        <v>1</v>
      </c>
      <c r="X155" s="575">
        <v>1</v>
      </c>
      <c r="Y155" s="575"/>
      <c r="Z155" s="575">
        <v>1</v>
      </c>
      <c r="AA155" s="575">
        <v>1</v>
      </c>
      <c r="AB155" s="575">
        <v>1</v>
      </c>
      <c r="AC155" s="575">
        <v>1</v>
      </c>
      <c r="AD155" s="575">
        <v>1</v>
      </c>
      <c r="AE155" s="575">
        <v>1</v>
      </c>
      <c r="AF155" s="575"/>
      <c r="AG155" s="575">
        <v>1</v>
      </c>
      <c r="AH155" s="575">
        <v>1</v>
      </c>
      <c r="AI155" s="575">
        <v>1</v>
      </c>
      <c r="AJ155" s="604">
        <f t="shared" si="179"/>
        <v>26</v>
      </c>
      <c r="AK155" s="604">
        <f t="shared" si="180"/>
        <v>0</v>
      </c>
      <c r="AL155" s="604">
        <f t="shared" si="181"/>
        <v>0</v>
      </c>
      <c r="AM155" s="604">
        <f t="shared" si="182"/>
        <v>1</v>
      </c>
      <c r="AN155" s="601"/>
      <c r="AO155" s="622"/>
      <c r="AP155" s="622"/>
      <c r="AQ155" s="622"/>
      <c r="AR155" s="622"/>
      <c r="AS155" s="622"/>
      <c r="AT155" s="622"/>
      <c r="AU155" s="622"/>
      <c r="AV155" s="622"/>
      <c r="AW155" s="622"/>
      <c r="AX155" s="622"/>
      <c r="AY155" s="622"/>
      <c r="AZ155" s="622"/>
      <c r="BA155" s="622"/>
      <c r="BB155" s="622"/>
      <c r="BC155" s="622"/>
      <c r="BD155" s="622"/>
      <c r="BE155" s="622"/>
      <c r="BF155" s="622"/>
      <c r="BG155" s="622"/>
      <c r="BH155" s="622"/>
      <c r="BI155" s="622"/>
      <c r="BJ155" s="622"/>
      <c r="BK155" s="622"/>
      <c r="BL155" s="622"/>
      <c r="BM155" s="622"/>
      <c r="BN155" s="622"/>
      <c r="BO155" s="622"/>
      <c r="BP155" s="622"/>
      <c r="BQ155" s="622"/>
      <c r="BR155" s="622"/>
      <c r="BS155" s="622"/>
      <c r="BT155" s="604">
        <f t="shared" si="189"/>
        <v>0</v>
      </c>
      <c r="BU155" s="604">
        <f t="shared" si="190"/>
        <v>0</v>
      </c>
      <c r="BV155" s="633"/>
      <c r="BW155" s="637"/>
      <c r="BX155" s="637">
        <f t="shared" si="191"/>
        <v>0</v>
      </c>
      <c r="BY155" s="638">
        <v>0</v>
      </c>
    </row>
    <row r="156" spans="1:77" s="544" customFormat="1">
      <c r="A156" s="578"/>
      <c r="B156" s="105" t="s">
        <v>535</v>
      </c>
      <c r="C156" s="577" t="str">
        <f>VLOOKUP(B156,'Luong VP'!$B$10:$D$250,2,0)</f>
        <v>Nguyễn Văn Ninh</v>
      </c>
      <c r="D156" s="106" t="str">
        <f>VLOOKUP(B156,'Luong VP'!$B$10:$D$250,3,0)</f>
        <v>NV sale</v>
      </c>
      <c r="E156" s="575">
        <v>1</v>
      </c>
      <c r="F156" s="575">
        <v>1</v>
      </c>
      <c r="G156" s="575">
        <v>1</v>
      </c>
      <c r="H156" s="575">
        <v>1</v>
      </c>
      <c r="I156" s="575">
        <v>1</v>
      </c>
      <c r="J156" s="575">
        <v>1</v>
      </c>
      <c r="K156" s="575"/>
      <c r="L156" s="1524" t="s">
        <v>720</v>
      </c>
      <c r="M156" s="575">
        <v>1</v>
      </c>
      <c r="N156" s="575">
        <v>1</v>
      </c>
      <c r="O156" s="575">
        <v>1</v>
      </c>
      <c r="P156" s="575">
        <v>1</v>
      </c>
      <c r="Q156" s="575">
        <v>1</v>
      </c>
      <c r="R156" s="575"/>
      <c r="S156" s="575">
        <v>1</v>
      </c>
      <c r="T156" s="575">
        <v>1</v>
      </c>
      <c r="U156" s="575">
        <v>1</v>
      </c>
      <c r="V156" s="575">
        <v>1</v>
      </c>
      <c r="W156" s="575">
        <v>1</v>
      </c>
      <c r="X156" s="575">
        <v>1</v>
      </c>
      <c r="Y156" s="575"/>
      <c r="Z156" s="575">
        <v>1</v>
      </c>
      <c r="AA156" s="575">
        <v>1</v>
      </c>
      <c r="AB156" s="575">
        <v>1</v>
      </c>
      <c r="AC156" s="575">
        <v>1</v>
      </c>
      <c r="AD156" s="575">
        <v>1</v>
      </c>
      <c r="AE156" s="575">
        <v>1</v>
      </c>
      <c r="AF156" s="575"/>
      <c r="AG156" s="575">
        <v>1</v>
      </c>
      <c r="AH156" s="575">
        <v>1</v>
      </c>
      <c r="AI156" s="575">
        <v>1</v>
      </c>
      <c r="AJ156" s="604">
        <f t="shared" si="179"/>
        <v>26</v>
      </c>
      <c r="AK156" s="604">
        <f t="shared" si="180"/>
        <v>0</v>
      </c>
      <c r="AL156" s="604">
        <f t="shared" si="181"/>
        <v>0</v>
      </c>
      <c r="AM156" s="604">
        <f t="shared" si="182"/>
        <v>1</v>
      </c>
      <c r="AN156" s="601"/>
      <c r="AO156" s="622"/>
      <c r="AP156" s="622"/>
      <c r="AQ156" s="622"/>
      <c r="AR156" s="622"/>
      <c r="AS156" s="622"/>
      <c r="AT156" s="622"/>
      <c r="AU156" s="622"/>
      <c r="AV156" s="622"/>
      <c r="AW156" s="622"/>
      <c r="AX156" s="622"/>
      <c r="AY156" s="622"/>
      <c r="AZ156" s="622"/>
      <c r="BA156" s="622"/>
      <c r="BB156" s="622"/>
      <c r="BC156" s="622"/>
      <c r="BD156" s="622"/>
      <c r="BE156" s="622"/>
      <c r="BF156" s="622"/>
      <c r="BG156" s="622"/>
      <c r="BH156" s="622"/>
      <c r="BI156" s="622"/>
      <c r="BJ156" s="622"/>
      <c r="BK156" s="622"/>
      <c r="BL156" s="622"/>
      <c r="BM156" s="622"/>
      <c r="BN156" s="622"/>
      <c r="BO156" s="622"/>
      <c r="BP156" s="622"/>
      <c r="BQ156" s="622"/>
      <c r="BR156" s="622"/>
      <c r="BS156" s="622"/>
      <c r="BT156" s="604">
        <f t="shared" si="189"/>
        <v>0</v>
      </c>
      <c r="BU156" s="604">
        <f t="shared" si="190"/>
        <v>0</v>
      </c>
      <c r="BV156" s="633"/>
      <c r="BW156" s="637"/>
      <c r="BX156" s="637">
        <f t="shared" si="191"/>
        <v>0</v>
      </c>
      <c r="BY156" s="638">
        <v>0</v>
      </c>
    </row>
    <row r="157" spans="1:77" s="547" customFormat="1">
      <c r="A157" s="579"/>
      <c r="B157" s="657" t="s">
        <v>537</v>
      </c>
      <c r="C157" s="581" t="str">
        <f>VLOOKUP(B157,'Luong VP'!$B$10:$D$250,2,0)</f>
        <v>Nguyễn Anh Vũ</v>
      </c>
      <c r="D157" s="582" t="str">
        <f>VLOOKUP(B157,'Luong VP'!$B$10:$D$250,3,0)</f>
        <v>NV sale</v>
      </c>
      <c r="E157" s="575">
        <v>1</v>
      </c>
      <c r="F157" s="575">
        <v>1</v>
      </c>
      <c r="G157" s="575">
        <v>1</v>
      </c>
      <c r="H157" s="575">
        <v>1</v>
      </c>
      <c r="I157" s="575">
        <v>1</v>
      </c>
      <c r="J157" s="575">
        <v>1</v>
      </c>
      <c r="K157" s="575"/>
      <c r="L157" s="1524" t="s">
        <v>720</v>
      </c>
      <c r="M157" s="575">
        <v>1</v>
      </c>
      <c r="N157" s="575">
        <v>1</v>
      </c>
      <c r="O157" s="575">
        <v>1</v>
      </c>
      <c r="P157" s="575">
        <v>1</v>
      </c>
      <c r="Q157" s="575">
        <v>1</v>
      </c>
      <c r="R157" s="575"/>
      <c r="S157" s="575">
        <v>1</v>
      </c>
      <c r="T157" s="575">
        <v>1</v>
      </c>
      <c r="U157" s="575">
        <v>1</v>
      </c>
      <c r="V157" s="575">
        <v>1</v>
      </c>
      <c r="W157" s="575">
        <v>1</v>
      </c>
      <c r="X157" s="575">
        <v>1</v>
      </c>
      <c r="Y157" s="575"/>
      <c r="Z157" s="575">
        <v>1</v>
      </c>
      <c r="AA157" s="575">
        <v>1</v>
      </c>
      <c r="AB157" s="575">
        <v>1</v>
      </c>
      <c r="AC157" s="575">
        <v>1</v>
      </c>
      <c r="AD157" s="575">
        <v>1</v>
      </c>
      <c r="AE157" s="575">
        <v>1</v>
      </c>
      <c r="AF157" s="575"/>
      <c r="AG157" s="575">
        <v>1</v>
      </c>
      <c r="AH157" s="575">
        <v>1</v>
      </c>
      <c r="AI157" s="575">
        <v>1</v>
      </c>
      <c r="AJ157" s="604">
        <f t="shared" si="179"/>
        <v>26</v>
      </c>
      <c r="AK157" s="604">
        <f t="shared" si="180"/>
        <v>0</v>
      </c>
      <c r="AL157" s="604">
        <f t="shared" si="181"/>
        <v>0</v>
      </c>
      <c r="AM157" s="604">
        <f t="shared" si="182"/>
        <v>1</v>
      </c>
      <c r="AN157" s="609"/>
      <c r="AO157" s="624"/>
      <c r="AP157" s="624"/>
      <c r="AQ157" s="624"/>
      <c r="AR157" s="624"/>
      <c r="AS157" s="624"/>
      <c r="AT157" s="624"/>
      <c r="AU157" s="624"/>
      <c r="AV157" s="624"/>
      <c r="AW157" s="624"/>
      <c r="AX157" s="624"/>
      <c r="AY157" s="624"/>
      <c r="AZ157" s="624"/>
      <c r="BA157" s="624"/>
      <c r="BB157" s="624"/>
      <c r="BC157" s="624"/>
      <c r="BD157" s="624"/>
      <c r="BE157" s="624"/>
      <c r="BF157" s="624"/>
      <c r="BG157" s="624"/>
      <c r="BH157" s="624"/>
      <c r="BI157" s="624"/>
      <c r="BJ157" s="624"/>
      <c r="BK157" s="624"/>
      <c r="BL157" s="624"/>
      <c r="BM157" s="624"/>
      <c r="BN157" s="624"/>
      <c r="BO157" s="624"/>
      <c r="BP157" s="624"/>
      <c r="BQ157" s="624"/>
      <c r="BR157" s="624"/>
      <c r="BS157" s="624"/>
      <c r="BT157" s="608">
        <f t="shared" ref="BT157" si="195">SUM(AO157:BS157)-BU157</f>
        <v>0</v>
      </c>
      <c r="BU157" s="608">
        <f t="shared" ref="BU157" si="196">SUMIF($AO$5:$BS$5,"CN",AO157:BS157)</f>
        <v>0</v>
      </c>
      <c r="BV157" s="640"/>
      <c r="BW157" s="641"/>
      <c r="BX157" s="641">
        <f t="shared" ref="BX157" si="197">BW157</f>
        <v>0</v>
      </c>
      <c r="BY157" s="642">
        <v>0</v>
      </c>
    </row>
    <row r="158" spans="1:77" s="547" customFormat="1">
      <c r="A158" s="579"/>
      <c r="B158" s="657" t="s">
        <v>1324</v>
      </c>
      <c r="C158" s="581" t="str">
        <f>VLOOKUP(B158,'Luong VP'!$B$10:$D$250,2,0)</f>
        <v>Phạm Hữu Tân</v>
      </c>
      <c r="D158" s="582" t="str">
        <f>VLOOKUP(B158,'Luong VP'!$B$10:$D$250,3,0)</f>
        <v>NV sale</v>
      </c>
      <c r="E158" s="575">
        <v>1</v>
      </c>
      <c r="F158" s="575">
        <v>1</v>
      </c>
      <c r="G158" s="575">
        <v>1</v>
      </c>
      <c r="H158" s="575">
        <v>1</v>
      </c>
      <c r="I158" s="575">
        <v>1</v>
      </c>
      <c r="J158" s="575">
        <v>1</v>
      </c>
      <c r="K158" s="575"/>
      <c r="L158" s="1524" t="s">
        <v>720</v>
      </c>
      <c r="M158" s="575">
        <v>1</v>
      </c>
      <c r="N158" s="575">
        <v>1</v>
      </c>
      <c r="O158" s="575">
        <v>1</v>
      </c>
      <c r="P158" s="575">
        <v>1</v>
      </c>
      <c r="Q158" s="575">
        <v>1</v>
      </c>
      <c r="R158" s="575"/>
      <c r="S158" s="575">
        <v>1</v>
      </c>
      <c r="T158" s="575">
        <v>1</v>
      </c>
      <c r="U158" s="575">
        <v>1</v>
      </c>
      <c r="V158" s="575">
        <v>1</v>
      </c>
      <c r="W158" s="575">
        <v>1</v>
      </c>
      <c r="X158" s="575">
        <v>1</v>
      </c>
      <c r="Y158" s="575"/>
      <c r="Z158" s="575">
        <v>1</v>
      </c>
      <c r="AA158" s="575">
        <v>1</v>
      </c>
      <c r="AB158" s="575">
        <v>1</v>
      </c>
      <c r="AC158" s="575">
        <v>1</v>
      </c>
      <c r="AD158" s="575">
        <v>1</v>
      </c>
      <c r="AE158" s="575">
        <v>1</v>
      </c>
      <c r="AF158" s="575"/>
      <c r="AG158" s="575">
        <v>1</v>
      </c>
      <c r="AH158" s="575">
        <v>1</v>
      </c>
      <c r="AI158" s="575">
        <v>1</v>
      </c>
      <c r="AJ158" s="604">
        <f t="shared" ref="AJ158" si="198">SUM(E158:AI158)-AK158</f>
        <v>26</v>
      </c>
      <c r="AK158" s="604">
        <f t="shared" ref="AK158" si="199">SUMIF($E$5:$AI$5,"LT",E158:AI158)</f>
        <v>0</v>
      </c>
      <c r="AL158" s="604">
        <f t="shared" ref="AL158" si="200">COUNTIF(E158:AI158,"P")</f>
        <v>0</v>
      </c>
      <c r="AM158" s="604">
        <f t="shared" ref="AM158" si="201">COUNTIF(E158:AI158,"LT")+MOD(AK158,1)</f>
        <v>1</v>
      </c>
      <c r="AN158" s="609"/>
      <c r="AO158" s="624"/>
      <c r="AP158" s="624"/>
      <c r="AQ158" s="624"/>
      <c r="AR158" s="624"/>
      <c r="AS158" s="624"/>
      <c r="AT158" s="624"/>
      <c r="AU158" s="624"/>
      <c r="AV158" s="624"/>
      <c r="AW158" s="624"/>
      <c r="AX158" s="624"/>
      <c r="AY158" s="624"/>
      <c r="AZ158" s="624"/>
      <c r="BA158" s="624"/>
      <c r="BB158" s="624"/>
      <c r="BC158" s="624"/>
      <c r="BD158" s="624"/>
      <c r="BE158" s="624"/>
      <c r="BF158" s="624"/>
      <c r="BG158" s="624"/>
      <c r="BH158" s="624"/>
      <c r="BI158" s="624"/>
      <c r="BJ158" s="624"/>
      <c r="BK158" s="624"/>
      <c r="BL158" s="624"/>
      <c r="BM158" s="624"/>
      <c r="BN158" s="624"/>
      <c r="BO158" s="624"/>
      <c r="BP158" s="624"/>
      <c r="BQ158" s="624"/>
      <c r="BR158" s="624"/>
      <c r="BS158" s="624"/>
      <c r="BT158" s="608">
        <f t="shared" ref="BT158" si="202">SUM(AO158:BS158)-BU158</f>
        <v>0</v>
      </c>
      <c r="BU158" s="608">
        <f t="shared" ref="BU158" si="203">SUMIF($AO$5:$BS$5,"CN",AO158:BS158)</f>
        <v>0</v>
      </c>
      <c r="BV158" s="640"/>
      <c r="BW158" s="641"/>
      <c r="BX158" s="641">
        <f t="shared" ref="BX158" si="204">BW158</f>
        <v>0</v>
      </c>
      <c r="BY158" s="642">
        <v>0</v>
      </c>
    </row>
    <row r="159" spans="1:77" s="1367" customFormat="1">
      <c r="A159" s="1358"/>
      <c r="B159" s="1330" t="s">
        <v>539</v>
      </c>
      <c r="C159" s="1360" t="str">
        <f>VLOOKUP(B159,'Luong VP'!$B$10:$D$250,2,0)</f>
        <v>Huỳnh Ngọc Minh</v>
      </c>
      <c r="D159" s="1334" t="str">
        <f>VLOOKUP(B159,'Luong VP'!$B$10:$D$250,3,0)</f>
        <v>Trưởng sale Tỉnh</v>
      </c>
      <c r="E159" s="575">
        <v>1</v>
      </c>
      <c r="F159" s="575">
        <v>1</v>
      </c>
      <c r="G159" s="575">
        <v>1</v>
      </c>
      <c r="H159" s="575">
        <v>1</v>
      </c>
      <c r="I159" s="575">
        <v>1</v>
      </c>
      <c r="J159" s="575">
        <v>1</v>
      </c>
      <c r="K159" s="575"/>
      <c r="L159" s="1524" t="s">
        <v>720</v>
      </c>
      <c r="M159" s="575">
        <v>1</v>
      </c>
      <c r="N159" s="575">
        <v>1</v>
      </c>
      <c r="O159" s="575">
        <v>1</v>
      </c>
      <c r="P159" s="575">
        <v>1</v>
      </c>
      <c r="Q159" s="575">
        <v>1</v>
      </c>
      <c r="R159" s="575"/>
      <c r="S159" s="575">
        <v>1</v>
      </c>
      <c r="T159" s="575">
        <v>1</v>
      </c>
      <c r="U159" s="575">
        <v>1</v>
      </c>
      <c r="V159" s="575">
        <v>1</v>
      </c>
      <c r="W159" s="575">
        <v>1</v>
      </c>
      <c r="X159" s="575">
        <v>1</v>
      </c>
      <c r="Y159" s="575"/>
      <c r="Z159" s="575">
        <v>1</v>
      </c>
      <c r="AA159" s="575">
        <v>1</v>
      </c>
      <c r="AB159" s="575">
        <v>1</v>
      </c>
      <c r="AC159" s="575">
        <v>1</v>
      </c>
      <c r="AD159" s="575">
        <v>1</v>
      </c>
      <c r="AE159" s="575">
        <v>1</v>
      </c>
      <c r="AF159" s="575"/>
      <c r="AG159" s="575">
        <v>1</v>
      </c>
      <c r="AH159" s="575">
        <v>1</v>
      </c>
      <c r="AI159" s="575">
        <v>1</v>
      </c>
      <c r="AJ159" s="604">
        <f t="shared" si="179"/>
        <v>26</v>
      </c>
      <c r="AK159" s="604">
        <f t="shared" si="180"/>
        <v>0</v>
      </c>
      <c r="AL159" s="604">
        <f t="shared" si="181"/>
        <v>0</v>
      </c>
      <c r="AM159" s="604">
        <f t="shared" si="182"/>
        <v>1</v>
      </c>
      <c r="AN159" s="1362"/>
      <c r="AO159" s="1363"/>
      <c r="AP159" s="1363"/>
      <c r="AQ159" s="1363"/>
      <c r="AR159" s="1363"/>
      <c r="AS159" s="1363"/>
      <c r="AT159" s="1363"/>
      <c r="AU159" s="1363"/>
      <c r="AV159" s="1363"/>
      <c r="AW159" s="1363"/>
      <c r="AX159" s="1363"/>
      <c r="AY159" s="1363"/>
      <c r="AZ159" s="1363"/>
      <c r="BA159" s="1363"/>
      <c r="BB159" s="1363"/>
      <c r="BC159" s="1363"/>
      <c r="BD159" s="1363"/>
      <c r="BE159" s="1363"/>
      <c r="BF159" s="1363"/>
      <c r="BG159" s="1363"/>
      <c r="BH159" s="1363"/>
      <c r="BI159" s="1363"/>
      <c r="BJ159" s="1363"/>
      <c r="BK159" s="1363"/>
      <c r="BL159" s="1363"/>
      <c r="BM159" s="1363"/>
      <c r="BN159" s="1363"/>
      <c r="BO159" s="1363"/>
      <c r="BP159" s="1363"/>
      <c r="BQ159" s="1363"/>
      <c r="BR159" s="1363"/>
      <c r="BS159" s="1363"/>
      <c r="BT159" s="1361">
        <f t="shared" si="189"/>
        <v>0</v>
      </c>
      <c r="BU159" s="1361">
        <f t="shared" si="190"/>
        <v>0</v>
      </c>
      <c r="BV159" s="1364"/>
      <c r="BW159" s="1365"/>
      <c r="BX159" s="1365">
        <f t="shared" si="191"/>
        <v>0</v>
      </c>
      <c r="BY159" s="1366">
        <v>0</v>
      </c>
    </row>
    <row r="160" spans="1:77" s="544" customFormat="1">
      <c r="A160" s="578"/>
      <c r="B160" s="105" t="s">
        <v>541</v>
      </c>
      <c r="C160" s="577" t="str">
        <f>VLOOKUP(B160,'Luong VP'!$B$10:$D$250,2,0)</f>
        <v>Nguyễn Quốc Tâm</v>
      </c>
      <c r="D160" s="106" t="str">
        <f>VLOOKUP(B160,'Luong VP'!$B$10:$D$250,3,0)</f>
        <v>NV sale</v>
      </c>
      <c r="E160" s="575">
        <v>1</v>
      </c>
      <c r="F160" s="575">
        <v>1</v>
      </c>
      <c r="G160" s="575">
        <v>1</v>
      </c>
      <c r="H160" s="575">
        <v>1</v>
      </c>
      <c r="I160" s="575">
        <v>1</v>
      </c>
      <c r="J160" s="575">
        <v>1</v>
      </c>
      <c r="K160" s="575"/>
      <c r="L160" s="1524" t="s">
        <v>720</v>
      </c>
      <c r="M160" s="575">
        <v>1</v>
      </c>
      <c r="N160" s="575">
        <v>1</v>
      </c>
      <c r="O160" s="575">
        <v>1</v>
      </c>
      <c r="P160" s="575">
        <v>1</v>
      </c>
      <c r="Q160" s="575">
        <v>1</v>
      </c>
      <c r="R160" s="575"/>
      <c r="S160" s="575">
        <v>1</v>
      </c>
      <c r="T160" s="575">
        <v>1</v>
      </c>
      <c r="U160" s="575">
        <v>1</v>
      </c>
      <c r="V160" s="575">
        <v>1</v>
      </c>
      <c r="W160" s="575">
        <v>1</v>
      </c>
      <c r="X160" s="575">
        <v>1</v>
      </c>
      <c r="Y160" s="575"/>
      <c r="Z160" s="575">
        <v>1</v>
      </c>
      <c r="AA160" s="575">
        <v>1</v>
      </c>
      <c r="AB160" s="575">
        <v>1</v>
      </c>
      <c r="AC160" s="575">
        <v>1</v>
      </c>
      <c r="AD160" s="575">
        <v>1</v>
      </c>
      <c r="AE160" s="575">
        <v>1</v>
      </c>
      <c r="AF160" s="575"/>
      <c r="AG160" s="575">
        <v>1</v>
      </c>
      <c r="AH160" s="575">
        <v>1</v>
      </c>
      <c r="AI160" s="575">
        <v>1</v>
      </c>
      <c r="AJ160" s="604">
        <f t="shared" si="179"/>
        <v>26</v>
      </c>
      <c r="AK160" s="604">
        <f t="shared" si="180"/>
        <v>0</v>
      </c>
      <c r="AL160" s="604">
        <f t="shared" si="181"/>
        <v>0</v>
      </c>
      <c r="AM160" s="604">
        <f t="shared" si="182"/>
        <v>1</v>
      </c>
      <c r="AN160" s="601"/>
      <c r="AO160" s="622"/>
      <c r="AP160" s="622"/>
      <c r="AQ160" s="622"/>
      <c r="AR160" s="622"/>
      <c r="AS160" s="622"/>
      <c r="AT160" s="622"/>
      <c r="AU160" s="622"/>
      <c r="AV160" s="622"/>
      <c r="AW160" s="622"/>
      <c r="AX160" s="622"/>
      <c r="AY160" s="622"/>
      <c r="AZ160" s="622"/>
      <c r="BA160" s="622"/>
      <c r="BB160" s="622"/>
      <c r="BC160" s="622"/>
      <c r="BD160" s="622"/>
      <c r="BE160" s="622"/>
      <c r="BF160" s="622"/>
      <c r="BG160" s="622"/>
      <c r="BH160" s="622"/>
      <c r="BI160" s="622"/>
      <c r="BJ160" s="622"/>
      <c r="BK160" s="622"/>
      <c r="BL160" s="622"/>
      <c r="BM160" s="622"/>
      <c r="BN160" s="622"/>
      <c r="BO160" s="622"/>
      <c r="BP160" s="622"/>
      <c r="BQ160" s="622"/>
      <c r="BR160" s="622"/>
      <c r="BS160" s="622"/>
      <c r="BT160" s="604">
        <f t="shared" si="189"/>
        <v>0</v>
      </c>
      <c r="BU160" s="604">
        <f t="shared" si="190"/>
        <v>0</v>
      </c>
      <c r="BV160" s="633"/>
      <c r="BW160" s="637"/>
      <c r="BX160" s="637">
        <f t="shared" si="191"/>
        <v>0</v>
      </c>
      <c r="BY160" s="638">
        <v>0</v>
      </c>
    </row>
    <row r="161" spans="1:78" s="544" customFormat="1">
      <c r="A161" s="578"/>
      <c r="B161" s="105" t="s">
        <v>543</v>
      </c>
      <c r="C161" s="577" t="str">
        <f>VLOOKUP(B161,'Luong VP'!$B$10:$D$250,2,0)</f>
        <v>Nguyễn Hoàng Khang</v>
      </c>
      <c r="D161" s="106" t="str">
        <f>VLOOKUP(B161,'Luong VP'!$B$10:$D$250,3,0)</f>
        <v>NV sale</v>
      </c>
      <c r="E161" s="575">
        <v>1</v>
      </c>
      <c r="F161" s="575">
        <v>1</v>
      </c>
      <c r="G161" s="575">
        <v>1</v>
      </c>
      <c r="H161" s="575">
        <v>1</v>
      </c>
      <c r="I161" s="575">
        <v>1</v>
      </c>
      <c r="J161" s="575">
        <v>1</v>
      </c>
      <c r="K161" s="575"/>
      <c r="L161" s="1524" t="s">
        <v>720</v>
      </c>
      <c r="M161" s="575">
        <v>1</v>
      </c>
      <c r="N161" s="575">
        <v>1</v>
      </c>
      <c r="O161" s="575">
        <v>1</v>
      </c>
      <c r="P161" s="575">
        <v>1</v>
      </c>
      <c r="Q161" s="575">
        <v>1</v>
      </c>
      <c r="R161" s="575"/>
      <c r="S161" s="575">
        <v>1</v>
      </c>
      <c r="T161" s="575">
        <v>1</v>
      </c>
      <c r="U161" s="575">
        <v>1</v>
      </c>
      <c r="V161" s="575">
        <v>1</v>
      </c>
      <c r="W161" s="575">
        <v>1</v>
      </c>
      <c r="X161" s="575">
        <v>1</v>
      </c>
      <c r="Y161" s="575"/>
      <c r="Z161" s="575">
        <v>1</v>
      </c>
      <c r="AA161" s="575">
        <v>1</v>
      </c>
      <c r="AB161" s="575">
        <v>1</v>
      </c>
      <c r="AC161" s="575">
        <v>1</v>
      </c>
      <c r="AD161" s="575">
        <v>1</v>
      </c>
      <c r="AE161" s="575">
        <v>1</v>
      </c>
      <c r="AF161" s="575"/>
      <c r="AG161" s="575">
        <v>1</v>
      </c>
      <c r="AH161" s="575">
        <v>1</v>
      </c>
      <c r="AI161" s="575">
        <v>1</v>
      </c>
      <c r="AJ161" s="604">
        <f t="shared" si="179"/>
        <v>26</v>
      </c>
      <c r="AK161" s="604">
        <f t="shared" si="180"/>
        <v>0</v>
      </c>
      <c r="AL161" s="604">
        <f t="shared" si="181"/>
        <v>0</v>
      </c>
      <c r="AM161" s="604">
        <f t="shared" si="182"/>
        <v>1</v>
      </c>
      <c r="AN161" s="601"/>
      <c r="AO161" s="622"/>
      <c r="AP161" s="622"/>
      <c r="AQ161" s="622"/>
      <c r="AR161" s="622"/>
      <c r="AS161" s="622"/>
      <c r="AT161" s="622"/>
      <c r="AU161" s="622"/>
      <c r="AV161" s="622"/>
      <c r="AW161" s="622"/>
      <c r="AX161" s="622"/>
      <c r="AY161" s="622"/>
      <c r="AZ161" s="622"/>
      <c r="BA161" s="622"/>
      <c r="BB161" s="622"/>
      <c r="BC161" s="622"/>
      <c r="BD161" s="622"/>
      <c r="BE161" s="622"/>
      <c r="BF161" s="622"/>
      <c r="BG161" s="622"/>
      <c r="BH161" s="622"/>
      <c r="BI161" s="622"/>
      <c r="BJ161" s="622"/>
      <c r="BK161" s="622"/>
      <c r="BL161" s="622"/>
      <c r="BM161" s="622"/>
      <c r="BN161" s="622"/>
      <c r="BO161" s="622"/>
      <c r="BP161" s="622"/>
      <c r="BQ161" s="622"/>
      <c r="BR161" s="622"/>
      <c r="BS161" s="622"/>
      <c r="BT161" s="604">
        <f t="shared" si="189"/>
        <v>0</v>
      </c>
      <c r="BU161" s="604">
        <f t="shared" si="190"/>
        <v>0</v>
      </c>
      <c r="BV161" s="633"/>
      <c r="BW161" s="637"/>
      <c r="BX161" s="637">
        <f t="shared" si="191"/>
        <v>0</v>
      </c>
      <c r="BY161" s="638">
        <v>0</v>
      </c>
    </row>
    <row r="162" spans="1:78" s="544" customFormat="1">
      <c r="A162" s="578"/>
      <c r="B162" s="105" t="s">
        <v>545</v>
      </c>
      <c r="C162" s="577" t="str">
        <f>VLOOKUP(B162,'Luong VP'!$B$10:$D$250,2,0)</f>
        <v>Nguyễn Huy Cường</v>
      </c>
      <c r="D162" s="106" t="str">
        <f>VLOOKUP(B162,'Luong VP'!$B$10:$D$250,3,0)</f>
        <v>NV sale</v>
      </c>
      <c r="E162" s="575">
        <v>1</v>
      </c>
      <c r="F162" s="575">
        <v>1</v>
      </c>
      <c r="G162" s="575">
        <v>1</v>
      </c>
      <c r="H162" s="575">
        <v>1</v>
      </c>
      <c r="I162" s="575">
        <v>1</v>
      </c>
      <c r="J162" s="575">
        <v>1</v>
      </c>
      <c r="K162" s="575"/>
      <c r="L162" s="1524" t="s">
        <v>720</v>
      </c>
      <c r="M162" s="575">
        <v>1</v>
      </c>
      <c r="N162" s="575">
        <v>1</v>
      </c>
      <c r="O162" s="575">
        <v>1</v>
      </c>
      <c r="P162" s="575">
        <v>1</v>
      </c>
      <c r="Q162" s="575">
        <v>1</v>
      </c>
      <c r="R162" s="575"/>
      <c r="S162" s="575">
        <v>1</v>
      </c>
      <c r="T162" s="575">
        <v>1</v>
      </c>
      <c r="U162" s="575">
        <v>1</v>
      </c>
      <c r="V162" s="575">
        <v>1</v>
      </c>
      <c r="W162" s="575">
        <v>1</v>
      </c>
      <c r="X162" s="575">
        <v>1</v>
      </c>
      <c r="Y162" s="575"/>
      <c r="Z162" s="575">
        <v>1</v>
      </c>
      <c r="AA162" s="575">
        <v>1</v>
      </c>
      <c r="AB162" s="575">
        <v>1</v>
      </c>
      <c r="AC162" s="575">
        <v>1</v>
      </c>
      <c r="AD162" s="575">
        <v>1</v>
      </c>
      <c r="AE162" s="575">
        <v>1</v>
      </c>
      <c r="AF162" s="575"/>
      <c r="AG162" s="575">
        <v>1</v>
      </c>
      <c r="AH162" s="575">
        <v>1</v>
      </c>
      <c r="AI162" s="575">
        <v>1</v>
      </c>
      <c r="AJ162" s="604">
        <f t="shared" si="179"/>
        <v>26</v>
      </c>
      <c r="AK162" s="604">
        <f t="shared" si="180"/>
        <v>0</v>
      </c>
      <c r="AL162" s="604">
        <f t="shared" si="181"/>
        <v>0</v>
      </c>
      <c r="AM162" s="604">
        <f t="shared" si="182"/>
        <v>1</v>
      </c>
      <c r="AN162" s="601"/>
      <c r="AO162" s="622"/>
      <c r="AP162" s="622"/>
      <c r="AQ162" s="622"/>
      <c r="AR162" s="622"/>
      <c r="AS162" s="622"/>
      <c r="AT162" s="622"/>
      <c r="AU162" s="622"/>
      <c r="AV162" s="622"/>
      <c r="AW162" s="622"/>
      <c r="AX162" s="622"/>
      <c r="AY162" s="622"/>
      <c r="AZ162" s="622"/>
      <c r="BA162" s="622"/>
      <c r="BB162" s="622"/>
      <c r="BC162" s="622"/>
      <c r="BD162" s="622"/>
      <c r="BE162" s="622"/>
      <c r="BF162" s="622"/>
      <c r="BG162" s="622"/>
      <c r="BH162" s="622"/>
      <c r="BI162" s="622"/>
      <c r="BJ162" s="622"/>
      <c r="BK162" s="622"/>
      <c r="BL162" s="622"/>
      <c r="BM162" s="622"/>
      <c r="BN162" s="622"/>
      <c r="BO162" s="622"/>
      <c r="BP162" s="622"/>
      <c r="BQ162" s="622"/>
      <c r="BR162" s="622"/>
      <c r="BS162" s="622"/>
      <c r="BT162" s="604">
        <f t="shared" si="189"/>
        <v>0</v>
      </c>
      <c r="BU162" s="604">
        <f t="shared" si="190"/>
        <v>0</v>
      </c>
      <c r="BV162" s="633"/>
      <c r="BW162" s="637"/>
      <c r="BX162" s="637">
        <f t="shared" si="191"/>
        <v>0</v>
      </c>
      <c r="BY162" s="638">
        <v>0</v>
      </c>
    </row>
    <row r="163" spans="1:78" s="544" customFormat="1">
      <c r="A163" s="578"/>
      <c r="B163" s="105" t="s">
        <v>547</v>
      </c>
      <c r="C163" s="577" t="str">
        <f>VLOOKUP(B163,'Luong VP'!$B$10:$D$250,2,0)</f>
        <v>Nguyễn Hóa Giàu</v>
      </c>
      <c r="D163" s="106" t="str">
        <f>VLOOKUP(B163,'Luong VP'!$B$10:$D$250,3,0)</f>
        <v>NV sale</v>
      </c>
      <c r="E163" s="575">
        <v>1</v>
      </c>
      <c r="F163" s="575">
        <v>1</v>
      </c>
      <c r="G163" s="575">
        <v>1</v>
      </c>
      <c r="H163" s="575">
        <v>1</v>
      </c>
      <c r="I163" s="575">
        <v>1</v>
      </c>
      <c r="J163" s="575">
        <v>1</v>
      </c>
      <c r="K163" s="575"/>
      <c r="L163" s="1524" t="s">
        <v>720</v>
      </c>
      <c r="M163" s="575">
        <v>1</v>
      </c>
      <c r="N163" s="575">
        <v>1</v>
      </c>
      <c r="O163" s="575">
        <v>1</v>
      </c>
      <c r="P163" s="575">
        <v>1</v>
      </c>
      <c r="Q163" s="575">
        <v>1</v>
      </c>
      <c r="R163" s="575"/>
      <c r="S163" s="575">
        <v>1</v>
      </c>
      <c r="T163" s="575">
        <v>1</v>
      </c>
      <c r="U163" s="575">
        <v>1</v>
      </c>
      <c r="V163" s="575">
        <v>1</v>
      </c>
      <c r="W163" s="575">
        <v>1</v>
      </c>
      <c r="X163" s="575">
        <v>1</v>
      </c>
      <c r="Y163" s="575"/>
      <c r="Z163" s="575">
        <v>1</v>
      </c>
      <c r="AA163" s="575">
        <v>1</v>
      </c>
      <c r="AB163" s="575">
        <v>1</v>
      </c>
      <c r="AC163" s="575">
        <v>1</v>
      </c>
      <c r="AD163" s="575">
        <v>1</v>
      </c>
      <c r="AE163" s="575">
        <v>1</v>
      </c>
      <c r="AF163" s="575"/>
      <c r="AG163" s="575">
        <v>1</v>
      </c>
      <c r="AH163" s="575">
        <v>1</v>
      </c>
      <c r="AI163" s="575">
        <v>1</v>
      </c>
      <c r="AJ163" s="604">
        <f t="shared" si="179"/>
        <v>26</v>
      </c>
      <c r="AK163" s="604">
        <f t="shared" si="180"/>
        <v>0</v>
      </c>
      <c r="AL163" s="604">
        <f t="shared" si="181"/>
        <v>0</v>
      </c>
      <c r="AM163" s="604">
        <f t="shared" si="182"/>
        <v>1</v>
      </c>
      <c r="AN163" s="601"/>
      <c r="AO163" s="622"/>
      <c r="AP163" s="622"/>
      <c r="AQ163" s="622"/>
      <c r="AR163" s="622"/>
      <c r="AS163" s="622"/>
      <c r="AT163" s="622"/>
      <c r="AU163" s="622"/>
      <c r="AV163" s="622"/>
      <c r="AW163" s="622"/>
      <c r="AX163" s="622"/>
      <c r="AY163" s="622"/>
      <c r="AZ163" s="622"/>
      <c r="BA163" s="622"/>
      <c r="BB163" s="622"/>
      <c r="BC163" s="622"/>
      <c r="BD163" s="622"/>
      <c r="BE163" s="622"/>
      <c r="BF163" s="622"/>
      <c r="BG163" s="622"/>
      <c r="BH163" s="622"/>
      <c r="BI163" s="622"/>
      <c r="BJ163" s="622"/>
      <c r="BK163" s="622"/>
      <c r="BL163" s="622"/>
      <c r="BM163" s="622"/>
      <c r="BN163" s="622"/>
      <c r="BO163" s="622"/>
      <c r="BP163" s="622"/>
      <c r="BQ163" s="622"/>
      <c r="BR163" s="622"/>
      <c r="BS163" s="622"/>
      <c r="BT163" s="604">
        <f t="shared" si="189"/>
        <v>0</v>
      </c>
      <c r="BU163" s="604">
        <f t="shared" si="190"/>
        <v>0</v>
      </c>
      <c r="BV163" s="633"/>
      <c r="BW163" s="637"/>
      <c r="BX163" s="637">
        <f t="shared" si="191"/>
        <v>0</v>
      </c>
      <c r="BY163" s="638">
        <v>0</v>
      </c>
    </row>
    <row r="164" spans="1:78" s="1379" customFormat="1">
      <c r="A164" s="1370"/>
      <c r="B164" s="1371" t="s">
        <v>549</v>
      </c>
      <c r="C164" s="1372" t="str">
        <f>VLOOKUP(B164,'Luong VP'!$B$10:$D$250,2,0)</f>
        <v>Trần Chí Minh</v>
      </c>
      <c r="D164" s="1357" t="str">
        <f>VLOOKUP(B164,'Luong VP'!$B$10:$D$250,3,0)</f>
        <v>Trưởng Trade Marketing</v>
      </c>
      <c r="E164" s="575">
        <v>1</v>
      </c>
      <c r="F164" s="575">
        <v>1</v>
      </c>
      <c r="G164" s="575">
        <v>1</v>
      </c>
      <c r="H164" s="575">
        <v>1</v>
      </c>
      <c r="I164" s="575">
        <v>1</v>
      </c>
      <c r="J164" s="575">
        <v>1</v>
      </c>
      <c r="K164" s="575"/>
      <c r="L164" s="1524" t="s">
        <v>720</v>
      </c>
      <c r="M164" s="575">
        <v>1</v>
      </c>
      <c r="N164" s="575">
        <v>1</v>
      </c>
      <c r="O164" s="575">
        <v>1</v>
      </c>
      <c r="P164" s="575">
        <v>1</v>
      </c>
      <c r="Q164" s="575">
        <v>1</v>
      </c>
      <c r="R164" s="575"/>
      <c r="S164" s="575">
        <v>1</v>
      </c>
      <c r="T164" s="575">
        <v>1</v>
      </c>
      <c r="U164" s="575">
        <v>1</v>
      </c>
      <c r="V164" s="575">
        <v>1</v>
      </c>
      <c r="W164" s="575">
        <v>1</v>
      </c>
      <c r="X164" s="575">
        <v>1</v>
      </c>
      <c r="Y164" s="575"/>
      <c r="Z164" s="575">
        <v>1</v>
      </c>
      <c r="AA164" s="575">
        <v>1</v>
      </c>
      <c r="AB164" s="575">
        <v>1</v>
      </c>
      <c r="AC164" s="575">
        <v>1</v>
      </c>
      <c r="AD164" s="575">
        <v>1</v>
      </c>
      <c r="AE164" s="575">
        <v>1</v>
      </c>
      <c r="AF164" s="575"/>
      <c r="AG164" s="575">
        <v>1</v>
      </c>
      <c r="AH164" s="575">
        <v>1</v>
      </c>
      <c r="AI164" s="575">
        <v>1</v>
      </c>
      <c r="AJ164" s="604">
        <f t="shared" si="179"/>
        <v>26</v>
      </c>
      <c r="AK164" s="604">
        <f t="shared" si="180"/>
        <v>0</v>
      </c>
      <c r="AL164" s="604">
        <f t="shared" si="181"/>
        <v>0</v>
      </c>
      <c r="AM164" s="604">
        <f t="shared" si="182"/>
        <v>1</v>
      </c>
      <c r="AN164" s="1374"/>
      <c r="AO164" s="1375"/>
      <c r="AP164" s="1375"/>
      <c r="AQ164" s="1375"/>
      <c r="AR164" s="1375"/>
      <c r="AS164" s="1375"/>
      <c r="AT164" s="1375"/>
      <c r="AU164" s="1375"/>
      <c r="AV164" s="1375"/>
      <c r="AW164" s="1375"/>
      <c r="AX164" s="1375"/>
      <c r="AY164" s="1375"/>
      <c r="AZ164" s="1375"/>
      <c r="BA164" s="1375"/>
      <c r="BB164" s="1375"/>
      <c r="BC164" s="1375"/>
      <c r="BD164" s="1375"/>
      <c r="BE164" s="1375"/>
      <c r="BF164" s="1375"/>
      <c r="BG164" s="1375"/>
      <c r="BH164" s="1375"/>
      <c r="BI164" s="1375"/>
      <c r="BJ164" s="1375"/>
      <c r="BK164" s="1375"/>
      <c r="BL164" s="1375"/>
      <c r="BM164" s="1375"/>
      <c r="BN164" s="1375"/>
      <c r="BO164" s="1375"/>
      <c r="BP164" s="1375"/>
      <c r="BQ164" s="1375"/>
      <c r="BR164" s="1375"/>
      <c r="BS164" s="1375"/>
      <c r="BT164" s="1373">
        <f t="shared" ref="BT164" si="205">SUM(AO164:BS164)-BU164</f>
        <v>0</v>
      </c>
      <c r="BU164" s="1373">
        <f t="shared" ref="BU164" si="206">SUMIF($AO$5:$BS$5,"CN",AO164:BS164)</f>
        <v>0</v>
      </c>
      <c r="BV164" s="1376"/>
      <c r="BW164" s="1377"/>
      <c r="BX164" s="1377">
        <f t="shared" ref="BX164" si="207">BW164</f>
        <v>0</v>
      </c>
      <c r="BY164" s="1378">
        <v>0</v>
      </c>
    </row>
    <row r="165" spans="1:78" s="544" customFormat="1">
      <c r="A165" s="570"/>
      <c r="B165" s="109"/>
      <c r="C165" s="95" t="s">
        <v>552</v>
      </c>
      <c r="D165" s="96"/>
      <c r="E165" s="96"/>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J165" s="96"/>
      <c r="AK165" s="571"/>
      <c r="AL165" s="571"/>
      <c r="AM165" s="571"/>
      <c r="AN165" s="606"/>
      <c r="AO165" s="571"/>
      <c r="AP165" s="623"/>
      <c r="AQ165" s="623"/>
      <c r="AR165" s="623"/>
      <c r="AS165" s="623"/>
      <c r="AT165" s="623"/>
      <c r="AU165" s="623"/>
      <c r="AV165" s="623"/>
      <c r="AW165" s="623"/>
      <c r="AX165" s="623"/>
      <c r="AY165" s="623"/>
      <c r="AZ165" s="623"/>
      <c r="BA165" s="623"/>
      <c r="BB165" s="623"/>
      <c r="BC165" s="623"/>
      <c r="BD165" s="623"/>
      <c r="BE165" s="623"/>
      <c r="BF165" s="623"/>
      <c r="BG165" s="623"/>
      <c r="BH165" s="623"/>
      <c r="BI165" s="623"/>
      <c r="BJ165" s="623"/>
      <c r="BK165" s="623"/>
      <c r="BL165" s="623"/>
      <c r="BM165" s="623"/>
      <c r="BN165" s="623"/>
      <c r="BO165" s="623"/>
      <c r="BP165" s="623"/>
      <c r="BQ165" s="623"/>
      <c r="BR165" s="623"/>
      <c r="BS165" s="623"/>
      <c r="BT165" s="571"/>
      <c r="BU165" s="571"/>
      <c r="BV165" s="571"/>
      <c r="BW165" s="571"/>
      <c r="BX165" s="571"/>
      <c r="BY165" s="635">
        <v>0</v>
      </c>
    </row>
    <row r="166" spans="1:78" s="544" customFormat="1">
      <c r="A166" s="578">
        <v>76</v>
      </c>
      <c r="B166" s="379" t="s">
        <v>553</v>
      </c>
      <c r="C166" s="105" t="str">
        <f>VLOOKUP(B166,'Luong VP'!$B$10:$D$250,2,0)</f>
        <v xml:space="preserve"> Ngô Mạnh Linh trưởng bộ phận </v>
      </c>
      <c r="D166" s="106" t="str">
        <f>VLOOKUP(B166,'Luong VP'!$B$10:$D$250,3,0)</f>
        <v>Trưởng đội vận chuyển</v>
      </c>
      <c r="E166" s="575">
        <v>1</v>
      </c>
      <c r="F166" s="575">
        <v>1</v>
      </c>
      <c r="G166" s="575">
        <v>1</v>
      </c>
      <c r="H166" s="575">
        <v>1</v>
      </c>
      <c r="I166" s="575">
        <v>1</v>
      </c>
      <c r="J166" s="575">
        <v>1</v>
      </c>
      <c r="K166" s="575"/>
      <c r="L166" s="1524" t="s">
        <v>720</v>
      </c>
      <c r="M166" s="575">
        <v>1</v>
      </c>
      <c r="N166" s="575">
        <v>1</v>
      </c>
      <c r="O166" s="575">
        <v>1</v>
      </c>
      <c r="P166" s="575">
        <v>1</v>
      </c>
      <c r="Q166" s="575">
        <v>1</v>
      </c>
      <c r="R166" s="575"/>
      <c r="S166" s="575">
        <v>1</v>
      </c>
      <c r="T166" s="575">
        <v>1</v>
      </c>
      <c r="U166" s="575">
        <v>1</v>
      </c>
      <c r="V166" s="575">
        <v>1</v>
      </c>
      <c r="W166" s="575">
        <v>1</v>
      </c>
      <c r="X166" s="575">
        <v>1</v>
      </c>
      <c r="Y166" s="575"/>
      <c r="Z166" s="575">
        <v>1</v>
      </c>
      <c r="AA166" s="575">
        <v>1</v>
      </c>
      <c r="AB166" s="575">
        <v>1</v>
      </c>
      <c r="AC166" s="575">
        <v>1</v>
      </c>
      <c r="AD166" s="575">
        <v>1</v>
      </c>
      <c r="AE166" s="575">
        <v>1</v>
      </c>
      <c r="AF166" s="575"/>
      <c r="AG166" s="575">
        <v>1</v>
      </c>
      <c r="AH166" s="575">
        <v>1</v>
      </c>
      <c r="AI166" s="575">
        <v>1</v>
      </c>
      <c r="AJ166" s="604">
        <f>SUM(E166:AI166)-AK166</f>
        <v>26</v>
      </c>
      <c r="AK166" s="604">
        <f>SUMIF($E$5:$AI$5,"LT",E166:AI166)</f>
        <v>0</v>
      </c>
      <c r="AL166" s="604">
        <f>COUNTIF(E166:AI166,"P")</f>
        <v>0</v>
      </c>
      <c r="AM166" s="604">
        <f>COUNTIF(E166:AI166,"LT")+MOD(AK166,1)</f>
        <v>1</v>
      </c>
      <c r="AN166" s="601"/>
      <c r="AO166" s="621"/>
      <c r="AP166" s="622"/>
      <c r="AQ166" s="622"/>
      <c r="AR166" s="622"/>
      <c r="AS166" s="1426"/>
      <c r="AT166" s="622"/>
      <c r="AU166" s="622"/>
      <c r="AV166" s="622"/>
      <c r="AW166" s="622"/>
      <c r="AX166" s="622"/>
      <c r="AY166" s="622"/>
      <c r="AZ166" s="622"/>
      <c r="BA166" s="622"/>
      <c r="BB166" s="622"/>
      <c r="BC166" s="622"/>
      <c r="BD166" s="622"/>
      <c r="BE166" s="627"/>
      <c r="BF166" s="622"/>
      <c r="BG166" s="622"/>
      <c r="BH166" s="622"/>
      <c r="BI166" s="622"/>
      <c r="BJ166" s="622"/>
      <c r="BK166" s="622"/>
      <c r="BL166" s="622"/>
      <c r="BM166" s="622"/>
      <c r="BN166" s="622"/>
      <c r="BO166" s="622"/>
      <c r="BP166" s="622"/>
      <c r="BQ166" s="622"/>
      <c r="BR166" s="622"/>
      <c r="BS166" s="622"/>
      <c r="BT166" s="604">
        <f t="shared" si="189"/>
        <v>0</v>
      </c>
      <c r="BU166" s="604">
        <f t="shared" si="190"/>
        <v>0</v>
      </c>
      <c r="BV166" s="633"/>
      <c r="BW166" s="1513">
        <v>3000</v>
      </c>
      <c r="BX166" s="644">
        <f>BW166+1000+500</f>
        <v>4500</v>
      </c>
      <c r="BY166" s="638">
        <v>0</v>
      </c>
    </row>
    <row r="167" spans="1:78" s="544" customFormat="1">
      <c r="A167" s="578">
        <v>77</v>
      </c>
      <c r="B167" s="379" t="s">
        <v>555</v>
      </c>
      <c r="C167" s="577" t="str">
        <f>VLOOKUP(B167,'Luong VP'!$B$10:$D$250,2,0)</f>
        <v xml:space="preserve"> Nguyễn Cường  </v>
      </c>
      <c r="D167" s="106" t="str">
        <f>VLOOKUP(B167,'Luong VP'!$B$10:$D$250,3,0)</f>
        <v>Tài xế</v>
      </c>
      <c r="E167" s="575">
        <v>1</v>
      </c>
      <c r="F167" s="575">
        <v>1</v>
      </c>
      <c r="G167" s="575">
        <v>1</v>
      </c>
      <c r="H167" s="575">
        <v>1</v>
      </c>
      <c r="I167" s="575">
        <v>1</v>
      </c>
      <c r="J167" s="575">
        <v>1</v>
      </c>
      <c r="K167" s="575"/>
      <c r="L167" s="1524" t="s">
        <v>720</v>
      </c>
      <c r="M167" s="575">
        <v>1</v>
      </c>
      <c r="N167" s="575">
        <v>1</v>
      </c>
      <c r="O167" s="575">
        <v>1</v>
      </c>
      <c r="P167" s="575">
        <v>1</v>
      </c>
      <c r="Q167" s="575">
        <v>1</v>
      </c>
      <c r="R167" s="575"/>
      <c r="S167" s="575">
        <v>1</v>
      </c>
      <c r="T167" s="575">
        <v>1</v>
      </c>
      <c r="U167" s="575">
        <v>1</v>
      </c>
      <c r="V167" s="575">
        <v>1</v>
      </c>
      <c r="W167" s="575">
        <v>1</v>
      </c>
      <c r="X167" s="575">
        <v>1</v>
      </c>
      <c r="Y167" s="575"/>
      <c r="Z167" s="575">
        <v>1</v>
      </c>
      <c r="AA167" s="575">
        <v>1</v>
      </c>
      <c r="AB167" s="575">
        <v>1</v>
      </c>
      <c r="AC167" s="575">
        <v>1</v>
      </c>
      <c r="AD167" s="575">
        <v>1</v>
      </c>
      <c r="AE167" s="575">
        <v>1</v>
      </c>
      <c r="AF167" s="575"/>
      <c r="AG167" s="575">
        <v>1</v>
      </c>
      <c r="AH167" s="575">
        <v>1</v>
      </c>
      <c r="AI167" s="575">
        <v>1</v>
      </c>
      <c r="AJ167" s="604">
        <f t="shared" ref="AJ167:AJ177" si="208">SUM(E167:AI167)-AK167</f>
        <v>26</v>
      </c>
      <c r="AK167" s="604">
        <f t="shared" ref="AK167:AK177" si="209">SUMIF($E$5:$AI$5,"LT",E167:AI167)</f>
        <v>0</v>
      </c>
      <c r="AL167" s="604">
        <f t="shared" ref="AL167:AL177" si="210">COUNTIF(E167:AI167,"P")</f>
        <v>0</v>
      </c>
      <c r="AM167" s="604">
        <f t="shared" ref="AM167:AM177" si="211">COUNTIF(E167:AI167,"LT")+MOD(AK167,1)</f>
        <v>1</v>
      </c>
      <c r="AN167" s="601"/>
      <c r="AO167" s="621"/>
      <c r="AP167" s="622"/>
      <c r="AQ167" s="622"/>
      <c r="AR167" s="622"/>
      <c r="AS167" s="622"/>
      <c r="AT167" s="622"/>
      <c r="AU167" s="622"/>
      <c r="AV167" s="622"/>
      <c r="AW167" s="622"/>
      <c r="AX167" s="622"/>
      <c r="AY167" s="622"/>
      <c r="AZ167" s="622"/>
      <c r="BA167" s="622"/>
      <c r="BB167" s="622"/>
      <c r="BC167" s="622"/>
      <c r="BD167" s="622"/>
      <c r="BE167" s="627"/>
      <c r="BF167" s="622"/>
      <c r="BG167" s="622"/>
      <c r="BH167" s="622"/>
      <c r="BI167" s="622"/>
      <c r="BJ167" s="622"/>
      <c r="BK167" s="622"/>
      <c r="BL167" s="622"/>
      <c r="BM167" s="622"/>
      <c r="BN167" s="622"/>
      <c r="BO167" s="622"/>
      <c r="BP167" s="622"/>
      <c r="BQ167" s="622"/>
      <c r="BR167" s="622"/>
      <c r="BS167" s="622"/>
      <c r="BT167" s="604">
        <f t="shared" si="189"/>
        <v>0</v>
      </c>
      <c r="BU167" s="604">
        <f t="shared" si="190"/>
        <v>0</v>
      </c>
      <c r="BV167" s="633"/>
      <c r="BW167" s="1513">
        <v>4000</v>
      </c>
      <c r="BX167" s="637">
        <f t="shared" ref="BX167:BX171" si="212">BW167</f>
        <v>4000</v>
      </c>
      <c r="BY167" s="638">
        <v>0</v>
      </c>
    </row>
    <row r="168" spans="1:78" s="544" customFormat="1">
      <c r="A168" s="578">
        <v>78</v>
      </c>
      <c r="B168" s="379" t="s">
        <v>557</v>
      </c>
      <c r="C168" s="577" t="str">
        <f>VLOOKUP(B168,'Luong VP'!$B$10:$D$250,2,0)</f>
        <v xml:space="preserve"> Nguyễn Văn Chung </v>
      </c>
      <c r="D168" s="106" t="str">
        <f>VLOOKUP(B168,'Luong VP'!$B$10:$D$250,3,0)</f>
        <v>Admin điều vận</v>
      </c>
      <c r="E168" s="575">
        <v>1</v>
      </c>
      <c r="F168" s="575">
        <v>1</v>
      </c>
      <c r="G168" s="575">
        <v>1</v>
      </c>
      <c r="H168" s="575">
        <v>1</v>
      </c>
      <c r="I168" s="575">
        <v>1</v>
      </c>
      <c r="J168" s="575">
        <v>1</v>
      </c>
      <c r="K168" s="575"/>
      <c r="L168" s="1524" t="s">
        <v>720</v>
      </c>
      <c r="M168" s="575">
        <v>1</v>
      </c>
      <c r="N168" s="575">
        <v>1</v>
      </c>
      <c r="O168" s="575">
        <v>1</v>
      </c>
      <c r="P168" s="575">
        <v>1</v>
      </c>
      <c r="Q168" s="575">
        <v>1</v>
      </c>
      <c r="R168" s="575"/>
      <c r="S168" s="575">
        <v>1</v>
      </c>
      <c r="T168" s="575">
        <v>1</v>
      </c>
      <c r="U168" s="575">
        <v>1</v>
      </c>
      <c r="V168" s="575">
        <v>1</v>
      </c>
      <c r="W168" s="575">
        <v>1</v>
      </c>
      <c r="X168" s="575">
        <v>1</v>
      </c>
      <c r="Y168" s="575"/>
      <c r="Z168" s="575">
        <v>1</v>
      </c>
      <c r="AA168" s="575">
        <v>1</v>
      </c>
      <c r="AB168" s="575">
        <v>1</v>
      </c>
      <c r="AC168" s="575">
        <v>1</v>
      </c>
      <c r="AD168" s="575">
        <v>1</v>
      </c>
      <c r="AE168" s="575">
        <v>1</v>
      </c>
      <c r="AF168" s="575"/>
      <c r="AG168" s="575">
        <v>1</v>
      </c>
      <c r="AH168" s="575">
        <v>1</v>
      </c>
      <c r="AI168" s="575">
        <v>1</v>
      </c>
      <c r="AJ168" s="604">
        <f t="shared" si="208"/>
        <v>26</v>
      </c>
      <c r="AK168" s="604">
        <f t="shared" si="209"/>
        <v>0</v>
      </c>
      <c r="AL168" s="604">
        <f t="shared" si="210"/>
        <v>0</v>
      </c>
      <c r="AM168" s="604">
        <f t="shared" si="211"/>
        <v>1</v>
      </c>
      <c r="AN168" s="601"/>
      <c r="AO168" s="621"/>
      <c r="AP168" s="622"/>
      <c r="AQ168" s="622"/>
      <c r="AR168" s="622"/>
      <c r="AS168" s="622"/>
      <c r="AT168" s="622"/>
      <c r="AU168" s="622"/>
      <c r="AV168" s="622"/>
      <c r="AW168" s="622"/>
      <c r="AX168" s="627"/>
      <c r="AY168" s="622"/>
      <c r="AZ168" s="622"/>
      <c r="BA168" s="622"/>
      <c r="BB168" s="622"/>
      <c r="BC168" s="622"/>
      <c r="BD168" s="622"/>
      <c r="BE168" s="627"/>
      <c r="BF168" s="622"/>
      <c r="BG168" s="622"/>
      <c r="BH168" s="622"/>
      <c r="BI168" s="622"/>
      <c r="BJ168" s="622"/>
      <c r="BK168" s="622"/>
      <c r="BL168" s="622"/>
      <c r="BM168" s="622"/>
      <c r="BN168" s="622"/>
      <c r="BO168" s="622"/>
      <c r="BP168" s="622"/>
      <c r="BQ168" s="622"/>
      <c r="BR168" s="622"/>
      <c r="BS168" s="622"/>
      <c r="BT168" s="604">
        <f t="shared" si="189"/>
        <v>0</v>
      </c>
      <c r="BU168" s="604">
        <f t="shared" si="190"/>
        <v>0</v>
      </c>
      <c r="BV168" s="633"/>
      <c r="BW168" s="1513">
        <v>4000</v>
      </c>
      <c r="BX168" s="644">
        <f>BW168+2000</f>
        <v>6000</v>
      </c>
      <c r="BY168" s="638">
        <v>0</v>
      </c>
      <c r="BZ168" s="544" t="s">
        <v>739</v>
      </c>
    </row>
    <row r="169" spans="1:78" s="544" customFormat="1">
      <c r="A169" s="578">
        <v>80</v>
      </c>
      <c r="B169" s="379" t="s">
        <v>559</v>
      </c>
      <c r="C169" s="577" t="str">
        <f>VLOOKUP(B169,'Luong VP'!$B$10:$D$250,2,0)</f>
        <v xml:space="preserve"> Nguyễn Hoài Thanh </v>
      </c>
      <c r="D169" s="106" t="str">
        <f>VLOOKUP(B169,'Luong VP'!$B$10:$D$250,3,0)</f>
        <v>Tài xế</v>
      </c>
      <c r="E169" s="575">
        <v>1</v>
      </c>
      <c r="F169" s="575">
        <v>1</v>
      </c>
      <c r="G169" s="575">
        <v>1</v>
      </c>
      <c r="H169" s="575">
        <v>1</v>
      </c>
      <c r="I169" s="575">
        <v>1</v>
      </c>
      <c r="J169" s="575">
        <v>1</v>
      </c>
      <c r="K169" s="575"/>
      <c r="L169" s="1524" t="s">
        <v>720</v>
      </c>
      <c r="M169" s="575">
        <v>1</v>
      </c>
      <c r="N169" s="575">
        <v>1</v>
      </c>
      <c r="O169" s="575">
        <v>1</v>
      </c>
      <c r="P169" s="575">
        <v>1</v>
      </c>
      <c r="Q169" s="575">
        <v>1</v>
      </c>
      <c r="R169" s="575"/>
      <c r="S169" s="575">
        <v>1</v>
      </c>
      <c r="T169" s="575">
        <v>1</v>
      </c>
      <c r="U169" s="575">
        <v>1</v>
      </c>
      <c r="V169" s="575">
        <v>1</v>
      </c>
      <c r="W169" s="575">
        <v>1</v>
      </c>
      <c r="X169" s="575">
        <v>1</v>
      </c>
      <c r="Y169" s="575"/>
      <c r="Z169" s="575">
        <v>1</v>
      </c>
      <c r="AA169" s="575">
        <v>1</v>
      </c>
      <c r="AB169" s="575">
        <v>1</v>
      </c>
      <c r="AC169" s="575">
        <v>1</v>
      </c>
      <c r="AD169" s="575">
        <v>1</v>
      </c>
      <c r="AE169" s="575">
        <v>1</v>
      </c>
      <c r="AF169" s="575"/>
      <c r="AG169" s="575">
        <v>1</v>
      </c>
      <c r="AH169" s="575">
        <v>1</v>
      </c>
      <c r="AI169" s="575">
        <v>1</v>
      </c>
      <c r="AJ169" s="604">
        <f t="shared" si="208"/>
        <v>26</v>
      </c>
      <c r="AK169" s="604">
        <f t="shared" si="209"/>
        <v>0</v>
      </c>
      <c r="AL169" s="604">
        <f t="shared" si="210"/>
        <v>0</v>
      </c>
      <c r="AM169" s="604">
        <f t="shared" si="211"/>
        <v>1</v>
      </c>
      <c r="AN169" s="601"/>
      <c r="AO169" s="621"/>
      <c r="AP169" s="622"/>
      <c r="AQ169" s="622"/>
      <c r="AR169" s="622"/>
      <c r="AS169" s="622"/>
      <c r="AT169" s="622"/>
      <c r="AU169" s="622"/>
      <c r="AV169" s="622"/>
      <c r="AW169" s="622"/>
      <c r="AX169" s="622"/>
      <c r="AY169" s="622"/>
      <c r="AZ169" s="622"/>
      <c r="BA169" s="622"/>
      <c r="BB169" s="622"/>
      <c r="BC169" s="622"/>
      <c r="BD169" s="622"/>
      <c r="BE169" s="627"/>
      <c r="BF169" s="622"/>
      <c r="BG169" s="622"/>
      <c r="BH169" s="622"/>
      <c r="BI169" s="622"/>
      <c r="BJ169" s="622"/>
      <c r="BK169" s="622"/>
      <c r="BL169" s="622"/>
      <c r="BM169" s="622"/>
      <c r="BN169" s="622"/>
      <c r="BO169" s="622"/>
      <c r="BP169" s="622"/>
      <c r="BQ169" s="622"/>
      <c r="BR169" s="622"/>
      <c r="BS169" s="622"/>
      <c r="BT169" s="604">
        <f t="shared" si="189"/>
        <v>0</v>
      </c>
      <c r="BU169" s="604">
        <f t="shared" si="190"/>
        <v>0</v>
      </c>
      <c r="BV169" s="633"/>
      <c r="BW169" s="1513">
        <v>4000</v>
      </c>
      <c r="BX169" s="637">
        <f t="shared" si="212"/>
        <v>4000</v>
      </c>
      <c r="BY169" s="638">
        <v>0</v>
      </c>
    </row>
    <row r="170" spans="1:78" s="544" customFormat="1">
      <c r="A170" s="578">
        <v>81</v>
      </c>
      <c r="B170" s="379" t="s">
        <v>561</v>
      </c>
      <c r="C170" s="577" t="str">
        <f>VLOOKUP(B170,'Luong VP'!$B$10:$D$250,2,0)</f>
        <v xml:space="preserve"> Nguyễn Đình Hướng </v>
      </c>
      <c r="D170" s="106" t="str">
        <f>VLOOKUP(B170,'Luong VP'!$B$10:$D$250,3,0)</f>
        <v>Tài xế</v>
      </c>
      <c r="E170" s="575">
        <v>1</v>
      </c>
      <c r="F170" s="575">
        <v>1</v>
      </c>
      <c r="G170" s="575">
        <v>1</v>
      </c>
      <c r="H170" s="575">
        <v>1</v>
      </c>
      <c r="I170" s="575">
        <v>1</v>
      </c>
      <c r="J170" s="575">
        <v>1</v>
      </c>
      <c r="K170" s="575"/>
      <c r="L170" s="1524" t="s">
        <v>720</v>
      </c>
      <c r="M170" s="575">
        <v>1</v>
      </c>
      <c r="N170" s="575">
        <v>1</v>
      </c>
      <c r="O170" s="575">
        <v>1</v>
      </c>
      <c r="P170" s="575">
        <v>1</v>
      </c>
      <c r="Q170" s="575">
        <v>1</v>
      </c>
      <c r="R170" s="575"/>
      <c r="S170" s="575">
        <v>1</v>
      </c>
      <c r="T170" s="575">
        <v>1</v>
      </c>
      <c r="U170" s="575">
        <v>1</v>
      </c>
      <c r="V170" s="575">
        <v>1</v>
      </c>
      <c r="W170" s="575">
        <v>1</v>
      </c>
      <c r="X170" s="575">
        <v>1</v>
      </c>
      <c r="Y170" s="575"/>
      <c r="Z170" s="575">
        <v>1</v>
      </c>
      <c r="AA170" s="575">
        <v>1</v>
      </c>
      <c r="AB170" s="575">
        <v>1</v>
      </c>
      <c r="AC170" s="575">
        <v>1</v>
      </c>
      <c r="AD170" s="575">
        <v>1</v>
      </c>
      <c r="AE170" s="575">
        <v>1</v>
      </c>
      <c r="AF170" s="575"/>
      <c r="AG170" s="575">
        <v>1</v>
      </c>
      <c r="AH170" s="575">
        <v>1</v>
      </c>
      <c r="AI170" s="575">
        <v>1</v>
      </c>
      <c r="AJ170" s="604">
        <f t="shared" si="208"/>
        <v>26</v>
      </c>
      <c r="AK170" s="604">
        <f t="shared" si="209"/>
        <v>0</v>
      </c>
      <c r="AL170" s="604">
        <f t="shared" si="210"/>
        <v>0</v>
      </c>
      <c r="AM170" s="604">
        <f t="shared" si="211"/>
        <v>1</v>
      </c>
      <c r="AN170" s="601"/>
      <c r="AO170" s="621"/>
      <c r="AP170" s="622"/>
      <c r="AQ170" s="622"/>
      <c r="AR170" s="622"/>
      <c r="AS170" s="622"/>
      <c r="AT170" s="622"/>
      <c r="AU170" s="622"/>
      <c r="AV170" s="622"/>
      <c r="AW170" s="622"/>
      <c r="AX170" s="622"/>
      <c r="AY170" s="622"/>
      <c r="AZ170" s="622"/>
      <c r="BA170" s="622"/>
      <c r="BB170" s="622"/>
      <c r="BC170" s="622"/>
      <c r="BD170" s="622"/>
      <c r="BE170" s="627"/>
      <c r="BF170" s="622"/>
      <c r="BG170" s="622"/>
      <c r="BH170" s="622"/>
      <c r="BI170" s="622"/>
      <c r="BJ170" s="622"/>
      <c r="BK170" s="622"/>
      <c r="BL170" s="622"/>
      <c r="BM170" s="622"/>
      <c r="BN170" s="622"/>
      <c r="BO170" s="622"/>
      <c r="BP170" s="622"/>
      <c r="BQ170" s="622"/>
      <c r="BR170" s="622"/>
      <c r="BS170" s="622"/>
      <c r="BT170" s="604">
        <f t="shared" si="189"/>
        <v>0</v>
      </c>
      <c r="BU170" s="604">
        <f t="shared" si="190"/>
        <v>0</v>
      </c>
      <c r="BV170" s="633"/>
      <c r="BW170" s="1513">
        <v>4000</v>
      </c>
      <c r="BX170" s="637">
        <f>BW170+2000</f>
        <v>6000</v>
      </c>
      <c r="BY170" s="638">
        <v>0</v>
      </c>
      <c r="BZ170" s="545" t="s">
        <v>1294</v>
      </c>
    </row>
    <row r="171" spans="1:78" s="544" customFormat="1">
      <c r="A171" s="578">
        <v>82</v>
      </c>
      <c r="B171" s="379" t="s">
        <v>563</v>
      </c>
      <c r="C171" s="577" t="str">
        <f>VLOOKUP(B171,'Luong VP'!$B$10:$D$250,2,0)</f>
        <v xml:space="preserve"> Đặng Quốc Cọp </v>
      </c>
      <c r="D171" s="106" t="str">
        <f>VLOOKUP(B171,'Luong VP'!$B$10:$D$250,3,0)</f>
        <v>Tài xế</v>
      </c>
      <c r="E171" s="575">
        <v>1</v>
      </c>
      <c r="F171" s="575">
        <v>1</v>
      </c>
      <c r="G171" s="575">
        <v>1</v>
      </c>
      <c r="H171" s="575">
        <v>1</v>
      </c>
      <c r="I171" s="575">
        <v>1</v>
      </c>
      <c r="J171" s="575">
        <v>1</v>
      </c>
      <c r="K171" s="575"/>
      <c r="L171" s="1524" t="s">
        <v>720</v>
      </c>
      <c r="M171" s="575">
        <v>1</v>
      </c>
      <c r="N171" s="575">
        <v>1</v>
      </c>
      <c r="O171" s="575">
        <v>1</v>
      </c>
      <c r="P171" s="575">
        <v>1</v>
      </c>
      <c r="Q171" s="575">
        <v>1</v>
      </c>
      <c r="R171" s="575"/>
      <c r="S171" s="575">
        <v>1</v>
      </c>
      <c r="T171" s="575">
        <v>1</v>
      </c>
      <c r="U171" s="575">
        <v>1</v>
      </c>
      <c r="V171" s="575">
        <v>1</v>
      </c>
      <c r="W171" s="575">
        <v>1</v>
      </c>
      <c r="X171" s="575">
        <v>1</v>
      </c>
      <c r="Y171" s="575"/>
      <c r="Z171" s="575">
        <v>1</v>
      </c>
      <c r="AA171" s="575">
        <v>1</v>
      </c>
      <c r="AB171" s="575">
        <v>1</v>
      </c>
      <c r="AC171" s="575">
        <v>1</v>
      </c>
      <c r="AD171" s="575">
        <v>1</v>
      </c>
      <c r="AE171" s="575">
        <v>1</v>
      </c>
      <c r="AF171" s="575"/>
      <c r="AG171" s="575">
        <v>1</v>
      </c>
      <c r="AH171" s="575">
        <v>1</v>
      </c>
      <c r="AI171" s="575">
        <v>1</v>
      </c>
      <c r="AJ171" s="604">
        <f t="shared" si="208"/>
        <v>26</v>
      </c>
      <c r="AK171" s="604">
        <f t="shared" si="209"/>
        <v>0</v>
      </c>
      <c r="AL171" s="604">
        <f t="shared" si="210"/>
        <v>0</v>
      </c>
      <c r="AM171" s="604">
        <f t="shared" si="211"/>
        <v>1</v>
      </c>
      <c r="AN171" s="601"/>
      <c r="AO171" s="621"/>
      <c r="AP171" s="622"/>
      <c r="AQ171" s="622"/>
      <c r="AR171" s="622"/>
      <c r="AS171" s="1426"/>
      <c r="AT171" s="622"/>
      <c r="AU171" s="622"/>
      <c r="AV171" s="622"/>
      <c r="AW171" s="622"/>
      <c r="AX171" s="622"/>
      <c r="AY171" s="622"/>
      <c r="AZ171" s="622"/>
      <c r="BA171" s="622"/>
      <c r="BB171" s="622"/>
      <c r="BC171" s="622"/>
      <c r="BD171" s="622"/>
      <c r="BE171" s="627"/>
      <c r="BF171" s="622"/>
      <c r="BG171" s="622"/>
      <c r="BH171" s="622"/>
      <c r="BI171" s="622"/>
      <c r="BJ171" s="622"/>
      <c r="BK171" s="622"/>
      <c r="BL171" s="622"/>
      <c r="BM171" s="622"/>
      <c r="BN171" s="622"/>
      <c r="BO171" s="622"/>
      <c r="BP171" s="622"/>
      <c r="BQ171" s="622"/>
      <c r="BR171" s="622"/>
      <c r="BS171" s="622"/>
      <c r="BT171" s="604">
        <f t="shared" si="189"/>
        <v>0</v>
      </c>
      <c r="BU171" s="604">
        <f t="shared" si="190"/>
        <v>0</v>
      </c>
      <c r="BV171" s="633"/>
      <c r="BW171" s="1513">
        <v>4000</v>
      </c>
      <c r="BX171" s="637">
        <f t="shared" si="212"/>
        <v>4000</v>
      </c>
      <c r="BY171" s="638">
        <v>0</v>
      </c>
    </row>
    <row r="172" spans="1:78" s="544" customFormat="1">
      <c r="A172" s="578">
        <v>83</v>
      </c>
      <c r="B172" s="379" t="s">
        <v>565</v>
      </c>
      <c r="C172" s="577" t="str">
        <f>VLOOKUP(B172,'Luong VP'!$B$10:$D$250,2,0)</f>
        <v xml:space="preserve"> Châu Kim Lượng </v>
      </c>
      <c r="D172" s="106" t="str">
        <f>VLOOKUP(B172,'Luong VP'!$B$10:$D$250,3,0)</f>
        <v>Tài xế</v>
      </c>
      <c r="E172" s="575">
        <v>1</v>
      </c>
      <c r="F172" s="575">
        <v>1</v>
      </c>
      <c r="G172" s="575">
        <v>1</v>
      </c>
      <c r="H172" s="575">
        <v>1</v>
      </c>
      <c r="I172" s="575">
        <v>1</v>
      </c>
      <c r="J172" s="575">
        <v>1</v>
      </c>
      <c r="K172" s="575"/>
      <c r="L172" s="1524" t="s">
        <v>720</v>
      </c>
      <c r="M172" s="575">
        <v>1</v>
      </c>
      <c r="N172" s="575">
        <v>1</v>
      </c>
      <c r="O172" s="575">
        <v>1</v>
      </c>
      <c r="P172" s="575">
        <v>1</v>
      </c>
      <c r="Q172" s="575">
        <v>1</v>
      </c>
      <c r="R172" s="575"/>
      <c r="S172" s="575">
        <v>1</v>
      </c>
      <c r="T172" s="575">
        <v>1</v>
      </c>
      <c r="U172" s="575">
        <v>1</v>
      </c>
      <c r="V172" s="575">
        <v>1</v>
      </c>
      <c r="W172" s="575">
        <v>1</v>
      </c>
      <c r="X172" s="575">
        <v>1</v>
      </c>
      <c r="Y172" s="575"/>
      <c r="Z172" s="575">
        <v>1</v>
      </c>
      <c r="AA172" s="575">
        <v>1</v>
      </c>
      <c r="AB172" s="575">
        <v>1</v>
      </c>
      <c r="AC172" s="575">
        <v>1</v>
      </c>
      <c r="AD172" s="575">
        <v>1</v>
      </c>
      <c r="AE172" s="575">
        <v>1</v>
      </c>
      <c r="AF172" s="575"/>
      <c r="AG172" s="575">
        <v>1</v>
      </c>
      <c r="AH172" s="575">
        <v>1</v>
      </c>
      <c r="AI172" s="575">
        <v>1</v>
      </c>
      <c r="AJ172" s="604">
        <f t="shared" si="208"/>
        <v>26</v>
      </c>
      <c r="AK172" s="604">
        <f t="shared" si="209"/>
        <v>0</v>
      </c>
      <c r="AL172" s="604">
        <f t="shared" si="210"/>
        <v>0</v>
      </c>
      <c r="AM172" s="604">
        <f t="shared" si="211"/>
        <v>1</v>
      </c>
      <c r="AN172" s="601"/>
      <c r="AO172" s="621"/>
      <c r="AP172" s="622"/>
      <c r="AQ172" s="622"/>
      <c r="AR172" s="622"/>
      <c r="AS172" s="622"/>
      <c r="AT172" s="622"/>
      <c r="AU172" s="622"/>
      <c r="AV172" s="622"/>
      <c r="AW172" s="622"/>
      <c r="AX172" s="622"/>
      <c r="AY172" s="622"/>
      <c r="AZ172" s="622"/>
      <c r="BA172" s="622"/>
      <c r="BB172" s="622"/>
      <c r="BC172" s="622"/>
      <c r="BD172" s="622"/>
      <c r="BE172" s="627"/>
      <c r="BF172" s="622"/>
      <c r="BG172" s="622"/>
      <c r="BH172" s="622"/>
      <c r="BI172" s="622"/>
      <c r="BJ172" s="622"/>
      <c r="BK172" s="622"/>
      <c r="BL172" s="622"/>
      <c r="BM172" s="622"/>
      <c r="BN172" s="622"/>
      <c r="BO172" s="622"/>
      <c r="BP172" s="622"/>
      <c r="BQ172" s="622"/>
      <c r="BR172" s="622"/>
      <c r="BS172" s="622"/>
      <c r="BT172" s="604">
        <f t="shared" si="189"/>
        <v>0</v>
      </c>
      <c r="BU172" s="604">
        <f t="shared" si="190"/>
        <v>0</v>
      </c>
      <c r="BV172" s="633"/>
      <c r="BW172" s="1513">
        <v>4000</v>
      </c>
      <c r="BX172" s="1423">
        <f>BW172</f>
        <v>4000</v>
      </c>
      <c r="BY172" s="1424">
        <v>0</v>
      </c>
      <c r="BZ172" s="1425" t="s">
        <v>740</v>
      </c>
    </row>
    <row r="173" spans="1:78" s="544" customFormat="1">
      <c r="A173" s="578">
        <v>84</v>
      </c>
      <c r="B173" s="379" t="s">
        <v>567</v>
      </c>
      <c r="C173" s="577" t="str">
        <f>VLOOKUP(B173,'Luong VP'!$B$10:$D$250,2,0)</f>
        <v xml:space="preserve"> Huỳnh Trọng Nghĩa </v>
      </c>
      <c r="D173" s="106" t="str">
        <f>VLOOKUP(B173,'Luong VP'!$B$10:$D$250,3,0)</f>
        <v>Tài xế</v>
      </c>
      <c r="E173" s="575">
        <v>1</v>
      </c>
      <c r="F173" s="575">
        <v>1</v>
      </c>
      <c r="G173" s="575">
        <v>1</v>
      </c>
      <c r="H173" s="575">
        <v>1</v>
      </c>
      <c r="I173" s="575">
        <v>1</v>
      </c>
      <c r="J173" s="575">
        <v>1</v>
      </c>
      <c r="K173" s="575"/>
      <c r="L173" s="1524" t="s">
        <v>720</v>
      </c>
      <c r="M173" s="575">
        <v>1</v>
      </c>
      <c r="N173" s="575">
        <v>1</v>
      </c>
      <c r="O173" s="575">
        <v>1</v>
      </c>
      <c r="P173" s="575">
        <v>1</v>
      </c>
      <c r="Q173" s="575">
        <v>1</v>
      </c>
      <c r="R173" s="575"/>
      <c r="S173" s="575">
        <v>1</v>
      </c>
      <c r="T173" s="575">
        <v>1</v>
      </c>
      <c r="U173" s="575">
        <v>1</v>
      </c>
      <c r="V173" s="575">
        <v>1</v>
      </c>
      <c r="W173" s="575">
        <v>1</v>
      </c>
      <c r="X173" s="575">
        <v>1</v>
      </c>
      <c r="Y173" s="575"/>
      <c r="Z173" s="575">
        <v>1</v>
      </c>
      <c r="AA173" s="575">
        <v>1</v>
      </c>
      <c r="AB173" s="575">
        <v>1</v>
      </c>
      <c r="AC173" s="575">
        <v>1</v>
      </c>
      <c r="AD173" s="575">
        <v>1</v>
      </c>
      <c r="AE173" s="575">
        <v>1</v>
      </c>
      <c r="AF173" s="575"/>
      <c r="AG173" s="575">
        <v>1</v>
      </c>
      <c r="AH173" s="575">
        <v>1</v>
      </c>
      <c r="AI173" s="575">
        <v>1</v>
      </c>
      <c r="AJ173" s="604">
        <f t="shared" si="208"/>
        <v>26</v>
      </c>
      <c r="AK173" s="604">
        <f t="shared" si="209"/>
        <v>0</v>
      </c>
      <c r="AL173" s="604">
        <f t="shared" si="210"/>
        <v>0</v>
      </c>
      <c r="AM173" s="604">
        <f t="shared" si="211"/>
        <v>1</v>
      </c>
      <c r="AN173" s="601"/>
      <c r="AO173" s="621"/>
      <c r="AP173" s="622"/>
      <c r="AQ173" s="622"/>
      <c r="AR173" s="622"/>
      <c r="AS173" s="622"/>
      <c r="AT173" s="622"/>
      <c r="AU173" s="622"/>
      <c r="AV173" s="622"/>
      <c r="AW173" s="622"/>
      <c r="AX173" s="622"/>
      <c r="AY173" s="622"/>
      <c r="AZ173" s="622"/>
      <c r="BA173" s="622"/>
      <c r="BB173" s="622"/>
      <c r="BC173" s="622"/>
      <c r="BD173" s="622"/>
      <c r="BE173" s="627"/>
      <c r="BF173" s="622"/>
      <c r="BG173" s="622"/>
      <c r="BH173" s="622"/>
      <c r="BI173" s="622"/>
      <c r="BJ173" s="622"/>
      <c r="BK173" s="622"/>
      <c r="BL173" s="622"/>
      <c r="BM173" s="622"/>
      <c r="BN173" s="622"/>
      <c r="BO173" s="622"/>
      <c r="BP173" s="622"/>
      <c r="BQ173" s="622"/>
      <c r="BR173" s="622"/>
      <c r="BS173" s="622"/>
      <c r="BT173" s="604">
        <f t="shared" si="189"/>
        <v>0</v>
      </c>
      <c r="BU173" s="604">
        <f t="shared" si="190"/>
        <v>0</v>
      </c>
      <c r="BV173" s="633"/>
      <c r="BW173" s="1513">
        <v>4000</v>
      </c>
      <c r="BX173" s="637">
        <f t="shared" ref="BX173:BX177" si="213">BW173</f>
        <v>4000</v>
      </c>
      <c r="BY173" s="638">
        <v>0</v>
      </c>
    </row>
    <row r="174" spans="1:78" s="544" customFormat="1" ht="12.6" customHeight="1">
      <c r="A174" s="578">
        <v>86</v>
      </c>
      <c r="B174" s="379" t="s">
        <v>569</v>
      </c>
      <c r="C174" s="577" t="str">
        <f>VLOOKUP(B174,'Luong VP'!$B$10:$D$250,2,0)</f>
        <v xml:space="preserve">Lê Sỹ Ninh </v>
      </c>
      <c r="D174" s="106" t="str">
        <f>VLOOKUP(B174,'Luong VP'!$B$10:$D$250,3,0)</f>
        <v>Tài xế</v>
      </c>
      <c r="E174" s="575">
        <v>1</v>
      </c>
      <c r="F174" s="575">
        <v>1</v>
      </c>
      <c r="G174" s="575">
        <v>1</v>
      </c>
      <c r="H174" s="575">
        <v>1</v>
      </c>
      <c r="I174" s="575">
        <v>1</v>
      </c>
      <c r="J174" s="575">
        <v>1</v>
      </c>
      <c r="K174" s="575"/>
      <c r="L174" s="1524" t="s">
        <v>720</v>
      </c>
      <c r="M174" s="575">
        <v>1</v>
      </c>
      <c r="N174" s="575">
        <v>1</v>
      </c>
      <c r="O174" s="575">
        <v>1</v>
      </c>
      <c r="P174" s="575">
        <v>1</v>
      </c>
      <c r="Q174" s="575">
        <v>1</v>
      </c>
      <c r="R174" s="575"/>
      <c r="S174" s="575">
        <v>1</v>
      </c>
      <c r="T174" s="575">
        <v>1</v>
      </c>
      <c r="U174" s="575">
        <v>1</v>
      </c>
      <c r="V174" s="575">
        <v>1</v>
      </c>
      <c r="W174" s="575">
        <v>1</v>
      </c>
      <c r="X174" s="575">
        <v>1</v>
      </c>
      <c r="Y174" s="575"/>
      <c r="Z174" s="575">
        <v>1</v>
      </c>
      <c r="AA174" s="575">
        <v>1</v>
      </c>
      <c r="AB174" s="575">
        <v>1</v>
      </c>
      <c r="AC174" s="575">
        <v>1</v>
      </c>
      <c r="AD174" s="575">
        <v>1</v>
      </c>
      <c r="AE174" s="575">
        <v>1</v>
      </c>
      <c r="AF174" s="575"/>
      <c r="AG174" s="575">
        <v>1</v>
      </c>
      <c r="AH174" s="575">
        <v>1</v>
      </c>
      <c r="AI174" s="575">
        <v>1</v>
      </c>
      <c r="AJ174" s="604">
        <f t="shared" si="208"/>
        <v>26</v>
      </c>
      <c r="AK174" s="604">
        <f t="shared" si="209"/>
        <v>0</v>
      </c>
      <c r="AL174" s="604">
        <f t="shared" si="210"/>
        <v>0</v>
      </c>
      <c r="AM174" s="604">
        <f t="shared" si="211"/>
        <v>1</v>
      </c>
      <c r="AN174" s="601"/>
      <c r="AO174" s="621"/>
      <c r="AP174" s="622"/>
      <c r="AQ174" s="622"/>
      <c r="AR174" s="622"/>
      <c r="AS174" s="622"/>
      <c r="AT174" s="622"/>
      <c r="AU174" s="622"/>
      <c r="AV174" s="622"/>
      <c r="AW174" s="622"/>
      <c r="AX174" s="622"/>
      <c r="AY174" s="622"/>
      <c r="AZ174" s="622"/>
      <c r="BA174" s="622"/>
      <c r="BB174" s="622"/>
      <c r="BC174" s="622"/>
      <c r="BD174" s="622"/>
      <c r="BE174" s="627"/>
      <c r="BF174" s="622"/>
      <c r="BG174" s="622"/>
      <c r="BH174" s="622"/>
      <c r="BI174" s="622"/>
      <c r="BJ174" s="622"/>
      <c r="BK174" s="622"/>
      <c r="BL174" s="622"/>
      <c r="BM174" s="622"/>
      <c r="BN174" s="622"/>
      <c r="BO174" s="622"/>
      <c r="BP174" s="622"/>
      <c r="BQ174" s="622"/>
      <c r="BR174" s="622"/>
      <c r="BS174" s="622"/>
      <c r="BT174" s="604">
        <f t="shared" si="189"/>
        <v>0</v>
      </c>
      <c r="BU174" s="604">
        <f t="shared" si="190"/>
        <v>0</v>
      </c>
      <c r="BV174" s="633"/>
      <c r="BW174" s="1513">
        <v>4000</v>
      </c>
      <c r="BX174" s="637">
        <f t="shared" si="213"/>
        <v>4000</v>
      </c>
      <c r="BY174" s="638">
        <v>0</v>
      </c>
    </row>
    <row r="175" spans="1:78" s="544" customFormat="1">
      <c r="A175" s="578">
        <v>87</v>
      </c>
      <c r="B175" s="379" t="s">
        <v>571</v>
      </c>
      <c r="C175" s="577" t="str">
        <f>VLOOKUP(B175,'Luong VP'!$B$10:$D$250,2,0)</f>
        <v>Nguyễn Hoàng Sơn</v>
      </c>
      <c r="D175" s="106" t="str">
        <f>VLOOKUP(B175,'Luong VP'!$B$10:$D$250,3,0)</f>
        <v>Tài xế</v>
      </c>
      <c r="E175" s="575">
        <v>1</v>
      </c>
      <c r="F175" s="575">
        <v>1</v>
      </c>
      <c r="G175" s="575">
        <v>1</v>
      </c>
      <c r="H175" s="575">
        <v>1</v>
      </c>
      <c r="I175" s="575">
        <v>1</v>
      </c>
      <c r="J175" s="575">
        <v>1</v>
      </c>
      <c r="K175" s="575"/>
      <c r="L175" s="1524" t="s">
        <v>720</v>
      </c>
      <c r="M175" s="575">
        <v>1</v>
      </c>
      <c r="N175" s="575">
        <v>1</v>
      </c>
      <c r="O175" s="575">
        <v>1</v>
      </c>
      <c r="P175" s="575">
        <v>1</v>
      </c>
      <c r="Q175" s="575">
        <v>1</v>
      </c>
      <c r="R175" s="575"/>
      <c r="S175" s="575">
        <v>1</v>
      </c>
      <c r="T175" s="575">
        <v>1</v>
      </c>
      <c r="U175" s="575">
        <v>1</v>
      </c>
      <c r="V175" s="575">
        <v>1</v>
      </c>
      <c r="W175" s="575">
        <v>1</v>
      </c>
      <c r="X175" s="575">
        <v>1</v>
      </c>
      <c r="Y175" s="575"/>
      <c r="Z175" s="575">
        <v>1</v>
      </c>
      <c r="AA175" s="575">
        <v>1</v>
      </c>
      <c r="AB175" s="575">
        <v>1</v>
      </c>
      <c r="AC175" s="575">
        <v>1</v>
      </c>
      <c r="AD175" s="575">
        <v>1</v>
      </c>
      <c r="AE175" s="575">
        <v>1</v>
      </c>
      <c r="AF175" s="575"/>
      <c r="AG175" s="575">
        <v>1</v>
      </c>
      <c r="AH175" s="575">
        <v>1</v>
      </c>
      <c r="AI175" s="575">
        <v>1</v>
      </c>
      <c r="AJ175" s="604">
        <f t="shared" si="208"/>
        <v>26</v>
      </c>
      <c r="AK175" s="604">
        <f t="shared" si="209"/>
        <v>0</v>
      </c>
      <c r="AL175" s="604">
        <f t="shared" si="210"/>
        <v>0</v>
      </c>
      <c r="AM175" s="604">
        <f t="shared" si="211"/>
        <v>1</v>
      </c>
      <c r="AN175" s="601"/>
      <c r="AO175" s="621"/>
      <c r="AP175" s="622"/>
      <c r="AQ175" s="622"/>
      <c r="AR175" s="622"/>
      <c r="AS175" s="622"/>
      <c r="AT175" s="622"/>
      <c r="AU175" s="622"/>
      <c r="AV175" s="622"/>
      <c r="AW175" s="622"/>
      <c r="AX175" s="622"/>
      <c r="AY175" s="622"/>
      <c r="AZ175" s="622"/>
      <c r="BA175" s="622"/>
      <c r="BB175" s="622"/>
      <c r="BC175" s="622"/>
      <c r="BD175" s="622"/>
      <c r="BE175" s="627"/>
      <c r="BF175" s="622"/>
      <c r="BG175" s="622"/>
      <c r="BH175" s="622"/>
      <c r="BI175" s="622"/>
      <c r="BJ175" s="622"/>
      <c r="BK175" s="622"/>
      <c r="BL175" s="622"/>
      <c r="BM175" s="622"/>
      <c r="BN175" s="622"/>
      <c r="BO175" s="622"/>
      <c r="BP175" s="622"/>
      <c r="BQ175" s="622"/>
      <c r="BR175" s="622"/>
      <c r="BS175" s="622"/>
      <c r="BT175" s="604">
        <f t="shared" si="189"/>
        <v>0</v>
      </c>
      <c r="BU175" s="604">
        <f t="shared" si="190"/>
        <v>0</v>
      </c>
      <c r="BV175" s="633"/>
      <c r="BW175" s="1513">
        <v>4000</v>
      </c>
      <c r="BX175" s="637">
        <f t="shared" si="213"/>
        <v>4000</v>
      </c>
      <c r="BY175" s="638">
        <v>0</v>
      </c>
    </row>
    <row r="176" spans="1:78" s="544" customFormat="1">
      <c r="A176" s="578">
        <v>87</v>
      </c>
      <c r="B176" s="379" t="s">
        <v>573</v>
      </c>
      <c r="C176" s="577" t="str">
        <f>VLOOKUP(B176,'Luong VP'!$B$10:$D$250,2,0)</f>
        <v>Thạch Ngọc Đăng</v>
      </c>
      <c r="D176" s="106" t="str">
        <f>VLOOKUP(B176,'Luong VP'!$B$10:$D$250,3,0)</f>
        <v>Tài xế</v>
      </c>
      <c r="E176" s="575">
        <v>1</v>
      </c>
      <c r="F176" s="575">
        <v>1</v>
      </c>
      <c r="G176" s="575">
        <v>1</v>
      </c>
      <c r="H176" s="575">
        <v>1</v>
      </c>
      <c r="I176" s="575">
        <v>1</v>
      </c>
      <c r="J176" s="575">
        <v>1</v>
      </c>
      <c r="K176" s="575"/>
      <c r="L176" s="1524" t="s">
        <v>720</v>
      </c>
      <c r="M176" s="575">
        <v>1</v>
      </c>
      <c r="N176" s="575">
        <v>1</v>
      </c>
      <c r="O176" s="575">
        <v>1</v>
      </c>
      <c r="P176" s="575">
        <v>1</v>
      </c>
      <c r="Q176" s="575">
        <v>1</v>
      </c>
      <c r="R176" s="575"/>
      <c r="S176" s="575">
        <v>1</v>
      </c>
      <c r="T176" s="575">
        <v>1</v>
      </c>
      <c r="U176" s="575">
        <v>1</v>
      </c>
      <c r="V176" s="575">
        <v>1</v>
      </c>
      <c r="W176" s="575">
        <v>1</v>
      </c>
      <c r="X176" s="575">
        <v>1</v>
      </c>
      <c r="Y176" s="575"/>
      <c r="Z176" s="575">
        <v>1</v>
      </c>
      <c r="AA176" s="575">
        <v>1</v>
      </c>
      <c r="AB176" s="575">
        <v>1</v>
      </c>
      <c r="AC176" s="575">
        <v>1</v>
      </c>
      <c r="AD176" s="575">
        <v>1</v>
      </c>
      <c r="AE176" s="575">
        <v>1</v>
      </c>
      <c r="AF176" s="575"/>
      <c r="AG176" s="575">
        <v>1</v>
      </c>
      <c r="AH176" s="575">
        <v>1</v>
      </c>
      <c r="AI176" s="575">
        <v>1</v>
      </c>
      <c r="AJ176" s="604">
        <f t="shared" si="208"/>
        <v>26</v>
      </c>
      <c r="AK176" s="604">
        <f t="shared" si="209"/>
        <v>0</v>
      </c>
      <c r="AL176" s="604">
        <f t="shared" si="210"/>
        <v>0</v>
      </c>
      <c r="AM176" s="604">
        <f t="shared" si="211"/>
        <v>1</v>
      </c>
      <c r="AN176" s="601"/>
      <c r="AO176" s="622"/>
      <c r="AP176" s="622"/>
      <c r="AQ176" s="622"/>
      <c r="AR176" s="622"/>
      <c r="AS176" s="622"/>
      <c r="AT176" s="622"/>
      <c r="AU176" s="622"/>
      <c r="AV176" s="622"/>
      <c r="AW176" s="622"/>
      <c r="AX176" s="622"/>
      <c r="AY176" s="622"/>
      <c r="AZ176" s="622"/>
      <c r="BA176" s="622"/>
      <c r="BB176" s="622"/>
      <c r="BC176" s="622"/>
      <c r="BD176" s="622"/>
      <c r="BE176" s="627"/>
      <c r="BF176" s="622"/>
      <c r="BG176" s="622"/>
      <c r="BH176" s="622"/>
      <c r="BI176" s="622"/>
      <c r="BJ176" s="622"/>
      <c r="BK176" s="622"/>
      <c r="BL176" s="622"/>
      <c r="BM176" s="622"/>
      <c r="BN176" s="622"/>
      <c r="BO176" s="622"/>
      <c r="BP176" s="622"/>
      <c r="BQ176" s="622"/>
      <c r="BR176" s="622"/>
      <c r="BS176" s="622"/>
      <c r="BT176" s="604">
        <f t="shared" si="189"/>
        <v>0</v>
      </c>
      <c r="BU176" s="604">
        <f t="shared" si="190"/>
        <v>0</v>
      </c>
      <c r="BV176" s="633"/>
      <c r="BW176" s="1513">
        <v>4000</v>
      </c>
      <c r="BX176" s="637">
        <f t="shared" si="213"/>
        <v>4000</v>
      </c>
      <c r="BY176" s="638">
        <v>0</v>
      </c>
    </row>
    <row r="177" spans="1:78" s="544" customFormat="1">
      <c r="A177" s="578">
        <v>87</v>
      </c>
      <c r="B177" s="379" t="s">
        <v>575</v>
      </c>
      <c r="C177" s="577" t="str">
        <f>VLOOKUP(B177,'Luong VP'!$B$10:$D$250,2,0)</f>
        <v>Nguyễn Thanh Thảo</v>
      </c>
      <c r="D177" s="106" t="str">
        <f>VLOOKUP(B177,'Luong VP'!$B$10:$D$250,3,0)</f>
        <v>Tài xế</v>
      </c>
      <c r="E177" s="575">
        <v>1</v>
      </c>
      <c r="F177" s="575">
        <v>1</v>
      </c>
      <c r="G177" s="575">
        <v>1</v>
      </c>
      <c r="H177" s="575">
        <v>1</v>
      </c>
      <c r="I177" s="575">
        <v>1</v>
      </c>
      <c r="J177" s="575">
        <v>1</v>
      </c>
      <c r="K177" s="575"/>
      <c r="L177" s="1524" t="s">
        <v>720</v>
      </c>
      <c r="M177" s="575">
        <v>1</v>
      </c>
      <c r="N177" s="575">
        <v>1</v>
      </c>
      <c r="O177" s="575">
        <v>1</v>
      </c>
      <c r="P177" s="575">
        <v>1</v>
      </c>
      <c r="Q177" s="575">
        <v>1</v>
      </c>
      <c r="R177" s="575"/>
      <c r="S177" s="575">
        <v>1</v>
      </c>
      <c r="T177" s="575">
        <v>1</v>
      </c>
      <c r="U177" s="575">
        <v>1</v>
      </c>
      <c r="V177" s="575">
        <v>1</v>
      </c>
      <c r="W177" s="575">
        <v>1</v>
      </c>
      <c r="X177" s="575">
        <v>1</v>
      </c>
      <c r="Y177" s="575"/>
      <c r="Z177" s="575">
        <v>1</v>
      </c>
      <c r="AA177" s="575">
        <v>1</v>
      </c>
      <c r="AB177" s="575">
        <v>1</v>
      </c>
      <c r="AC177" s="575">
        <v>1</v>
      </c>
      <c r="AD177" s="575">
        <v>1</v>
      </c>
      <c r="AE177" s="575">
        <v>1</v>
      </c>
      <c r="AF177" s="575"/>
      <c r="AG177" s="575">
        <v>1</v>
      </c>
      <c r="AH177" s="575">
        <v>1</v>
      </c>
      <c r="AI177" s="575">
        <v>1</v>
      </c>
      <c r="AJ177" s="604">
        <f t="shared" si="208"/>
        <v>26</v>
      </c>
      <c r="AK177" s="604">
        <f t="shared" si="209"/>
        <v>0</v>
      </c>
      <c r="AL177" s="604">
        <f t="shared" si="210"/>
        <v>0</v>
      </c>
      <c r="AM177" s="604">
        <f t="shared" si="211"/>
        <v>1</v>
      </c>
      <c r="AN177" s="601"/>
      <c r="AO177" s="622"/>
      <c r="AP177" s="622"/>
      <c r="AQ177" s="622"/>
      <c r="AR177" s="622"/>
      <c r="AS177" s="622"/>
      <c r="AT177" s="622"/>
      <c r="AU177" s="622"/>
      <c r="AV177" s="622"/>
      <c r="AW177" s="622"/>
      <c r="AX177" s="622"/>
      <c r="AY177" s="622"/>
      <c r="AZ177" s="622"/>
      <c r="BA177" s="622"/>
      <c r="BB177" s="622"/>
      <c r="BC177" s="622"/>
      <c r="BD177" s="622"/>
      <c r="BE177" s="627"/>
      <c r="BF177" s="622"/>
      <c r="BG177" s="622"/>
      <c r="BH177" s="622"/>
      <c r="BI177" s="622"/>
      <c r="BJ177" s="622"/>
      <c r="BK177" s="622"/>
      <c r="BL177" s="622"/>
      <c r="BM177" s="622"/>
      <c r="BN177" s="622"/>
      <c r="BO177" s="622"/>
      <c r="BP177" s="622"/>
      <c r="BQ177" s="622"/>
      <c r="BR177" s="622"/>
      <c r="BS177" s="622"/>
      <c r="BT177" s="604">
        <f t="shared" si="189"/>
        <v>0</v>
      </c>
      <c r="BU177" s="604">
        <f t="shared" si="190"/>
        <v>0</v>
      </c>
      <c r="BV177" s="633"/>
      <c r="BW177" s="1513">
        <v>4000</v>
      </c>
      <c r="BX177" s="637">
        <f t="shared" si="213"/>
        <v>4000</v>
      </c>
      <c r="BY177" s="638">
        <v>0</v>
      </c>
    </row>
    <row r="178" spans="1:78" s="544" customFormat="1">
      <c r="A178" s="570"/>
      <c r="B178" s="109"/>
      <c r="C178" s="95" t="s">
        <v>577</v>
      </c>
      <c r="D178" s="96"/>
      <c r="E178" s="96"/>
      <c r="F178" s="96"/>
      <c r="G178" s="96"/>
      <c r="H178" s="96"/>
      <c r="I178" s="96"/>
      <c r="J178" s="96"/>
      <c r="K178" s="96"/>
      <c r="L178" s="96"/>
      <c r="M178" s="96"/>
      <c r="N178" s="96"/>
      <c r="O178" s="96"/>
      <c r="P178" s="96"/>
      <c r="Q178" s="96"/>
      <c r="R178" s="96"/>
      <c r="S178" s="96"/>
      <c r="T178" s="96"/>
      <c r="U178" s="96"/>
      <c r="V178" s="96"/>
      <c r="W178" s="96"/>
      <c r="X178" s="96"/>
      <c r="Y178" s="96"/>
      <c r="Z178" s="96"/>
      <c r="AA178" s="96"/>
      <c r="AB178" s="96"/>
      <c r="AC178" s="96"/>
      <c r="AD178" s="96"/>
      <c r="AE178" s="96"/>
      <c r="AF178" s="96"/>
      <c r="AG178" s="96"/>
      <c r="AH178" s="96"/>
      <c r="AI178" s="96"/>
      <c r="AJ178" s="96"/>
      <c r="AK178" s="96"/>
      <c r="AL178" s="571"/>
      <c r="AM178" s="571"/>
      <c r="AN178" s="606"/>
      <c r="AO178" s="571"/>
      <c r="AP178" s="623"/>
      <c r="AQ178" s="623"/>
      <c r="AR178" s="623"/>
      <c r="AS178" s="623"/>
      <c r="AT178" s="623"/>
      <c r="AU178" s="623"/>
      <c r="AV178" s="623"/>
      <c r="AW178" s="623"/>
      <c r="AX178" s="623"/>
      <c r="AY178" s="623"/>
      <c r="AZ178" s="623"/>
      <c r="BA178" s="623"/>
      <c r="BB178" s="623"/>
      <c r="BC178" s="623"/>
      <c r="BD178" s="623"/>
      <c r="BE178" s="623"/>
      <c r="BF178" s="623"/>
      <c r="BG178" s="623"/>
      <c r="BH178" s="623"/>
      <c r="BI178" s="623"/>
      <c r="BJ178" s="623"/>
      <c r="BK178" s="623"/>
      <c r="BL178" s="623"/>
      <c r="BM178" s="623"/>
      <c r="BN178" s="623"/>
      <c r="BO178" s="623"/>
      <c r="BP178" s="623"/>
      <c r="BQ178" s="623"/>
      <c r="BR178" s="623"/>
      <c r="BS178" s="623"/>
      <c r="BT178" s="571"/>
      <c r="BU178" s="571"/>
      <c r="BV178" s="571"/>
      <c r="BW178" s="571"/>
      <c r="BX178" s="571"/>
      <c r="BY178" s="635">
        <v>0</v>
      </c>
    </row>
    <row r="179" spans="1:78" s="544" customFormat="1">
      <c r="A179" s="578">
        <v>90</v>
      </c>
      <c r="B179" s="379" t="s">
        <v>578</v>
      </c>
      <c r="C179" s="577" t="str">
        <f>VLOOKUP(B179,'Luong VP'!$B$10:$D$250,2,0)</f>
        <v xml:space="preserve"> Lê Tấn Dũng </v>
      </c>
      <c r="D179" s="106" t="str">
        <f>VLOOKUP(B179,'Luong VP'!$B$10:$D$250,3,0)</f>
        <v>NV Giao nhận/ Phụ xe</v>
      </c>
      <c r="E179" s="575">
        <v>1</v>
      </c>
      <c r="F179" s="575">
        <v>1</v>
      </c>
      <c r="G179" s="575">
        <v>1</v>
      </c>
      <c r="H179" s="575">
        <v>1</v>
      </c>
      <c r="I179" s="575">
        <v>1</v>
      </c>
      <c r="J179" s="575">
        <v>1</v>
      </c>
      <c r="K179" s="575"/>
      <c r="L179" s="1524" t="s">
        <v>720</v>
      </c>
      <c r="M179" s="575">
        <v>1</v>
      </c>
      <c r="N179" s="575">
        <v>1</v>
      </c>
      <c r="O179" s="575">
        <v>1</v>
      </c>
      <c r="P179" s="575">
        <v>1</v>
      </c>
      <c r="Q179" s="575">
        <v>1</v>
      </c>
      <c r="R179" s="575"/>
      <c r="S179" s="575">
        <v>1</v>
      </c>
      <c r="T179" s="575">
        <v>1</v>
      </c>
      <c r="U179" s="575">
        <v>1</v>
      </c>
      <c r="V179" s="575">
        <v>1</v>
      </c>
      <c r="W179" s="575">
        <v>1</v>
      </c>
      <c r="X179" s="575">
        <v>1</v>
      </c>
      <c r="Y179" s="575"/>
      <c r="Z179" s="575">
        <v>1</v>
      </c>
      <c r="AA179" s="575">
        <v>1</v>
      </c>
      <c r="AB179" s="575">
        <v>1</v>
      </c>
      <c r="AC179" s="575">
        <v>1</v>
      </c>
      <c r="AD179" s="575">
        <v>1</v>
      </c>
      <c r="AE179" s="575">
        <v>1</v>
      </c>
      <c r="AF179" s="575"/>
      <c r="AG179" s="575">
        <v>1</v>
      </c>
      <c r="AH179" s="575">
        <v>1</v>
      </c>
      <c r="AI179" s="575">
        <v>1</v>
      </c>
      <c r="AJ179" s="604">
        <f t="shared" ref="AJ179" si="214">SUM(E179:AI179)-AK179</f>
        <v>26</v>
      </c>
      <c r="AK179" s="604">
        <f t="shared" ref="AK179" si="215">SUMIF($E$5:$AI$5,"LT",E179:AI179)</f>
        <v>0</v>
      </c>
      <c r="AL179" s="604">
        <f t="shared" ref="AL179" si="216">COUNTIF(E179:AI179,"P")</f>
        <v>0</v>
      </c>
      <c r="AM179" s="604">
        <f t="shared" ref="AM179" si="217">COUNTIF(E179:AI179,"LT")+MOD(AK179,1)</f>
        <v>1</v>
      </c>
      <c r="AN179" s="601"/>
      <c r="AO179" s="621"/>
      <c r="AP179" s="622"/>
      <c r="AQ179" s="622"/>
      <c r="AR179" s="622"/>
      <c r="AS179" s="622"/>
      <c r="AT179" s="622"/>
      <c r="AU179" s="622"/>
      <c r="AV179" s="622"/>
      <c r="AW179" s="622"/>
      <c r="AX179" s="622"/>
      <c r="AY179" s="622"/>
      <c r="AZ179" s="622"/>
      <c r="BA179" s="622"/>
      <c r="BB179" s="622"/>
      <c r="BC179" s="622"/>
      <c r="BD179" s="622"/>
      <c r="BE179" s="627"/>
      <c r="BF179" s="622"/>
      <c r="BG179" s="622"/>
      <c r="BH179" s="622"/>
      <c r="BI179" s="622"/>
      <c r="BJ179" s="622"/>
      <c r="BK179" s="622"/>
      <c r="BL179" s="622"/>
      <c r="BM179" s="622"/>
      <c r="BN179" s="622"/>
      <c r="BO179" s="622"/>
      <c r="BP179" s="622"/>
      <c r="BQ179" s="622"/>
      <c r="BR179" s="622"/>
      <c r="BS179" s="622"/>
      <c r="BT179" s="604">
        <f t="shared" si="189"/>
        <v>0</v>
      </c>
      <c r="BU179" s="604">
        <f t="shared" si="190"/>
        <v>0</v>
      </c>
      <c r="BV179" s="633"/>
      <c r="BW179" s="1513">
        <v>3000</v>
      </c>
      <c r="BX179" s="637">
        <f t="shared" ref="BX179:BX184" si="218">BW179</f>
        <v>3000</v>
      </c>
      <c r="BY179" s="638">
        <v>0</v>
      </c>
    </row>
    <row r="180" spans="1:78" s="544" customFormat="1">
      <c r="A180" s="578">
        <v>92</v>
      </c>
      <c r="B180" s="379" t="s">
        <v>580</v>
      </c>
      <c r="C180" s="577" t="str">
        <f>VLOOKUP(B180,'Luong VP'!$B$10:$D$250,2,0)</f>
        <v xml:space="preserve"> Danh Thừa </v>
      </c>
      <c r="D180" s="106" t="str">
        <f>VLOOKUP(B180,'Luong VP'!$B$10:$D$250,3,0)</f>
        <v>NV Giao nhận/ Phụ xe</v>
      </c>
      <c r="E180" s="575">
        <v>1</v>
      </c>
      <c r="F180" s="575">
        <v>1</v>
      </c>
      <c r="G180" s="575">
        <v>1</v>
      </c>
      <c r="H180" s="575">
        <v>1</v>
      </c>
      <c r="I180" s="575">
        <v>1</v>
      </c>
      <c r="J180" s="575">
        <v>1</v>
      </c>
      <c r="K180" s="575"/>
      <c r="L180" s="1524" t="s">
        <v>720</v>
      </c>
      <c r="M180" s="575">
        <v>1</v>
      </c>
      <c r="N180" s="575">
        <v>1</v>
      </c>
      <c r="O180" s="575">
        <v>1</v>
      </c>
      <c r="P180" s="575">
        <v>1</v>
      </c>
      <c r="Q180" s="575">
        <v>1</v>
      </c>
      <c r="R180" s="575"/>
      <c r="S180" s="575">
        <v>1</v>
      </c>
      <c r="T180" s="575">
        <v>1</v>
      </c>
      <c r="U180" s="575">
        <v>1</v>
      </c>
      <c r="V180" s="575">
        <v>1</v>
      </c>
      <c r="W180" s="575">
        <v>1</v>
      </c>
      <c r="X180" s="575">
        <v>1</v>
      </c>
      <c r="Y180" s="575"/>
      <c r="Z180" s="575">
        <v>1</v>
      </c>
      <c r="AA180" s="575">
        <v>1</v>
      </c>
      <c r="AB180" s="575">
        <v>1</v>
      </c>
      <c r="AC180" s="575">
        <v>1</v>
      </c>
      <c r="AD180" s="575">
        <v>1</v>
      </c>
      <c r="AE180" s="575">
        <v>1</v>
      </c>
      <c r="AF180" s="575"/>
      <c r="AG180" s="575">
        <v>1</v>
      </c>
      <c r="AH180" s="575">
        <v>1</v>
      </c>
      <c r="AI180" s="575">
        <v>1</v>
      </c>
      <c r="AJ180" s="604">
        <f t="shared" ref="AJ180:AJ195" si="219">SUM(E180:AI180)-AK180</f>
        <v>26</v>
      </c>
      <c r="AK180" s="604">
        <f t="shared" ref="AK180:AK195" si="220">SUMIF($E$5:$AI$5,"LT",E180:AI180)</f>
        <v>0</v>
      </c>
      <c r="AL180" s="604">
        <f t="shared" ref="AL180:AL195" si="221">COUNTIF(E180:AI180,"P")</f>
        <v>0</v>
      </c>
      <c r="AM180" s="604">
        <f t="shared" ref="AM180:AM195" si="222">COUNTIF(E180:AI180,"LT")+MOD(AK180,1)</f>
        <v>1</v>
      </c>
      <c r="AN180" s="601"/>
      <c r="AO180" s="621"/>
      <c r="AP180" s="622"/>
      <c r="AQ180" s="622"/>
      <c r="AR180" s="622"/>
      <c r="AS180" s="622"/>
      <c r="AT180" s="622"/>
      <c r="AU180" s="622"/>
      <c r="AV180" s="622"/>
      <c r="AW180" s="622"/>
      <c r="AX180" s="622"/>
      <c r="AY180" s="622"/>
      <c r="AZ180" s="622"/>
      <c r="BA180" s="622"/>
      <c r="BB180" s="622"/>
      <c r="BC180" s="622"/>
      <c r="BD180" s="622"/>
      <c r="BE180" s="627"/>
      <c r="BF180" s="622"/>
      <c r="BG180" s="622"/>
      <c r="BH180" s="622"/>
      <c r="BI180" s="622"/>
      <c r="BJ180" s="622"/>
      <c r="BK180" s="622"/>
      <c r="BL180" s="622"/>
      <c r="BM180" s="622"/>
      <c r="BN180" s="622"/>
      <c r="BO180" s="622"/>
      <c r="BP180" s="622"/>
      <c r="BQ180" s="622"/>
      <c r="BR180" s="622"/>
      <c r="BS180" s="622"/>
      <c r="BT180" s="604">
        <f t="shared" si="189"/>
        <v>0</v>
      </c>
      <c r="BU180" s="604">
        <f t="shared" si="190"/>
        <v>0</v>
      </c>
      <c r="BV180" s="633"/>
      <c r="BW180" s="1513">
        <v>3000</v>
      </c>
      <c r="BX180" s="637">
        <f t="shared" si="218"/>
        <v>3000</v>
      </c>
      <c r="BY180" s="638">
        <v>0</v>
      </c>
    </row>
    <row r="181" spans="1:78" s="544" customFormat="1">
      <c r="A181" s="578">
        <v>93</v>
      </c>
      <c r="B181" s="379" t="s">
        <v>582</v>
      </c>
      <c r="C181" s="577" t="str">
        <f>VLOOKUP(B181,'Luong VP'!$B$10:$D$250,2,0)</f>
        <v xml:space="preserve"> Triệu Minh Thắng </v>
      </c>
      <c r="D181" s="106" t="str">
        <f>VLOOKUP(B181,'Luong VP'!$B$10:$D$250,3,0)</f>
        <v>NV Giao nhận/ Phụ xe</v>
      </c>
      <c r="E181" s="575">
        <v>1</v>
      </c>
      <c r="F181" s="575">
        <v>1</v>
      </c>
      <c r="G181" s="575">
        <v>1</v>
      </c>
      <c r="H181" s="575">
        <v>1</v>
      </c>
      <c r="I181" s="575">
        <v>1</v>
      </c>
      <c r="J181" s="575">
        <v>1</v>
      </c>
      <c r="K181" s="575"/>
      <c r="L181" s="1524" t="s">
        <v>720</v>
      </c>
      <c r="M181" s="575">
        <v>1</v>
      </c>
      <c r="N181" s="575">
        <v>1</v>
      </c>
      <c r="O181" s="575">
        <v>1</v>
      </c>
      <c r="P181" s="575">
        <v>1</v>
      </c>
      <c r="Q181" s="575">
        <v>1</v>
      </c>
      <c r="R181" s="575"/>
      <c r="S181" s="575">
        <v>1</v>
      </c>
      <c r="T181" s="575">
        <v>1</v>
      </c>
      <c r="U181" s="575">
        <v>1</v>
      </c>
      <c r="V181" s="575">
        <v>1</v>
      </c>
      <c r="W181" s="575">
        <v>1</v>
      </c>
      <c r="X181" s="575">
        <v>1</v>
      </c>
      <c r="Y181" s="575"/>
      <c r="Z181" s="575">
        <v>1</v>
      </c>
      <c r="AA181" s="575">
        <v>1</v>
      </c>
      <c r="AB181" s="575">
        <v>1</v>
      </c>
      <c r="AC181" s="575">
        <v>1</v>
      </c>
      <c r="AD181" s="575">
        <v>1</v>
      </c>
      <c r="AE181" s="575">
        <v>1</v>
      </c>
      <c r="AF181" s="575"/>
      <c r="AG181" s="575">
        <v>1</v>
      </c>
      <c r="AH181" s="575">
        <v>1</v>
      </c>
      <c r="AI181" s="575">
        <v>1</v>
      </c>
      <c r="AJ181" s="604">
        <f t="shared" si="219"/>
        <v>26</v>
      </c>
      <c r="AK181" s="604">
        <f t="shared" si="220"/>
        <v>0</v>
      </c>
      <c r="AL181" s="604">
        <f t="shared" si="221"/>
        <v>0</v>
      </c>
      <c r="AM181" s="604">
        <f t="shared" si="222"/>
        <v>1</v>
      </c>
      <c r="AN181" s="601"/>
      <c r="AO181" s="621"/>
      <c r="AP181" s="622"/>
      <c r="AQ181" s="622"/>
      <c r="AR181" s="622"/>
      <c r="AS181" s="622"/>
      <c r="AT181" s="622"/>
      <c r="AU181" s="622"/>
      <c r="AV181" s="622"/>
      <c r="AW181" s="622"/>
      <c r="AX181" s="622"/>
      <c r="AY181" s="622"/>
      <c r="AZ181" s="622"/>
      <c r="BA181" s="622"/>
      <c r="BB181" s="622"/>
      <c r="BC181" s="622"/>
      <c r="BD181" s="622"/>
      <c r="BE181" s="627"/>
      <c r="BF181" s="622"/>
      <c r="BG181" s="622"/>
      <c r="BH181" s="622"/>
      <c r="BI181" s="622"/>
      <c r="BJ181" s="622"/>
      <c r="BK181" s="622"/>
      <c r="BL181" s="622"/>
      <c r="BM181" s="622"/>
      <c r="BN181" s="622"/>
      <c r="BO181" s="622"/>
      <c r="BP181" s="622"/>
      <c r="BQ181" s="622"/>
      <c r="BR181" s="622"/>
      <c r="BS181" s="622"/>
      <c r="BT181" s="604">
        <f t="shared" si="189"/>
        <v>0</v>
      </c>
      <c r="BU181" s="604">
        <f t="shared" si="190"/>
        <v>0</v>
      </c>
      <c r="BV181" s="633"/>
      <c r="BW181" s="1513">
        <v>3000</v>
      </c>
      <c r="BX181" s="637">
        <f t="shared" si="218"/>
        <v>3000</v>
      </c>
      <c r="BY181" s="638">
        <v>0</v>
      </c>
    </row>
    <row r="182" spans="1:78" s="544" customFormat="1">
      <c r="A182" s="578">
        <v>98</v>
      </c>
      <c r="B182" s="379" t="s">
        <v>586</v>
      </c>
      <c r="C182" s="577" t="str">
        <f>VLOOKUP(B182,'Luong VP'!$B$10:$D$250,2,0)</f>
        <v xml:space="preserve"> Châu Văn Hữu </v>
      </c>
      <c r="D182" s="106" t="str">
        <f>VLOOKUP(B182,'Luong VP'!$B$10:$D$250,3,0)</f>
        <v>NV Giao nhận/ Phụ xe</v>
      </c>
      <c r="E182" s="575">
        <v>1</v>
      </c>
      <c r="F182" s="575">
        <v>1</v>
      </c>
      <c r="G182" s="575">
        <v>1</v>
      </c>
      <c r="H182" s="575">
        <v>1</v>
      </c>
      <c r="I182" s="575">
        <v>1</v>
      </c>
      <c r="J182" s="575">
        <v>1</v>
      </c>
      <c r="K182" s="575"/>
      <c r="L182" s="1524" t="s">
        <v>720</v>
      </c>
      <c r="M182" s="575">
        <v>1</v>
      </c>
      <c r="N182" s="575">
        <v>1</v>
      </c>
      <c r="O182" s="575">
        <v>1</v>
      </c>
      <c r="P182" s="575">
        <v>1</v>
      </c>
      <c r="Q182" s="575">
        <v>1</v>
      </c>
      <c r="R182" s="575"/>
      <c r="S182" s="575">
        <v>1</v>
      </c>
      <c r="T182" s="575">
        <v>1</v>
      </c>
      <c r="U182" s="575">
        <v>1</v>
      </c>
      <c r="V182" s="575">
        <v>1</v>
      </c>
      <c r="W182" s="575">
        <v>1</v>
      </c>
      <c r="X182" s="575">
        <v>1</v>
      </c>
      <c r="Y182" s="575"/>
      <c r="Z182" s="575">
        <v>1</v>
      </c>
      <c r="AA182" s="575">
        <v>1</v>
      </c>
      <c r="AB182" s="575">
        <v>1</v>
      </c>
      <c r="AC182" s="575">
        <v>1</v>
      </c>
      <c r="AD182" s="575">
        <v>1</v>
      </c>
      <c r="AE182" s="575">
        <v>1</v>
      </c>
      <c r="AF182" s="575"/>
      <c r="AG182" s="575">
        <v>1</v>
      </c>
      <c r="AH182" s="575">
        <v>1</v>
      </c>
      <c r="AI182" s="575">
        <v>1</v>
      </c>
      <c r="AJ182" s="604">
        <f t="shared" si="219"/>
        <v>26</v>
      </c>
      <c r="AK182" s="604">
        <f t="shared" si="220"/>
        <v>0</v>
      </c>
      <c r="AL182" s="604">
        <f t="shared" si="221"/>
        <v>0</v>
      </c>
      <c r="AM182" s="604">
        <f t="shared" si="222"/>
        <v>1</v>
      </c>
      <c r="AN182" s="601"/>
      <c r="AO182" s="621"/>
      <c r="AP182" s="622"/>
      <c r="AQ182" s="622"/>
      <c r="AR182" s="622"/>
      <c r="AS182" s="622"/>
      <c r="AT182" s="622"/>
      <c r="AU182" s="622"/>
      <c r="AV182" s="622"/>
      <c r="AW182" s="622"/>
      <c r="AX182" s="622"/>
      <c r="AY182" s="622"/>
      <c r="AZ182" s="622"/>
      <c r="BA182" s="622"/>
      <c r="BB182" s="622"/>
      <c r="BC182" s="622"/>
      <c r="BD182" s="622"/>
      <c r="BE182" s="627"/>
      <c r="BF182" s="622"/>
      <c r="BG182" s="622"/>
      <c r="BH182" s="622"/>
      <c r="BI182" s="622"/>
      <c r="BJ182" s="622"/>
      <c r="BK182" s="622"/>
      <c r="BL182" s="622"/>
      <c r="BM182" s="622"/>
      <c r="BN182" s="622"/>
      <c r="BO182" s="622"/>
      <c r="BP182" s="622"/>
      <c r="BQ182" s="622"/>
      <c r="BR182" s="622"/>
      <c r="BS182" s="622"/>
      <c r="BT182" s="604">
        <f t="shared" si="189"/>
        <v>0</v>
      </c>
      <c r="BU182" s="604">
        <f t="shared" si="190"/>
        <v>0</v>
      </c>
      <c r="BV182" s="633"/>
      <c r="BW182" s="1513">
        <v>3000</v>
      </c>
      <c r="BX182" s="637">
        <f t="shared" si="218"/>
        <v>3000</v>
      </c>
      <c r="BY182" s="638">
        <v>0</v>
      </c>
    </row>
    <row r="183" spans="1:78" s="544" customFormat="1">
      <c r="A183" s="578">
        <v>100</v>
      </c>
      <c r="B183" s="379" t="s">
        <v>588</v>
      </c>
      <c r="C183" s="577" t="str">
        <f>VLOOKUP(B183,'Luong VP'!$B$10:$D$250,2,0)</f>
        <v xml:space="preserve"> Danh Mới </v>
      </c>
      <c r="D183" s="106" t="str">
        <f>VLOOKUP(B183,'Luong VP'!$B$10:$D$250,3,0)</f>
        <v>NV Giao nhận/ Phụ xe</v>
      </c>
      <c r="E183" s="575">
        <v>1</v>
      </c>
      <c r="F183" s="575">
        <v>1</v>
      </c>
      <c r="G183" s="575">
        <v>1</v>
      </c>
      <c r="H183" s="575">
        <v>1</v>
      </c>
      <c r="I183" s="575">
        <v>1</v>
      </c>
      <c r="J183" s="575">
        <v>1</v>
      </c>
      <c r="K183" s="575"/>
      <c r="L183" s="1524" t="s">
        <v>720</v>
      </c>
      <c r="M183" s="575">
        <v>1</v>
      </c>
      <c r="N183" s="575">
        <v>1</v>
      </c>
      <c r="O183" s="575">
        <v>1</v>
      </c>
      <c r="P183" s="575">
        <v>1</v>
      </c>
      <c r="Q183" s="575">
        <v>1</v>
      </c>
      <c r="R183" s="575"/>
      <c r="S183" s="575">
        <v>1</v>
      </c>
      <c r="T183" s="575">
        <v>1</v>
      </c>
      <c r="U183" s="575">
        <v>1</v>
      </c>
      <c r="V183" s="575">
        <v>1</v>
      </c>
      <c r="W183" s="575">
        <v>1</v>
      </c>
      <c r="X183" s="575">
        <v>1</v>
      </c>
      <c r="Y183" s="575"/>
      <c r="Z183" s="575">
        <v>1</v>
      </c>
      <c r="AA183" s="575">
        <v>1</v>
      </c>
      <c r="AB183" s="575">
        <v>1</v>
      </c>
      <c r="AC183" s="575">
        <v>1</v>
      </c>
      <c r="AD183" s="575">
        <v>1</v>
      </c>
      <c r="AE183" s="575">
        <v>1</v>
      </c>
      <c r="AF183" s="575"/>
      <c r="AG183" s="575">
        <v>1</v>
      </c>
      <c r="AH183" s="575">
        <v>1</v>
      </c>
      <c r="AI183" s="575">
        <v>1</v>
      </c>
      <c r="AJ183" s="604">
        <f t="shared" si="219"/>
        <v>26</v>
      </c>
      <c r="AK183" s="604">
        <f t="shared" si="220"/>
        <v>0</v>
      </c>
      <c r="AL183" s="604">
        <f t="shared" si="221"/>
        <v>0</v>
      </c>
      <c r="AM183" s="604">
        <f t="shared" si="222"/>
        <v>1</v>
      </c>
      <c r="AN183" s="601"/>
      <c r="AO183" s="621"/>
      <c r="AP183" s="622"/>
      <c r="AQ183" s="622"/>
      <c r="AR183" s="622"/>
      <c r="AS183" s="622"/>
      <c r="AT183" s="622"/>
      <c r="AU183" s="622"/>
      <c r="AV183" s="622"/>
      <c r="AW183" s="622"/>
      <c r="AX183" s="622"/>
      <c r="AY183" s="622"/>
      <c r="AZ183" s="622"/>
      <c r="BA183" s="622"/>
      <c r="BB183" s="622"/>
      <c r="BC183" s="622"/>
      <c r="BD183" s="622"/>
      <c r="BE183" s="627"/>
      <c r="BF183" s="622"/>
      <c r="BG183" s="622"/>
      <c r="BH183" s="622"/>
      <c r="BI183" s="622"/>
      <c r="BJ183" s="622"/>
      <c r="BK183" s="622"/>
      <c r="BL183" s="622"/>
      <c r="BM183" s="622"/>
      <c r="BN183" s="622"/>
      <c r="BO183" s="622"/>
      <c r="BP183" s="622"/>
      <c r="BQ183" s="622"/>
      <c r="BR183" s="622"/>
      <c r="BS183" s="622"/>
      <c r="BT183" s="604">
        <f t="shared" si="189"/>
        <v>0</v>
      </c>
      <c r="BU183" s="604">
        <f t="shared" si="190"/>
        <v>0</v>
      </c>
      <c r="BV183" s="633"/>
      <c r="BW183" s="1513">
        <v>3000</v>
      </c>
      <c r="BX183" s="637">
        <f t="shared" si="218"/>
        <v>3000</v>
      </c>
      <c r="BY183" s="638">
        <v>0</v>
      </c>
    </row>
    <row r="184" spans="1:78" s="544" customFormat="1">
      <c r="A184" s="578">
        <v>101</v>
      </c>
      <c r="B184" s="379" t="s">
        <v>590</v>
      </c>
      <c r="C184" s="577" t="str">
        <f>VLOOKUP(B184,'Luong VP'!$B$10:$D$250,2,0)</f>
        <v>Đặng Văn Thi</v>
      </c>
      <c r="D184" s="106" t="str">
        <f>VLOOKUP(B184,'Luong VP'!$B$10:$D$250,3,0)</f>
        <v>NV Giao nhận/ Phụ xe</v>
      </c>
      <c r="E184" s="575">
        <v>1</v>
      </c>
      <c r="F184" s="575">
        <v>1</v>
      </c>
      <c r="G184" s="575">
        <v>1</v>
      </c>
      <c r="H184" s="575">
        <v>1</v>
      </c>
      <c r="I184" s="575">
        <v>1</v>
      </c>
      <c r="J184" s="575">
        <v>1</v>
      </c>
      <c r="K184" s="575"/>
      <c r="L184" s="1524" t="s">
        <v>720</v>
      </c>
      <c r="M184" s="575">
        <v>1</v>
      </c>
      <c r="N184" s="575">
        <v>1</v>
      </c>
      <c r="O184" s="575">
        <v>1</v>
      </c>
      <c r="P184" s="575">
        <v>1</v>
      </c>
      <c r="Q184" s="575">
        <v>1</v>
      </c>
      <c r="R184" s="575"/>
      <c r="S184" s="575">
        <v>1</v>
      </c>
      <c r="T184" s="575">
        <v>1</v>
      </c>
      <c r="U184" s="575">
        <v>1</v>
      </c>
      <c r="V184" s="575">
        <v>1</v>
      </c>
      <c r="W184" s="575">
        <v>1</v>
      </c>
      <c r="X184" s="575">
        <v>1</v>
      </c>
      <c r="Y184" s="575"/>
      <c r="Z184" s="575">
        <v>1</v>
      </c>
      <c r="AA184" s="575">
        <v>1</v>
      </c>
      <c r="AB184" s="575">
        <v>1</v>
      </c>
      <c r="AC184" s="575">
        <v>1</v>
      </c>
      <c r="AD184" s="575">
        <v>1</v>
      </c>
      <c r="AE184" s="575">
        <v>1</v>
      </c>
      <c r="AF184" s="575"/>
      <c r="AG184" s="575">
        <v>1</v>
      </c>
      <c r="AH184" s="575">
        <v>1</v>
      </c>
      <c r="AI184" s="575">
        <v>1</v>
      </c>
      <c r="AJ184" s="604">
        <f t="shared" si="219"/>
        <v>26</v>
      </c>
      <c r="AK184" s="604">
        <f t="shared" si="220"/>
        <v>0</v>
      </c>
      <c r="AL184" s="604">
        <f t="shared" si="221"/>
        <v>0</v>
      </c>
      <c r="AM184" s="604">
        <f t="shared" si="222"/>
        <v>1</v>
      </c>
      <c r="AN184" s="601"/>
      <c r="AO184" s="621"/>
      <c r="AP184" s="622"/>
      <c r="AQ184" s="622"/>
      <c r="AR184" s="622"/>
      <c r="AS184" s="622"/>
      <c r="AT184" s="622"/>
      <c r="AU184" s="622"/>
      <c r="AV184" s="622"/>
      <c r="AW184" s="622"/>
      <c r="AX184" s="622"/>
      <c r="AY184" s="622"/>
      <c r="AZ184" s="622"/>
      <c r="BA184" s="622"/>
      <c r="BB184" s="622"/>
      <c r="BC184" s="622"/>
      <c r="BD184" s="622"/>
      <c r="BE184" s="627"/>
      <c r="BF184" s="622"/>
      <c r="BG184" s="622"/>
      <c r="BH184" s="622"/>
      <c r="BI184" s="622"/>
      <c r="BJ184" s="622"/>
      <c r="BK184" s="622"/>
      <c r="BL184" s="622"/>
      <c r="BM184" s="622"/>
      <c r="BN184" s="622"/>
      <c r="BO184" s="622"/>
      <c r="BP184" s="622"/>
      <c r="BQ184" s="622"/>
      <c r="BR184" s="622"/>
      <c r="BS184" s="622"/>
      <c r="BT184" s="604">
        <f t="shared" si="189"/>
        <v>0</v>
      </c>
      <c r="BU184" s="604">
        <f t="shared" si="190"/>
        <v>0</v>
      </c>
      <c r="BV184" s="633"/>
      <c r="BW184" s="1513">
        <v>3000</v>
      </c>
      <c r="BX184" s="637">
        <f t="shared" si="218"/>
        <v>3000</v>
      </c>
      <c r="BY184" s="638">
        <v>0</v>
      </c>
    </row>
    <row r="185" spans="1:78" s="544" customFormat="1">
      <c r="A185" s="578">
        <v>103</v>
      </c>
      <c r="B185" s="379" t="s">
        <v>592</v>
      </c>
      <c r="C185" s="577" t="str">
        <f>VLOOKUP(B185,'Luong VP'!$B$10:$D$250,2,0)</f>
        <v>Nguyễn Hoàng Đức</v>
      </c>
      <c r="D185" s="106" t="str">
        <f>VLOOKUP(B185,'Luong VP'!$B$10:$D$250,3,0)</f>
        <v>NV Giao nhận/ Phụ xe</v>
      </c>
      <c r="E185" s="575">
        <v>1</v>
      </c>
      <c r="F185" s="575">
        <v>1</v>
      </c>
      <c r="G185" s="575">
        <v>1</v>
      </c>
      <c r="H185" s="575">
        <v>1</v>
      </c>
      <c r="I185" s="575">
        <v>1</v>
      </c>
      <c r="J185" s="575">
        <v>1</v>
      </c>
      <c r="K185" s="575"/>
      <c r="L185" s="1524" t="s">
        <v>720</v>
      </c>
      <c r="M185" s="575">
        <v>1</v>
      </c>
      <c r="N185" s="575">
        <v>1</v>
      </c>
      <c r="O185" s="575">
        <v>1</v>
      </c>
      <c r="P185" s="575">
        <v>1</v>
      </c>
      <c r="Q185" s="575">
        <v>1</v>
      </c>
      <c r="R185" s="575"/>
      <c r="S185" s="575">
        <v>1</v>
      </c>
      <c r="T185" s="575">
        <v>1</v>
      </c>
      <c r="U185" s="575">
        <v>1</v>
      </c>
      <c r="V185" s="575">
        <v>1</v>
      </c>
      <c r="W185" s="575">
        <v>1</v>
      </c>
      <c r="X185" s="575">
        <v>1</v>
      </c>
      <c r="Y185" s="575"/>
      <c r="Z185" s="575">
        <v>1</v>
      </c>
      <c r="AA185" s="575">
        <v>1</v>
      </c>
      <c r="AB185" s="575">
        <v>1</v>
      </c>
      <c r="AC185" s="575">
        <v>1</v>
      </c>
      <c r="AD185" s="575">
        <v>1</v>
      </c>
      <c r="AE185" s="575">
        <v>1</v>
      </c>
      <c r="AF185" s="575"/>
      <c r="AG185" s="575">
        <v>1</v>
      </c>
      <c r="AH185" s="575">
        <v>1</v>
      </c>
      <c r="AI185" s="575">
        <v>1</v>
      </c>
      <c r="AJ185" s="604">
        <f t="shared" si="219"/>
        <v>26</v>
      </c>
      <c r="AK185" s="604">
        <f t="shared" si="220"/>
        <v>0</v>
      </c>
      <c r="AL185" s="604">
        <f t="shared" si="221"/>
        <v>0</v>
      </c>
      <c r="AM185" s="604">
        <f t="shared" si="222"/>
        <v>1</v>
      </c>
      <c r="AN185" s="601"/>
      <c r="AO185" s="621"/>
      <c r="AP185" s="622"/>
      <c r="AQ185" s="622"/>
      <c r="AR185" s="622"/>
      <c r="AS185" s="622"/>
      <c r="AT185" s="622"/>
      <c r="AU185" s="622"/>
      <c r="AV185" s="622"/>
      <c r="AW185" s="622"/>
      <c r="AX185" s="622"/>
      <c r="AY185" s="622"/>
      <c r="AZ185" s="622"/>
      <c r="BA185" s="622"/>
      <c r="BB185" s="622"/>
      <c r="BC185" s="622"/>
      <c r="BD185" s="622"/>
      <c r="BE185" s="627"/>
      <c r="BF185" s="622"/>
      <c r="BG185" s="622"/>
      <c r="BH185" s="622"/>
      <c r="BI185" s="622"/>
      <c r="BJ185" s="622"/>
      <c r="BK185" s="622"/>
      <c r="BL185" s="622"/>
      <c r="BM185" s="622"/>
      <c r="BN185" s="622"/>
      <c r="BO185" s="622"/>
      <c r="BP185" s="622"/>
      <c r="BQ185" s="622"/>
      <c r="BR185" s="622"/>
      <c r="BS185" s="622"/>
      <c r="BT185" s="604">
        <f t="shared" si="189"/>
        <v>0</v>
      </c>
      <c r="BU185" s="604">
        <f t="shared" si="190"/>
        <v>0</v>
      </c>
      <c r="BV185" s="633"/>
      <c r="BW185" s="1513">
        <v>3000</v>
      </c>
      <c r="BX185" s="637">
        <f t="shared" ref="BX185:BX189" si="223">BW185</f>
        <v>3000</v>
      </c>
      <c r="BY185" s="638">
        <v>0</v>
      </c>
    </row>
    <row r="186" spans="1:78" s="544" customFormat="1">
      <c r="A186" s="578">
        <v>103</v>
      </c>
      <c r="B186" s="379" t="s">
        <v>594</v>
      </c>
      <c r="C186" s="577" t="str">
        <f>VLOOKUP(B186,'Luong VP'!$B$10:$D$250,2,0)</f>
        <v>Phan Văn Thừa</v>
      </c>
      <c r="D186" s="106" t="str">
        <f>VLOOKUP(B186,'Luong VP'!$B$10:$D$250,3,0)</f>
        <v>NV Giao nhận/ Phụ xe</v>
      </c>
      <c r="E186" s="575">
        <v>1</v>
      </c>
      <c r="F186" s="575">
        <v>1</v>
      </c>
      <c r="G186" s="575">
        <v>1</v>
      </c>
      <c r="H186" s="575">
        <v>1</v>
      </c>
      <c r="I186" s="575">
        <v>1</v>
      </c>
      <c r="J186" s="575">
        <v>1</v>
      </c>
      <c r="K186" s="575"/>
      <c r="L186" s="1524" t="s">
        <v>720</v>
      </c>
      <c r="M186" s="575">
        <v>1</v>
      </c>
      <c r="N186" s="575">
        <v>1</v>
      </c>
      <c r="O186" s="575">
        <v>1</v>
      </c>
      <c r="P186" s="575">
        <v>1</v>
      </c>
      <c r="Q186" s="575">
        <v>1</v>
      </c>
      <c r="R186" s="575"/>
      <c r="S186" s="575">
        <v>1</v>
      </c>
      <c r="T186" s="575">
        <v>1</v>
      </c>
      <c r="U186" s="575">
        <v>1</v>
      </c>
      <c r="V186" s="575">
        <v>1</v>
      </c>
      <c r="W186" s="575">
        <v>1</v>
      </c>
      <c r="X186" s="575">
        <v>1</v>
      </c>
      <c r="Y186" s="575"/>
      <c r="Z186" s="575">
        <v>1</v>
      </c>
      <c r="AA186" s="575">
        <v>1</v>
      </c>
      <c r="AB186" s="575">
        <v>1</v>
      </c>
      <c r="AC186" s="575">
        <v>1</v>
      </c>
      <c r="AD186" s="575">
        <v>1</v>
      </c>
      <c r="AE186" s="575">
        <v>1</v>
      </c>
      <c r="AF186" s="575"/>
      <c r="AG186" s="575">
        <v>1</v>
      </c>
      <c r="AH186" s="575">
        <v>1</v>
      </c>
      <c r="AI186" s="575">
        <v>1</v>
      </c>
      <c r="AJ186" s="604">
        <f t="shared" si="219"/>
        <v>26</v>
      </c>
      <c r="AK186" s="604">
        <f t="shared" si="220"/>
        <v>0</v>
      </c>
      <c r="AL186" s="604">
        <f t="shared" si="221"/>
        <v>0</v>
      </c>
      <c r="AM186" s="604">
        <f t="shared" si="222"/>
        <v>1</v>
      </c>
      <c r="AN186" s="601"/>
      <c r="AO186" s="621"/>
      <c r="AP186" s="622"/>
      <c r="AQ186" s="622"/>
      <c r="AR186" s="622"/>
      <c r="AS186" s="622"/>
      <c r="AT186" s="622"/>
      <c r="AU186" s="622"/>
      <c r="AV186" s="622"/>
      <c r="AW186" s="622"/>
      <c r="AX186" s="622"/>
      <c r="AY186" s="622"/>
      <c r="AZ186" s="622"/>
      <c r="BA186" s="622"/>
      <c r="BB186" s="622"/>
      <c r="BC186" s="622"/>
      <c r="BD186" s="622"/>
      <c r="BE186" s="627"/>
      <c r="BF186" s="622"/>
      <c r="BG186" s="622"/>
      <c r="BH186" s="622"/>
      <c r="BI186" s="622"/>
      <c r="BJ186" s="622"/>
      <c r="BK186" s="622"/>
      <c r="BL186" s="622"/>
      <c r="BM186" s="622"/>
      <c r="BN186" s="622"/>
      <c r="BO186" s="622"/>
      <c r="BP186" s="622"/>
      <c r="BQ186" s="622"/>
      <c r="BR186" s="622"/>
      <c r="BS186" s="622"/>
      <c r="BT186" s="604">
        <f t="shared" si="189"/>
        <v>0</v>
      </c>
      <c r="BU186" s="604">
        <f t="shared" si="190"/>
        <v>0</v>
      </c>
      <c r="BV186" s="633"/>
      <c r="BW186" s="1513">
        <v>3000</v>
      </c>
      <c r="BX186" s="637">
        <f t="shared" si="223"/>
        <v>3000</v>
      </c>
      <c r="BY186" s="638">
        <v>0</v>
      </c>
    </row>
    <row r="187" spans="1:78" s="544" customFormat="1">
      <c r="A187" s="578">
        <v>103</v>
      </c>
      <c r="B187" s="379" t="s">
        <v>596</v>
      </c>
      <c r="C187" s="577" t="str">
        <f>VLOOKUP(B187,'Luong VP'!$B$10:$D$250,2,0)</f>
        <v>Trần Ngọc Bảo</v>
      </c>
      <c r="D187" s="106" t="str">
        <f>VLOOKUP(B187,'Luong VP'!$B$10:$D$250,3,0)</f>
        <v>NV Giao nhận/ Phụ xe</v>
      </c>
      <c r="E187" s="575">
        <v>1</v>
      </c>
      <c r="F187" s="575">
        <v>1</v>
      </c>
      <c r="G187" s="575">
        <v>1</v>
      </c>
      <c r="H187" s="575">
        <v>1</v>
      </c>
      <c r="I187" s="575">
        <v>1</v>
      </c>
      <c r="J187" s="575">
        <v>1</v>
      </c>
      <c r="K187" s="575"/>
      <c r="L187" s="1524" t="s">
        <v>720</v>
      </c>
      <c r="M187" s="575">
        <v>1</v>
      </c>
      <c r="N187" s="575">
        <v>1</v>
      </c>
      <c r="O187" s="575">
        <v>1</v>
      </c>
      <c r="P187" s="575">
        <v>1</v>
      </c>
      <c r="Q187" s="575">
        <v>1</v>
      </c>
      <c r="R187" s="575"/>
      <c r="S187" s="575">
        <v>1</v>
      </c>
      <c r="T187" s="575">
        <v>1</v>
      </c>
      <c r="U187" s="575">
        <v>1</v>
      </c>
      <c r="V187" s="575">
        <v>1</v>
      </c>
      <c r="W187" s="575">
        <v>1</v>
      </c>
      <c r="X187" s="575">
        <v>1</v>
      </c>
      <c r="Y187" s="575"/>
      <c r="Z187" s="575">
        <v>1</v>
      </c>
      <c r="AA187" s="575">
        <v>1</v>
      </c>
      <c r="AB187" s="575">
        <v>1</v>
      </c>
      <c r="AC187" s="575">
        <v>1</v>
      </c>
      <c r="AD187" s="575">
        <v>1</v>
      </c>
      <c r="AE187" s="575">
        <v>1</v>
      </c>
      <c r="AF187" s="575"/>
      <c r="AG187" s="575">
        <v>1</v>
      </c>
      <c r="AH187" s="575">
        <v>1</v>
      </c>
      <c r="AI187" s="575">
        <v>1</v>
      </c>
      <c r="AJ187" s="604">
        <f t="shared" si="219"/>
        <v>26</v>
      </c>
      <c r="AK187" s="604">
        <f t="shared" si="220"/>
        <v>0</v>
      </c>
      <c r="AL187" s="604">
        <f t="shared" si="221"/>
        <v>0</v>
      </c>
      <c r="AM187" s="604">
        <f t="shared" si="222"/>
        <v>1</v>
      </c>
      <c r="AN187" s="601"/>
      <c r="AO187" s="621"/>
      <c r="AP187" s="622"/>
      <c r="AQ187" s="622"/>
      <c r="AR187" s="622"/>
      <c r="AS187" s="622"/>
      <c r="AT187" s="622"/>
      <c r="AU187" s="622"/>
      <c r="AV187" s="622"/>
      <c r="AW187" s="622"/>
      <c r="AX187" s="622"/>
      <c r="AY187" s="622"/>
      <c r="AZ187" s="622"/>
      <c r="BA187" s="622"/>
      <c r="BB187" s="622"/>
      <c r="BC187" s="622"/>
      <c r="BD187" s="622"/>
      <c r="BE187" s="622"/>
      <c r="BF187" s="622"/>
      <c r="BG187" s="622"/>
      <c r="BH187" s="622"/>
      <c r="BI187" s="622"/>
      <c r="BJ187" s="622"/>
      <c r="BK187" s="622"/>
      <c r="BL187" s="622"/>
      <c r="BM187" s="622"/>
      <c r="BN187" s="622"/>
      <c r="BO187" s="622"/>
      <c r="BP187" s="622"/>
      <c r="BQ187" s="622"/>
      <c r="BR187" s="622"/>
      <c r="BS187" s="622"/>
      <c r="BT187" s="604">
        <f t="shared" si="189"/>
        <v>0</v>
      </c>
      <c r="BU187" s="604">
        <f t="shared" si="190"/>
        <v>0</v>
      </c>
      <c r="BV187" s="633"/>
      <c r="BW187" s="1513">
        <v>3000</v>
      </c>
      <c r="BX187" s="637">
        <f>BW187+1000</f>
        <v>4000</v>
      </c>
      <c r="BY187" s="638">
        <v>0</v>
      </c>
      <c r="BZ187" s="545" t="s">
        <v>1295</v>
      </c>
    </row>
    <row r="188" spans="1:78" s="544" customFormat="1">
      <c r="A188" s="578">
        <v>103</v>
      </c>
      <c r="B188" s="379" t="s">
        <v>598</v>
      </c>
      <c r="C188" s="577" t="str">
        <f>VLOOKUP(B188,'Luong VP'!$B$10:$D$250,2,0)</f>
        <v>Cai Ngọc Hòa</v>
      </c>
      <c r="D188" s="106" t="str">
        <f>VLOOKUP(B188,'Luong VP'!$B$10:$D$250,3,0)</f>
        <v>NV Giao nhận/ Phụ xe</v>
      </c>
      <c r="E188" s="575">
        <v>1</v>
      </c>
      <c r="F188" s="575">
        <v>1</v>
      </c>
      <c r="G188" s="575">
        <v>1</v>
      </c>
      <c r="H188" s="575">
        <v>1</v>
      </c>
      <c r="I188" s="575">
        <v>1</v>
      </c>
      <c r="J188" s="575">
        <v>1</v>
      </c>
      <c r="K188" s="575"/>
      <c r="L188" s="1524" t="s">
        <v>720</v>
      </c>
      <c r="M188" s="575">
        <v>1</v>
      </c>
      <c r="N188" s="575">
        <v>1</v>
      </c>
      <c r="O188" s="575">
        <v>1</v>
      </c>
      <c r="P188" s="575">
        <v>1</v>
      </c>
      <c r="Q188" s="575">
        <v>1</v>
      </c>
      <c r="R188" s="575"/>
      <c r="S188" s="575">
        <v>1</v>
      </c>
      <c r="T188" s="575">
        <v>1</v>
      </c>
      <c r="U188" s="575">
        <v>1</v>
      </c>
      <c r="V188" s="575">
        <v>1</v>
      </c>
      <c r="W188" s="575">
        <v>1</v>
      </c>
      <c r="X188" s="575">
        <v>1</v>
      </c>
      <c r="Y188" s="575"/>
      <c r="Z188" s="575">
        <v>1</v>
      </c>
      <c r="AA188" s="575">
        <v>1</v>
      </c>
      <c r="AB188" s="575">
        <v>1</v>
      </c>
      <c r="AC188" s="575">
        <v>1</v>
      </c>
      <c r="AD188" s="575">
        <v>1</v>
      </c>
      <c r="AE188" s="575">
        <v>1</v>
      </c>
      <c r="AF188" s="575"/>
      <c r="AG188" s="575">
        <v>1</v>
      </c>
      <c r="AH188" s="575">
        <v>1</v>
      </c>
      <c r="AI188" s="575">
        <v>1</v>
      </c>
      <c r="AJ188" s="604">
        <f t="shared" si="219"/>
        <v>26</v>
      </c>
      <c r="AK188" s="604">
        <f t="shared" si="220"/>
        <v>0</v>
      </c>
      <c r="AL188" s="604">
        <f t="shared" si="221"/>
        <v>0</v>
      </c>
      <c r="AM188" s="604">
        <f t="shared" si="222"/>
        <v>1</v>
      </c>
      <c r="AN188" s="601"/>
      <c r="AO188" s="622"/>
      <c r="AP188" s="622"/>
      <c r="AQ188" s="622"/>
      <c r="AR188" s="622"/>
      <c r="AS188" s="622"/>
      <c r="AT188" s="622"/>
      <c r="AU188" s="622"/>
      <c r="AV188" s="622"/>
      <c r="AW188" s="622"/>
      <c r="AX188" s="622"/>
      <c r="AY188" s="622"/>
      <c r="AZ188" s="622"/>
      <c r="BA188" s="622"/>
      <c r="BB188" s="622"/>
      <c r="BC188" s="622"/>
      <c r="BD188" s="622"/>
      <c r="BE188" s="622"/>
      <c r="BF188" s="622"/>
      <c r="BG188" s="622"/>
      <c r="BH188" s="622"/>
      <c r="BI188" s="622"/>
      <c r="BJ188" s="622"/>
      <c r="BK188" s="622"/>
      <c r="BL188" s="622"/>
      <c r="BM188" s="622"/>
      <c r="BN188" s="622"/>
      <c r="BO188" s="622"/>
      <c r="BP188" s="622"/>
      <c r="BQ188" s="622"/>
      <c r="BR188" s="622"/>
      <c r="BS188" s="622"/>
      <c r="BT188" s="604">
        <f t="shared" si="189"/>
        <v>0</v>
      </c>
      <c r="BU188" s="604">
        <f t="shared" si="190"/>
        <v>0</v>
      </c>
      <c r="BV188" s="633"/>
      <c r="BW188" s="1513">
        <v>3000</v>
      </c>
      <c r="BX188" s="637">
        <f t="shared" si="223"/>
        <v>3000</v>
      </c>
      <c r="BY188" s="638">
        <v>0</v>
      </c>
    </row>
    <row r="189" spans="1:78" s="544" customFormat="1">
      <c r="A189" s="578">
        <v>103</v>
      </c>
      <c r="B189" s="379" t="s">
        <v>600</v>
      </c>
      <c r="C189" s="577" t="str">
        <f>VLOOKUP(B189,'Luong VP'!$B$10:$D$250,2,0)</f>
        <v>Nguyễn Hữu Long</v>
      </c>
      <c r="D189" s="106" t="str">
        <f>VLOOKUP(B189,'Luong VP'!$B$10:$D$250,3,0)</f>
        <v>NV Bốc Bùn</v>
      </c>
      <c r="E189" s="575">
        <v>1</v>
      </c>
      <c r="F189" s="575">
        <v>1</v>
      </c>
      <c r="G189" s="575">
        <v>1</v>
      </c>
      <c r="H189" s="575">
        <v>1</v>
      </c>
      <c r="I189" s="575">
        <v>1</v>
      </c>
      <c r="J189" s="575">
        <v>1</v>
      </c>
      <c r="K189" s="575"/>
      <c r="L189" s="1524" t="s">
        <v>720</v>
      </c>
      <c r="M189" s="575">
        <v>1</v>
      </c>
      <c r="N189" s="575">
        <v>1</v>
      </c>
      <c r="O189" s="575">
        <v>1</v>
      </c>
      <c r="P189" s="575">
        <v>1</v>
      </c>
      <c r="Q189" s="575">
        <v>1</v>
      </c>
      <c r="R189" s="575"/>
      <c r="S189" s="575">
        <v>1</v>
      </c>
      <c r="T189" s="575">
        <v>1</v>
      </c>
      <c r="U189" s="575">
        <v>1</v>
      </c>
      <c r="V189" s="575">
        <v>1</v>
      </c>
      <c r="W189" s="575">
        <v>1</v>
      </c>
      <c r="X189" s="575">
        <v>1</v>
      </c>
      <c r="Y189" s="575"/>
      <c r="Z189" s="575">
        <v>1</v>
      </c>
      <c r="AA189" s="575">
        <v>1</v>
      </c>
      <c r="AB189" s="575">
        <v>1</v>
      </c>
      <c r="AC189" s="575">
        <v>1</v>
      </c>
      <c r="AD189" s="575">
        <v>1</v>
      </c>
      <c r="AE189" s="575">
        <v>1</v>
      </c>
      <c r="AF189" s="575"/>
      <c r="AG189" s="575">
        <v>1</v>
      </c>
      <c r="AH189" s="575">
        <v>1</v>
      </c>
      <c r="AI189" s="575">
        <v>1</v>
      </c>
      <c r="AJ189" s="604">
        <f t="shared" si="219"/>
        <v>26</v>
      </c>
      <c r="AK189" s="604">
        <f t="shared" si="220"/>
        <v>0</v>
      </c>
      <c r="AL189" s="604">
        <f t="shared" si="221"/>
        <v>0</v>
      </c>
      <c r="AM189" s="604">
        <f t="shared" si="222"/>
        <v>1</v>
      </c>
      <c r="AN189" s="601"/>
      <c r="AO189" s="622"/>
      <c r="AP189" s="622"/>
      <c r="AQ189" s="622"/>
      <c r="AR189" s="622"/>
      <c r="AS189" s="622"/>
      <c r="AT189" s="622"/>
      <c r="AU189" s="622"/>
      <c r="AV189" s="622"/>
      <c r="AW189" s="622"/>
      <c r="AX189" s="622"/>
      <c r="AY189" s="622"/>
      <c r="AZ189" s="622"/>
      <c r="BA189" s="622"/>
      <c r="BB189" s="622"/>
      <c r="BC189" s="622"/>
      <c r="BD189" s="622"/>
      <c r="BE189" s="622"/>
      <c r="BF189" s="622"/>
      <c r="BG189" s="622"/>
      <c r="BH189" s="622"/>
      <c r="BI189" s="622"/>
      <c r="BJ189" s="622"/>
      <c r="BK189" s="622"/>
      <c r="BL189" s="622"/>
      <c r="BM189" s="622"/>
      <c r="BN189" s="622"/>
      <c r="BO189" s="622"/>
      <c r="BP189" s="622"/>
      <c r="BQ189" s="622"/>
      <c r="BR189" s="622"/>
      <c r="BS189" s="622"/>
      <c r="BT189" s="604">
        <f t="shared" si="189"/>
        <v>0</v>
      </c>
      <c r="BU189" s="604">
        <f t="shared" si="190"/>
        <v>0</v>
      </c>
      <c r="BV189" s="633"/>
      <c r="BW189" s="1513">
        <v>3000</v>
      </c>
      <c r="BX189" s="637">
        <f t="shared" si="223"/>
        <v>3000</v>
      </c>
      <c r="BY189" s="638">
        <v>0</v>
      </c>
    </row>
    <row r="190" spans="1:78" s="544" customFormat="1">
      <c r="A190" s="578">
        <v>103</v>
      </c>
      <c r="B190" s="17" t="s">
        <v>603</v>
      </c>
      <c r="C190" s="577" t="str">
        <f>VLOOKUP(B190,'Luong VP'!$B$10:$D$250,2,0)</f>
        <v>Danh Đã</v>
      </c>
      <c r="D190" s="106" t="str">
        <f>VLOOKUP(B190,'Luong VP'!$B$10:$D$250,3,0)</f>
        <v>NV Bốc Bùn</v>
      </c>
      <c r="E190" s="575">
        <v>1</v>
      </c>
      <c r="F190" s="575">
        <v>1</v>
      </c>
      <c r="G190" s="575">
        <v>1</v>
      </c>
      <c r="H190" s="575">
        <v>1</v>
      </c>
      <c r="I190" s="575">
        <v>1</v>
      </c>
      <c r="J190" s="575">
        <v>1</v>
      </c>
      <c r="K190" s="575"/>
      <c r="L190" s="1524" t="s">
        <v>720</v>
      </c>
      <c r="M190" s="575">
        <v>1</v>
      </c>
      <c r="N190" s="575">
        <v>1</v>
      </c>
      <c r="O190" s="575">
        <v>1</v>
      </c>
      <c r="P190" s="575">
        <v>1</v>
      </c>
      <c r="Q190" s="575">
        <v>1</v>
      </c>
      <c r="R190" s="575"/>
      <c r="S190" s="575">
        <v>1</v>
      </c>
      <c r="T190" s="575">
        <v>1</v>
      </c>
      <c r="U190" s="575">
        <v>1</v>
      </c>
      <c r="V190" s="575">
        <v>1</v>
      </c>
      <c r="W190" s="575">
        <v>1</v>
      </c>
      <c r="X190" s="575">
        <v>1</v>
      </c>
      <c r="Y190" s="575"/>
      <c r="Z190" s="575">
        <v>1</v>
      </c>
      <c r="AA190" s="575">
        <v>1</v>
      </c>
      <c r="AB190" s="575">
        <v>1</v>
      </c>
      <c r="AC190" s="575">
        <v>1</v>
      </c>
      <c r="AD190" s="575">
        <v>1</v>
      </c>
      <c r="AE190" s="575">
        <v>1</v>
      </c>
      <c r="AF190" s="575"/>
      <c r="AG190" s="575">
        <v>1</v>
      </c>
      <c r="AH190" s="575">
        <v>1</v>
      </c>
      <c r="AI190" s="575">
        <v>1</v>
      </c>
      <c r="AJ190" s="604">
        <f t="shared" si="219"/>
        <v>26</v>
      </c>
      <c r="AK190" s="604">
        <f t="shared" si="220"/>
        <v>0</v>
      </c>
      <c r="AL190" s="604">
        <f t="shared" si="221"/>
        <v>0</v>
      </c>
      <c r="AM190" s="604">
        <f t="shared" si="222"/>
        <v>1</v>
      </c>
      <c r="AN190" s="601"/>
      <c r="AO190" s="622"/>
      <c r="AP190" s="622"/>
      <c r="AQ190" s="622"/>
      <c r="AR190" s="622"/>
      <c r="AS190" s="622"/>
      <c r="AT190" s="622"/>
      <c r="AU190" s="622"/>
      <c r="AV190" s="622"/>
      <c r="AW190" s="622"/>
      <c r="AX190" s="622"/>
      <c r="AY190" s="622"/>
      <c r="AZ190" s="622"/>
      <c r="BA190" s="622"/>
      <c r="BB190" s="622"/>
      <c r="BC190" s="622"/>
      <c r="BD190" s="622"/>
      <c r="BE190" s="622"/>
      <c r="BF190" s="622"/>
      <c r="BG190" s="622"/>
      <c r="BH190" s="622"/>
      <c r="BI190" s="622"/>
      <c r="BJ190" s="622"/>
      <c r="BK190" s="622"/>
      <c r="BL190" s="622"/>
      <c r="BM190" s="622"/>
      <c r="BN190" s="622"/>
      <c r="BO190" s="622"/>
      <c r="BP190" s="622"/>
      <c r="BQ190" s="622"/>
      <c r="BR190" s="622"/>
      <c r="BS190" s="622"/>
      <c r="BT190" s="604">
        <f t="shared" ref="BT190:BT195" si="224">SUM(AO190:BS190)-BU190</f>
        <v>0</v>
      </c>
      <c r="BU190" s="604">
        <f t="shared" ref="BU190:BU195" si="225">SUMIF($AO$5:$BS$5,"CN",AO190:BS190)</f>
        <v>0</v>
      </c>
      <c r="BV190" s="633"/>
      <c r="BW190" s="1513">
        <v>3000</v>
      </c>
      <c r="BX190" s="637">
        <f t="shared" ref="BX190:BX204" si="226">BW190</f>
        <v>3000</v>
      </c>
      <c r="BY190" s="638">
        <v>0</v>
      </c>
    </row>
    <row r="191" spans="1:78" s="544" customFormat="1">
      <c r="A191" s="578">
        <v>103</v>
      </c>
      <c r="B191" s="379" t="s">
        <v>605</v>
      </c>
      <c r="C191" s="577" t="str">
        <f>VLOOKUP(B191,'Luong VP'!$B$10:$D$250,2,0)</f>
        <v>Nguyễn Tấn Linh</v>
      </c>
      <c r="D191" s="106" t="str">
        <f>VLOOKUP(B191,'Luong VP'!$B$10:$D$250,3,0)</f>
        <v>NV Giao nhận/ Phụ xe</v>
      </c>
      <c r="E191" s="575">
        <v>1</v>
      </c>
      <c r="F191" s="575">
        <v>1</v>
      </c>
      <c r="G191" s="575">
        <v>1</v>
      </c>
      <c r="H191" s="575">
        <v>1</v>
      </c>
      <c r="I191" s="575">
        <v>1</v>
      </c>
      <c r="J191" s="575">
        <v>1</v>
      </c>
      <c r="K191" s="575"/>
      <c r="L191" s="1524" t="s">
        <v>720</v>
      </c>
      <c r="M191" s="575">
        <v>1</v>
      </c>
      <c r="N191" s="575">
        <v>1</v>
      </c>
      <c r="O191" s="575">
        <v>1</v>
      </c>
      <c r="P191" s="575">
        <v>1</v>
      </c>
      <c r="Q191" s="575">
        <v>1</v>
      </c>
      <c r="R191" s="575"/>
      <c r="S191" s="575">
        <v>1</v>
      </c>
      <c r="T191" s="575">
        <v>1</v>
      </c>
      <c r="U191" s="575">
        <v>1</v>
      </c>
      <c r="V191" s="575">
        <v>1</v>
      </c>
      <c r="W191" s="575">
        <v>1</v>
      </c>
      <c r="X191" s="575">
        <v>1</v>
      </c>
      <c r="Y191" s="575"/>
      <c r="Z191" s="575">
        <v>1</v>
      </c>
      <c r="AA191" s="575">
        <v>1</v>
      </c>
      <c r="AB191" s="575">
        <v>1</v>
      </c>
      <c r="AC191" s="575">
        <v>1</v>
      </c>
      <c r="AD191" s="575">
        <v>1</v>
      </c>
      <c r="AE191" s="575">
        <v>1</v>
      </c>
      <c r="AF191" s="575"/>
      <c r="AG191" s="575">
        <v>1</v>
      </c>
      <c r="AH191" s="575">
        <v>1</v>
      </c>
      <c r="AI191" s="575">
        <v>1</v>
      </c>
      <c r="AJ191" s="604">
        <f t="shared" si="219"/>
        <v>26</v>
      </c>
      <c r="AK191" s="604">
        <f t="shared" si="220"/>
        <v>0</v>
      </c>
      <c r="AL191" s="604">
        <f t="shared" si="221"/>
        <v>0</v>
      </c>
      <c r="AM191" s="604">
        <f t="shared" si="222"/>
        <v>1</v>
      </c>
      <c r="AN191" s="601"/>
      <c r="AO191" s="622"/>
      <c r="AP191" s="622"/>
      <c r="AQ191" s="622"/>
      <c r="AR191" s="622"/>
      <c r="AS191" s="622"/>
      <c r="AT191" s="622"/>
      <c r="AU191" s="622"/>
      <c r="AV191" s="622"/>
      <c r="AW191" s="622"/>
      <c r="AX191" s="622"/>
      <c r="AY191" s="622"/>
      <c r="AZ191" s="622"/>
      <c r="BA191" s="622"/>
      <c r="BB191" s="622"/>
      <c r="BC191" s="622"/>
      <c r="BD191" s="622"/>
      <c r="BE191" s="622"/>
      <c r="BF191" s="622"/>
      <c r="BG191" s="622"/>
      <c r="BH191" s="622"/>
      <c r="BI191" s="622"/>
      <c r="BJ191" s="622"/>
      <c r="BK191" s="622"/>
      <c r="BL191" s="622"/>
      <c r="BM191" s="622"/>
      <c r="BN191" s="622"/>
      <c r="BO191" s="622"/>
      <c r="BP191" s="622"/>
      <c r="BQ191" s="622"/>
      <c r="BR191" s="622"/>
      <c r="BS191" s="622"/>
      <c r="BT191" s="604">
        <f t="shared" si="224"/>
        <v>0</v>
      </c>
      <c r="BU191" s="604">
        <f t="shared" si="225"/>
        <v>0</v>
      </c>
      <c r="BV191" s="633"/>
      <c r="BW191" s="1513">
        <v>3000</v>
      </c>
      <c r="BX191" s="637">
        <f t="shared" si="226"/>
        <v>3000</v>
      </c>
      <c r="BY191" s="638">
        <v>0</v>
      </c>
    </row>
    <row r="192" spans="1:78" s="548" customFormat="1">
      <c r="A192" s="658">
        <v>103</v>
      </c>
      <c r="B192" s="659" t="s">
        <v>607</v>
      </c>
      <c r="C192" s="660" t="s">
        <v>608</v>
      </c>
      <c r="D192" s="661" t="str">
        <f>VLOOKUP(B192,'Luong VP'!$B$10:$D$250,3,0)</f>
        <v>NV Giao nhận/ Phụ xe</v>
      </c>
      <c r="E192" s="575">
        <v>1</v>
      </c>
      <c r="F192" s="575">
        <v>1</v>
      </c>
      <c r="G192" s="575">
        <v>1</v>
      </c>
      <c r="H192" s="575">
        <v>1</v>
      </c>
      <c r="I192" s="575">
        <v>1</v>
      </c>
      <c r="J192" s="575">
        <v>1</v>
      </c>
      <c r="K192" s="575"/>
      <c r="L192" s="1524" t="s">
        <v>720</v>
      </c>
      <c r="M192" s="575">
        <v>1</v>
      </c>
      <c r="N192" s="575">
        <v>1</v>
      </c>
      <c r="O192" s="575">
        <v>1</v>
      </c>
      <c r="P192" s="575">
        <v>1</v>
      </c>
      <c r="Q192" s="575">
        <v>1</v>
      </c>
      <c r="R192" s="575"/>
      <c r="S192" s="575">
        <v>1</v>
      </c>
      <c r="T192" s="575">
        <v>1</v>
      </c>
      <c r="U192" s="575">
        <v>1</v>
      </c>
      <c r="V192" s="575">
        <v>1</v>
      </c>
      <c r="W192" s="575">
        <v>1</v>
      </c>
      <c r="X192" s="575">
        <v>1</v>
      </c>
      <c r="Y192" s="575"/>
      <c r="Z192" s="575">
        <v>1</v>
      </c>
      <c r="AA192" s="575">
        <v>1</v>
      </c>
      <c r="AB192" s="575">
        <v>1</v>
      </c>
      <c r="AC192" s="575">
        <v>1</v>
      </c>
      <c r="AD192" s="575">
        <v>1</v>
      </c>
      <c r="AE192" s="575">
        <v>1</v>
      </c>
      <c r="AF192" s="575"/>
      <c r="AG192" s="575">
        <v>1</v>
      </c>
      <c r="AH192" s="575">
        <v>1</v>
      </c>
      <c r="AI192" s="575">
        <v>1</v>
      </c>
      <c r="AJ192" s="604">
        <f t="shared" si="219"/>
        <v>26</v>
      </c>
      <c r="AK192" s="604">
        <f t="shared" si="220"/>
        <v>0</v>
      </c>
      <c r="AL192" s="604">
        <f t="shared" si="221"/>
        <v>0</v>
      </c>
      <c r="AM192" s="604">
        <f t="shared" si="222"/>
        <v>1</v>
      </c>
      <c r="AN192" s="663"/>
      <c r="AO192" s="664"/>
      <c r="AP192" s="664"/>
      <c r="AQ192" s="622"/>
      <c r="AR192" s="664"/>
      <c r="AS192" s="664"/>
      <c r="AT192" s="664"/>
      <c r="AU192" s="664"/>
      <c r="AV192" s="664"/>
      <c r="AW192" s="664"/>
      <c r="AX192" s="664"/>
      <c r="AY192" s="622"/>
      <c r="AZ192" s="664"/>
      <c r="BA192" s="664"/>
      <c r="BB192" s="664"/>
      <c r="BC192" s="664"/>
      <c r="BD192" s="664"/>
      <c r="BE192" s="664"/>
      <c r="BF192" s="664"/>
      <c r="BG192" s="664"/>
      <c r="BH192" s="664"/>
      <c r="BI192" s="664"/>
      <c r="BJ192" s="664"/>
      <c r="BK192" s="664"/>
      <c r="BL192" s="664"/>
      <c r="BM192" s="622"/>
      <c r="BN192" s="664"/>
      <c r="BO192" s="664"/>
      <c r="BP192" s="664"/>
      <c r="BQ192" s="664"/>
      <c r="BR192" s="664"/>
      <c r="BS192" s="664"/>
      <c r="BT192" s="662">
        <f t="shared" si="224"/>
        <v>0</v>
      </c>
      <c r="BU192" s="662">
        <f t="shared" si="225"/>
        <v>0</v>
      </c>
      <c r="BV192" s="665"/>
      <c r="BW192" s="1518">
        <v>3000</v>
      </c>
      <c r="BX192" s="667">
        <f t="shared" si="226"/>
        <v>3000</v>
      </c>
      <c r="BY192" s="666">
        <v>0</v>
      </c>
    </row>
    <row r="193" spans="1:78" s="544" customFormat="1">
      <c r="A193" s="578">
        <v>103</v>
      </c>
      <c r="B193" s="379" t="s">
        <v>609</v>
      </c>
      <c r="C193" s="577" t="str">
        <f>VLOOKUP(B193,'Luong VP'!$B$10:$D$250,2,0)</f>
        <v>Nguyễn Văn An</v>
      </c>
      <c r="D193" s="106" t="str">
        <f>VLOOKUP(B193,'Luong VP'!$B$10:$D$250,3,0)</f>
        <v>NV Giao nhận/ Phụ xe</v>
      </c>
      <c r="E193" s="575">
        <v>1</v>
      </c>
      <c r="F193" s="575">
        <v>1</v>
      </c>
      <c r="G193" s="575">
        <v>1</v>
      </c>
      <c r="H193" s="575">
        <v>1</v>
      </c>
      <c r="I193" s="575">
        <v>1</v>
      </c>
      <c r="J193" s="575">
        <v>1</v>
      </c>
      <c r="K193" s="575"/>
      <c r="L193" s="1524" t="s">
        <v>720</v>
      </c>
      <c r="M193" s="575">
        <v>1</v>
      </c>
      <c r="N193" s="575">
        <v>1</v>
      </c>
      <c r="O193" s="575">
        <v>1</v>
      </c>
      <c r="P193" s="575">
        <v>1</v>
      </c>
      <c r="Q193" s="575">
        <v>1</v>
      </c>
      <c r="R193" s="575"/>
      <c r="S193" s="575">
        <v>1</v>
      </c>
      <c r="T193" s="575">
        <v>1</v>
      </c>
      <c r="U193" s="575">
        <v>1</v>
      </c>
      <c r="V193" s="575">
        <v>1</v>
      </c>
      <c r="W193" s="575">
        <v>1</v>
      </c>
      <c r="X193" s="575">
        <v>1</v>
      </c>
      <c r="Y193" s="575"/>
      <c r="Z193" s="575">
        <v>1</v>
      </c>
      <c r="AA193" s="575">
        <v>1</v>
      </c>
      <c r="AB193" s="575">
        <v>1</v>
      </c>
      <c r="AC193" s="575">
        <v>1</v>
      </c>
      <c r="AD193" s="575">
        <v>1</v>
      </c>
      <c r="AE193" s="575">
        <v>1</v>
      </c>
      <c r="AF193" s="575"/>
      <c r="AG193" s="575">
        <v>1</v>
      </c>
      <c r="AH193" s="575">
        <v>1</v>
      </c>
      <c r="AI193" s="575">
        <v>1</v>
      </c>
      <c r="AJ193" s="604">
        <f t="shared" si="219"/>
        <v>26</v>
      </c>
      <c r="AK193" s="604">
        <f t="shared" si="220"/>
        <v>0</v>
      </c>
      <c r="AL193" s="604">
        <f t="shared" si="221"/>
        <v>0</v>
      </c>
      <c r="AM193" s="604">
        <f t="shared" si="222"/>
        <v>1</v>
      </c>
      <c r="AN193" s="601"/>
      <c r="AO193" s="622"/>
      <c r="AP193" s="622"/>
      <c r="AQ193" s="622"/>
      <c r="AR193" s="622"/>
      <c r="AS193" s="622"/>
      <c r="AT193" s="622"/>
      <c r="AU193" s="622"/>
      <c r="AV193" s="622"/>
      <c r="AW193" s="622"/>
      <c r="AX193" s="622"/>
      <c r="AY193" s="622"/>
      <c r="AZ193" s="622"/>
      <c r="BA193" s="622"/>
      <c r="BB193" s="622"/>
      <c r="BC193" s="622"/>
      <c r="BD193" s="622"/>
      <c r="BE193" s="622"/>
      <c r="BF193" s="622"/>
      <c r="BG193" s="622"/>
      <c r="BH193" s="622"/>
      <c r="BI193" s="622"/>
      <c r="BJ193" s="622"/>
      <c r="BK193" s="622"/>
      <c r="BL193" s="622"/>
      <c r="BM193" s="622"/>
      <c r="BN193" s="622"/>
      <c r="BO193" s="622"/>
      <c r="BP193" s="622"/>
      <c r="BQ193" s="622"/>
      <c r="BR193" s="622"/>
      <c r="BS193" s="622"/>
      <c r="BT193" s="604">
        <f t="shared" si="224"/>
        <v>0</v>
      </c>
      <c r="BU193" s="604">
        <f t="shared" si="225"/>
        <v>0</v>
      </c>
      <c r="BV193" s="633"/>
      <c r="BW193" s="1513">
        <v>3000</v>
      </c>
      <c r="BX193" s="637">
        <f t="shared" si="226"/>
        <v>3000</v>
      </c>
      <c r="BY193" s="638">
        <v>0</v>
      </c>
    </row>
    <row r="194" spans="1:78" s="544" customFormat="1">
      <c r="A194" s="578">
        <v>103</v>
      </c>
      <c r="B194" s="379" t="s">
        <v>611</v>
      </c>
      <c r="C194" s="577" t="str">
        <f>VLOOKUP(B194,'Luong VP'!$B$10:$D$250,2,0)</f>
        <v>Nguyễn Thanh Tùng</v>
      </c>
      <c r="D194" s="106" t="str">
        <f>VLOOKUP(B194,'Luong VP'!$B$10:$D$250,3,0)</f>
        <v>NV Giao nhận/ Phụ xe</v>
      </c>
      <c r="E194" s="575">
        <v>1</v>
      </c>
      <c r="F194" s="575">
        <v>1</v>
      </c>
      <c r="G194" s="575">
        <v>1</v>
      </c>
      <c r="H194" s="575">
        <v>1</v>
      </c>
      <c r="I194" s="575">
        <v>1</v>
      </c>
      <c r="J194" s="575">
        <v>1</v>
      </c>
      <c r="K194" s="575"/>
      <c r="L194" s="1524" t="s">
        <v>720</v>
      </c>
      <c r="M194" s="575">
        <v>1</v>
      </c>
      <c r="N194" s="575">
        <v>1</v>
      </c>
      <c r="O194" s="575">
        <v>1</v>
      </c>
      <c r="P194" s="575">
        <v>1</v>
      </c>
      <c r="Q194" s="575">
        <v>1</v>
      </c>
      <c r="R194" s="575"/>
      <c r="S194" s="575">
        <v>1</v>
      </c>
      <c r="T194" s="575">
        <v>1</v>
      </c>
      <c r="U194" s="575">
        <v>1</v>
      </c>
      <c r="V194" s="575">
        <v>1</v>
      </c>
      <c r="W194" s="575">
        <v>1</v>
      </c>
      <c r="X194" s="575">
        <v>1</v>
      </c>
      <c r="Y194" s="575"/>
      <c r="Z194" s="575">
        <v>1</v>
      </c>
      <c r="AA194" s="575">
        <v>1</v>
      </c>
      <c r="AB194" s="575">
        <v>1</v>
      </c>
      <c r="AC194" s="575">
        <v>1</v>
      </c>
      <c r="AD194" s="575">
        <v>1</v>
      </c>
      <c r="AE194" s="575">
        <v>1</v>
      </c>
      <c r="AF194" s="575"/>
      <c r="AG194" s="575">
        <v>1</v>
      </c>
      <c r="AH194" s="575">
        <v>1</v>
      </c>
      <c r="AI194" s="575">
        <v>1</v>
      </c>
      <c r="AJ194" s="604">
        <f t="shared" si="219"/>
        <v>26</v>
      </c>
      <c r="AK194" s="604">
        <f t="shared" si="220"/>
        <v>0</v>
      </c>
      <c r="AL194" s="604">
        <f t="shared" si="221"/>
        <v>0</v>
      </c>
      <c r="AM194" s="604">
        <f t="shared" si="222"/>
        <v>1</v>
      </c>
      <c r="AN194" s="601"/>
      <c r="AO194" s="622"/>
      <c r="AP194" s="622"/>
      <c r="AQ194" s="622"/>
      <c r="AR194" s="622"/>
      <c r="AS194" s="622"/>
      <c r="AT194" s="622"/>
      <c r="AU194" s="622"/>
      <c r="AV194" s="622"/>
      <c r="AW194" s="622"/>
      <c r="AX194" s="622"/>
      <c r="AY194" s="622"/>
      <c r="AZ194" s="622"/>
      <c r="BA194" s="622"/>
      <c r="BB194" s="622"/>
      <c r="BC194" s="622"/>
      <c r="BD194" s="622"/>
      <c r="BE194" s="622"/>
      <c r="BF194" s="622"/>
      <c r="BG194" s="622"/>
      <c r="BH194" s="622"/>
      <c r="BI194" s="622"/>
      <c r="BJ194" s="622"/>
      <c r="BK194" s="622"/>
      <c r="BL194" s="622"/>
      <c r="BM194" s="622"/>
      <c r="BN194" s="622"/>
      <c r="BO194" s="622"/>
      <c r="BP194" s="622"/>
      <c r="BQ194" s="622"/>
      <c r="BR194" s="622"/>
      <c r="BS194" s="622"/>
      <c r="BT194" s="604">
        <f t="shared" si="224"/>
        <v>0</v>
      </c>
      <c r="BU194" s="604">
        <f t="shared" si="225"/>
        <v>0</v>
      </c>
      <c r="BV194" s="633"/>
      <c r="BW194" s="1513">
        <v>0</v>
      </c>
      <c r="BX194" s="637">
        <f t="shared" si="226"/>
        <v>0</v>
      </c>
      <c r="BY194" s="638">
        <v>0</v>
      </c>
    </row>
    <row r="195" spans="1:78" s="544" customFormat="1">
      <c r="A195" s="578">
        <v>103</v>
      </c>
      <c r="B195" s="379" t="s">
        <v>613</v>
      </c>
      <c r="C195" s="577" t="str">
        <f>VLOOKUP(B195,'Luong VP'!$B$10:$D$250,2,0)</f>
        <v>Nguyễn Tấn Sang</v>
      </c>
      <c r="D195" s="106" t="str">
        <f>VLOOKUP(B195,'Luong VP'!$B$10:$D$250,3,0)</f>
        <v>NV Giao nhận/ Phụ xe</v>
      </c>
      <c r="E195" s="575">
        <v>1</v>
      </c>
      <c r="F195" s="575">
        <v>1</v>
      </c>
      <c r="G195" s="575">
        <v>1</v>
      </c>
      <c r="H195" s="575">
        <v>1</v>
      </c>
      <c r="I195" s="575">
        <v>1</v>
      </c>
      <c r="J195" s="575">
        <v>1</v>
      </c>
      <c r="K195" s="575"/>
      <c r="L195" s="1524" t="s">
        <v>720</v>
      </c>
      <c r="M195" s="575">
        <v>1</v>
      </c>
      <c r="N195" s="575">
        <v>1</v>
      </c>
      <c r="O195" s="575">
        <v>1</v>
      </c>
      <c r="P195" s="575">
        <v>1</v>
      </c>
      <c r="Q195" s="575">
        <v>1</v>
      </c>
      <c r="R195" s="575"/>
      <c r="S195" s="575">
        <v>1</v>
      </c>
      <c r="T195" s="575">
        <v>1</v>
      </c>
      <c r="U195" s="575">
        <v>1</v>
      </c>
      <c r="V195" s="575">
        <v>1</v>
      </c>
      <c r="W195" s="575">
        <v>1</v>
      </c>
      <c r="X195" s="575">
        <v>1</v>
      </c>
      <c r="Y195" s="575"/>
      <c r="Z195" s="575">
        <v>1</v>
      </c>
      <c r="AA195" s="575">
        <v>1</v>
      </c>
      <c r="AB195" s="575">
        <v>1</v>
      </c>
      <c r="AC195" s="575">
        <v>1</v>
      </c>
      <c r="AD195" s="575">
        <v>1</v>
      </c>
      <c r="AE195" s="575">
        <v>1</v>
      </c>
      <c r="AF195" s="575"/>
      <c r="AG195" s="575">
        <v>1</v>
      </c>
      <c r="AH195" s="575">
        <v>1</v>
      </c>
      <c r="AI195" s="575">
        <v>1</v>
      </c>
      <c r="AJ195" s="604">
        <f t="shared" si="219"/>
        <v>26</v>
      </c>
      <c r="AK195" s="604">
        <f t="shared" si="220"/>
        <v>0</v>
      </c>
      <c r="AL195" s="604">
        <f t="shared" si="221"/>
        <v>0</v>
      </c>
      <c r="AM195" s="604">
        <f t="shared" si="222"/>
        <v>1</v>
      </c>
      <c r="AN195" s="601"/>
      <c r="AO195" s="622"/>
      <c r="AP195" s="622"/>
      <c r="AQ195" s="622"/>
      <c r="AR195" s="622"/>
      <c r="AS195" s="622"/>
      <c r="AT195" s="622"/>
      <c r="AU195" s="622"/>
      <c r="AV195" s="622"/>
      <c r="AW195" s="622"/>
      <c r="AX195" s="622"/>
      <c r="AY195" s="622"/>
      <c r="AZ195" s="622"/>
      <c r="BA195" s="622"/>
      <c r="BB195" s="622"/>
      <c r="BC195" s="622"/>
      <c r="BD195" s="622"/>
      <c r="BE195" s="622"/>
      <c r="BF195" s="622"/>
      <c r="BG195" s="622"/>
      <c r="BH195" s="622"/>
      <c r="BI195" s="622"/>
      <c r="BJ195" s="622"/>
      <c r="BK195" s="622"/>
      <c r="BL195" s="622"/>
      <c r="BM195" s="622"/>
      <c r="BN195" s="622"/>
      <c r="BO195" s="622"/>
      <c r="BP195" s="622"/>
      <c r="BQ195" s="622"/>
      <c r="BR195" s="622"/>
      <c r="BS195" s="622"/>
      <c r="BT195" s="604">
        <f t="shared" si="224"/>
        <v>0</v>
      </c>
      <c r="BU195" s="604">
        <f t="shared" si="225"/>
        <v>0</v>
      </c>
      <c r="BV195" s="633"/>
      <c r="BW195" s="1513">
        <v>3000</v>
      </c>
      <c r="BX195" s="637">
        <f t="shared" si="226"/>
        <v>3000</v>
      </c>
      <c r="BY195" s="638">
        <v>0</v>
      </c>
    </row>
    <row r="196" spans="1:78" s="544" customFormat="1">
      <c r="A196" s="570"/>
      <c r="B196" s="109"/>
      <c r="C196" s="95" t="s">
        <v>615</v>
      </c>
      <c r="D196" s="96"/>
      <c r="E196" s="96"/>
      <c r="F196" s="96"/>
      <c r="G196" s="96"/>
      <c r="H196" s="96"/>
      <c r="I196" s="96"/>
      <c r="J196" s="96"/>
      <c r="K196" s="96"/>
      <c r="L196" s="96"/>
      <c r="M196" s="96"/>
      <c r="N196" s="96"/>
      <c r="O196" s="96"/>
      <c r="P196" s="96"/>
      <c r="Q196" s="96"/>
      <c r="R196" s="96"/>
      <c r="S196" s="96"/>
      <c r="T196" s="96"/>
      <c r="U196" s="96"/>
      <c r="V196" s="96"/>
      <c r="W196" s="96"/>
      <c r="X196" s="96"/>
      <c r="Y196" s="96"/>
      <c r="Z196" s="96"/>
      <c r="AA196" s="96"/>
      <c r="AB196" s="96"/>
      <c r="AC196" s="96"/>
      <c r="AD196" s="96"/>
      <c r="AE196" s="96"/>
      <c r="AF196" s="96"/>
      <c r="AG196" s="96"/>
      <c r="AH196" s="96"/>
      <c r="AI196" s="96"/>
      <c r="AJ196" s="96"/>
      <c r="AK196" s="96"/>
      <c r="AL196" s="96"/>
      <c r="AM196" s="571"/>
      <c r="AN196" s="606"/>
      <c r="AO196" s="571"/>
      <c r="AP196" s="623"/>
      <c r="AQ196" s="623"/>
      <c r="AR196" s="623"/>
      <c r="AS196" s="623"/>
      <c r="AT196" s="623"/>
      <c r="AU196" s="623"/>
      <c r="AV196" s="623"/>
      <c r="AW196" s="623"/>
      <c r="AX196" s="623"/>
      <c r="AY196" s="623"/>
      <c r="AZ196" s="623"/>
      <c r="BA196" s="623"/>
      <c r="BB196" s="623"/>
      <c r="BC196" s="623"/>
      <c r="BD196" s="623"/>
      <c r="BE196" s="623"/>
      <c r="BF196" s="623"/>
      <c r="BG196" s="623"/>
      <c r="BH196" s="623"/>
      <c r="BI196" s="623"/>
      <c r="BJ196" s="623"/>
      <c r="BK196" s="623"/>
      <c r="BL196" s="623"/>
      <c r="BM196" s="623"/>
      <c r="BN196" s="623"/>
      <c r="BO196" s="623"/>
      <c r="BP196" s="623"/>
      <c r="BQ196" s="623"/>
      <c r="BR196" s="623"/>
      <c r="BS196" s="623"/>
      <c r="BT196" s="571"/>
      <c r="BU196" s="571"/>
      <c r="BV196" s="571"/>
      <c r="BW196" s="571"/>
      <c r="BX196" s="571"/>
      <c r="BY196" s="635">
        <v>0</v>
      </c>
    </row>
    <row r="197" spans="1:78" s="544" customFormat="1">
      <c r="A197" s="578">
        <v>102</v>
      </c>
      <c r="B197" s="379" t="s">
        <v>616</v>
      </c>
      <c r="C197" s="105" t="str">
        <f>VLOOKUP(B197,'Luong VP'!$B$10:$D$250,2,0)</f>
        <v xml:space="preserve"> Nguyễn Hồng Hải (trưởng bộ phận) </v>
      </c>
      <c r="D197" s="106" t="str">
        <f>VLOOKUP(B197,'Luong VP'!$B$10:$D$250,3,0)</f>
        <v>Trưởng đội giao nhận</v>
      </c>
      <c r="E197" s="575">
        <v>1</v>
      </c>
      <c r="F197" s="575">
        <v>1</v>
      </c>
      <c r="G197" s="575">
        <v>1</v>
      </c>
      <c r="H197" s="575">
        <v>1</v>
      </c>
      <c r="I197" s="575">
        <v>1</v>
      </c>
      <c r="J197" s="575">
        <v>1</v>
      </c>
      <c r="K197" s="575"/>
      <c r="L197" s="1524" t="s">
        <v>720</v>
      </c>
      <c r="M197" s="575">
        <v>1</v>
      </c>
      <c r="N197" s="575">
        <v>1</v>
      </c>
      <c r="O197" s="575">
        <v>1</v>
      </c>
      <c r="P197" s="575">
        <v>1</v>
      </c>
      <c r="Q197" s="575">
        <v>1</v>
      </c>
      <c r="R197" s="575"/>
      <c r="S197" s="575">
        <v>1</v>
      </c>
      <c r="T197" s="575">
        <v>1</v>
      </c>
      <c r="U197" s="575">
        <v>1</v>
      </c>
      <c r="V197" s="575">
        <v>1</v>
      </c>
      <c r="W197" s="575">
        <v>1</v>
      </c>
      <c r="X197" s="575">
        <v>1</v>
      </c>
      <c r="Y197" s="575"/>
      <c r="Z197" s="575">
        <v>1</v>
      </c>
      <c r="AA197" s="575">
        <v>1</v>
      </c>
      <c r="AB197" s="575">
        <v>1</v>
      </c>
      <c r="AC197" s="575">
        <v>1</v>
      </c>
      <c r="AD197" s="575">
        <v>1</v>
      </c>
      <c r="AE197" s="575">
        <v>1</v>
      </c>
      <c r="AF197" s="575"/>
      <c r="AG197" s="575">
        <v>1</v>
      </c>
      <c r="AH197" s="575">
        <v>1</v>
      </c>
      <c r="AI197" s="575">
        <v>1</v>
      </c>
      <c r="AJ197" s="604">
        <f t="shared" ref="AJ197" si="227">SUM(E197:AI197)-AK197</f>
        <v>26</v>
      </c>
      <c r="AK197" s="604">
        <f t="shared" ref="AK197" si="228">SUMIF($E$5:$AI$5,"LT",E197:AI197)</f>
        <v>0</v>
      </c>
      <c r="AL197" s="604">
        <f t="shared" ref="AL197" si="229">COUNTIF(E197:AI197,"P")</f>
        <v>0</v>
      </c>
      <c r="AM197" s="604">
        <f t="shared" ref="AM197" si="230">COUNTIF(E197:AI197,"LT")+MOD(AK197,1)</f>
        <v>1</v>
      </c>
      <c r="AN197" s="601"/>
      <c r="AO197" s="621"/>
      <c r="AP197" s="622"/>
      <c r="AQ197" s="622"/>
      <c r="AR197" s="622"/>
      <c r="AS197" s="622"/>
      <c r="AT197" s="622"/>
      <c r="AU197" s="622"/>
      <c r="AV197" s="622"/>
      <c r="AW197" s="622"/>
      <c r="AX197" s="622"/>
      <c r="AY197" s="622"/>
      <c r="AZ197" s="622"/>
      <c r="BA197" s="622"/>
      <c r="BB197" s="622"/>
      <c r="BC197" s="622"/>
      <c r="BD197" s="622"/>
      <c r="BE197" s="622"/>
      <c r="BF197" s="622"/>
      <c r="BG197" s="622"/>
      <c r="BH197" s="622"/>
      <c r="BI197" s="622"/>
      <c r="BJ197" s="622"/>
      <c r="BK197" s="622"/>
      <c r="BL197" s="622"/>
      <c r="BM197" s="622"/>
      <c r="BN197" s="622"/>
      <c r="BO197" s="622"/>
      <c r="BP197" s="622"/>
      <c r="BQ197" s="622"/>
      <c r="BR197" s="622"/>
      <c r="BS197" s="622"/>
      <c r="BT197" s="604">
        <f t="shared" si="189"/>
        <v>0</v>
      </c>
      <c r="BU197" s="604">
        <f t="shared" si="190"/>
        <v>0</v>
      </c>
      <c r="BV197" s="633"/>
      <c r="BW197" s="1513">
        <v>6000</v>
      </c>
      <c r="BX197" s="637">
        <f t="shared" si="226"/>
        <v>6000</v>
      </c>
      <c r="BY197" s="638">
        <v>0</v>
      </c>
      <c r="BZ197" s="544" t="s">
        <v>741</v>
      </c>
    </row>
    <row r="198" spans="1:78" s="545" customFormat="1">
      <c r="A198" s="578">
        <v>103</v>
      </c>
      <c r="B198" s="379" t="s">
        <v>618</v>
      </c>
      <c r="C198" s="577" t="str">
        <f>VLOOKUP(B198,'Luong VP'!$B$10:$D$250,2,0)</f>
        <v xml:space="preserve"> Nguyễn Thành Ngoan </v>
      </c>
      <c r="D198" s="106" t="str">
        <f>VLOOKUP(B198,'Luong VP'!$B$10:$D$250,3,0)</f>
        <v>NV Giao nhận/ Phụ xe</v>
      </c>
      <c r="E198" s="575">
        <v>1</v>
      </c>
      <c r="F198" s="575">
        <v>1</v>
      </c>
      <c r="G198" s="575">
        <v>1</v>
      </c>
      <c r="H198" s="575">
        <v>1</v>
      </c>
      <c r="I198" s="575">
        <v>1</v>
      </c>
      <c r="J198" s="575">
        <v>1</v>
      </c>
      <c r="K198" s="575"/>
      <c r="L198" s="1524" t="s">
        <v>720</v>
      </c>
      <c r="M198" s="575">
        <v>1</v>
      </c>
      <c r="N198" s="575">
        <v>1</v>
      </c>
      <c r="O198" s="575">
        <v>1</v>
      </c>
      <c r="P198" s="575">
        <v>1</v>
      </c>
      <c r="Q198" s="575">
        <v>1</v>
      </c>
      <c r="R198" s="575"/>
      <c r="S198" s="575">
        <v>1</v>
      </c>
      <c r="T198" s="575">
        <v>1</v>
      </c>
      <c r="U198" s="575">
        <v>1</v>
      </c>
      <c r="V198" s="575">
        <v>1</v>
      </c>
      <c r="W198" s="575">
        <v>1</v>
      </c>
      <c r="X198" s="575">
        <v>1</v>
      </c>
      <c r="Y198" s="575"/>
      <c r="Z198" s="575">
        <v>1</v>
      </c>
      <c r="AA198" s="575">
        <v>1</v>
      </c>
      <c r="AB198" s="575">
        <v>1</v>
      </c>
      <c r="AC198" s="575">
        <v>1</v>
      </c>
      <c r="AD198" s="575">
        <v>1</v>
      </c>
      <c r="AE198" s="575">
        <v>1</v>
      </c>
      <c r="AF198" s="575"/>
      <c r="AG198" s="575">
        <v>1</v>
      </c>
      <c r="AH198" s="575">
        <v>1</v>
      </c>
      <c r="AI198" s="575">
        <v>1</v>
      </c>
      <c r="AJ198" s="604">
        <f t="shared" ref="AJ198:AJ204" si="231">SUM(E198:AI198)-AK198</f>
        <v>26</v>
      </c>
      <c r="AK198" s="604">
        <f t="shared" ref="AK198:AK204" si="232">SUMIF($E$5:$AI$5,"LT",E198:AI198)</f>
        <v>0</v>
      </c>
      <c r="AL198" s="604">
        <f t="shared" ref="AL198:AL204" si="233">COUNTIF(E198:AI198,"P")</f>
        <v>0</v>
      </c>
      <c r="AM198" s="604">
        <f t="shared" ref="AM198:AM204" si="234">COUNTIF(E198:AI198,"LT")+MOD(AK198,1)</f>
        <v>1</v>
      </c>
      <c r="AN198" s="605"/>
      <c r="AO198" s="621"/>
      <c r="AP198" s="622"/>
      <c r="AQ198" s="622"/>
      <c r="AR198" s="622"/>
      <c r="AS198" s="622"/>
      <c r="AT198" s="622"/>
      <c r="AU198" s="622"/>
      <c r="AV198" s="622"/>
      <c r="AW198" s="622"/>
      <c r="AX198" s="622"/>
      <c r="AY198" s="622"/>
      <c r="AZ198" s="622"/>
      <c r="BA198" s="622"/>
      <c r="BB198" s="622"/>
      <c r="BC198" s="622"/>
      <c r="BD198" s="622"/>
      <c r="BE198" s="622"/>
      <c r="BF198" s="622"/>
      <c r="BG198" s="622"/>
      <c r="BH198" s="622"/>
      <c r="BI198" s="622"/>
      <c r="BJ198" s="622"/>
      <c r="BK198" s="622"/>
      <c r="BL198" s="622"/>
      <c r="BM198" s="622"/>
      <c r="BN198" s="622"/>
      <c r="BO198" s="622"/>
      <c r="BP198" s="622"/>
      <c r="BQ198" s="622"/>
      <c r="BR198" s="622"/>
      <c r="BS198" s="622"/>
      <c r="BT198" s="604">
        <f t="shared" si="189"/>
        <v>0</v>
      </c>
      <c r="BU198" s="604">
        <f t="shared" si="190"/>
        <v>0</v>
      </c>
      <c r="BV198" s="636"/>
      <c r="BW198" s="1513">
        <v>4000</v>
      </c>
      <c r="BX198" s="637">
        <f t="shared" si="226"/>
        <v>4000</v>
      </c>
      <c r="BY198" s="638">
        <v>0</v>
      </c>
    </row>
    <row r="199" spans="1:78" s="544" customFormat="1">
      <c r="A199" s="578">
        <v>106</v>
      </c>
      <c r="B199" s="379" t="s">
        <v>620</v>
      </c>
      <c r="C199" s="577" t="str">
        <f>VLOOKUP(B199,'Luong VP'!$B$10:$D$250,2,0)</f>
        <v xml:space="preserve"> Trần Thanh Long </v>
      </c>
      <c r="D199" s="106" t="str">
        <f>VLOOKUP(B199,'Luong VP'!$B$10:$D$250,3,0)</f>
        <v>NV Giao nhận/ Phụ xe</v>
      </c>
      <c r="E199" s="575">
        <v>1</v>
      </c>
      <c r="F199" s="575">
        <v>1</v>
      </c>
      <c r="G199" s="575">
        <v>1</v>
      </c>
      <c r="H199" s="575">
        <v>1</v>
      </c>
      <c r="I199" s="575">
        <v>1</v>
      </c>
      <c r="J199" s="575">
        <v>1</v>
      </c>
      <c r="K199" s="575"/>
      <c r="L199" s="1524" t="s">
        <v>720</v>
      </c>
      <c r="M199" s="575">
        <v>1</v>
      </c>
      <c r="N199" s="575">
        <v>1</v>
      </c>
      <c r="O199" s="575">
        <v>1</v>
      </c>
      <c r="P199" s="575">
        <v>1</v>
      </c>
      <c r="Q199" s="575">
        <v>1</v>
      </c>
      <c r="R199" s="575"/>
      <c r="S199" s="575">
        <v>1</v>
      </c>
      <c r="T199" s="575">
        <v>1</v>
      </c>
      <c r="U199" s="575">
        <v>1</v>
      </c>
      <c r="V199" s="575">
        <v>1</v>
      </c>
      <c r="W199" s="575">
        <v>1</v>
      </c>
      <c r="X199" s="575">
        <v>1</v>
      </c>
      <c r="Y199" s="575"/>
      <c r="Z199" s="575">
        <v>1</v>
      </c>
      <c r="AA199" s="575">
        <v>1</v>
      </c>
      <c r="AB199" s="575">
        <v>1</v>
      </c>
      <c r="AC199" s="575">
        <v>1</v>
      </c>
      <c r="AD199" s="575">
        <v>1</v>
      </c>
      <c r="AE199" s="575">
        <v>1</v>
      </c>
      <c r="AF199" s="575"/>
      <c r="AG199" s="575">
        <v>1</v>
      </c>
      <c r="AH199" s="575">
        <v>1</v>
      </c>
      <c r="AI199" s="575">
        <v>1</v>
      </c>
      <c r="AJ199" s="604">
        <f t="shared" si="231"/>
        <v>26</v>
      </c>
      <c r="AK199" s="604">
        <f t="shared" si="232"/>
        <v>0</v>
      </c>
      <c r="AL199" s="604">
        <f t="shared" si="233"/>
        <v>0</v>
      </c>
      <c r="AM199" s="604">
        <f t="shared" si="234"/>
        <v>1</v>
      </c>
      <c r="AN199" s="601"/>
      <c r="AO199" s="621"/>
      <c r="AP199" s="622"/>
      <c r="AQ199" s="622"/>
      <c r="AR199" s="622"/>
      <c r="AS199" s="622"/>
      <c r="AT199" s="622"/>
      <c r="AU199" s="622"/>
      <c r="AV199" s="622"/>
      <c r="AW199" s="622"/>
      <c r="AX199" s="622"/>
      <c r="AY199" s="622"/>
      <c r="AZ199" s="622"/>
      <c r="BA199" s="622"/>
      <c r="BB199" s="622"/>
      <c r="BC199" s="622"/>
      <c r="BD199" s="622"/>
      <c r="BE199" s="622"/>
      <c r="BF199" s="622"/>
      <c r="BG199" s="622"/>
      <c r="BH199" s="622"/>
      <c r="BI199" s="622"/>
      <c r="BJ199" s="622"/>
      <c r="BK199" s="622"/>
      <c r="BL199" s="622"/>
      <c r="BM199" s="622"/>
      <c r="BN199" s="622"/>
      <c r="BO199" s="622"/>
      <c r="BP199" s="622"/>
      <c r="BQ199" s="622"/>
      <c r="BR199" s="622"/>
      <c r="BS199" s="622"/>
      <c r="BT199" s="604">
        <f t="shared" si="189"/>
        <v>0</v>
      </c>
      <c r="BU199" s="604">
        <f t="shared" si="190"/>
        <v>0</v>
      </c>
      <c r="BV199" s="633"/>
      <c r="BW199" s="1513">
        <v>3000</v>
      </c>
      <c r="BX199" s="637">
        <f t="shared" si="226"/>
        <v>3000</v>
      </c>
      <c r="BY199" s="638">
        <v>0</v>
      </c>
    </row>
    <row r="200" spans="1:78" s="544" customFormat="1">
      <c r="A200" s="578">
        <v>108</v>
      </c>
      <c r="B200" s="379" t="s">
        <v>622</v>
      </c>
      <c r="C200" s="577" t="str">
        <f>VLOOKUP(B200,'Luong VP'!$B$10:$D$250,2,0)</f>
        <v xml:space="preserve"> Dương Nguyễn Vũ Bảo </v>
      </c>
      <c r="D200" s="106" t="str">
        <f>VLOOKUP(B200,'Luong VP'!$B$10:$D$250,3,0)</f>
        <v>NV Giao nhận/ Phụ xe</v>
      </c>
      <c r="E200" s="575">
        <v>1</v>
      </c>
      <c r="F200" s="575">
        <v>1</v>
      </c>
      <c r="G200" s="575">
        <v>1</v>
      </c>
      <c r="H200" s="575">
        <v>1</v>
      </c>
      <c r="I200" s="575">
        <v>1</v>
      </c>
      <c r="J200" s="575">
        <v>1</v>
      </c>
      <c r="K200" s="575"/>
      <c r="L200" s="1524" t="s">
        <v>720</v>
      </c>
      <c r="M200" s="575">
        <v>1</v>
      </c>
      <c r="N200" s="575">
        <v>1</v>
      </c>
      <c r="O200" s="575">
        <v>1</v>
      </c>
      <c r="P200" s="575">
        <v>1</v>
      </c>
      <c r="Q200" s="575">
        <v>1</v>
      </c>
      <c r="R200" s="575"/>
      <c r="S200" s="575">
        <v>1</v>
      </c>
      <c r="T200" s="575">
        <v>1</v>
      </c>
      <c r="U200" s="575">
        <v>1</v>
      </c>
      <c r="V200" s="575">
        <v>1</v>
      </c>
      <c r="W200" s="575">
        <v>1</v>
      </c>
      <c r="X200" s="575">
        <v>1</v>
      </c>
      <c r="Y200" s="575"/>
      <c r="Z200" s="575">
        <v>1</v>
      </c>
      <c r="AA200" s="575">
        <v>1</v>
      </c>
      <c r="AB200" s="575">
        <v>1</v>
      </c>
      <c r="AC200" s="575">
        <v>1</v>
      </c>
      <c r="AD200" s="575">
        <v>1</v>
      </c>
      <c r="AE200" s="575">
        <v>1</v>
      </c>
      <c r="AF200" s="575"/>
      <c r="AG200" s="575">
        <v>1</v>
      </c>
      <c r="AH200" s="575">
        <v>1</v>
      </c>
      <c r="AI200" s="575">
        <v>1</v>
      </c>
      <c r="AJ200" s="604">
        <f t="shared" si="231"/>
        <v>26</v>
      </c>
      <c r="AK200" s="604">
        <f t="shared" si="232"/>
        <v>0</v>
      </c>
      <c r="AL200" s="604">
        <f t="shared" si="233"/>
        <v>0</v>
      </c>
      <c r="AM200" s="604">
        <f t="shared" si="234"/>
        <v>1</v>
      </c>
      <c r="AN200" s="601"/>
      <c r="AO200" s="621"/>
      <c r="AP200" s="622"/>
      <c r="AQ200" s="622"/>
      <c r="AR200" s="622"/>
      <c r="AS200" s="622"/>
      <c r="AT200" s="622"/>
      <c r="AU200" s="622"/>
      <c r="AV200" s="622"/>
      <c r="AW200" s="622"/>
      <c r="AX200" s="622"/>
      <c r="AY200" s="622"/>
      <c r="AZ200" s="622"/>
      <c r="BA200" s="622"/>
      <c r="BB200" s="622"/>
      <c r="BC200" s="622"/>
      <c r="BD200" s="622"/>
      <c r="BE200" s="622"/>
      <c r="BF200" s="622"/>
      <c r="BG200" s="622"/>
      <c r="BH200" s="622"/>
      <c r="BI200" s="622"/>
      <c r="BJ200" s="622"/>
      <c r="BK200" s="622"/>
      <c r="BL200" s="622"/>
      <c r="BM200" s="622"/>
      <c r="BN200" s="622"/>
      <c r="BO200" s="622"/>
      <c r="BP200" s="622"/>
      <c r="BQ200" s="622"/>
      <c r="BR200" s="622"/>
      <c r="BS200" s="622"/>
      <c r="BT200" s="604">
        <f t="shared" si="189"/>
        <v>0</v>
      </c>
      <c r="BU200" s="604">
        <f t="shared" si="190"/>
        <v>0</v>
      </c>
      <c r="BV200" s="633"/>
      <c r="BW200" s="1513">
        <v>4000</v>
      </c>
      <c r="BX200" s="637">
        <f t="shared" si="226"/>
        <v>4000</v>
      </c>
      <c r="BY200" s="638"/>
    </row>
    <row r="201" spans="1:78" s="544" customFormat="1">
      <c r="A201" s="578">
        <v>110</v>
      </c>
      <c r="B201" s="379" t="s">
        <v>624</v>
      </c>
      <c r="C201" s="577" t="str">
        <f>VLOOKUP(B201,'Luong VP'!$B$10:$D$250,2,0)</f>
        <v xml:space="preserve"> Phan Thành Phúc </v>
      </c>
      <c r="D201" s="106" t="str">
        <f>VLOOKUP(B201,'Luong VP'!$B$10:$D$250,3,0)</f>
        <v>NV Giao nhận/ Phụ xe</v>
      </c>
      <c r="E201" s="575">
        <v>1</v>
      </c>
      <c r="F201" s="575">
        <v>1</v>
      </c>
      <c r="G201" s="575">
        <v>1</v>
      </c>
      <c r="H201" s="575">
        <v>1</v>
      </c>
      <c r="I201" s="575">
        <v>1</v>
      </c>
      <c r="J201" s="575">
        <v>1</v>
      </c>
      <c r="K201" s="575"/>
      <c r="L201" s="1524" t="s">
        <v>720</v>
      </c>
      <c r="M201" s="575">
        <v>1</v>
      </c>
      <c r="N201" s="575">
        <v>1</v>
      </c>
      <c r="O201" s="575">
        <v>1</v>
      </c>
      <c r="P201" s="575">
        <v>1</v>
      </c>
      <c r="Q201" s="575">
        <v>1</v>
      </c>
      <c r="R201" s="575"/>
      <c r="S201" s="575">
        <v>1</v>
      </c>
      <c r="T201" s="575">
        <v>1</v>
      </c>
      <c r="U201" s="575">
        <v>1</v>
      </c>
      <c r="V201" s="575">
        <v>1</v>
      </c>
      <c r="W201" s="575">
        <v>1</v>
      </c>
      <c r="X201" s="575">
        <v>1</v>
      </c>
      <c r="Y201" s="575"/>
      <c r="Z201" s="575">
        <v>1</v>
      </c>
      <c r="AA201" s="575">
        <v>1</v>
      </c>
      <c r="AB201" s="575">
        <v>1</v>
      </c>
      <c r="AC201" s="575">
        <v>1</v>
      </c>
      <c r="AD201" s="575">
        <v>1</v>
      </c>
      <c r="AE201" s="575">
        <v>1</v>
      </c>
      <c r="AF201" s="575"/>
      <c r="AG201" s="575">
        <v>1</v>
      </c>
      <c r="AH201" s="575">
        <v>1</v>
      </c>
      <c r="AI201" s="575">
        <v>1</v>
      </c>
      <c r="AJ201" s="604">
        <f t="shared" si="231"/>
        <v>26</v>
      </c>
      <c r="AK201" s="604">
        <f t="shared" si="232"/>
        <v>0</v>
      </c>
      <c r="AL201" s="604">
        <f t="shared" si="233"/>
        <v>0</v>
      </c>
      <c r="AM201" s="604">
        <f t="shared" si="234"/>
        <v>1</v>
      </c>
      <c r="AN201" s="601"/>
      <c r="AO201" s="621"/>
      <c r="AP201" s="622"/>
      <c r="AQ201" s="622"/>
      <c r="AR201" s="622"/>
      <c r="AS201" s="622"/>
      <c r="AT201" s="622"/>
      <c r="AU201" s="622"/>
      <c r="AV201" s="622"/>
      <c r="AW201" s="622"/>
      <c r="AX201" s="622"/>
      <c r="AY201" s="622"/>
      <c r="AZ201" s="622"/>
      <c r="BA201" s="622"/>
      <c r="BB201" s="622"/>
      <c r="BC201" s="622"/>
      <c r="BD201" s="622"/>
      <c r="BE201" s="622"/>
      <c r="BF201" s="622"/>
      <c r="BG201" s="622"/>
      <c r="BH201" s="622"/>
      <c r="BI201" s="622"/>
      <c r="BJ201" s="622"/>
      <c r="BK201" s="622"/>
      <c r="BL201" s="622"/>
      <c r="BM201" s="622"/>
      <c r="BN201" s="622"/>
      <c r="BO201" s="622"/>
      <c r="BP201" s="622"/>
      <c r="BQ201" s="622"/>
      <c r="BR201" s="622"/>
      <c r="BS201" s="622"/>
      <c r="BT201" s="604">
        <f t="shared" si="189"/>
        <v>0</v>
      </c>
      <c r="BU201" s="604">
        <f t="shared" si="190"/>
        <v>0</v>
      </c>
      <c r="BV201" s="633"/>
      <c r="BW201" s="1513">
        <v>3000</v>
      </c>
      <c r="BX201" s="637">
        <f t="shared" si="226"/>
        <v>3000</v>
      </c>
      <c r="BY201" s="638"/>
    </row>
    <row r="202" spans="1:78" s="544" customFormat="1">
      <c r="A202" s="578">
        <v>88</v>
      </c>
      <c r="B202" s="379" t="s">
        <v>628</v>
      </c>
      <c r="C202" s="577" t="str">
        <f>VLOOKUP(B202,'Luong VP'!$B$10:$D$250,2,0)</f>
        <v xml:space="preserve"> Lê Hoàng Phúc </v>
      </c>
      <c r="D202" s="106" t="str">
        <f>VLOOKUP(B202,'Luong VP'!$B$10:$D$250,3,0)</f>
        <v>NV Giao nhận/ Phụ xe</v>
      </c>
      <c r="E202" s="575">
        <v>1</v>
      </c>
      <c r="F202" s="575">
        <v>1</v>
      </c>
      <c r="G202" s="575">
        <v>1</v>
      </c>
      <c r="H202" s="575">
        <v>1</v>
      </c>
      <c r="I202" s="575">
        <v>1</v>
      </c>
      <c r="J202" s="575">
        <v>1</v>
      </c>
      <c r="K202" s="575"/>
      <c r="L202" s="1524" t="s">
        <v>720</v>
      </c>
      <c r="M202" s="575">
        <v>1</v>
      </c>
      <c r="N202" s="575">
        <v>1</v>
      </c>
      <c r="O202" s="575">
        <v>1</v>
      </c>
      <c r="P202" s="575">
        <v>1</v>
      </c>
      <c r="Q202" s="575">
        <v>1</v>
      </c>
      <c r="R202" s="575"/>
      <c r="S202" s="575">
        <v>1</v>
      </c>
      <c r="T202" s="575">
        <v>1</v>
      </c>
      <c r="U202" s="575">
        <v>1</v>
      </c>
      <c r="V202" s="575">
        <v>1</v>
      </c>
      <c r="W202" s="575">
        <v>1</v>
      </c>
      <c r="X202" s="575">
        <v>1</v>
      </c>
      <c r="Y202" s="575"/>
      <c r="Z202" s="575">
        <v>1</v>
      </c>
      <c r="AA202" s="575">
        <v>1</v>
      </c>
      <c r="AB202" s="575">
        <v>1</v>
      </c>
      <c r="AC202" s="575">
        <v>1</v>
      </c>
      <c r="AD202" s="575">
        <v>1</v>
      </c>
      <c r="AE202" s="575">
        <v>1</v>
      </c>
      <c r="AF202" s="575"/>
      <c r="AG202" s="575">
        <v>1</v>
      </c>
      <c r="AH202" s="575">
        <v>1</v>
      </c>
      <c r="AI202" s="575">
        <v>1</v>
      </c>
      <c r="AJ202" s="604">
        <f t="shared" si="231"/>
        <v>26</v>
      </c>
      <c r="AK202" s="604">
        <f t="shared" si="232"/>
        <v>0</v>
      </c>
      <c r="AL202" s="604">
        <f t="shared" si="233"/>
        <v>0</v>
      </c>
      <c r="AM202" s="604">
        <f t="shared" si="234"/>
        <v>1</v>
      </c>
      <c r="AN202" s="601"/>
      <c r="AO202" s="621"/>
      <c r="AP202" s="622"/>
      <c r="AQ202" s="622"/>
      <c r="AR202" s="622"/>
      <c r="AS202" s="622"/>
      <c r="AT202" s="622"/>
      <c r="AU202" s="622"/>
      <c r="AV202" s="622"/>
      <c r="AW202" s="622"/>
      <c r="AX202" s="622"/>
      <c r="AY202" s="622"/>
      <c r="AZ202" s="622"/>
      <c r="BA202" s="622"/>
      <c r="BB202" s="622"/>
      <c r="BC202" s="622"/>
      <c r="BD202" s="622"/>
      <c r="BE202" s="622"/>
      <c r="BF202" s="622"/>
      <c r="BG202" s="622"/>
      <c r="BH202" s="622"/>
      <c r="BI202" s="622"/>
      <c r="BJ202" s="622"/>
      <c r="BK202" s="622"/>
      <c r="BL202" s="622"/>
      <c r="BM202" s="622"/>
      <c r="BN202" s="622"/>
      <c r="BO202" s="622"/>
      <c r="BP202" s="622"/>
      <c r="BQ202" s="622"/>
      <c r="BR202" s="622"/>
      <c r="BS202" s="622"/>
      <c r="BT202" s="604">
        <f t="shared" si="189"/>
        <v>0</v>
      </c>
      <c r="BU202" s="604">
        <f t="shared" si="190"/>
        <v>0</v>
      </c>
      <c r="BV202" s="633"/>
      <c r="BW202" s="1513">
        <v>4000</v>
      </c>
      <c r="BX202" s="637">
        <f t="shared" si="226"/>
        <v>4000</v>
      </c>
      <c r="BY202" s="638">
        <v>0</v>
      </c>
    </row>
    <row r="203" spans="1:78" s="547" customFormat="1">
      <c r="A203" s="668">
        <v>104</v>
      </c>
      <c r="B203" s="669" t="s">
        <v>630</v>
      </c>
      <c r="C203" s="670" t="str">
        <f>VLOOKUP(B203,'Luong VP'!$B$10:$D$250,2,0)</f>
        <v>Lê Hoàng Sơn</v>
      </c>
      <c r="D203" s="671" t="str">
        <f>VLOOKUP(B203,'Luong VP'!$B$10:$D$250,3,0)</f>
        <v>NV Giao nhận/ Phụ xe</v>
      </c>
      <c r="E203" s="575">
        <v>1</v>
      </c>
      <c r="F203" s="575">
        <v>1</v>
      </c>
      <c r="G203" s="575">
        <v>1</v>
      </c>
      <c r="H203" s="575">
        <v>1</v>
      </c>
      <c r="I203" s="575">
        <v>1</v>
      </c>
      <c r="J203" s="575">
        <v>1</v>
      </c>
      <c r="K203" s="575"/>
      <c r="L203" s="1524" t="s">
        <v>720</v>
      </c>
      <c r="M203" s="575">
        <v>1</v>
      </c>
      <c r="N203" s="575">
        <v>1</v>
      </c>
      <c r="O203" s="575">
        <v>1</v>
      </c>
      <c r="P203" s="575">
        <v>1</v>
      </c>
      <c r="Q203" s="575">
        <v>1</v>
      </c>
      <c r="R203" s="575"/>
      <c r="S203" s="575">
        <v>1</v>
      </c>
      <c r="T203" s="575">
        <v>1</v>
      </c>
      <c r="U203" s="575">
        <v>1</v>
      </c>
      <c r="V203" s="575">
        <v>1</v>
      </c>
      <c r="W203" s="575">
        <v>1</v>
      </c>
      <c r="X203" s="575">
        <v>1</v>
      </c>
      <c r="Y203" s="575"/>
      <c r="Z203" s="575">
        <v>1</v>
      </c>
      <c r="AA203" s="575">
        <v>1</v>
      </c>
      <c r="AB203" s="575">
        <v>1</v>
      </c>
      <c r="AC203" s="575">
        <v>1</v>
      </c>
      <c r="AD203" s="575">
        <v>1</v>
      </c>
      <c r="AE203" s="575">
        <v>1</v>
      </c>
      <c r="AF203" s="575"/>
      <c r="AG203" s="575">
        <v>1</v>
      </c>
      <c r="AH203" s="575">
        <v>1</v>
      </c>
      <c r="AI203" s="575">
        <v>1</v>
      </c>
      <c r="AJ203" s="604">
        <f t="shared" si="231"/>
        <v>26</v>
      </c>
      <c r="AK203" s="604">
        <f t="shared" si="232"/>
        <v>0</v>
      </c>
      <c r="AL203" s="604">
        <f t="shared" si="233"/>
        <v>0</v>
      </c>
      <c r="AM203" s="604">
        <f t="shared" si="234"/>
        <v>1</v>
      </c>
      <c r="AN203" s="679"/>
      <c r="AO203" s="684"/>
      <c r="AP203" s="684"/>
      <c r="AQ203" s="622"/>
      <c r="AR203" s="684"/>
      <c r="AS203" s="684"/>
      <c r="AT203" s="684"/>
      <c r="AU203" s="684"/>
      <c r="AV203" s="684"/>
      <c r="AW203" s="684"/>
      <c r="AX203" s="684"/>
      <c r="AY203" s="622"/>
      <c r="AZ203" s="684"/>
      <c r="BA203" s="684"/>
      <c r="BB203" s="684"/>
      <c r="BC203" s="684"/>
      <c r="BD203" s="684"/>
      <c r="BE203" s="624"/>
      <c r="BF203" s="684"/>
      <c r="BG203" s="684"/>
      <c r="BH203" s="684"/>
      <c r="BI203" s="684"/>
      <c r="BJ203" s="624"/>
      <c r="BK203" s="684"/>
      <c r="BL203" s="684"/>
      <c r="BM203" s="622"/>
      <c r="BN203" s="684"/>
      <c r="BO203" s="684"/>
      <c r="BP203" s="684"/>
      <c r="BQ203" s="684"/>
      <c r="BR203" s="684"/>
      <c r="BS203" s="684"/>
      <c r="BT203" s="608">
        <f t="shared" si="189"/>
        <v>0</v>
      </c>
      <c r="BU203" s="608">
        <f t="shared" si="190"/>
        <v>0</v>
      </c>
      <c r="BV203" s="640"/>
      <c r="BW203" s="1514">
        <v>3000</v>
      </c>
      <c r="BX203" s="685">
        <f t="shared" si="226"/>
        <v>3000</v>
      </c>
      <c r="BY203" s="685">
        <v>0</v>
      </c>
    </row>
    <row r="204" spans="1:78" s="549" customFormat="1">
      <c r="A204" s="578">
        <v>104</v>
      </c>
      <c r="B204" s="379" t="s">
        <v>632</v>
      </c>
      <c r="C204" s="577" t="str">
        <f>VLOOKUP(B204,'Luong VP'!$B$10:$D$250,2,0)</f>
        <v>Lê Trần Hoàng Dương</v>
      </c>
      <c r="D204" s="106" t="str">
        <f>VLOOKUP(B204,'Luong VP'!$B$10:$D$250,3,0)</f>
        <v>NV Giao nhận/ Phụ xe</v>
      </c>
      <c r="E204" s="575">
        <v>1</v>
      </c>
      <c r="F204" s="575">
        <v>1</v>
      </c>
      <c r="G204" s="575">
        <v>1</v>
      </c>
      <c r="H204" s="575">
        <v>1</v>
      </c>
      <c r="I204" s="575">
        <v>1</v>
      </c>
      <c r="J204" s="575">
        <v>1</v>
      </c>
      <c r="K204" s="575"/>
      <c r="L204" s="1524" t="s">
        <v>720</v>
      </c>
      <c r="M204" s="575">
        <v>1</v>
      </c>
      <c r="N204" s="575">
        <v>1</v>
      </c>
      <c r="O204" s="575">
        <v>1</v>
      </c>
      <c r="P204" s="575">
        <v>1</v>
      </c>
      <c r="Q204" s="575">
        <v>1</v>
      </c>
      <c r="R204" s="575"/>
      <c r="S204" s="575">
        <v>1</v>
      </c>
      <c r="T204" s="575">
        <v>1</v>
      </c>
      <c r="U204" s="575">
        <v>1</v>
      </c>
      <c r="V204" s="575">
        <v>1</v>
      </c>
      <c r="W204" s="575">
        <v>1</v>
      </c>
      <c r="X204" s="575">
        <v>1</v>
      </c>
      <c r="Y204" s="575"/>
      <c r="Z204" s="575">
        <v>1</v>
      </c>
      <c r="AA204" s="575">
        <v>1</v>
      </c>
      <c r="AB204" s="575">
        <v>1</v>
      </c>
      <c r="AC204" s="575">
        <v>1</v>
      </c>
      <c r="AD204" s="575">
        <v>1</v>
      </c>
      <c r="AE204" s="575">
        <v>1</v>
      </c>
      <c r="AF204" s="575"/>
      <c r="AG204" s="575">
        <v>1</v>
      </c>
      <c r="AH204" s="575">
        <v>1</v>
      </c>
      <c r="AI204" s="575">
        <v>1</v>
      </c>
      <c r="AJ204" s="604">
        <f t="shared" si="231"/>
        <v>26</v>
      </c>
      <c r="AK204" s="604">
        <f t="shared" si="232"/>
        <v>0</v>
      </c>
      <c r="AL204" s="604">
        <f t="shared" si="233"/>
        <v>0</v>
      </c>
      <c r="AM204" s="604">
        <f t="shared" si="234"/>
        <v>1</v>
      </c>
      <c r="AN204" s="601"/>
      <c r="AO204" s="622"/>
      <c r="AP204" s="622"/>
      <c r="AQ204" s="622"/>
      <c r="AR204" s="622"/>
      <c r="AS204" s="622"/>
      <c r="AT204" s="622"/>
      <c r="AU204" s="622"/>
      <c r="AV204" s="622"/>
      <c r="AW204" s="622"/>
      <c r="AX204" s="622"/>
      <c r="AY204" s="622"/>
      <c r="AZ204" s="622"/>
      <c r="BA204" s="622"/>
      <c r="BB204" s="622"/>
      <c r="BC204" s="622"/>
      <c r="BD204" s="622"/>
      <c r="BE204" s="622"/>
      <c r="BF204" s="622"/>
      <c r="BG204" s="622"/>
      <c r="BH204" s="622"/>
      <c r="BI204" s="622"/>
      <c r="BJ204" s="622"/>
      <c r="BK204" s="622"/>
      <c r="BL204" s="622"/>
      <c r="BM204" s="622"/>
      <c r="BN204" s="622"/>
      <c r="BO204" s="622"/>
      <c r="BP204" s="622"/>
      <c r="BQ204" s="622"/>
      <c r="BR204" s="622"/>
      <c r="BS204" s="622"/>
      <c r="BT204" s="604">
        <f t="shared" si="189"/>
        <v>0</v>
      </c>
      <c r="BU204" s="604">
        <f t="shared" si="190"/>
        <v>0</v>
      </c>
      <c r="BV204" s="601"/>
      <c r="BW204" s="638">
        <v>0</v>
      </c>
      <c r="BX204" s="638">
        <f t="shared" si="226"/>
        <v>0</v>
      </c>
      <c r="BY204" s="638">
        <v>0</v>
      </c>
    </row>
    <row r="205" spans="1:78" s="544" customFormat="1" ht="17.25">
      <c r="A205" s="672"/>
      <c r="B205" s="673"/>
      <c r="C205" s="673"/>
      <c r="D205" s="674"/>
      <c r="E205" s="674"/>
      <c r="F205" s="674"/>
      <c r="G205" s="674"/>
      <c r="H205" s="674"/>
      <c r="I205" s="674"/>
      <c r="J205" s="674"/>
      <c r="K205" s="675"/>
      <c r="L205" s="676"/>
      <c r="M205" s="676"/>
      <c r="N205" s="676"/>
      <c r="O205" s="676"/>
      <c r="P205" s="676"/>
      <c r="Q205" s="676"/>
      <c r="R205" s="676"/>
      <c r="S205" s="676"/>
      <c r="T205" s="678"/>
      <c r="U205" s="676"/>
      <c r="V205" s="676"/>
      <c r="W205" s="676"/>
      <c r="X205" s="676"/>
      <c r="Y205" s="676"/>
      <c r="Z205" s="676"/>
      <c r="AA205" s="678"/>
      <c r="AB205" s="678"/>
      <c r="AC205" s="678"/>
      <c r="AD205" s="678"/>
      <c r="AE205" s="678"/>
      <c r="AF205" s="678"/>
      <c r="AG205" s="678"/>
      <c r="AH205" s="678"/>
      <c r="AI205" s="678"/>
      <c r="AJ205" s="680"/>
      <c r="AK205" s="680"/>
      <c r="AL205" s="680"/>
      <c r="AM205" s="681"/>
      <c r="AN205" s="682"/>
      <c r="AO205" s="676"/>
      <c r="AP205" s="676"/>
      <c r="AQ205" s="676"/>
      <c r="AR205" s="676"/>
      <c r="AS205" s="676"/>
      <c r="AT205" s="676"/>
      <c r="AU205" s="676"/>
      <c r="AV205" s="676"/>
      <c r="AW205" s="676"/>
      <c r="AX205" s="676"/>
      <c r="AY205" s="676"/>
      <c r="AZ205" s="676"/>
      <c r="BA205" s="676"/>
      <c r="BB205" s="676"/>
      <c r="BC205" s="676"/>
      <c r="BD205" s="676"/>
      <c r="BE205" s="676"/>
      <c r="BF205" s="676"/>
      <c r="BG205" s="676"/>
      <c r="BH205" s="676"/>
      <c r="BI205" s="676"/>
      <c r="BJ205" s="676"/>
      <c r="BK205" s="676"/>
      <c r="BL205" s="676"/>
      <c r="BM205" s="676"/>
      <c r="BN205" s="676"/>
      <c r="BO205" s="676"/>
      <c r="BP205" s="676"/>
      <c r="BQ205" s="676"/>
      <c r="BR205" s="676"/>
      <c r="BS205" s="676"/>
      <c r="BT205" s="680">
        <f>SUM(BT9:BT204)</f>
        <v>572.35</v>
      </c>
      <c r="BU205" s="680">
        <f>SUM(BU9:BU204)</f>
        <v>251.2</v>
      </c>
      <c r="BV205" s="633"/>
      <c r="BW205" s="686">
        <f>SUM(BW9:BW204)</f>
        <v>357000</v>
      </c>
      <c r="BX205" s="686">
        <f>SUM(BX9:BX204)</f>
        <v>375500</v>
      </c>
      <c r="BY205" s="687"/>
    </row>
    <row r="206" spans="1:78" s="544" customFormat="1" ht="17.25">
      <c r="A206" s="672"/>
      <c r="B206" s="673"/>
      <c r="C206" s="673"/>
      <c r="D206" s="674"/>
      <c r="E206" s="674"/>
      <c r="F206" s="674"/>
      <c r="G206" s="674"/>
      <c r="H206" s="674"/>
      <c r="I206" s="674"/>
      <c r="J206" s="674"/>
      <c r="K206" s="675"/>
      <c r="L206" s="676"/>
      <c r="M206" s="676"/>
      <c r="N206" s="676"/>
      <c r="O206" s="676"/>
      <c r="P206" s="676"/>
      <c r="Q206" s="676"/>
      <c r="R206" s="676"/>
      <c r="S206" s="676"/>
      <c r="T206" s="678"/>
      <c r="U206" s="676"/>
      <c r="V206" s="676"/>
      <c r="W206" s="676"/>
      <c r="X206" s="676"/>
      <c r="Y206" s="676"/>
      <c r="Z206" s="676"/>
      <c r="AA206" s="678"/>
      <c r="AB206" s="678"/>
      <c r="AC206" s="678"/>
      <c r="AD206" s="678"/>
      <c r="AE206" s="678"/>
      <c r="AF206" s="678"/>
      <c r="AG206" s="678"/>
      <c r="AH206" s="678"/>
      <c r="AI206" s="678"/>
      <c r="AJ206" s="680"/>
      <c r="AK206" s="680"/>
      <c r="AL206" s="680"/>
      <c r="AM206" s="681"/>
      <c r="AN206" s="682"/>
      <c r="AO206" s="676"/>
      <c r="AP206" s="676"/>
      <c r="AQ206" s="676"/>
      <c r="AR206" s="676"/>
      <c r="AS206" s="676"/>
      <c r="AT206" s="676"/>
      <c r="AU206" s="676"/>
      <c r="AV206" s="676"/>
      <c r="AW206" s="676"/>
      <c r="AX206" s="676"/>
      <c r="AY206" s="676"/>
      <c r="AZ206" s="676"/>
      <c r="BA206" s="676"/>
      <c r="BB206" s="676"/>
      <c r="BC206" s="676"/>
      <c r="BD206" s="676"/>
      <c r="BE206" s="676"/>
      <c r="BF206" s="676"/>
      <c r="BG206" s="676"/>
      <c r="BH206" s="676"/>
      <c r="BI206" s="676"/>
      <c r="BJ206" s="676"/>
      <c r="BK206" s="676"/>
      <c r="BL206" s="676"/>
      <c r="BM206" s="676"/>
      <c r="BN206" s="676"/>
      <c r="BO206" s="676"/>
      <c r="BP206" s="676"/>
      <c r="BQ206" s="676"/>
      <c r="BR206" s="676"/>
      <c r="BS206" s="676"/>
      <c r="BT206" s="680"/>
      <c r="BU206" s="680"/>
      <c r="BV206" s="633"/>
      <c r="BW206" s="687"/>
      <c r="BX206" s="687"/>
      <c r="BY206" s="687"/>
    </row>
    <row r="207" spans="1:78" s="544" customFormat="1" ht="17.25">
      <c r="A207" s="672"/>
      <c r="B207" s="673"/>
      <c r="C207" s="673"/>
      <c r="D207" s="674"/>
      <c r="E207" s="674"/>
      <c r="F207" s="674"/>
      <c r="G207" s="674"/>
      <c r="H207" s="674"/>
      <c r="I207" s="674"/>
      <c r="J207" s="674"/>
      <c r="K207" s="675"/>
      <c r="L207" s="676"/>
      <c r="M207" s="676"/>
      <c r="N207" s="676"/>
      <c r="O207" s="676"/>
      <c r="P207" s="676"/>
      <c r="Q207" s="676"/>
      <c r="R207" s="676"/>
      <c r="S207" s="676"/>
      <c r="T207" s="678"/>
      <c r="U207" s="676"/>
      <c r="V207" s="676"/>
      <c r="W207" s="676"/>
      <c r="X207" s="676"/>
      <c r="Y207" s="676"/>
      <c r="Z207" s="676"/>
      <c r="AA207" s="678"/>
      <c r="AB207" s="678"/>
      <c r="AC207" s="678"/>
      <c r="AD207" s="678"/>
      <c r="AE207" s="678"/>
      <c r="AF207" s="678"/>
      <c r="AG207" s="678"/>
      <c r="AH207" s="678"/>
      <c r="AI207" s="678"/>
      <c r="AJ207" s="680"/>
      <c r="AK207" s="680"/>
      <c r="AL207" s="680"/>
      <c r="AM207" s="681"/>
      <c r="AN207" s="682"/>
      <c r="AO207" s="676"/>
      <c r="AP207" s="676"/>
      <c r="AQ207" s="676"/>
      <c r="AR207" s="676"/>
      <c r="AS207" s="676"/>
      <c r="AT207" s="676"/>
      <c r="AU207" s="676"/>
      <c r="AV207" s="676"/>
      <c r="AW207" s="676"/>
      <c r="AX207" s="676"/>
      <c r="AY207" s="676"/>
      <c r="AZ207" s="676"/>
      <c r="BA207" s="676"/>
      <c r="BB207" s="676"/>
      <c r="BC207" s="676"/>
      <c r="BD207" s="676"/>
      <c r="BE207" s="676"/>
      <c r="BF207" s="676"/>
      <c r="BG207" s="676"/>
      <c r="BH207" s="676"/>
      <c r="BI207" s="676"/>
      <c r="BJ207" s="676"/>
      <c r="BK207" s="676"/>
      <c r="BL207" s="676"/>
      <c r="BM207" s="676"/>
      <c r="BN207" s="676"/>
      <c r="BO207" s="676"/>
      <c r="BP207" s="676"/>
      <c r="BQ207" s="676"/>
      <c r="BR207" s="676"/>
      <c r="BS207" s="676"/>
      <c r="BT207" s="680"/>
      <c r="BU207" s="680"/>
      <c r="BV207" s="633"/>
      <c r="BW207" s="687"/>
      <c r="BX207" s="687"/>
      <c r="BY207" s="687"/>
    </row>
    <row r="208" spans="1:78" s="544" customFormat="1" ht="17.25">
      <c r="A208" s="672"/>
      <c r="B208" s="673"/>
      <c r="C208" s="673"/>
      <c r="D208" s="674"/>
      <c r="E208" s="674"/>
      <c r="F208" s="674"/>
      <c r="G208" s="674"/>
      <c r="H208" s="674"/>
      <c r="I208" s="674"/>
      <c r="J208" s="674"/>
      <c r="K208" s="675"/>
      <c r="L208" s="676"/>
      <c r="M208" s="676"/>
      <c r="N208" s="676"/>
      <c r="O208" s="676"/>
      <c r="P208" s="676"/>
      <c r="Q208" s="676"/>
      <c r="R208" s="676"/>
      <c r="S208" s="676"/>
      <c r="T208" s="678"/>
      <c r="U208" s="676"/>
      <c r="V208" s="676"/>
      <c r="W208" s="676"/>
      <c r="X208" s="676"/>
      <c r="Y208" s="676"/>
      <c r="Z208" s="676"/>
      <c r="AA208" s="678"/>
      <c r="AB208" s="678"/>
      <c r="AC208" s="678"/>
      <c r="AD208" s="678"/>
      <c r="AE208" s="678"/>
      <c r="AF208" s="678"/>
      <c r="AG208" s="678"/>
      <c r="AH208" s="678"/>
      <c r="AI208" s="678"/>
      <c r="AJ208" s="680"/>
      <c r="AK208" s="680"/>
      <c r="AL208" s="680"/>
      <c r="AM208" s="681"/>
      <c r="AN208" s="682"/>
      <c r="AO208" s="676"/>
      <c r="AP208" s="676"/>
      <c r="AQ208" s="676"/>
      <c r="AR208" s="676"/>
      <c r="AS208" s="676"/>
      <c r="AT208" s="676"/>
      <c r="AU208" s="676"/>
      <c r="AV208" s="676"/>
      <c r="AW208" s="676"/>
      <c r="AX208" s="676"/>
      <c r="AY208" s="676"/>
      <c r="AZ208" s="676"/>
      <c r="BA208" s="676"/>
      <c r="BB208" s="676"/>
      <c r="BC208" s="676"/>
      <c r="BD208" s="676"/>
      <c r="BE208" s="676"/>
      <c r="BF208" s="676"/>
      <c r="BG208" s="676"/>
      <c r="BH208" s="676"/>
      <c r="BI208" s="676"/>
      <c r="BJ208" s="676"/>
      <c r="BK208" s="676"/>
      <c r="BL208" s="676"/>
      <c r="BM208" s="676"/>
      <c r="BN208" s="676"/>
      <c r="BO208" s="676"/>
      <c r="BP208" s="676"/>
      <c r="BQ208" s="676"/>
      <c r="BR208" s="676"/>
      <c r="BS208" s="676"/>
      <c r="BT208" s="680"/>
      <c r="BU208" s="680"/>
      <c r="BV208" s="633"/>
      <c r="BW208" s="687"/>
      <c r="BX208" s="687"/>
      <c r="BY208" s="687"/>
    </row>
    <row r="209" spans="1:77" s="544" customFormat="1" ht="17.25">
      <c r="A209" s="672"/>
      <c r="B209" s="673"/>
      <c r="C209" s="673"/>
      <c r="D209" s="674"/>
      <c r="E209" s="674"/>
      <c r="F209" s="674"/>
      <c r="G209" s="674"/>
      <c r="H209" s="674"/>
      <c r="I209" s="674"/>
      <c r="J209" s="674"/>
      <c r="K209" s="675"/>
      <c r="L209" s="676"/>
      <c r="M209" s="676"/>
      <c r="N209" s="676"/>
      <c r="O209" s="676"/>
      <c r="P209" s="676"/>
      <c r="Q209" s="676"/>
      <c r="R209" s="676"/>
      <c r="S209" s="676"/>
      <c r="T209" s="678"/>
      <c r="U209" s="676"/>
      <c r="V209" s="676"/>
      <c r="W209" s="676"/>
      <c r="X209" s="676"/>
      <c r="Y209" s="676"/>
      <c r="Z209" s="676"/>
      <c r="AA209" s="678"/>
      <c r="AB209" s="678"/>
      <c r="AC209" s="678"/>
      <c r="AD209" s="678"/>
      <c r="AE209" s="678"/>
      <c r="AF209" s="678"/>
      <c r="AG209" s="678"/>
      <c r="AH209" s="678"/>
      <c r="AI209" s="678"/>
      <c r="AJ209" s="680"/>
      <c r="AK209" s="680"/>
      <c r="AL209" s="680"/>
      <c r="AM209" s="681"/>
      <c r="AN209" s="682"/>
      <c r="AO209" s="676"/>
      <c r="AP209" s="676"/>
      <c r="AQ209" s="676"/>
      <c r="AR209" s="676"/>
      <c r="AS209" s="676"/>
      <c r="AT209" s="676"/>
      <c r="AU209" s="676"/>
      <c r="AV209" s="676"/>
      <c r="AW209" s="676"/>
      <c r="AX209" s="676"/>
      <c r="AY209" s="676"/>
      <c r="AZ209" s="676"/>
      <c r="BA209" s="676"/>
      <c r="BB209" s="676"/>
      <c r="BC209" s="676"/>
      <c r="BD209" s="676"/>
      <c r="BE209" s="676"/>
      <c r="BF209" s="676"/>
      <c r="BG209" s="676"/>
      <c r="BH209" s="676"/>
      <c r="BI209" s="676"/>
      <c r="BJ209" s="676"/>
      <c r="BK209" s="676"/>
      <c r="BL209" s="676"/>
      <c r="BM209" s="676"/>
      <c r="BN209" s="676"/>
      <c r="BO209" s="676"/>
      <c r="BP209" s="676"/>
      <c r="BQ209" s="676"/>
      <c r="BR209" s="676"/>
      <c r="BS209" s="676"/>
      <c r="BT209" s="680"/>
      <c r="BU209" s="680"/>
      <c r="BV209" s="633"/>
      <c r="BW209" s="687"/>
      <c r="BX209" s="687"/>
      <c r="BY209" s="687"/>
    </row>
    <row r="210" spans="1:77" s="544" customFormat="1" ht="17.25">
      <c r="A210" s="672"/>
      <c r="B210" s="673"/>
      <c r="C210" s="673"/>
      <c r="D210" s="674"/>
      <c r="E210" s="674"/>
      <c r="F210" s="674"/>
      <c r="G210" s="674"/>
      <c r="H210" s="674"/>
      <c r="I210" s="674"/>
      <c r="J210" s="674"/>
      <c r="K210" s="675"/>
      <c r="L210" s="676"/>
      <c r="M210" s="676"/>
      <c r="N210" s="676"/>
      <c r="O210" s="676"/>
      <c r="P210" s="676"/>
      <c r="Q210" s="676"/>
      <c r="R210" s="676"/>
      <c r="S210" s="676"/>
      <c r="T210" s="678"/>
      <c r="U210" s="676"/>
      <c r="V210" s="676"/>
      <c r="W210" s="676"/>
      <c r="X210" s="676"/>
      <c r="Y210" s="676"/>
      <c r="Z210" s="676"/>
      <c r="AA210" s="678"/>
      <c r="AB210" s="678"/>
      <c r="AC210" s="678"/>
      <c r="AD210" s="678"/>
      <c r="AE210" s="678"/>
      <c r="AF210" s="678"/>
      <c r="AG210" s="678"/>
      <c r="AH210" s="678"/>
      <c r="AI210" s="678"/>
      <c r="AJ210" s="680"/>
      <c r="AK210" s="680"/>
      <c r="AL210" s="680"/>
      <c r="AM210" s="681"/>
      <c r="AN210" s="682"/>
      <c r="AO210" s="676"/>
      <c r="AP210" s="676"/>
      <c r="AQ210" s="676"/>
      <c r="AR210" s="676"/>
      <c r="AS210" s="676"/>
      <c r="AT210" s="676"/>
      <c r="AU210" s="676"/>
      <c r="AV210" s="676"/>
      <c r="AW210" s="676"/>
      <c r="AX210" s="676"/>
      <c r="AY210" s="676"/>
      <c r="AZ210" s="676"/>
      <c r="BA210" s="676"/>
      <c r="BB210" s="676"/>
      <c r="BC210" s="676"/>
      <c r="BD210" s="676"/>
      <c r="BE210" s="676"/>
      <c r="BF210" s="676"/>
      <c r="BG210" s="676"/>
      <c r="BH210" s="676"/>
      <c r="BI210" s="676"/>
      <c r="BJ210" s="676"/>
      <c r="BK210" s="676"/>
      <c r="BL210" s="676"/>
      <c r="BM210" s="676"/>
      <c r="BN210" s="676"/>
      <c r="BO210" s="676"/>
      <c r="BP210" s="676"/>
      <c r="BQ210" s="676"/>
      <c r="BR210" s="676"/>
      <c r="BS210" s="676"/>
      <c r="BT210" s="680"/>
      <c r="BU210" s="680"/>
      <c r="BV210" s="633"/>
      <c r="BW210" s="687"/>
      <c r="BX210" s="687"/>
      <c r="BY210" s="687"/>
    </row>
    <row r="211" spans="1:77" s="544" customFormat="1" ht="17.25">
      <c r="A211" s="672"/>
      <c r="B211" s="673"/>
      <c r="C211" s="673"/>
      <c r="D211" s="674"/>
      <c r="E211" s="674"/>
      <c r="F211" s="674"/>
      <c r="G211" s="674"/>
      <c r="H211" s="674"/>
      <c r="I211" s="674"/>
      <c r="J211" s="674"/>
      <c r="K211" s="675"/>
      <c r="L211" s="676"/>
      <c r="M211" s="676"/>
      <c r="N211" s="676"/>
      <c r="O211" s="676"/>
      <c r="P211" s="676"/>
      <c r="Q211" s="676"/>
      <c r="R211" s="676"/>
      <c r="S211" s="676"/>
      <c r="T211" s="678"/>
      <c r="U211" s="676"/>
      <c r="V211" s="676"/>
      <c r="W211" s="676"/>
      <c r="X211" s="676"/>
      <c r="Y211" s="676"/>
      <c r="Z211" s="676"/>
      <c r="AA211" s="678"/>
      <c r="AB211" s="678"/>
      <c r="AC211" s="678"/>
      <c r="AD211" s="678"/>
      <c r="AE211" s="678"/>
      <c r="AF211" s="678"/>
      <c r="AG211" s="678"/>
      <c r="AH211" s="678"/>
      <c r="AI211" s="678"/>
      <c r="AJ211" s="680"/>
      <c r="AK211" s="680"/>
      <c r="AL211" s="680"/>
      <c r="AM211" s="681"/>
      <c r="AN211" s="682"/>
      <c r="AO211" s="676"/>
      <c r="AP211" s="676"/>
      <c r="AQ211" s="676"/>
      <c r="AR211" s="676"/>
      <c r="AS211" s="676"/>
      <c r="AT211" s="676"/>
      <c r="AU211" s="676"/>
      <c r="AV211" s="676"/>
      <c r="AW211" s="676"/>
      <c r="AX211" s="676"/>
      <c r="AY211" s="676"/>
      <c r="AZ211" s="676"/>
      <c r="BA211" s="676"/>
      <c r="BB211" s="676"/>
      <c r="BC211" s="676"/>
      <c r="BD211" s="676"/>
      <c r="BE211" s="676"/>
      <c r="BF211" s="676"/>
      <c r="BG211" s="676"/>
      <c r="BH211" s="676"/>
      <c r="BI211" s="676"/>
      <c r="BJ211" s="676"/>
      <c r="BK211" s="676"/>
      <c r="BL211" s="676"/>
      <c r="BM211" s="676"/>
      <c r="BN211" s="676"/>
      <c r="BO211" s="676"/>
      <c r="BP211" s="676"/>
      <c r="BQ211" s="676"/>
      <c r="BR211" s="676"/>
      <c r="BS211" s="676"/>
      <c r="BT211" s="680"/>
      <c r="BU211" s="680"/>
      <c r="BV211" s="633"/>
      <c r="BW211" s="687"/>
      <c r="BX211" s="687"/>
      <c r="BY211" s="687"/>
    </row>
    <row r="212" spans="1:77">
      <c r="D212" s="551"/>
      <c r="E212" s="551"/>
      <c r="F212" s="551"/>
      <c r="G212" s="551"/>
      <c r="H212" s="551"/>
      <c r="I212" s="551"/>
      <c r="J212" s="551"/>
      <c r="K212" s="677"/>
      <c r="L212" s="551"/>
      <c r="M212" s="552"/>
      <c r="N212" s="551"/>
      <c r="O212" s="552"/>
      <c r="P212" s="551"/>
      <c r="Q212" s="552"/>
      <c r="R212" s="551"/>
      <c r="S212" s="552"/>
      <c r="T212" s="551"/>
      <c r="U212" s="552"/>
      <c r="V212" s="551"/>
      <c r="W212" s="552"/>
      <c r="X212" s="551"/>
      <c r="Y212" s="552"/>
      <c r="Z212" s="551"/>
      <c r="AA212" s="552"/>
      <c r="AB212" s="551"/>
      <c r="AC212" s="552"/>
      <c r="AD212" s="551"/>
      <c r="AE212" s="552"/>
      <c r="AF212" s="551"/>
      <c r="AG212" s="552"/>
      <c r="AH212" s="551"/>
      <c r="AI212" s="552"/>
      <c r="AJ212" s="551"/>
      <c r="AK212" s="552"/>
      <c r="AL212" s="551"/>
      <c r="AM212" s="552"/>
      <c r="AN212" s="683"/>
      <c r="AO212" s="552"/>
      <c r="AP212" s="551"/>
      <c r="AQ212" s="552"/>
      <c r="AR212" s="551"/>
      <c r="AS212" s="552"/>
      <c r="AT212" s="551"/>
      <c r="AU212" s="552"/>
      <c r="AV212" s="551"/>
      <c r="AW212" s="552"/>
      <c r="AX212" s="551"/>
      <c r="AY212" s="552"/>
      <c r="AZ212" s="551"/>
      <c r="BA212" s="552"/>
      <c r="BB212" s="551"/>
      <c r="BC212" s="552"/>
      <c r="BD212" s="551"/>
      <c r="BE212" s="552"/>
      <c r="BF212" s="551"/>
      <c r="BG212" s="552"/>
      <c r="BH212" s="551"/>
      <c r="BI212" s="552"/>
      <c r="BJ212" s="551"/>
      <c r="BK212" s="552"/>
      <c r="BL212" s="551"/>
      <c r="BM212" s="552"/>
      <c r="BN212" s="551"/>
      <c r="BO212" s="552"/>
      <c r="BP212" s="551"/>
      <c r="BQ212" s="552"/>
      <c r="BR212" s="551"/>
      <c r="BS212" s="552"/>
      <c r="BT212" s="551"/>
      <c r="BU212" s="552"/>
      <c r="BV212" s="683"/>
      <c r="BW212" s="552"/>
      <c r="BX212" s="551"/>
      <c r="BY212" s="552"/>
    </row>
    <row r="213" spans="1:77">
      <c r="B213" s="551">
        <v>1</v>
      </c>
      <c r="C213" s="552">
        <v>2</v>
      </c>
      <c r="D213" s="551">
        <v>3</v>
      </c>
      <c r="E213" s="552">
        <v>4</v>
      </c>
      <c r="F213" s="551">
        <v>5</v>
      </c>
      <c r="G213" s="552">
        <v>6</v>
      </c>
      <c r="H213" s="551">
        <v>7</v>
      </c>
      <c r="I213" s="552">
        <v>8</v>
      </c>
      <c r="J213" s="551">
        <v>9</v>
      </c>
      <c r="K213" s="677">
        <v>10</v>
      </c>
      <c r="L213" s="551">
        <v>11</v>
      </c>
      <c r="M213" s="552">
        <v>12</v>
      </c>
      <c r="N213" s="551">
        <v>13</v>
      </c>
      <c r="O213" s="552">
        <v>14</v>
      </c>
      <c r="P213" s="551">
        <v>15</v>
      </c>
      <c r="Q213" s="552">
        <v>16</v>
      </c>
      <c r="R213" s="551">
        <v>17</v>
      </c>
      <c r="S213" s="552">
        <v>18</v>
      </c>
      <c r="T213" s="551">
        <v>19</v>
      </c>
      <c r="U213" s="552">
        <v>20</v>
      </c>
      <c r="V213" s="551">
        <v>21</v>
      </c>
      <c r="W213" s="552">
        <v>22</v>
      </c>
      <c r="X213" s="551">
        <v>23</v>
      </c>
      <c r="Y213" s="552">
        <v>24</v>
      </c>
      <c r="Z213" s="551">
        <v>25</v>
      </c>
      <c r="AA213" s="552">
        <v>26</v>
      </c>
      <c r="AB213" s="551">
        <v>27</v>
      </c>
      <c r="AC213" s="552">
        <v>28</v>
      </c>
      <c r="AD213" s="551">
        <v>29</v>
      </c>
      <c r="AE213" s="552">
        <v>30</v>
      </c>
      <c r="AF213" s="551">
        <v>31</v>
      </c>
      <c r="AG213" s="552">
        <v>32</v>
      </c>
      <c r="AH213" s="551">
        <v>33</v>
      </c>
      <c r="AI213" s="552">
        <v>34</v>
      </c>
      <c r="AJ213" s="551">
        <v>35</v>
      </c>
      <c r="AK213" s="552">
        <v>36</v>
      </c>
      <c r="AL213" s="551">
        <v>37</v>
      </c>
      <c r="AM213" s="552">
        <v>38</v>
      </c>
      <c r="AN213" s="551">
        <v>39</v>
      </c>
      <c r="AO213" s="552">
        <v>40</v>
      </c>
      <c r="AP213" s="551">
        <v>41</v>
      </c>
      <c r="AQ213" s="552">
        <v>42</v>
      </c>
      <c r="AR213" s="551">
        <v>43</v>
      </c>
      <c r="AS213" s="552">
        <v>44</v>
      </c>
      <c r="AT213" s="551">
        <v>45</v>
      </c>
      <c r="AU213" s="552">
        <v>46</v>
      </c>
      <c r="AV213" s="551">
        <v>47</v>
      </c>
      <c r="AW213" s="552">
        <v>48</v>
      </c>
      <c r="AX213" s="551">
        <v>49</v>
      </c>
      <c r="AY213" s="552">
        <v>50</v>
      </c>
      <c r="AZ213" s="551">
        <v>51</v>
      </c>
      <c r="BA213" s="552">
        <v>52</v>
      </c>
      <c r="BB213" s="551">
        <v>53</v>
      </c>
      <c r="BC213" s="552">
        <v>54</v>
      </c>
      <c r="BD213" s="551">
        <v>55</v>
      </c>
      <c r="BE213" s="552">
        <v>56</v>
      </c>
      <c r="BF213" s="551">
        <v>57</v>
      </c>
      <c r="BG213" s="552">
        <v>58</v>
      </c>
      <c r="BH213" s="551">
        <v>59</v>
      </c>
      <c r="BI213" s="552">
        <v>60</v>
      </c>
      <c r="BJ213" s="551">
        <v>61</v>
      </c>
      <c r="BK213" s="552">
        <v>62</v>
      </c>
      <c r="BL213" s="551">
        <v>63</v>
      </c>
      <c r="BM213" s="552">
        <v>64</v>
      </c>
      <c r="BN213" s="551">
        <v>65</v>
      </c>
      <c r="BO213" s="552">
        <v>66</v>
      </c>
      <c r="BP213" s="551">
        <v>67</v>
      </c>
      <c r="BQ213" s="552">
        <v>68</v>
      </c>
      <c r="BR213" s="551">
        <v>69</v>
      </c>
      <c r="BS213" s="552">
        <v>70</v>
      </c>
      <c r="BT213" s="551">
        <v>71</v>
      </c>
      <c r="BU213" s="552">
        <v>72</v>
      </c>
      <c r="BV213" s="551">
        <v>73</v>
      </c>
      <c r="BW213" s="552">
        <v>74</v>
      </c>
      <c r="BX213" s="551">
        <v>75</v>
      </c>
      <c r="BY213" s="552">
        <v>76</v>
      </c>
    </row>
    <row r="216" spans="1:77">
      <c r="BW216" s="553">
        <v>280500</v>
      </c>
    </row>
    <row r="217" spans="1:77">
      <c r="BW217" s="553">
        <v>84000</v>
      </c>
    </row>
    <row r="218" spans="1:77">
      <c r="BW218" s="553">
        <v>6000</v>
      </c>
    </row>
    <row r="219" spans="1:77">
      <c r="BW219" s="553">
        <v>13000</v>
      </c>
    </row>
    <row r="220" spans="1:77">
      <c r="BW220" s="553">
        <v>1000</v>
      </c>
    </row>
    <row r="221" spans="1:77">
      <c r="BW221" s="553">
        <v>11000</v>
      </c>
    </row>
    <row r="222" spans="1:77">
      <c r="BW222" s="553">
        <v>125000</v>
      </c>
    </row>
  </sheetData>
  <mergeCells count="17">
    <mergeCell ref="S2:V2"/>
    <mergeCell ref="X2:AD2"/>
    <mergeCell ref="K4:AI4"/>
    <mergeCell ref="A4:A6"/>
    <mergeCell ref="B4:B6"/>
    <mergeCell ref="C4:C6"/>
    <mergeCell ref="D4:D6"/>
    <mergeCell ref="AJ5:AJ6"/>
    <mergeCell ref="AJ4:AK4"/>
    <mergeCell ref="AL4:AM4"/>
    <mergeCell ref="AR1:AR2"/>
    <mergeCell ref="AO4:BS4"/>
    <mergeCell ref="BT5:BU5"/>
    <mergeCell ref="AK5:AK6"/>
    <mergeCell ref="AL5:AL6"/>
    <mergeCell ref="AM5:AM6"/>
    <mergeCell ref="AN4:AN6"/>
  </mergeCells>
  <conditionalFormatting sqref="E7:AI7 AO12:BS22 AY167:AY177 AO53:BS56 AO47:BS51 BM167:BM177 BE198:BE204 BJ198:BJ204 AQ197:AQ204 AY197:AY204 BM197:BM204 AO179:BS195 AO145:BS164 AO60:BS73 AO94:BS116 AO118:BS122 AO78:BS87">
    <cfRule type="expression" dxfId="113" priority="129">
      <formula>TEXT(E$5,"DD")="LT"</formula>
    </cfRule>
    <cfRule type="expression" dxfId="112" priority="130">
      <formula>TEXT(E$5,"DD")="K"</formula>
    </cfRule>
    <cfRule type="expression" dxfId="111" priority="131">
      <formula>TEXT(E$5,"DD")="CN"</formula>
    </cfRule>
  </conditionalFormatting>
  <conditionalFormatting sqref="AO7:BS7">
    <cfRule type="expression" dxfId="110" priority="127">
      <formula>TEXT(AO$5,"DD")="LT"</formula>
    </cfRule>
    <cfRule type="expression" dxfId="109" priority="128">
      <formula>TEXT(AO$5,"DD")="K"</formula>
    </cfRule>
    <cfRule type="expression" dxfId="108" priority="132">
      <formula>TEXT(AO$5,"DD")="CN"</formula>
    </cfRule>
  </conditionalFormatting>
  <conditionalFormatting sqref="E8:AI8">
    <cfRule type="expression" dxfId="107" priority="348">
      <formula>TEXT(E$5,"DD")="LT"</formula>
    </cfRule>
    <cfRule type="expression" dxfId="106" priority="349">
      <formula>TEXT(E$5,"DD")="K"</formula>
    </cfRule>
    <cfRule type="expression" dxfId="105" priority="350">
      <formula>TEXT(E$5,"DD")="CN"</formula>
    </cfRule>
  </conditionalFormatting>
  <conditionalFormatting sqref="AO8:BS8">
    <cfRule type="expression" dxfId="104" priority="346">
      <formula>TEXT(AO$5,"DD")="LT"</formula>
    </cfRule>
    <cfRule type="expression" dxfId="103" priority="347">
      <formula>TEXT(AO$5,"DD")="K"</formula>
    </cfRule>
    <cfRule type="expression" dxfId="102" priority="351">
      <formula>TEXT(AO$5,"DD")="CN"</formula>
    </cfRule>
  </conditionalFormatting>
  <conditionalFormatting sqref="AN11:BY11">
    <cfRule type="expression" dxfId="101" priority="118">
      <formula>TEXT(AN$5,"DD")="LT"</formula>
    </cfRule>
    <cfRule type="expression" dxfId="100" priority="119">
      <formula>TEXT(AN$5,"DD")="K"</formula>
    </cfRule>
    <cfRule type="expression" dxfId="99" priority="120">
      <formula>TEXT(AN$5,"DD")="CN"</formula>
    </cfRule>
  </conditionalFormatting>
  <conditionalFormatting sqref="AM23:BY23">
    <cfRule type="expression" dxfId="98" priority="109">
      <formula>TEXT(AM$5,"DD")="LT"</formula>
    </cfRule>
    <cfRule type="expression" dxfId="97" priority="110">
      <formula>TEXT(AM$5,"DD")="K"</formula>
    </cfRule>
    <cfRule type="expression" dxfId="96" priority="111">
      <formula>TEXT(AM$5,"DD")="CN"</formula>
    </cfRule>
  </conditionalFormatting>
  <conditionalFormatting sqref="AL26:BX26">
    <cfRule type="expression" dxfId="95" priority="106">
      <formula>TEXT(AL$5,"DD")="LT"</formula>
    </cfRule>
    <cfRule type="expression" dxfId="94" priority="107">
      <formula>TEXT(AL$5,"DD")="K"</formula>
    </cfRule>
    <cfRule type="expression" dxfId="93" priority="108">
      <formula>TEXT(AL$5,"DD")="CN"</formula>
    </cfRule>
  </conditionalFormatting>
  <conditionalFormatting sqref="AL39:BY39">
    <cfRule type="expression" dxfId="92" priority="103">
      <formula>TEXT(AL$5,"DD")="LT"</formula>
    </cfRule>
    <cfRule type="expression" dxfId="91" priority="104">
      <formula>TEXT(AL$5,"DD")="K"</formula>
    </cfRule>
    <cfRule type="expression" dxfId="90" priority="105">
      <formula>TEXT(AL$5,"DD")="CN"</formula>
    </cfRule>
  </conditionalFormatting>
  <conditionalFormatting sqref="AK46:BX46">
    <cfRule type="expression" dxfId="89" priority="100">
      <formula>TEXT(AK$5,"DD")="LT"</formula>
    </cfRule>
    <cfRule type="expression" dxfId="88" priority="101">
      <formula>TEXT(AK$5,"DD")="K"</formula>
    </cfRule>
    <cfRule type="expression" dxfId="87" priority="102">
      <formula>TEXT(AK$5,"DD")="CN"</formula>
    </cfRule>
  </conditionalFormatting>
  <conditionalFormatting sqref="AL52:BY52">
    <cfRule type="expression" dxfId="86" priority="97">
      <formula>TEXT(AL$5,"DD")="LT"</formula>
    </cfRule>
    <cfRule type="expression" dxfId="85" priority="98">
      <formula>TEXT(AL$5,"DD")="K"</formula>
    </cfRule>
    <cfRule type="expression" dxfId="84" priority="99">
      <formula>TEXT(AL$5,"DD")="CN"</formula>
    </cfRule>
  </conditionalFormatting>
  <conditionalFormatting sqref="AL57:BY57">
    <cfRule type="expression" dxfId="83" priority="1">
      <formula>TEXT(AL$5,"DD")="LT"</formula>
    </cfRule>
    <cfRule type="expression" dxfId="82" priority="2">
      <formula>TEXT(AL$5,"DD")="K"</formula>
    </cfRule>
    <cfRule type="expression" dxfId="81" priority="3">
      <formula>TEXT(AL$5,"DD")="CN"</formula>
    </cfRule>
  </conditionalFormatting>
  <conditionalFormatting sqref="AL59:BX59">
    <cfRule type="expression" dxfId="80" priority="94">
      <formula>TEXT(AL$5,"DD")="LT"</formula>
    </cfRule>
    <cfRule type="expression" dxfId="79" priority="95">
      <formula>TEXT(AL$5,"DD")="K"</formula>
    </cfRule>
    <cfRule type="expression" dxfId="78" priority="96">
      <formula>TEXT(AL$5,"DD")="CN"</formula>
    </cfRule>
  </conditionalFormatting>
  <conditionalFormatting sqref="AL74:AM74">
    <cfRule type="expression" dxfId="77" priority="124">
      <formula>TEXT(AL$5,"DD")="LT"</formula>
    </cfRule>
    <cfRule type="expression" dxfId="76" priority="125">
      <formula>TEXT(AL$5,"DD")="K"</formula>
    </cfRule>
    <cfRule type="expression" dxfId="75" priority="126">
      <formula>TEXT(AL$5,"DD")="CN"</formula>
    </cfRule>
  </conditionalFormatting>
  <conditionalFormatting sqref="AL75:AM75">
    <cfRule type="expression" dxfId="74" priority="121">
      <formula>TEXT(AL$5,"DD")="LT"</formula>
    </cfRule>
    <cfRule type="expression" dxfId="73" priority="122">
      <formula>TEXT(AL$5,"DD")="K"</formula>
    </cfRule>
    <cfRule type="expression" dxfId="72" priority="123">
      <formula>TEXT(AL$5,"DD")="CN"</formula>
    </cfRule>
  </conditionalFormatting>
  <conditionalFormatting sqref="AO75:BX75">
    <cfRule type="expression" dxfId="71" priority="292">
      <formula>TEXT(AO$5,"DD")="LT"</formula>
    </cfRule>
    <cfRule type="expression" dxfId="70" priority="293">
      <formula>TEXT(AO$5,"DD")="K"</formula>
    </cfRule>
    <cfRule type="expression" dxfId="69" priority="297">
      <formula>TEXT(AO$5,"DD")="CN"</formula>
    </cfRule>
  </conditionalFormatting>
  <conditionalFormatting sqref="AL77:BX77">
    <cfRule type="expression" dxfId="68" priority="85">
      <formula>TEXT(AL$5,"DD")="LT"</formula>
    </cfRule>
    <cfRule type="expression" dxfId="67" priority="86">
      <formula>TEXT(AL$5,"DD")="K"</formula>
    </cfRule>
    <cfRule type="expression" dxfId="66" priority="87">
      <formula>TEXT(AL$5,"DD")="CN"</formula>
    </cfRule>
  </conditionalFormatting>
  <conditionalFormatting sqref="AK88:BX88">
    <cfRule type="expression" dxfId="65" priority="82">
      <formula>TEXT(AK$5,"DD")="LT"</formula>
    </cfRule>
    <cfRule type="expression" dxfId="64" priority="83">
      <formula>TEXT(AK$5,"DD")="K"</formula>
    </cfRule>
    <cfRule type="expression" dxfId="63" priority="84">
      <formula>TEXT(AK$5,"DD")="CN"</formula>
    </cfRule>
  </conditionalFormatting>
  <conditionalFormatting sqref="AK93:BX93">
    <cfRule type="expression" dxfId="62" priority="79">
      <formula>TEXT(AK$5,"DD")="LT"</formula>
    </cfRule>
    <cfRule type="expression" dxfId="61" priority="80">
      <formula>TEXT(AK$5,"DD")="K"</formula>
    </cfRule>
    <cfRule type="expression" dxfId="60" priority="81">
      <formula>TEXT(AK$5,"DD")="CN"</formula>
    </cfRule>
  </conditionalFormatting>
  <conditionalFormatting sqref="AL117:BY117">
    <cfRule type="expression" dxfId="59" priority="76">
      <formula>TEXT(AL$5,"DD")="LT"</formula>
    </cfRule>
    <cfRule type="expression" dxfId="58" priority="77">
      <formula>TEXT(AL$5,"DD")="K"</formula>
    </cfRule>
    <cfRule type="expression" dxfId="57" priority="78">
      <formula>TEXT(AL$5,"DD")="CN"</formula>
    </cfRule>
  </conditionalFormatting>
  <conditionalFormatting sqref="AL131:BY131">
    <cfRule type="expression" dxfId="56" priority="70">
      <formula>TEXT(AL$5,"DD")="LT"</formula>
    </cfRule>
    <cfRule type="expression" dxfId="55" priority="71">
      <formula>TEXT(AL$5,"DD")="K"</formula>
    </cfRule>
    <cfRule type="expression" dxfId="54" priority="72">
      <formula>TEXT(AL$5,"DD")="CN"</formula>
    </cfRule>
  </conditionalFormatting>
  <conditionalFormatting sqref="AL134:BY134">
    <cfRule type="expression" dxfId="53" priority="67">
      <formula>TEXT(AL$5,"DD")="LT"</formula>
    </cfRule>
    <cfRule type="expression" dxfId="52" priority="68">
      <formula>TEXT(AL$5,"DD")="K"</formula>
    </cfRule>
    <cfRule type="expression" dxfId="51" priority="69">
      <formula>TEXT(AL$5,"DD")="CN"</formula>
    </cfRule>
  </conditionalFormatting>
  <conditionalFormatting sqref="AK139:AM139">
    <cfRule type="expression" dxfId="50" priority="46">
      <formula>TEXT(AK$5,"DD")="LT"</formula>
    </cfRule>
    <cfRule type="expression" dxfId="49" priority="47">
      <formula>TEXT(AK$5,"DD")="K"</formula>
    </cfRule>
    <cfRule type="expression" dxfId="48" priority="48">
      <formula>TEXT(AK$5,"DD")="CN"</formula>
    </cfRule>
  </conditionalFormatting>
  <conditionalFormatting sqref="AO139:BY139">
    <cfRule type="expression" dxfId="47" priority="133">
      <formula>TEXT(AO$5,"DD")="LT"</formula>
    </cfRule>
    <cfRule type="expression" dxfId="46" priority="134">
      <formula>TEXT(AO$5,"DD")="K"</formula>
    </cfRule>
    <cfRule type="expression" dxfId="45" priority="138">
      <formula>TEXT(AO$5,"DD")="CN"</formula>
    </cfRule>
  </conditionalFormatting>
  <conditionalFormatting sqref="AK140:BY140">
    <cfRule type="expression" dxfId="44" priority="64">
      <formula>TEXT(AK$5,"DD")="LT"</formula>
    </cfRule>
    <cfRule type="expression" dxfId="43" priority="65">
      <formula>TEXT(AK$5,"DD")="K"</formula>
    </cfRule>
    <cfRule type="expression" dxfId="42" priority="66">
      <formula>TEXT(AK$5,"DD")="CN"</formula>
    </cfRule>
  </conditionalFormatting>
  <conditionalFormatting sqref="AM142:BY142">
    <cfRule type="expression" dxfId="41" priority="61">
      <formula>TEXT(AM$5,"DD")="LT"</formula>
    </cfRule>
    <cfRule type="expression" dxfId="40" priority="62">
      <formula>TEXT(AM$5,"DD")="K"</formula>
    </cfRule>
    <cfRule type="expression" dxfId="39" priority="63">
      <formula>TEXT(AM$5,"DD")="CN"</formula>
    </cfRule>
  </conditionalFormatting>
  <conditionalFormatting sqref="AL144:BY144">
    <cfRule type="expression" dxfId="38" priority="58">
      <formula>TEXT(AL$5,"DD")="LT"</formula>
    </cfRule>
    <cfRule type="expression" dxfId="37" priority="59">
      <formula>TEXT(AL$5,"DD")="K"</formula>
    </cfRule>
    <cfRule type="expression" dxfId="36" priority="60">
      <formula>TEXT(AL$5,"DD")="CN"</formula>
    </cfRule>
  </conditionalFormatting>
  <conditionalFormatting sqref="AK165:BX165">
    <cfRule type="expression" dxfId="35" priority="55">
      <formula>TEXT(AK$5,"DD")="LT"</formula>
    </cfRule>
    <cfRule type="expression" dxfId="34" priority="56">
      <formula>TEXT(AK$5,"DD")="K"</formula>
    </cfRule>
    <cfRule type="expression" dxfId="33" priority="57">
      <formula>TEXT(AK$5,"DD")="CN"</formula>
    </cfRule>
  </conditionalFormatting>
  <conditionalFormatting sqref="AL178:BX178">
    <cfRule type="expression" dxfId="32" priority="52">
      <formula>TEXT(AL$5,"DD")="LT"</formula>
    </cfRule>
    <cfRule type="expression" dxfId="31" priority="53">
      <formula>TEXT(AL$5,"DD")="K"</formula>
    </cfRule>
    <cfRule type="expression" dxfId="30" priority="54">
      <formula>TEXT(AL$5,"DD")="CN"</formula>
    </cfRule>
  </conditionalFormatting>
  <conditionalFormatting sqref="AM196:BX196">
    <cfRule type="expression" dxfId="29" priority="49">
      <formula>TEXT(AM$5,"DD")="LT"</formula>
    </cfRule>
    <cfRule type="expression" dxfId="28" priority="50">
      <formula>TEXT(AM$5,"DD")="K"</formula>
    </cfRule>
    <cfRule type="expression" dxfId="27" priority="51">
      <formula>TEXT(AM$5,"DD")="CN"</formula>
    </cfRule>
  </conditionalFormatting>
  <conditionalFormatting sqref="AN124:AN130 E5:AI6 E135:K138 M135:AI138 E9:AI10 E197:AI212 E179:AI195 E166:AI177 E143:AI143 E145:AI164 E141:AI141 L135:L139 E132:AI133 E124:AI130 E118:AI122 E94:AI116 E89:AI92 E78:AI87 E76:AI76 E58:AI58 E60:AI73 E53:AI56 E47:AI51 E40:AI45 E27:AI38 E24:AI25 E12:AI22">
    <cfRule type="expression" dxfId="26" priority="388">
      <formula>TEXT(E$5,"DD")="K"</formula>
    </cfRule>
  </conditionalFormatting>
  <conditionalFormatting sqref="AN124:AN130 E5:AI6 E135:K138 M135:AI138 E9:AI10 E197:AI211 E179:AI195 E166:AI177 E143:AI143 E145:AI164 E141:AI141 L135:L139 E132:AI133 E124:AI130 E118:AI122 E94:AI116 E89:AI92 E78:AI87 E76:AI76 E58:AI58 E60:AI73 E53:AI56 E47:AI51 E40:AI45 E27:AI38 E24:AI25 E12:AI22">
    <cfRule type="expression" dxfId="25" priority="387">
      <formula>TEXT(E$5,"DD")="LT"</formula>
    </cfRule>
    <cfRule type="expression" dxfId="24" priority="389">
      <formula>TEXT(E$5,"DD")="CN"</formula>
    </cfRule>
  </conditionalFormatting>
  <conditionalFormatting sqref="AO9:BS10 AO141:BS141 AO143:BS143 AO205:BS211 AO58:BS58 AO24:BS25 AO202:AP204 BF202:BI204 AO197:AP199 BF198:BI199 BK198:BL199 BK202:BL204 AO76:BS76 AO166:BS166 AR202:AX204 AR197:AX199 AZ197:BL197 AZ202:BD204 AZ198:BD199 AO167:AX177 AZ167:BL177 BN167:BS177 BN202:BS204 BN197:BS199 AO5:BS6 AO89:BS92 AO74:BX74 AO27:BS38 AO40:BS45 AO132:BS133 AO135:BS138">
    <cfRule type="expression" dxfId="23" priority="385">
      <formula>TEXT(AO$5,"DD")="LT"</formula>
    </cfRule>
    <cfRule type="expression" dxfId="22" priority="386">
      <formula>TEXT(AO$5,"DD")="K"</formula>
    </cfRule>
    <cfRule type="expression" dxfId="21" priority="427">
      <formula>TEXT(AO$5,"DD")="CN"</formula>
    </cfRule>
  </conditionalFormatting>
  <conditionalFormatting sqref="AM123:BY123 AO124:BS130">
    <cfRule type="expression" dxfId="20" priority="73">
      <formula>TEXT(AM$5,"DD")="LT"</formula>
    </cfRule>
    <cfRule type="expression" dxfId="19" priority="74">
      <formula>TEXT(AM$5,"DD")="K"</formula>
    </cfRule>
    <cfRule type="expression" dxfId="18" priority="75">
      <formula>TEXT(AM$5,"DD")="CN"</formula>
    </cfRule>
  </conditionalFormatting>
  <conditionalFormatting sqref="AO200:AP200 BF200:BI200 BK200:BL200 AR200:AX200 AZ200:BD200 BN200:BS200">
    <cfRule type="expression" dxfId="17" priority="376">
      <formula>TEXT(AO$5,"DD")="LT"</formula>
    </cfRule>
    <cfRule type="expression" dxfId="16" priority="377">
      <formula>TEXT(AO$5,"DD")="K"</formula>
    </cfRule>
    <cfRule type="expression" dxfId="15" priority="381">
      <formula>TEXT(AO$5,"DD")="CN"</formula>
    </cfRule>
  </conditionalFormatting>
  <conditionalFormatting sqref="AO201:AP201 BF201:BI201 BK201:BL201 AR201:AX201 AZ201:BD201 BN201:BS201">
    <cfRule type="expression" dxfId="14" priority="364">
      <formula>TEXT(AO$5,"DD")="LT"</formula>
    </cfRule>
    <cfRule type="expression" dxfId="13" priority="365">
      <formula>TEXT(AO$5,"DD")="K"</formula>
    </cfRule>
    <cfRule type="expression" dxfId="12" priority="369">
      <formula>TEXT(AO$5,"DD")="CN"</formula>
    </cfRule>
  </conditionalFormatting>
  <printOptions horizontalCentered="1"/>
  <pageMargins left="0.196527777777778" right="0.196527777777778" top="0.31458333333333299" bottom="0.43263888888888902" header="0.156944444444444" footer="0.156944444444444"/>
  <pageSetup paperSize="9" scale="80" orientation="landscape"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C47"/>
  <sheetViews>
    <sheetView zoomScaleNormal="100" workbookViewId="0">
      <pane xSplit="3" ySplit="19" topLeftCell="K35" activePane="bottomRight" state="frozen"/>
      <selection pane="topRight"/>
      <selection pane="bottomLeft"/>
      <selection pane="bottomRight" activeCell="AC41" sqref="AC41"/>
    </sheetView>
  </sheetViews>
  <sheetFormatPr defaultColWidth="9.140625" defaultRowHeight="11.25"/>
  <cols>
    <col min="1" max="1" width="2.7109375" style="6" customWidth="1"/>
    <col min="2" max="2" width="6" style="6" customWidth="1"/>
    <col min="3" max="3" width="19.85546875" style="6" customWidth="1"/>
    <col min="4" max="4" width="9" style="6" customWidth="1"/>
    <col min="5" max="5" width="7.140625" style="6" customWidth="1"/>
    <col min="6" max="6" width="7.28515625" style="6" customWidth="1"/>
    <col min="7" max="7" width="6.7109375" style="1" customWidth="1"/>
    <col min="8" max="8" width="7.5703125" style="6" customWidth="1"/>
    <col min="9" max="9" width="8.42578125" style="6" customWidth="1"/>
    <col min="10" max="10" width="8" style="1" customWidth="1"/>
    <col min="11" max="11" width="7.140625" style="6" customWidth="1"/>
    <col min="12" max="12" width="8.140625" style="6" customWidth="1"/>
    <col min="13" max="17" width="6.42578125" style="6" customWidth="1"/>
    <col min="18" max="18" width="6.5703125" style="6" customWidth="1"/>
    <col min="19" max="19" width="8.5703125" style="6" customWidth="1"/>
    <col min="20" max="22" width="7.28515625" style="6" customWidth="1"/>
    <col min="23" max="23" width="7" style="6" customWidth="1"/>
    <col min="24" max="24" width="9.28515625" style="6" customWidth="1"/>
    <col min="25" max="25" width="8.7109375" style="7" customWidth="1"/>
    <col min="26" max="16384" width="9.140625" style="6"/>
  </cols>
  <sheetData>
    <row r="1" spans="1:25">
      <c r="A1" s="1638" t="s">
        <v>1297</v>
      </c>
      <c r="B1" s="1638"/>
      <c r="C1" s="1638"/>
      <c r="D1" s="1638"/>
      <c r="E1" s="1638"/>
      <c r="F1" s="1638"/>
      <c r="G1" s="1638"/>
      <c r="H1" s="1638"/>
      <c r="I1" s="1638"/>
      <c r="J1" s="1638"/>
      <c r="K1" s="1638"/>
      <c r="L1" s="1638"/>
      <c r="M1" s="1638"/>
      <c r="N1" s="1638"/>
      <c r="O1" s="1638"/>
      <c r="P1" s="1638"/>
      <c r="Q1" s="1638"/>
      <c r="R1" s="1638"/>
      <c r="S1" s="1638"/>
      <c r="T1" s="1638"/>
      <c r="U1" s="1638"/>
      <c r="V1" s="1638"/>
      <c r="W1" s="1638"/>
      <c r="X1" s="1638"/>
    </row>
    <row r="2" spans="1:25">
      <c r="N2" s="6" t="s">
        <v>742</v>
      </c>
    </row>
    <row r="3" spans="1:25" ht="24" customHeight="1">
      <c r="B3" s="6" t="s">
        <v>743</v>
      </c>
      <c r="C3" s="485" t="s">
        <v>744</v>
      </c>
      <c r="D3" s="485" t="s">
        <v>745</v>
      </c>
      <c r="E3" s="485" t="s">
        <v>746</v>
      </c>
      <c r="F3" s="485" t="s">
        <v>747</v>
      </c>
      <c r="G3" s="1639" t="s">
        <v>748</v>
      </c>
      <c r="H3" s="1639"/>
      <c r="I3" s="1639"/>
      <c r="J3" s="1640" t="s">
        <v>749</v>
      </c>
      <c r="K3" s="1641"/>
      <c r="L3" s="485" t="s">
        <v>750</v>
      </c>
    </row>
    <row r="4" spans="1:25" ht="33" customHeight="1">
      <c r="C4" s="486"/>
      <c r="D4" s="486"/>
      <c r="E4" s="486" t="s">
        <v>751</v>
      </c>
      <c r="F4" s="486" t="s">
        <v>752</v>
      </c>
      <c r="G4" s="487" t="s">
        <v>753</v>
      </c>
      <c r="H4" s="487" t="s">
        <v>754</v>
      </c>
      <c r="I4" s="487" t="s">
        <v>755</v>
      </c>
      <c r="J4" s="486" t="s">
        <v>753</v>
      </c>
      <c r="K4" s="486" t="s">
        <v>754</v>
      </c>
      <c r="L4" s="486"/>
    </row>
    <row r="5" spans="1:25">
      <c r="C5" s="488" t="s">
        <v>756</v>
      </c>
      <c r="D5" s="488">
        <v>500</v>
      </c>
      <c r="E5" s="488">
        <v>1000</v>
      </c>
      <c r="F5" s="488">
        <v>500</v>
      </c>
      <c r="G5" s="489">
        <v>1000</v>
      </c>
      <c r="H5" s="488">
        <v>3000</v>
      </c>
      <c r="I5" s="488">
        <v>4000</v>
      </c>
      <c r="J5" s="489">
        <v>1000</v>
      </c>
      <c r="K5" s="488">
        <v>2000</v>
      </c>
      <c r="L5" s="488">
        <v>8000</v>
      </c>
    </row>
    <row r="6" spans="1:25">
      <c r="C6" s="488" t="s">
        <v>757</v>
      </c>
      <c r="D6" s="488">
        <v>1000</v>
      </c>
      <c r="E6" s="488">
        <v>1000</v>
      </c>
      <c r="F6" s="488">
        <v>1000</v>
      </c>
      <c r="G6" s="489">
        <v>1000</v>
      </c>
      <c r="H6" s="488">
        <v>3000</v>
      </c>
      <c r="I6" s="488">
        <v>5000</v>
      </c>
      <c r="J6" s="489">
        <v>1000</v>
      </c>
      <c r="K6" s="488">
        <v>2000</v>
      </c>
      <c r="L6" s="488">
        <v>10000</v>
      </c>
    </row>
    <row r="7" spans="1:25">
      <c r="C7" s="488" t="s">
        <v>758</v>
      </c>
      <c r="D7" s="488">
        <v>1000</v>
      </c>
      <c r="E7" s="488">
        <v>1000</v>
      </c>
      <c r="F7" s="490">
        <v>1000</v>
      </c>
      <c r="G7" s="491">
        <v>1000</v>
      </c>
      <c r="H7" s="488">
        <v>3000</v>
      </c>
      <c r="I7" s="488">
        <v>4000</v>
      </c>
      <c r="J7" s="489"/>
      <c r="K7" s="488"/>
      <c r="L7" s="488">
        <v>7000</v>
      </c>
    </row>
    <row r="8" spans="1:25">
      <c r="C8" s="488" t="s">
        <v>759</v>
      </c>
      <c r="D8" s="488">
        <v>1000</v>
      </c>
      <c r="E8" s="488">
        <v>1000</v>
      </c>
      <c r="F8" s="488">
        <v>1000</v>
      </c>
      <c r="G8" s="491">
        <v>2000</v>
      </c>
      <c r="H8" s="488">
        <v>4000</v>
      </c>
      <c r="I8" s="488">
        <v>6000</v>
      </c>
      <c r="J8" s="489"/>
      <c r="K8" s="488"/>
      <c r="L8" s="488">
        <v>9000</v>
      </c>
    </row>
    <row r="9" spans="1:25">
      <c r="C9" s="488" t="s">
        <v>760</v>
      </c>
      <c r="D9" s="488">
        <v>500</v>
      </c>
      <c r="E9" s="488">
        <v>1000</v>
      </c>
      <c r="F9" s="488">
        <v>1000</v>
      </c>
      <c r="G9" s="489">
        <v>1000</v>
      </c>
      <c r="H9" s="488">
        <v>3000</v>
      </c>
      <c r="I9" s="488">
        <v>4000</v>
      </c>
      <c r="J9" s="489">
        <v>1000</v>
      </c>
      <c r="K9" s="488">
        <v>2000</v>
      </c>
      <c r="L9" s="488">
        <v>8500</v>
      </c>
    </row>
    <row r="11" spans="1:25" ht="14.25" customHeight="1">
      <c r="B11" s="6" t="s">
        <v>761</v>
      </c>
      <c r="C11" s="492" t="s">
        <v>744</v>
      </c>
      <c r="D11" s="492" t="s">
        <v>745</v>
      </c>
      <c r="E11" s="1642" t="s">
        <v>762</v>
      </c>
      <c r="F11" s="1642"/>
      <c r="G11" s="1642"/>
      <c r="H11" s="1643" t="s">
        <v>749</v>
      </c>
      <c r="I11" s="1644"/>
      <c r="J11" s="492" t="s">
        <v>750</v>
      </c>
    </row>
    <row r="12" spans="1:25" s="479" customFormat="1" ht="24.75" customHeight="1">
      <c r="C12" s="493"/>
      <c r="D12" s="493"/>
      <c r="E12" s="493" t="s">
        <v>763</v>
      </c>
      <c r="F12" s="493" t="s">
        <v>764</v>
      </c>
      <c r="G12" s="493" t="s">
        <v>754</v>
      </c>
      <c r="H12" s="493" t="s">
        <v>753</v>
      </c>
      <c r="I12" s="493" t="s">
        <v>754</v>
      </c>
      <c r="J12" s="493"/>
      <c r="Y12" s="536"/>
    </row>
    <row r="13" spans="1:25">
      <c r="C13" s="488" t="s">
        <v>765</v>
      </c>
      <c r="D13" s="488">
        <v>500</v>
      </c>
      <c r="E13" s="488">
        <v>1000</v>
      </c>
      <c r="F13" s="488">
        <v>3000</v>
      </c>
      <c r="G13" s="489">
        <v>4000</v>
      </c>
      <c r="H13" s="488">
        <v>1000</v>
      </c>
      <c r="I13" s="488">
        <v>1500</v>
      </c>
      <c r="J13" s="489">
        <v>6000</v>
      </c>
    </row>
    <row r="14" spans="1:25">
      <c r="C14" s="488" t="s">
        <v>766</v>
      </c>
      <c r="D14" s="488">
        <v>1000</v>
      </c>
      <c r="E14" s="488">
        <v>2000</v>
      </c>
      <c r="F14" s="488">
        <v>4000</v>
      </c>
      <c r="G14" s="489">
        <v>6000</v>
      </c>
      <c r="H14" s="488">
        <v>1000</v>
      </c>
      <c r="I14" s="488">
        <v>3000</v>
      </c>
      <c r="J14" s="489">
        <v>10000</v>
      </c>
    </row>
    <row r="17" spans="1:29" ht="14.25" customHeight="1">
      <c r="A17" s="9"/>
      <c r="B17" s="9"/>
      <c r="C17" s="10"/>
      <c r="D17" s="1657" t="s">
        <v>767</v>
      </c>
      <c r="E17" s="1658"/>
      <c r="F17" s="1658"/>
      <c r="G17" s="1658"/>
      <c r="H17" s="1658"/>
      <c r="I17" s="1659"/>
      <c r="J17" s="1653" t="s">
        <v>768</v>
      </c>
      <c r="K17" s="1654"/>
      <c r="L17" s="1654"/>
      <c r="M17" s="1654"/>
      <c r="N17" s="1654"/>
      <c r="O17" s="1655"/>
      <c r="P17" s="1650" t="s">
        <v>769</v>
      </c>
      <c r="Q17" s="1651"/>
      <c r="R17" s="1651"/>
      <c r="S17" s="1651"/>
      <c r="T17" s="1651"/>
      <c r="U17" s="1652"/>
      <c r="V17" s="1648" t="s">
        <v>770</v>
      </c>
      <c r="W17" s="1649"/>
      <c r="X17" s="1649"/>
      <c r="Y17" s="1649"/>
      <c r="Z17" s="1649"/>
      <c r="AA17" s="1649"/>
      <c r="AB17" s="1649"/>
    </row>
    <row r="18" spans="1:29" ht="30" customHeight="1">
      <c r="A18" s="1632" t="s">
        <v>2</v>
      </c>
      <c r="B18" s="1633" t="s">
        <v>771</v>
      </c>
      <c r="C18" s="1632" t="s">
        <v>772</v>
      </c>
      <c r="D18" s="1635" t="s">
        <v>773</v>
      </c>
      <c r="E18" s="1635" t="s">
        <v>1298</v>
      </c>
      <c r="F18" s="1637" t="s">
        <v>774</v>
      </c>
      <c r="G18" s="1637" t="s">
        <v>775</v>
      </c>
      <c r="H18" s="1637" t="s">
        <v>776</v>
      </c>
      <c r="I18" s="1635" t="s">
        <v>777</v>
      </c>
      <c r="J18" s="1629" t="s">
        <v>773</v>
      </c>
      <c r="K18" s="1629" t="s">
        <v>1298</v>
      </c>
      <c r="L18" s="1631" t="s">
        <v>774</v>
      </c>
      <c r="M18" s="1631" t="s">
        <v>775</v>
      </c>
      <c r="N18" s="1631" t="s">
        <v>776</v>
      </c>
      <c r="O18" s="1631" t="s">
        <v>777</v>
      </c>
      <c r="P18" s="1628" t="s">
        <v>773</v>
      </c>
      <c r="Q18" s="1628" t="s">
        <v>1298</v>
      </c>
      <c r="R18" s="1627" t="s">
        <v>774</v>
      </c>
      <c r="S18" s="1627" t="s">
        <v>775</v>
      </c>
      <c r="T18" s="1627" t="s">
        <v>776</v>
      </c>
      <c r="U18" s="1627" t="s">
        <v>777</v>
      </c>
      <c r="V18" s="1629" t="s">
        <v>773</v>
      </c>
      <c r="W18" s="1646" t="s">
        <v>1298</v>
      </c>
      <c r="X18" s="1631" t="s">
        <v>774</v>
      </c>
      <c r="Y18" s="1631" t="s">
        <v>775</v>
      </c>
      <c r="Z18" s="1631" t="s">
        <v>776</v>
      </c>
      <c r="AA18" s="1631" t="s">
        <v>777</v>
      </c>
      <c r="AB18" s="1631" t="s">
        <v>778</v>
      </c>
      <c r="AC18" s="1625" t="s">
        <v>1258</v>
      </c>
    </row>
    <row r="19" spans="1:29" ht="24.75" customHeight="1">
      <c r="A19" s="1633"/>
      <c r="B19" s="1634"/>
      <c r="C19" s="1633"/>
      <c r="D19" s="1636"/>
      <c r="E19" s="1636"/>
      <c r="F19" s="1635"/>
      <c r="G19" s="1635"/>
      <c r="H19" s="1635"/>
      <c r="I19" s="1660"/>
      <c r="J19" s="1630"/>
      <c r="K19" s="1630"/>
      <c r="L19" s="1629"/>
      <c r="M19" s="1629"/>
      <c r="N19" s="1629"/>
      <c r="O19" s="1629"/>
      <c r="P19" s="1656"/>
      <c r="Q19" s="1645"/>
      <c r="R19" s="1628"/>
      <c r="S19" s="1628"/>
      <c r="T19" s="1628"/>
      <c r="U19" s="1628"/>
      <c r="V19" s="1630"/>
      <c r="W19" s="1647"/>
      <c r="X19" s="1629"/>
      <c r="Y19" s="1629"/>
      <c r="Z19" s="1629"/>
      <c r="AA19" s="1629"/>
      <c r="AB19" s="1629"/>
      <c r="AC19" s="1626"/>
    </row>
    <row r="20" spans="1:29" s="1" customFormat="1">
      <c r="A20" s="11">
        <v>1</v>
      </c>
      <c r="B20" s="12" t="s">
        <v>521</v>
      </c>
      <c r="C20" s="13" t="s">
        <v>779</v>
      </c>
      <c r="D20" s="494">
        <v>650</v>
      </c>
      <c r="E20" s="494"/>
      <c r="F20" s="494">
        <v>550</v>
      </c>
      <c r="G20" s="494">
        <v>80</v>
      </c>
      <c r="H20" s="495">
        <v>5</v>
      </c>
      <c r="I20" s="496">
        <v>0.7</v>
      </c>
      <c r="J20" s="48">
        <v>854.36100000000022</v>
      </c>
      <c r="K20" s="48"/>
      <c r="L20" s="49">
        <v>777.50599999999997</v>
      </c>
      <c r="M20" s="48">
        <v>87</v>
      </c>
      <c r="N20" s="48">
        <v>7</v>
      </c>
      <c r="O20" s="50">
        <v>1.3144015384615388</v>
      </c>
      <c r="P20" s="50">
        <f t="shared" ref="P20:P35" si="0">J20/D20</f>
        <v>1.3144015384615388</v>
      </c>
      <c r="Q20" s="50"/>
      <c r="R20" s="50">
        <f t="shared" ref="R20:U23" si="1">L20/F20</f>
        <v>1.4136472727272726</v>
      </c>
      <c r="S20" s="50">
        <f t="shared" si="1"/>
        <v>1.0874999999999999</v>
      </c>
      <c r="T20" s="50">
        <f t="shared" si="1"/>
        <v>1.4</v>
      </c>
      <c r="U20" s="50">
        <f t="shared" si="1"/>
        <v>1.8777164835164841</v>
      </c>
      <c r="V20" s="532">
        <f>IF(P20&gt;120%,4000,IF(P20&gt;=100%,3000,IF(P20&gt;=80%,1000,"")))</f>
        <v>4000</v>
      </c>
      <c r="W20" s="532"/>
      <c r="X20" s="532">
        <f>IF(R20&gt;100%,2000,IF(R20&gt;=80%,1000,0))</f>
        <v>2000</v>
      </c>
      <c r="Y20" s="532">
        <f>IF(S20&gt;80%,1000,0)</f>
        <v>1000</v>
      </c>
      <c r="Z20" s="532">
        <f>IF(T20&gt;=100%,500,0)</f>
        <v>500</v>
      </c>
      <c r="AA20" s="532">
        <f>IF(U20&gt;=70%,500,0)</f>
        <v>500</v>
      </c>
      <c r="AB20" s="48">
        <f>SUM(V20:AA20)</f>
        <v>8000</v>
      </c>
      <c r="AC20" s="537"/>
    </row>
    <row r="21" spans="1:29" s="1" customFormat="1">
      <c r="A21" s="11">
        <v>2</v>
      </c>
      <c r="B21" s="17" t="s">
        <v>518</v>
      </c>
      <c r="C21" s="13" t="s">
        <v>780</v>
      </c>
      <c r="D21" s="494">
        <v>690</v>
      </c>
      <c r="E21" s="494"/>
      <c r="F21" s="494">
        <v>600</v>
      </c>
      <c r="G21" s="494">
        <v>82</v>
      </c>
      <c r="H21" s="495">
        <v>5</v>
      </c>
      <c r="I21" s="496">
        <v>0.7</v>
      </c>
      <c r="J21" s="48">
        <v>1201.0255000000002</v>
      </c>
      <c r="K21" s="48"/>
      <c r="L21" s="49">
        <v>994.91099999999994</v>
      </c>
      <c r="M21" s="48">
        <v>91</v>
      </c>
      <c r="N21" s="48">
        <v>8</v>
      </c>
      <c r="O21" s="50">
        <v>1.7406166666666669</v>
      </c>
      <c r="P21" s="50">
        <f t="shared" si="0"/>
        <v>1.7406166666666669</v>
      </c>
      <c r="Q21" s="50"/>
      <c r="R21" s="50">
        <f t="shared" si="1"/>
        <v>1.6581849999999998</v>
      </c>
      <c r="S21" s="50">
        <f t="shared" si="1"/>
        <v>1.1097560975609757</v>
      </c>
      <c r="T21" s="50">
        <f t="shared" si="1"/>
        <v>1.6</v>
      </c>
      <c r="U21" s="50">
        <f t="shared" si="1"/>
        <v>2.4865952380952385</v>
      </c>
      <c r="V21" s="532">
        <f>IF(P21&gt;120%,4000,IF(P21&gt;=100%,3000,IF(P21&gt;=80%,1000,"")))</f>
        <v>4000</v>
      </c>
      <c r="W21" s="532"/>
      <c r="X21" s="532">
        <f>IF(R21&gt;100%,2000,IF(R21&gt;=80%,1000,0))</f>
        <v>2000</v>
      </c>
      <c r="Y21" s="532">
        <f>IF(S21&gt;80%,1000,0)</f>
        <v>1000</v>
      </c>
      <c r="Z21" s="532">
        <f>IF(T21&gt;=100%,500,0)</f>
        <v>500</v>
      </c>
      <c r="AA21" s="532">
        <f>IF(U21&gt;=70%,500,0)</f>
        <v>500</v>
      </c>
      <c r="AB21" s="48">
        <f>SUM(V21:AA21)</f>
        <v>8000</v>
      </c>
      <c r="AC21" s="537"/>
    </row>
    <row r="22" spans="1:29" s="1" customFormat="1">
      <c r="A22" s="11">
        <v>3</v>
      </c>
      <c r="B22" s="1427" t="s">
        <v>1254</v>
      </c>
      <c r="C22" s="1427" t="s">
        <v>1255</v>
      </c>
      <c r="D22" s="494">
        <v>710</v>
      </c>
      <c r="E22" s="494"/>
      <c r="F22" s="494">
        <v>600</v>
      </c>
      <c r="G22" s="494">
        <v>70</v>
      </c>
      <c r="H22" s="495">
        <v>5</v>
      </c>
      <c r="I22" s="496">
        <v>0.7</v>
      </c>
      <c r="J22" s="48">
        <v>876.83350000000007</v>
      </c>
      <c r="K22" s="48"/>
      <c r="L22" s="49">
        <v>697.76300000000003</v>
      </c>
      <c r="M22" s="48">
        <v>85</v>
      </c>
      <c r="N22" s="48">
        <v>8</v>
      </c>
      <c r="O22" s="50">
        <v>1.2420438461538461</v>
      </c>
      <c r="P22" s="50">
        <f t="shared" si="0"/>
        <v>1.2349767605633803</v>
      </c>
      <c r="Q22" s="50"/>
      <c r="R22" s="50">
        <f t="shared" si="1"/>
        <v>1.1629383333333334</v>
      </c>
      <c r="S22" s="50">
        <f t="shared" si="1"/>
        <v>1.2142857142857142</v>
      </c>
      <c r="T22" s="50">
        <f t="shared" si="1"/>
        <v>1.6</v>
      </c>
      <c r="U22" s="50">
        <f t="shared" si="1"/>
        <v>1.7743483516483518</v>
      </c>
      <c r="V22" s="532">
        <f>IF(P22&gt;120%,4000,IF(P22&gt;=100%,3000,IF(P22&gt;=80%,1000,"")))</f>
        <v>4000</v>
      </c>
      <c r="W22" s="532"/>
      <c r="X22" s="532">
        <f>IF(R22&gt;100%,2000,IF(R22&gt;=80%,1000,0))</f>
        <v>2000</v>
      </c>
      <c r="Y22" s="532">
        <f>IF(S22&gt;80%,1000,0)</f>
        <v>1000</v>
      </c>
      <c r="Z22" s="532">
        <f>IF(T22&gt;=100%,500,0)</f>
        <v>500</v>
      </c>
      <c r="AA22" s="532">
        <f>IF(U22&gt;=70%,500,0)</f>
        <v>500</v>
      </c>
      <c r="AB22" s="48">
        <f>SUM(V22:AA22)</f>
        <v>8000</v>
      </c>
      <c r="AC22" s="1433"/>
    </row>
    <row r="23" spans="1:29" s="480" customFormat="1" ht="11.25" customHeight="1">
      <c r="A23" s="497">
        <v>4</v>
      </c>
      <c r="B23" s="498">
        <v>0</v>
      </c>
      <c r="C23" s="499"/>
      <c r="D23" s="500">
        <f t="shared" ref="D23:H23" si="2">SUM(D20:D22)</f>
        <v>2050</v>
      </c>
      <c r="E23" s="500"/>
      <c r="F23" s="500">
        <f t="shared" si="2"/>
        <v>1750</v>
      </c>
      <c r="G23" s="500">
        <f t="shared" si="2"/>
        <v>232</v>
      </c>
      <c r="H23" s="501">
        <f t="shared" si="2"/>
        <v>15</v>
      </c>
      <c r="I23" s="502">
        <v>0.7</v>
      </c>
      <c r="J23" s="522">
        <f>SUM(J20:J22)</f>
        <v>2932.2200000000007</v>
      </c>
      <c r="K23" s="522"/>
      <c r="L23" s="523">
        <f t="shared" ref="L23:N23" si="3">SUM(L20:L22)</f>
        <v>2470.1799999999998</v>
      </c>
      <c r="M23" s="522">
        <f t="shared" si="3"/>
        <v>263</v>
      </c>
      <c r="N23" s="522">
        <f t="shared" si="3"/>
        <v>23</v>
      </c>
      <c r="O23" s="524">
        <v>0.88697831978319797</v>
      </c>
      <c r="P23" s="525">
        <f t="shared" si="0"/>
        <v>1.4303512195121955</v>
      </c>
      <c r="Q23" s="525"/>
      <c r="R23" s="524">
        <f t="shared" si="1"/>
        <v>1.4115314285714284</v>
      </c>
      <c r="S23" s="524">
        <f t="shared" si="1"/>
        <v>1.1336206896551724</v>
      </c>
      <c r="T23" s="524">
        <f t="shared" si="1"/>
        <v>1.5333333333333334</v>
      </c>
      <c r="U23" s="524">
        <f t="shared" si="1"/>
        <v>1.2671118854045686</v>
      </c>
      <c r="V23" s="533"/>
      <c r="W23" s="533"/>
      <c r="X23" s="533"/>
      <c r="Y23" s="533"/>
      <c r="Z23" s="533"/>
      <c r="AA23" s="533"/>
      <c r="AB23" s="534"/>
      <c r="AC23" s="538"/>
    </row>
    <row r="24" spans="1:29" s="480" customFormat="1" ht="13.5" customHeight="1">
      <c r="A24" s="497">
        <v>5</v>
      </c>
      <c r="B24" s="498" t="s">
        <v>527</v>
      </c>
      <c r="C24" s="499" t="s">
        <v>528</v>
      </c>
      <c r="D24" s="503">
        <f>SUM(D25:D29)</f>
        <v>1200</v>
      </c>
      <c r="E24" s="503"/>
      <c r="F24" s="503">
        <f t="shared" ref="F24:H24" si="4">SUM(F25:F29)</f>
        <v>0</v>
      </c>
      <c r="G24" s="503">
        <f t="shared" si="4"/>
        <v>158</v>
      </c>
      <c r="H24" s="503">
        <f t="shared" si="4"/>
        <v>25</v>
      </c>
      <c r="I24" s="504">
        <v>0.7</v>
      </c>
      <c r="J24" s="526">
        <f>SUM(J25:J29)</f>
        <v>1082.3744999999999</v>
      </c>
      <c r="K24" s="526"/>
      <c r="L24" s="526">
        <f t="shared" ref="L24:N24" si="5">SUM(L25:L29)</f>
        <v>0</v>
      </c>
      <c r="M24" s="526">
        <f t="shared" si="5"/>
        <v>172</v>
      </c>
      <c r="N24" s="526">
        <f t="shared" si="5"/>
        <v>25</v>
      </c>
      <c r="O24" s="527">
        <v>1.44</v>
      </c>
      <c r="P24" s="524">
        <f t="shared" si="0"/>
        <v>0.90197874999999994</v>
      </c>
      <c r="Q24" s="524"/>
      <c r="R24" s="58"/>
      <c r="S24" s="528">
        <f>M24/G24</f>
        <v>1.0886075949367089</v>
      </c>
      <c r="T24" s="524">
        <f>N24/H24</f>
        <v>1</v>
      </c>
      <c r="U24" s="524">
        <f>O24/I24</f>
        <v>2.0571428571428574</v>
      </c>
      <c r="V24" s="533">
        <f>IF(P24&gt;120%,6000,IF(P24&gt;=100%,4000,IF(P24&gt;=80%,2000,"")))</f>
        <v>2000</v>
      </c>
      <c r="W24" s="533"/>
      <c r="X24" s="533">
        <f>IF(R24&gt;100%,2000,IF(R24&gt;=80%,1000,0))</f>
        <v>0</v>
      </c>
      <c r="Y24" s="533">
        <f>IF(S24&gt;80%,1000,0)</f>
        <v>1000</v>
      </c>
      <c r="Z24" s="522">
        <f>IF(T24&gt;=100%,1000,0)</f>
        <v>1000</v>
      </c>
      <c r="AA24" s="533">
        <f>IF(U24&gt;=70%,1000,0)</f>
        <v>1000</v>
      </c>
      <c r="AB24" s="530">
        <f t="shared" ref="AB24:AB40" si="6">SUM(V24:AA24)</f>
        <v>5000</v>
      </c>
      <c r="AC24" s="539"/>
    </row>
    <row r="25" spans="1:29" s="481" customFormat="1">
      <c r="A25" s="505">
        <v>6</v>
      </c>
      <c r="B25" s="17" t="s">
        <v>532</v>
      </c>
      <c r="C25" s="506" t="s">
        <v>782</v>
      </c>
      <c r="D25" s="507">
        <v>110</v>
      </c>
      <c r="E25" s="507"/>
      <c r="F25" s="507"/>
      <c r="G25" s="507">
        <v>18</v>
      </c>
      <c r="H25" s="508">
        <v>5</v>
      </c>
      <c r="I25" s="496">
        <v>0.7</v>
      </c>
      <c r="J25" s="53">
        <v>79.903999999999996</v>
      </c>
      <c r="K25" s="53"/>
      <c r="L25" s="54"/>
      <c r="M25" s="55">
        <v>18</v>
      </c>
      <c r="N25" s="56">
        <v>5</v>
      </c>
      <c r="O25" s="57">
        <v>0.72971689497716896</v>
      </c>
      <c r="P25" s="50">
        <f t="shared" si="0"/>
        <v>0.72639999999999993</v>
      </c>
      <c r="Q25" s="50"/>
      <c r="R25" s="58"/>
      <c r="S25" s="50">
        <f t="shared" ref="S25:S34" si="7">M25/G25</f>
        <v>1</v>
      </c>
      <c r="T25" s="58">
        <f>IFERROR(N25/H25,0)</f>
        <v>1</v>
      </c>
      <c r="U25" s="50">
        <f t="shared" ref="U25:U34" si="8">O25/I25</f>
        <v>1.0424527071102414</v>
      </c>
      <c r="V25" s="532" t="str">
        <f>IF(P25&gt;120%,4000,IF(P25&gt;=100%,3000,IF(P25&gt;=80%,1000,"")))</f>
        <v/>
      </c>
      <c r="W25" s="532"/>
      <c r="X25" s="532">
        <f>IF(R25&gt;100%,2000,IF(R25&gt;=80%,1000,0))</f>
        <v>0</v>
      </c>
      <c r="Y25" s="532">
        <f>IF(S25&gt;80%,1000,0)</f>
        <v>1000</v>
      </c>
      <c r="Z25" s="522">
        <f>IF(T25&gt;=100%,1000,0)</f>
        <v>1000</v>
      </c>
      <c r="AA25" s="532">
        <f>IF(U25&gt;=70%,1000,0)</f>
        <v>1000</v>
      </c>
      <c r="AB25" s="48">
        <f t="shared" si="6"/>
        <v>3000</v>
      </c>
      <c r="AC25" s="59"/>
    </row>
    <row r="26" spans="1:29" s="481" customFormat="1">
      <c r="A26" s="505">
        <v>9</v>
      </c>
      <c r="B26" s="12" t="s">
        <v>534</v>
      </c>
      <c r="C26" s="506" t="s">
        <v>1321</v>
      </c>
      <c r="D26" s="507">
        <v>110</v>
      </c>
      <c r="E26" s="507"/>
      <c r="F26" s="507"/>
      <c r="G26" s="507">
        <v>30</v>
      </c>
      <c r="H26" s="508">
        <v>5</v>
      </c>
      <c r="I26" s="496">
        <v>0.7</v>
      </c>
      <c r="J26" s="53">
        <v>117.60499999999999</v>
      </c>
      <c r="K26" s="53"/>
      <c r="L26" s="54"/>
      <c r="M26" s="55">
        <v>32</v>
      </c>
      <c r="N26" s="59">
        <v>4</v>
      </c>
      <c r="O26" s="57">
        <v>0.73864285714285705</v>
      </c>
      <c r="P26" s="50">
        <f t="shared" si="0"/>
        <v>1.0691363636363636</v>
      </c>
      <c r="Q26" s="50"/>
      <c r="R26" s="58"/>
      <c r="S26" s="50">
        <f t="shared" si="7"/>
        <v>1.0666666666666667</v>
      </c>
      <c r="T26" s="58">
        <f>IFERROR(N26/H26,0)</f>
        <v>0.8</v>
      </c>
      <c r="U26" s="50">
        <f t="shared" si="8"/>
        <v>1.0552040816326529</v>
      </c>
      <c r="V26" s="1444">
        <v>0</v>
      </c>
      <c r="W26" s="1444"/>
      <c r="X26" s="1444">
        <v>0</v>
      </c>
      <c r="Y26" s="1444">
        <v>0</v>
      </c>
      <c r="Z26" s="1445">
        <v>0</v>
      </c>
      <c r="AA26" s="1444">
        <v>0</v>
      </c>
      <c r="AB26" s="1446">
        <f t="shared" si="6"/>
        <v>0</v>
      </c>
      <c r="AC26" s="59"/>
    </row>
    <row r="27" spans="1:29" s="481" customFormat="1">
      <c r="A27" s="505">
        <v>11</v>
      </c>
      <c r="B27" s="12" t="s">
        <v>535</v>
      </c>
      <c r="C27" s="506" t="s">
        <v>786</v>
      </c>
      <c r="D27" s="507">
        <v>350</v>
      </c>
      <c r="E27" s="507"/>
      <c r="F27" s="507"/>
      <c r="G27" s="507">
        <v>25</v>
      </c>
      <c r="H27" s="508">
        <v>5</v>
      </c>
      <c r="I27" s="496">
        <v>0.7</v>
      </c>
      <c r="J27" s="53">
        <v>258.52499999999998</v>
      </c>
      <c r="K27" s="53"/>
      <c r="L27" s="54"/>
      <c r="M27" s="55">
        <v>28</v>
      </c>
      <c r="N27" s="59">
        <v>6</v>
      </c>
      <c r="O27" s="57">
        <v>1.0172622950819672</v>
      </c>
      <c r="P27" s="50">
        <f t="shared" si="0"/>
        <v>0.73864285714285705</v>
      </c>
      <c r="Q27" s="50"/>
      <c r="R27" s="58"/>
      <c r="S27" s="50">
        <f t="shared" si="7"/>
        <v>1.1200000000000001</v>
      </c>
      <c r="T27" s="58">
        <f>IFERROR(N27/H27,0)</f>
        <v>1.2</v>
      </c>
      <c r="U27" s="50">
        <f t="shared" si="8"/>
        <v>1.453231850117096</v>
      </c>
      <c r="V27" s="532" t="str">
        <f>IF(P27&gt;120%,4000,IF(P27&gt;=100%,3000,IF(P27&gt;=80%,1000,"")))</f>
        <v/>
      </c>
      <c r="W27" s="532"/>
      <c r="X27" s="532">
        <f>IF(R27&gt;100%,2000,IF(R27&gt;=80%,1000,0))</f>
        <v>0</v>
      </c>
      <c r="Y27" s="532">
        <f>IF(S27&gt;80%,1000,0)</f>
        <v>1000</v>
      </c>
      <c r="Z27" s="522">
        <f>IF(T27&gt;=100%,1000,0)</f>
        <v>1000</v>
      </c>
      <c r="AA27" s="532">
        <f>IF(U27&gt;=70%,1000,0)</f>
        <v>1000</v>
      </c>
      <c r="AB27" s="48">
        <f t="shared" si="6"/>
        <v>3000</v>
      </c>
      <c r="AC27" s="59"/>
    </row>
    <row r="28" spans="1:29" s="481" customFormat="1">
      <c r="A28" s="505">
        <v>11</v>
      </c>
      <c r="B28" s="12" t="s">
        <v>1249</v>
      </c>
      <c r="C28" s="506" t="s">
        <v>1256</v>
      </c>
      <c r="D28" s="507">
        <v>190</v>
      </c>
      <c r="E28" s="507"/>
      <c r="F28" s="507"/>
      <c r="G28" s="507">
        <v>22</v>
      </c>
      <c r="H28" s="508">
        <v>5</v>
      </c>
      <c r="I28" s="496">
        <v>0.7</v>
      </c>
      <c r="J28" s="53">
        <v>200.916</v>
      </c>
      <c r="K28" s="53"/>
      <c r="L28" s="54"/>
      <c r="M28" s="55">
        <v>25</v>
      </c>
      <c r="N28" s="59">
        <v>5</v>
      </c>
      <c r="O28" s="57">
        <v>1.0574526315789474</v>
      </c>
      <c r="P28" s="50">
        <f t="shared" si="0"/>
        <v>1.0574526315789474</v>
      </c>
      <c r="Q28" s="50"/>
      <c r="R28" s="58"/>
      <c r="S28" s="50">
        <f t="shared" si="7"/>
        <v>1.1363636363636365</v>
      </c>
      <c r="T28" s="58">
        <f>IFERROR(N28/H28,0)</f>
        <v>1</v>
      </c>
      <c r="U28" s="50">
        <f t="shared" si="8"/>
        <v>1.5106466165413535</v>
      </c>
      <c r="V28" s="532">
        <f>IF(P28&gt;120%,4000,IF(P28&gt;=100%,3000,IF(P28&gt;=80%,1000,"")))</f>
        <v>3000</v>
      </c>
      <c r="W28" s="532"/>
      <c r="X28" s="532">
        <f t="shared" ref="X28" si="9">IF(R28&gt;100%,2000,IF(R28&gt;=80%,1000,0))</f>
        <v>0</v>
      </c>
      <c r="Y28" s="532">
        <f t="shared" ref="Y28" si="10">IF(S28&gt;80%,1000,0)</f>
        <v>1000</v>
      </c>
      <c r="Z28" s="522">
        <f t="shared" ref="Z28" si="11">IF(T28&gt;=100%,1000,0)</f>
        <v>1000</v>
      </c>
      <c r="AA28" s="532">
        <f t="shared" ref="AA28" si="12">IF(U28&gt;=70%,1000,0)</f>
        <v>1000</v>
      </c>
      <c r="AB28" s="48">
        <f t="shared" si="6"/>
        <v>6000</v>
      </c>
      <c r="AC28" s="1289"/>
    </row>
    <row r="29" spans="1:29" s="481" customFormat="1">
      <c r="A29" s="505">
        <v>11</v>
      </c>
      <c r="B29" s="12" t="s">
        <v>537</v>
      </c>
      <c r="C29" s="506" t="s">
        <v>1257</v>
      </c>
      <c r="D29" s="507">
        <v>440</v>
      </c>
      <c r="E29" s="507"/>
      <c r="F29" s="507"/>
      <c r="G29" s="507">
        <v>63</v>
      </c>
      <c r="H29" s="508">
        <v>5</v>
      </c>
      <c r="I29" s="496">
        <v>0.7</v>
      </c>
      <c r="J29" s="53">
        <v>425.42449999999997</v>
      </c>
      <c r="K29" s="53"/>
      <c r="L29" s="54"/>
      <c r="M29" s="55">
        <v>69</v>
      </c>
      <c r="N29" s="59">
        <v>5</v>
      </c>
      <c r="O29" s="57">
        <v>0.96643457519309384</v>
      </c>
      <c r="P29" s="50">
        <f t="shared" si="0"/>
        <v>0.96687386363636352</v>
      </c>
      <c r="Q29" s="50"/>
      <c r="R29" s="58"/>
      <c r="S29" s="50">
        <f t="shared" si="7"/>
        <v>1.0952380952380953</v>
      </c>
      <c r="T29" s="58">
        <f>IFERROR(N29/H29,0)</f>
        <v>1</v>
      </c>
      <c r="U29" s="50">
        <f t="shared" si="8"/>
        <v>1.3806208217044198</v>
      </c>
      <c r="V29" s="532">
        <f>IF(P29&gt;120%,4000,IF(P29&gt;=100%,3000,IF(P29&gt;=80%,1000,"")))</f>
        <v>1000</v>
      </c>
      <c r="W29" s="532"/>
      <c r="X29" s="532">
        <f t="shared" ref="X29" si="13">IF(R29&gt;100%,2000,IF(R29&gt;=80%,1000,0))</f>
        <v>0</v>
      </c>
      <c r="Y29" s="532">
        <f t="shared" ref="Y29" si="14">IF(S29&gt;80%,1000,0)</f>
        <v>1000</v>
      </c>
      <c r="Z29" s="522">
        <f t="shared" ref="Z29" si="15">IF(T29&gt;=100%,1000,0)</f>
        <v>1000</v>
      </c>
      <c r="AA29" s="532">
        <f t="shared" ref="AA29" si="16">IF(U29&gt;=70%,1000,0)</f>
        <v>1000</v>
      </c>
      <c r="AB29" s="48">
        <f t="shared" si="6"/>
        <v>4000</v>
      </c>
      <c r="AC29" s="1289"/>
    </row>
    <row r="30" spans="1:29" s="480" customFormat="1" ht="14.25" customHeight="1">
      <c r="A30" s="497">
        <v>12</v>
      </c>
      <c r="B30" s="498" t="s">
        <v>539</v>
      </c>
      <c r="C30" s="499" t="s">
        <v>540</v>
      </c>
      <c r="D30" s="509">
        <f>SUM(D31:D34)</f>
        <v>485</v>
      </c>
      <c r="E30" s="509"/>
      <c r="F30" s="509">
        <f>SUM(F31:F34)</f>
        <v>0</v>
      </c>
      <c r="G30" s="509">
        <f>SUM(G31:G34)</f>
        <v>130</v>
      </c>
      <c r="H30" s="509">
        <f>SUM(H31:H34)</f>
        <v>20</v>
      </c>
      <c r="I30" s="496">
        <v>0.7</v>
      </c>
      <c r="J30" s="529">
        <f>SUM(J31:J34)</f>
        <v>462.47299999999996</v>
      </c>
      <c r="K30" s="529"/>
      <c r="L30" s="529">
        <f t="shared" ref="L30" si="17">SUM(L31:L35)</f>
        <v>0</v>
      </c>
      <c r="M30" s="529">
        <f>SUM(M31:M34)</f>
        <v>135</v>
      </c>
      <c r="N30" s="529">
        <f>SUM(N31:N34)</f>
        <v>22</v>
      </c>
      <c r="O30" s="527">
        <v>1.32</v>
      </c>
      <c r="P30" s="525">
        <f t="shared" si="0"/>
        <v>0.95355257731958754</v>
      </c>
      <c r="Q30" s="525"/>
      <c r="R30" s="527"/>
      <c r="S30" s="524">
        <f t="shared" si="7"/>
        <v>1.0384615384615385</v>
      </c>
      <c r="T30" s="527">
        <f>N30/H30</f>
        <v>1.1000000000000001</v>
      </c>
      <c r="U30" s="524">
        <f t="shared" si="8"/>
        <v>1.8857142857142859</v>
      </c>
      <c r="V30" s="1447">
        <f>IF(P30&gt;120%,6000,IF(P30&gt;=100%,4000,IF(P30&gt;=80%,2000,"")))</f>
        <v>2000</v>
      </c>
      <c r="W30" s="1447"/>
      <c r="X30" s="533">
        <f>IF(R30&gt;100%,2000,IF(R30&gt;=80%,1000,0))</f>
        <v>0</v>
      </c>
      <c r="Y30" s="533">
        <f t="shared" ref="Y30:Y37" si="18">IF(S30&gt;80%,1000,0)</f>
        <v>1000</v>
      </c>
      <c r="Z30" s="522">
        <f>IF(T30&gt;=100%,1000,0)</f>
        <v>1000</v>
      </c>
      <c r="AA30" s="532">
        <f>IF(U30&gt;=70%,1000,0)</f>
        <v>1000</v>
      </c>
      <c r="AB30" s="534">
        <f t="shared" si="6"/>
        <v>5000</v>
      </c>
      <c r="AC30" s="539"/>
    </row>
    <row r="31" spans="1:29" s="481" customFormat="1">
      <c r="A31" s="505">
        <v>13</v>
      </c>
      <c r="B31" s="12" t="s">
        <v>545</v>
      </c>
      <c r="C31" s="506" t="s">
        <v>546</v>
      </c>
      <c r="D31" s="510">
        <v>120</v>
      </c>
      <c r="E31" s="510"/>
      <c r="F31" s="510"/>
      <c r="G31" s="510">
        <v>41</v>
      </c>
      <c r="H31" s="508">
        <v>5</v>
      </c>
      <c r="I31" s="496">
        <v>0.7</v>
      </c>
      <c r="J31" s="62">
        <v>108.41</v>
      </c>
      <c r="K31" s="62"/>
      <c r="L31" s="63"/>
      <c r="M31" s="55">
        <v>45</v>
      </c>
      <c r="N31" s="55">
        <v>6</v>
      </c>
      <c r="O31" s="57">
        <v>0.90719665271966521</v>
      </c>
      <c r="P31" s="50">
        <f t="shared" si="0"/>
        <v>0.90341666666666665</v>
      </c>
      <c r="Q31" s="50"/>
      <c r="R31" s="58"/>
      <c r="S31" s="50">
        <f t="shared" si="7"/>
        <v>1.0975609756097562</v>
      </c>
      <c r="T31" s="58">
        <f>N31/H31</f>
        <v>1.2</v>
      </c>
      <c r="U31" s="50">
        <f t="shared" si="8"/>
        <v>1.2959952181709504</v>
      </c>
      <c r="V31" s="532">
        <f>IF(P31&gt;120%,4000,IF(P31&gt;=100%,3000,IF(P31&gt;=80%,1000,"")))</f>
        <v>1000</v>
      </c>
      <c r="W31" s="532"/>
      <c r="X31" s="532">
        <f>IF(R31&gt;100%,2000,IF(R31&gt;=80%,1000,0))</f>
        <v>0</v>
      </c>
      <c r="Y31" s="532">
        <f t="shared" si="18"/>
        <v>1000</v>
      </c>
      <c r="Z31" s="522">
        <f>IF(T31&gt;=100%,1000,0)</f>
        <v>1000</v>
      </c>
      <c r="AA31" s="532">
        <f>IF(U31&gt;=70%,1000,0)</f>
        <v>1000</v>
      </c>
      <c r="AB31" s="48">
        <f t="shared" si="6"/>
        <v>4000</v>
      </c>
      <c r="AC31" s="59"/>
    </row>
    <row r="32" spans="1:29" s="481" customFormat="1">
      <c r="A32" s="505">
        <v>14</v>
      </c>
      <c r="B32" s="12" t="s">
        <v>547</v>
      </c>
      <c r="C32" s="506" t="s">
        <v>787</v>
      </c>
      <c r="D32" s="510">
        <v>110</v>
      </c>
      <c r="E32" s="510"/>
      <c r="F32" s="510"/>
      <c r="G32" s="510">
        <v>22</v>
      </c>
      <c r="H32" s="508">
        <v>5</v>
      </c>
      <c r="I32" s="496">
        <v>0.7</v>
      </c>
      <c r="J32" s="62">
        <v>103.114</v>
      </c>
      <c r="K32" s="62"/>
      <c r="L32" s="63"/>
      <c r="M32" s="55">
        <v>18</v>
      </c>
      <c r="N32" s="55">
        <v>5</v>
      </c>
      <c r="O32" s="57">
        <v>0.93740000000000001</v>
      </c>
      <c r="P32" s="50">
        <f t="shared" si="0"/>
        <v>0.93740000000000001</v>
      </c>
      <c r="Q32" s="50"/>
      <c r="R32" s="58"/>
      <c r="S32" s="50">
        <f t="shared" si="7"/>
        <v>0.81818181818181823</v>
      </c>
      <c r="T32" s="58">
        <f>N32/H32</f>
        <v>1</v>
      </c>
      <c r="U32" s="50">
        <f t="shared" si="8"/>
        <v>1.3391428571428572</v>
      </c>
      <c r="V32" s="532">
        <f>IF(P32&gt;120%,4000,IF(P32&gt;=100%,3000,IF(P32&gt;=80%,1000,"")))</f>
        <v>1000</v>
      </c>
      <c r="W32" s="532"/>
      <c r="X32" s="532">
        <f>IF(R32&gt;100%,2000,IF(R32&gt;=80%,1000,0))</f>
        <v>0</v>
      </c>
      <c r="Y32" s="532">
        <f t="shared" si="18"/>
        <v>1000</v>
      </c>
      <c r="Z32" s="522">
        <f>IF(T32&gt;=100%,1000,0)</f>
        <v>1000</v>
      </c>
      <c r="AA32" s="532">
        <f>IF(U32&gt;=70%,1000,0)</f>
        <v>1000</v>
      </c>
      <c r="AB32" s="48">
        <f t="shared" si="6"/>
        <v>4000</v>
      </c>
      <c r="AC32" s="59"/>
    </row>
    <row r="33" spans="1:29" s="481" customFormat="1">
      <c r="A33" s="505">
        <v>15</v>
      </c>
      <c r="B33" s="12" t="s">
        <v>541</v>
      </c>
      <c r="C33" s="506" t="s">
        <v>542</v>
      </c>
      <c r="D33" s="510">
        <v>135</v>
      </c>
      <c r="E33" s="510"/>
      <c r="F33" s="510"/>
      <c r="G33" s="510">
        <v>40</v>
      </c>
      <c r="H33" s="508">
        <v>5</v>
      </c>
      <c r="I33" s="496">
        <v>0.7</v>
      </c>
      <c r="J33" s="62">
        <v>120.68899999999999</v>
      </c>
      <c r="K33" s="62"/>
      <c r="L33" s="63"/>
      <c r="M33" s="55">
        <v>42</v>
      </c>
      <c r="N33" s="55">
        <v>6</v>
      </c>
      <c r="O33" s="57">
        <v>0.89267011834319532</v>
      </c>
      <c r="P33" s="50">
        <f t="shared" si="0"/>
        <v>0.89399259259259256</v>
      </c>
      <c r="Q33" s="50"/>
      <c r="R33" s="58"/>
      <c r="S33" s="50">
        <f t="shared" si="7"/>
        <v>1.05</v>
      </c>
      <c r="T33" s="58">
        <f>N33/H33</f>
        <v>1.2</v>
      </c>
      <c r="U33" s="50">
        <f t="shared" si="8"/>
        <v>1.2752430262045649</v>
      </c>
      <c r="V33" s="532">
        <f>IF(P33&gt;120%,4000,IF(P33&gt;=100%,3000,IF(P33&gt;=80%,1000,"")))</f>
        <v>1000</v>
      </c>
      <c r="W33" s="532"/>
      <c r="X33" s="532">
        <f>IF(R33&gt;100%,2000,IF(R33&gt;=80%,1000,0))</f>
        <v>0</v>
      </c>
      <c r="Y33" s="532">
        <f t="shared" si="18"/>
        <v>1000</v>
      </c>
      <c r="Z33" s="522">
        <f>IF(T33&gt;=100%,1000,0)</f>
        <v>1000</v>
      </c>
      <c r="AA33" s="532">
        <f>IF(U33&gt;=70%,1000,0)</f>
        <v>1000</v>
      </c>
      <c r="AB33" s="48">
        <f t="shared" si="6"/>
        <v>4000</v>
      </c>
      <c r="AC33" s="59"/>
    </row>
    <row r="34" spans="1:29" s="481" customFormat="1">
      <c r="A34" s="505">
        <v>16</v>
      </c>
      <c r="B34" s="17" t="s">
        <v>543</v>
      </c>
      <c r="C34" s="506" t="s">
        <v>544</v>
      </c>
      <c r="D34" s="510">
        <v>120</v>
      </c>
      <c r="E34" s="510"/>
      <c r="F34" s="510"/>
      <c r="G34" s="510">
        <v>27</v>
      </c>
      <c r="H34" s="508">
        <v>5</v>
      </c>
      <c r="I34" s="496">
        <v>0.7</v>
      </c>
      <c r="J34" s="62">
        <v>130.26</v>
      </c>
      <c r="K34" s="62"/>
      <c r="L34" s="63"/>
      <c r="M34" s="55">
        <v>30</v>
      </c>
      <c r="N34" s="64">
        <v>5</v>
      </c>
      <c r="O34" s="57">
        <v>1.0854999999999999</v>
      </c>
      <c r="P34" s="50">
        <f t="shared" si="0"/>
        <v>1.0854999999999999</v>
      </c>
      <c r="Q34" s="50"/>
      <c r="R34" s="58"/>
      <c r="S34" s="50">
        <f t="shared" si="7"/>
        <v>1.1111111111111112</v>
      </c>
      <c r="T34" s="58">
        <f>N34/H34</f>
        <v>1</v>
      </c>
      <c r="U34" s="50">
        <f t="shared" si="8"/>
        <v>1.5507142857142857</v>
      </c>
      <c r="V34" s="532">
        <f>IF(P34&gt;120%,4000,IF(P34&gt;=100%,3000,IF(P34&gt;=80%,1000,"")))</f>
        <v>3000</v>
      </c>
      <c r="W34" s="532"/>
      <c r="X34" s="532">
        <f>IF(R34&gt;100%,2000,IF(R34&gt;=80%,1000,0))</f>
        <v>0</v>
      </c>
      <c r="Y34" s="532">
        <f t="shared" si="18"/>
        <v>1000</v>
      </c>
      <c r="Z34" s="522">
        <f>IF(T34&gt;=100%,1000,0)</f>
        <v>1000</v>
      </c>
      <c r="AA34" s="532">
        <f>IF(U34&gt;=70%,1000,0)</f>
        <v>1000</v>
      </c>
      <c r="AB34" s="48">
        <f t="shared" si="6"/>
        <v>6000</v>
      </c>
      <c r="AC34" s="59"/>
    </row>
    <row r="35" spans="1:29" s="1443" customFormat="1">
      <c r="A35" s="1434">
        <v>17</v>
      </c>
      <c r="B35" s="1435" t="s">
        <v>524</v>
      </c>
      <c r="C35" s="1436" t="s">
        <v>1296</v>
      </c>
      <c r="D35" s="1437">
        <v>50</v>
      </c>
      <c r="E35" s="1437">
        <v>180</v>
      </c>
      <c r="F35" s="1437">
        <v>0</v>
      </c>
      <c r="G35" s="1437">
        <v>0</v>
      </c>
      <c r="H35" s="1437">
        <v>0</v>
      </c>
      <c r="I35" s="1437">
        <v>0</v>
      </c>
      <c r="J35" s="1438">
        <v>57.98</v>
      </c>
      <c r="K35" s="1438">
        <v>183.73</v>
      </c>
      <c r="L35" s="1439"/>
      <c r="M35" s="1439">
        <v>0</v>
      </c>
      <c r="N35" s="1439">
        <v>0</v>
      </c>
      <c r="O35" s="1439">
        <v>0</v>
      </c>
      <c r="P35" s="1440">
        <f t="shared" si="0"/>
        <v>1.1596</v>
      </c>
      <c r="Q35" s="1440">
        <f>K35/E35</f>
        <v>1.0207222222222221</v>
      </c>
      <c r="R35" s="1439">
        <v>0</v>
      </c>
      <c r="S35" s="1439">
        <v>0</v>
      </c>
      <c r="T35" s="1439">
        <v>0</v>
      </c>
      <c r="U35" s="1439">
        <v>0</v>
      </c>
      <c r="V35" s="1441">
        <f>IF(P35&gt;=100%,4000,IF(P35&gt;=80%,3000,""))</f>
        <v>4000</v>
      </c>
      <c r="W35" s="1450">
        <f>IF(P35&gt;=120%,5000,IF(P35&gt;=100%,4000,IF(P35&gt;=80%,2000,"")))</f>
        <v>4000</v>
      </c>
      <c r="X35" s="1441">
        <v>0</v>
      </c>
      <c r="Y35" s="532">
        <f t="shared" si="18"/>
        <v>0</v>
      </c>
      <c r="Z35" s="522">
        <f t="shared" ref="Z35" si="19">IF(T35&gt;=100%,1000,0)</f>
        <v>0</v>
      </c>
      <c r="AA35" s="532">
        <f t="shared" ref="AA35:AA36" si="20">IF(U35&gt;=70%,1000,0)</f>
        <v>0</v>
      </c>
      <c r="AB35" s="534">
        <f t="shared" si="6"/>
        <v>8000</v>
      </c>
      <c r="AC35" s="1442"/>
    </row>
    <row r="36" spans="1:29" s="1432" customFormat="1">
      <c r="A36" s="1428">
        <v>18</v>
      </c>
      <c r="B36" s="932" t="s">
        <v>549</v>
      </c>
      <c r="C36" s="512" t="s">
        <v>550</v>
      </c>
      <c r="D36" s="1429">
        <v>3935</v>
      </c>
      <c r="E36" s="1429"/>
      <c r="F36" s="1429">
        <v>3800</v>
      </c>
      <c r="G36" s="1429">
        <v>520</v>
      </c>
      <c r="H36" s="1429">
        <v>50</v>
      </c>
      <c r="I36" s="514">
        <v>0.7</v>
      </c>
      <c r="J36" s="1448">
        <v>4368.3674999999994</v>
      </c>
      <c r="K36" s="1448"/>
      <c r="L36" s="1430">
        <v>4048.0252949999999</v>
      </c>
      <c r="M36" s="1430">
        <v>565</v>
      </c>
      <c r="N36" s="1430">
        <v>67</v>
      </c>
      <c r="O36" s="531">
        <v>1.1101315120711561</v>
      </c>
      <c r="P36" s="531">
        <f t="shared" ref="P36:P37" si="21">J36/D36</f>
        <v>1.1101315120711561</v>
      </c>
      <c r="Q36" s="540"/>
      <c r="R36" s="531">
        <f>L36/F36</f>
        <v>1.0652698144736843</v>
      </c>
      <c r="S36" s="531">
        <f t="shared" ref="S36:S37" si="22">M36/G36</f>
        <v>1.0865384615384615</v>
      </c>
      <c r="T36" s="58">
        <f t="shared" ref="T36:T37" si="23">N36/H36</f>
        <v>1.34</v>
      </c>
      <c r="U36" s="50">
        <f t="shared" ref="U36:U37" si="24">O36/I36</f>
        <v>1.5859021601016516</v>
      </c>
      <c r="V36" s="533">
        <f>IF(P36&gt;120%,4000,IF(P36&gt;=100%,3000,IF(P36&gt;=80%,1000,"")))</f>
        <v>3000</v>
      </c>
      <c r="W36" s="533"/>
      <c r="X36" s="532">
        <f>IF(R36&gt;100%,2000,IF(R36&gt;=80%,1000,0))</f>
        <v>2000</v>
      </c>
      <c r="Y36" s="532">
        <f t="shared" si="18"/>
        <v>1000</v>
      </c>
      <c r="Z36" s="533">
        <f t="shared" ref="Z36" si="25">IF(T36&gt;=100%,500,0)</f>
        <v>500</v>
      </c>
      <c r="AA36" s="533">
        <f t="shared" si="20"/>
        <v>1000</v>
      </c>
      <c r="AB36" s="534">
        <f t="shared" si="6"/>
        <v>7500</v>
      </c>
      <c r="AC36" s="1431"/>
    </row>
    <row r="37" spans="1:29" s="482" customFormat="1" ht="12.75">
      <c r="A37" s="505">
        <v>19</v>
      </c>
      <c r="B37" s="511" t="s">
        <v>504</v>
      </c>
      <c r="C37" s="512" t="s">
        <v>76</v>
      </c>
      <c r="D37" s="513">
        <v>3965</v>
      </c>
      <c r="E37" s="513"/>
      <c r="F37" s="513">
        <v>3800</v>
      </c>
      <c r="G37" s="513">
        <v>520</v>
      </c>
      <c r="H37" s="513">
        <v>50</v>
      </c>
      <c r="I37" s="514">
        <v>0.7</v>
      </c>
      <c r="J37" s="1449">
        <v>4860.6774999999998</v>
      </c>
      <c r="K37" s="1449"/>
      <c r="L37" s="540">
        <v>4048.0252949999999</v>
      </c>
      <c r="M37" s="1449">
        <v>565</v>
      </c>
      <c r="N37" s="1449">
        <v>70</v>
      </c>
      <c r="O37" s="531">
        <v>1.2263908512892971</v>
      </c>
      <c r="P37" s="531">
        <f t="shared" si="21"/>
        <v>1.2258959646910466</v>
      </c>
      <c r="Q37" s="540"/>
      <c r="R37" s="531">
        <f>L37/F37</f>
        <v>1.0652698144736843</v>
      </c>
      <c r="S37" s="531">
        <f t="shared" si="22"/>
        <v>1.0865384615384615</v>
      </c>
      <c r="T37" s="58">
        <f t="shared" si="23"/>
        <v>1.4</v>
      </c>
      <c r="U37" s="50">
        <f t="shared" si="24"/>
        <v>1.7519869304132818</v>
      </c>
      <c r="V37" s="533">
        <f>IF(P37&gt;120%,4000,IF(P37&gt;=100%,3000,IF(P37&gt;=80%,1000,"")))</f>
        <v>4000</v>
      </c>
      <c r="W37" s="533"/>
      <c r="X37" s="532">
        <f>IF(R37&gt;100%,2000,IF(R37&gt;=80%,1000,0))</f>
        <v>2000</v>
      </c>
      <c r="Y37" s="532">
        <f t="shared" si="18"/>
        <v>1000</v>
      </c>
      <c r="Z37" s="533">
        <f t="shared" ref="Z37:Z40" si="26">IF(T37&gt;=100%,500,0)</f>
        <v>500</v>
      </c>
      <c r="AA37" s="533">
        <f>IF(U37&gt;=70%,1000,0)</f>
        <v>1000</v>
      </c>
      <c r="AB37" s="534">
        <f t="shared" si="6"/>
        <v>8500</v>
      </c>
      <c r="AC37" s="540"/>
    </row>
    <row r="38" spans="1:29" s="480" customFormat="1" ht="14.25" customHeight="1">
      <c r="A38" s="497">
        <v>18</v>
      </c>
      <c r="B38" s="498" t="s">
        <v>509</v>
      </c>
      <c r="C38" s="499" t="s">
        <v>788</v>
      </c>
      <c r="D38" s="509">
        <f t="shared" ref="D38:O38" si="27">SUM(D39:D40)</f>
        <v>23500</v>
      </c>
      <c r="E38" s="509"/>
      <c r="F38" s="509">
        <f t="shared" si="27"/>
        <v>3500</v>
      </c>
      <c r="G38" s="509">
        <f t="shared" si="27"/>
        <v>0</v>
      </c>
      <c r="H38" s="509">
        <f t="shared" si="27"/>
        <v>5</v>
      </c>
      <c r="I38" s="509">
        <f t="shared" si="27"/>
        <v>0</v>
      </c>
      <c r="J38" s="529">
        <f t="shared" si="27"/>
        <v>23900</v>
      </c>
      <c r="K38" s="529"/>
      <c r="L38" s="529">
        <f t="shared" si="27"/>
        <v>8559</v>
      </c>
      <c r="M38" s="529">
        <f t="shared" si="27"/>
        <v>0</v>
      </c>
      <c r="N38" s="529">
        <f t="shared" si="27"/>
        <v>5</v>
      </c>
      <c r="O38" s="529">
        <f t="shared" si="27"/>
        <v>0</v>
      </c>
      <c r="P38" s="1453">
        <f>J38/D38</f>
        <v>1.0170212765957447</v>
      </c>
      <c r="Q38" s="525"/>
      <c r="R38" s="1453">
        <f>L38/F38</f>
        <v>2.4454285714285713</v>
      </c>
      <c r="S38" s="527"/>
      <c r="T38" s="1453">
        <f>N38/H38</f>
        <v>1</v>
      </c>
      <c r="U38" s="527"/>
      <c r="V38" s="533">
        <f>IF(P38&gt;100%,6000,IF(P38&gt;=90%,4000,IF(P38&gt;=80%,2000,"")))</f>
        <v>6000</v>
      </c>
      <c r="W38" s="533"/>
      <c r="X38" s="533">
        <f>IF(R38&gt;100%,3000,IF(R38&gt;=80%,1000,""))</f>
        <v>3000</v>
      </c>
      <c r="Y38" s="535"/>
      <c r="Z38" s="533">
        <f>IF(T38&gt;=100%,1000,0)</f>
        <v>1000</v>
      </c>
      <c r="AA38" s="535"/>
      <c r="AB38" s="534">
        <f t="shared" si="6"/>
        <v>10000</v>
      </c>
      <c r="AC38" s="539"/>
    </row>
    <row r="39" spans="1:29" s="483" customFormat="1" ht="12" customHeight="1">
      <c r="A39" s="515">
        <v>19</v>
      </c>
      <c r="B39" s="106" t="s">
        <v>512</v>
      </c>
      <c r="C39" s="516" t="s">
        <v>513</v>
      </c>
      <c r="D39" s="517">
        <v>12000</v>
      </c>
      <c r="E39" s="517"/>
      <c r="F39" s="517">
        <v>1800</v>
      </c>
      <c r="G39" s="517"/>
      <c r="H39" s="518">
        <v>2</v>
      </c>
      <c r="I39" s="517"/>
      <c r="J39" s="65">
        <v>12300</v>
      </c>
      <c r="K39" s="65"/>
      <c r="L39" s="66">
        <v>4559</v>
      </c>
      <c r="M39" s="65"/>
      <c r="N39" s="66">
        <v>2</v>
      </c>
      <c r="O39" s="65"/>
      <c r="P39" s="1451">
        <f>J39/D39</f>
        <v>1.0249999999999999</v>
      </c>
      <c r="Q39" s="1452"/>
      <c r="R39" s="1451">
        <f>L39/F39</f>
        <v>2.5327777777777776</v>
      </c>
      <c r="S39" s="67"/>
      <c r="T39" s="1451">
        <f>N39/H39</f>
        <v>1</v>
      </c>
      <c r="U39" s="67"/>
      <c r="V39" s="532">
        <f>IF(P39&gt;=100%,4000,IF(P39&gt;=90%,3000,IF(P39&gt;=80%,1000,"")))</f>
        <v>4000</v>
      </c>
      <c r="W39" s="532"/>
      <c r="X39" s="532">
        <f>IF(R39&gt;=100%,1500,IF(R39&gt;=80%,1000,""))</f>
        <v>1500</v>
      </c>
      <c r="Y39" s="65"/>
      <c r="Z39" s="532">
        <f t="shared" si="26"/>
        <v>500</v>
      </c>
      <c r="AA39" s="65"/>
      <c r="AB39" s="534">
        <f t="shared" si="6"/>
        <v>6000</v>
      </c>
      <c r="AC39" s="541"/>
    </row>
    <row r="40" spans="1:29" s="483" customFormat="1" ht="12" customHeight="1">
      <c r="A40" s="515">
        <v>20</v>
      </c>
      <c r="B40" s="106" t="s">
        <v>515</v>
      </c>
      <c r="C40" s="516" t="s">
        <v>516</v>
      </c>
      <c r="D40" s="517">
        <v>11500</v>
      </c>
      <c r="E40" s="517"/>
      <c r="F40" s="517">
        <v>1700</v>
      </c>
      <c r="G40" s="517"/>
      <c r="H40" s="518">
        <v>3</v>
      </c>
      <c r="I40" s="517"/>
      <c r="J40" s="65">
        <v>11600</v>
      </c>
      <c r="K40" s="65"/>
      <c r="L40" s="66">
        <v>4000</v>
      </c>
      <c r="M40" s="65"/>
      <c r="N40" s="66">
        <v>3</v>
      </c>
      <c r="O40" s="65"/>
      <c r="P40" s="1451">
        <f>J40/D40</f>
        <v>1.008695652173913</v>
      </c>
      <c r="Q40" s="1452"/>
      <c r="R40" s="1451">
        <f t="shared" ref="R40" si="28">L40/F40</f>
        <v>2.3529411764705883</v>
      </c>
      <c r="S40" s="67"/>
      <c r="T40" s="1451">
        <f t="shared" ref="T40" si="29">N40/H40</f>
        <v>1</v>
      </c>
      <c r="U40" s="67"/>
      <c r="V40" s="532">
        <f>IF(P40&gt;=100%,4000,IF(P40&gt;=90%,3000,IF(P40&gt;=80%,1000,"")))</f>
        <v>4000</v>
      </c>
      <c r="W40" s="532"/>
      <c r="X40" s="532">
        <f>IF(R40&gt;=100%,1500,IF(R40&gt;=80%,1000,""))</f>
        <v>1500</v>
      </c>
      <c r="Y40" s="65"/>
      <c r="Z40" s="532">
        <f t="shared" si="26"/>
        <v>500</v>
      </c>
      <c r="AA40" s="65"/>
      <c r="AB40" s="534">
        <f t="shared" si="6"/>
        <v>6000</v>
      </c>
      <c r="AC40" s="541"/>
    </row>
    <row r="41" spans="1:29" s="1545" customFormat="1" ht="12" customHeight="1">
      <c r="A41" s="1535">
        <v>21</v>
      </c>
      <c r="B41" s="661" t="s">
        <v>1299</v>
      </c>
      <c r="C41" s="1536" t="s">
        <v>1300</v>
      </c>
      <c r="D41" s="1537"/>
      <c r="E41" s="1537"/>
      <c r="F41" s="1537"/>
      <c r="G41" s="1537"/>
      <c r="H41" s="1538"/>
      <c r="I41" s="1537"/>
      <c r="J41" s="1539"/>
      <c r="K41" s="1539"/>
      <c r="L41" s="1540"/>
      <c r="M41" s="1539"/>
      <c r="N41" s="1540"/>
      <c r="O41" s="1539"/>
      <c r="P41" s="1541"/>
      <c r="Q41" s="1542"/>
      <c r="R41" s="1541"/>
      <c r="S41" s="1543"/>
      <c r="T41" s="1541"/>
      <c r="U41" s="1543"/>
      <c r="V41" s="1539"/>
      <c r="W41" s="1539"/>
      <c r="X41" s="1539"/>
      <c r="Y41" s="1539"/>
      <c r="Z41" s="1539"/>
      <c r="AA41" s="1539"/>
      <c r="AB41" s="1544"/>
      <c r="AC41" s="1546">
        <v>2000</v>
      </c>
    </row>
    <row r="42" spans="1:29" s="481" customFormat="1">
      <c r="A42" s="519"/>
      <c r="B42" s="520"/>
      <c r="C42" s="521"/>
      <c r="D42" s="46"/>
      <c r="E42" s="46"/>
      <c r="F42" s="46"/>
      <c r="G42" s="47"/>
      <c r="H42" s="46"/>
      <c r="I42" s="46"/>
      <c r="J42" s="47"/>
      <c r="K42" s="46"/>
      <c r="L42" s="46"/>
      <c r="M42" s="46"/>
      <c r="N42" s="68"/>
      <c r="O42" s="68"/>
      <c r="P42" s="68"/>
      <c r="Q42" s="68"/>
      <c r="R42" s="68"/>
      <c r="S42" s="46"/>
      <c r="T42" s="46"/>
      <c r="U42" s="46"/>
      <c r="V42" s="46"/>
      <c r="W42" s="46"/>
      <c r="X42" s="46"/>
      <c r="Y42" s="80"/>
      <c r="AB42" s="1454">
        <f>SUM(AB20:AB40)</f>
        <v>114000</v>
      </c>
      <c r="AC42" s="1454">
        <f>SUM(AC20:AC40)</f>
        <v>0</v>
      </c>
    </row>
    <row r="43" spans="1:29" s="484" customFormat="1">
      <c r="A43" s="484">
        <v>1</v>
      </c>
      <c r="B43" s="484">
        <v>2</v>
      </c>
      <c r="C43" s="484">
        <v>3</v>
      </c>
      <c r="D43" s="484">
        <v>4</v>
      </c>
      <c r="E43" s="484">
        <v>5</v>
      </c>
      <c r="F43" s="484">
        <v>6</v>
      </c>
      <c r="G43" s="484">
        <v>7</v>
      </c>
      <c r="H43" s="484">
        <v>8</v>
      </c>
      <c r="I43" s="484">
        <v>9</v>
      </c>
      <c r="J43" s="484">
        <v>10</v>
      </c>
      <c r="K43" s="484">
        <v>11</v>
      </c>
      <c r="L43" s="484">
        <v>12</v>
      </c>
      <c r="M43" s="484">
        <v>13</v>
      </c>
      <c r="N43" s="484">
        <v>14</v>
      </c>
      <c r="O43" s="484">
        <v>15</v>
      </c>
      <c r="P43" s="484">
        <v>16</v>
      </c>
      <c r="Q43" s="484">
        <v>17</v>
      </c>
      <c r="R43" s="484">
        <v>18</v>
      </c>
      <c r="S43" s="484">
        <v>19</v>
      </c>
      <c r="T43" s="484">
        <v>20</v>
      </c>
      <c r="U43" s="484">
        <v>21</v>
      </c>
      <c r="V43" s="484">
        <v>22</v>
      </c>
      <c r="W43" s="484">
        <v>23</v>
      </c>
      <c r="X43" s="484">
        <v>24</v>
      </c>
      <c r="Y43" s="542">
        <v>25</v>
      </c>
    </row>
    <row r="46" spans="1:29">
      <c r="Y46" s="6"/>
    </row>
    <row r="47" spans="1:29">
      <c r="Y47" s="6"/>
    </row>
  </sheetData>
  <mergeCells count="38">
    <mergeCell ref="D17:I17"/>
    <mergeCell ref="G18:G19"/>
    <mergeCell ref="H18:H19"/>
    <mergeCell ref="I18:I19"/>
    <mergeCell ref="J18:J19"/>
    <mergeCell ref="K18:K19"/>
    <mergeCell ref="Q18:Q19"/>
    <mergeCell ref="W18:W19"/>
    <mergeCell ref="V17:AB17"/>
    <mergeCell ref="P17:U17"/>
    <mergeCell ref="J17:O17"/>
    <mergeCell ref="L18:L19"/>
    <mergeCell ref="M18:M19"/>
    <mergeCell ref="N18:N19"/>
    <mergeCell ref="O18:O19"/>
    <mergeCell ref="P18:P19"/>
    <mergeCell ref="R18:R19"/>
    <mergeCell ref="S18:S19"/>
    <mergeCell ref="T18:T19"/>
    <mergeCell ref="AA18:AA19"/>
    <mergeCell ref="AB18:AB19"/>
    <mergeCell ref="A1:X1"/>
    <mergeCell ref="G3:I3"/>
    <mergeCell ref="J3:K3"/>
    <mergeCell ref="E11:G11"/>
    <mergeCell ref="H11:I11"/>
    <mergeCell ref="A18:A19"/>
    <mergeCell ref="B18:B19"/>
    <mergeCell ref="C18:C19"/>
    <mergeCell ref="D18:D19"/>
    <mergeCell ref="F18:F19"/>
    <mergeCell ref="E18:E19"/>
    <mergeCell ref="AC18:AC19"/>
    <mergeCell ref="U18:U19"/>
    <mergeCell ref="V18:V19"/>
    <mergeCell ref="X18:X19"/>
    <mergeCell ref="Y18:Y19"/>
    <mergeCell ref="Z18:Z19"/>
  </mergeCells>
  <pageMargins left="0.69930555555555596" right="0.69930555555555596" top="0.75" bottom="0.75" header="0.3" footer="0.3"/>
  <pageSetup paperSize="9" orientation="portrait" r:id="rId1"/>
  <ignoredErrors>
    <ignoredError sqref="V30 V35"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Y38"/>
  <sheetViews>
    <sheetView workbookViewId="0">
      <pane xSplit="1" ySplit="1" topLeftCell="B2" activePane="bottomRight" state="frozen"/>
      <selection pane="topRight"/>
      <selection pane="bottomLeft"/>
      <selection pane="bottomRight" activeCell="P26" sqref="P26"/>
    </sheetView>
  </sheetViews>
  <sheetFormatPr defaultColWidth="9" defaultRowHeight="15"/>
  <cols>
    <col min="1" max="1" width="9.140625" style="424"/>
    <col min="2" max="2" width="26.7109375" style="424" customWidth="1"/>
    <col min="3" max="3" width="17.28515625" style="424" customWidth="1"/>
    <col min="4" max="4" width="21.5703125" style="424" customWidth="1"/>
    <col min="5" max="5" width="10.42578125" style="425" customWidth="1"/>
    <col min="6" max="6" width="18.42578125" style="424" customWidth="1"/>
    <col min="7" max="8" width="9.140625" style="424"/>
    <col min="9" max="9" width="9.140625" style="426"/>
    <col min="10" max="10" width="20.5703125" style="424" customWidth="1"/>
    <col min="11" max="11" width="9.140625" style="424"/>
    <col min="12" max="12" width="13.140625" style="424" customWidth="1"/>
    <col min="13" max="13" width="7.28515625" style="424" customWidth="1"/>
    <col min="14" max="14" width="30.42578125" style="424" customWidth="1"/>
    <col min="15" max="15" width="18.42578125" style="424" customWidth="1"/>
    <col min="16" max="16" width="22.28515625" style="424" customWidth="1"/>
    <col min="17" max="17" width="11.42578125" style="424" customWidth="1"/>
    <col min="18" max="18" width="14" style="424" customWidth="1"/>
    <col min="19" max="21" width="9.140625" style="424"/>
    <col min="22" max="22" width="11.5703125" style="424" customWidth="1"/>
    <col min="23" max="23" width="9.140625" style="424"/>
    <col min="24" max="24" width="14.7109375" style="424" customWidth="1"/>
    <col min="25" max="257" width="9.140625" style="424"/>
    <col min="258" max="258" width="26.7109375" style="424" customWidth="1"/>
    <col min="259" max="259" width="17.28515625" style="424" customWidth="1"/>
    <col min="260" max="260" width="21.5703125" style="424" customWidth="1"/>
    <col min="261" max="261" width="10.42578125" style="424" customWidth="1"/>
    <col min="262" max="262" width="18.42578125" style="424" customWidth="1"/>
    <col min="263" max="265" width="9.140625" style="424"/>
    <col min="266" max="266" width="20.5703125" style="424" customWidth="1"/>
    <col min="267" max="267" width="9.140625" style="424"/>
    <col min="268" max="268" width="13.140625" style="424" customWidth="1"/>
    <col min="269" max="269" width="7.28515625" style="424" customWidth="1"/>
    <col min="270" max="270" width="30.42578125" style="424" customWidth="1"/>
    <col min="271" max="271" width="18.42578125" style="424" customWidth="1"/>
    <col min="272" max="272" width="22.28515625" style="424" customWidth="1"/>
    <col min="273" max="273" width="11.42578125" style="424" customWidth="1"/>
    <col min="274" max="274" width="14" style="424" customWidth="1"/>
    <col min="275" max="279" width="9.140625" style="424"/>
    <col min="280" max="280" width="14.7109375" style="424" customWidth="1"/>
    <col min="281" max="513" width="9.140625" style="424"/>
    <col min="514" max="514" width="26.7109375" style="424" customWidth="1"/>
    <col min="515" max="515" width="17.28515625" style="424" customWidth="1"/>
    <col min="516" max="516" width="21.5703125" style="424" customWidth="1"/>
    <col min="517" max="517" width="10.42578125" style="424" customWidth="1"/>
    <col min="518" max="518" width="18.42578125" style="424" customWidth="1"/>
    <col min="519" max="521" width="9.140625" style="424"/>
    <col min="522" max="522" width="20.5703125" style="424" customWidth="1"/>
    <col min="523" max="523" width="9.140625" style="424"/>
    <col min="524" max="524" width="13.140625" style="424" customWidth="1"/>
    <col min="525" max="525" width="7.28515625" style="424" customWidth="1"/>
    <col min="526" max="526" width="30.42578125" style="424" customWidth="1"/>
    <col min="527" max="527" width="18.42578125" style="424" customWidth="1"/>
    <col min="528" max="528" width="22.28515625" style="424" customWidth="1"/>
    <col min="529" max="529" width="11.42578125" style="424" customWidth="1"/>
    <col min="530" max="530" width="14" style="424" customWidth="1"/>
    <col min="531" max="535" width="9.140625" style="424"/>
    <col min="536" max="536" width="14.7109375" style="424" customWidth="1"/>
    <col min="537" max="769" width="9.140625" style="424"/>
    <col min="770" max="770" width="26.7109375" style="424" customWidth="1"/>
    <col min="771" max="771" width="17.28515625" style="424" customWidth="1"/>
    <col min="772" max="772" width="21.5703125" style="424" customWidth="1"/>
    <col min="773" max="773" width="10.42578125" style="424" customWidth="1"/>
    <col min="774" max="774" width="18.42578125" style="424" customWidth="1"/>
    <col min="775" max="777" width="9.140625" style="424"/>
    <col min="778" max="778" width="20.5703125" style="424" customWidth="1"/>
    <col min="779" max="779" width="9.140625" style="424"/>
    <col min="780" max="780" width="13.140625" style="424" customWidth="1"/>
    <col min="781" max="781" width="7.28515625" style="424" customWidth="1"/>
    <col min="782" max="782" width="30.42578125" style="424" customWidth="1"/>
    <col min="783" max="783" width="18.42578125" style="424" customWidth="1"/>
    <col min="784" max="784" width="22.28515625" style="424" customWidth="1"/>
    <col min="785" max="785" width="11.42578125" style="424" customWidth="1"/>
    <col min="786" max="786" width="14" style="424" customWidth="1"/>
    <col min="787" max="791" width="9.140625" style="424"/>
    <col min="792" max="792" width="14.7109375" style="424" customWidth="1"/>
    <col min="793" max="1025" width="9.140625" style="424"/>
    <col min="1026" max="1026" width="26.7109375" style="424" customWidth="1"/>
    <col min="1027" max="1027" width="17.28515625" style="424" customWidth="1"/>
    <col min="1028" max="1028" width="21.5703125" style="424" customWidth="1"/>
    <col min="1029" max="1029" width="10.42578125" style="424" customWidth="1"/>
    <col min="1030" max="1030" width="18.42578125" style="424" customWidth="1"/>
    <col min="1031" max="1033" width="9.140625" style="424"/>
    <col min="1034" max="1034" width="20.5703125" style="424" customWidth="1"/>
    <col min="1035" max="1035" width="9.140625" style="424"/>
    <col min="1036" max="1036" width="13.140625" style="424" customWidth="1"/>
    <col min="1037" max="1037" width="7.28515625" style="424" customWidth="1"/>
    <col min="1038" max="1038" width="30.42578125" style="424" customWidth="1"/>
    <col min="1039" max="1039" width="18.42578125" style="424" customWidth="1"/>
    <col min="1040" max="1040" width="22.28515625" style="424" customWidth="1"/>
    <col min="1041" max="1041" width="11.42578125" style="424" customWidth="1"/>
    <col min="1042" max="1042" width="14" style="424" customWidth="1"/>
    <col min="1043" max="1047" width="9.140625" style="424"/>
    <col min="1048" max="1048" width="14.7109375" style="424" customWidth="1"/>
    <col min="1049" max="1281" width="9.140625" style="424"/>
    <col min="1282" max="1282" width="26.7109375" style="424" customWidth="1"/>
    <col min="1283" max="1283" width="17.28515625" style="424" customWidth="1"/>
    <col min="1284" max="1284" width="21.5703125" style="424" customWidth="1"/>
    <col min="1285" max="1285" width="10.42578125" style="424" customWidth="1"/>
    <col min="1286" max="1286" width="18.42578125" style="424" customWidth="1"/>
    <col min="1287" max="1289" width="9.140625" style="424"/>
    <col min="1290" max="1290" width="20.5703125" style="424" customWidth="1"/>
    <col min="1291" max="1291" width="9.140625" style="424"/>
    <col min="1292" max="1292" width="13.140625" style="424" customWidth="1"/>
    <col min="1293" max="1293" width="7.28515625" style="424" customWidth="1"/>
    <col min="1294" max="1294" width="30.42578125" style="424" customWidth="1"/>
    <col min="1295" max="1295" width="18.42578125" style="424" customWidth="1"/>
    <col min="1296" max="1296" width="22.28515625" style="424" customWidth="1"/>
    <col min="1297" max="1297" width="11.42578125" style="424" customWidth="1"/>
    <col min="1298" max="1298" width="14" style="424" customWidth="1"/>
    <col min="1299" max="1303" width="9.140625" style="424"/>
    <col min="1304" max="1304" width="14.7109375" style="424" customWidth="1"/>
    <col min="1305" max="1537" width="9.140625" style="424"/>
    <col min="1538" max="1538" width="26.7109375" style="424" customWidth="1"/>
    <col min="1539" max="1539" width="17.28515625" style="424" customWidth="1"/>
    <col min="1540" max="1540" width="21.5703125" style="424" customWidth="1"/>
    <col min="1541" max="1541" width="10.42578125" style="424" customWidth="1"/>
    <col min="1542" max="1542" width="18.42578125" style="424" customWidth="1"/>
    <col min="1543" max="1545" width="9.140625" style="424"/>
    <col min="1546" max="1546" width="20.5703125" style="424" customWidth="1"/>
    <col min="1547" max="1547" width="9.140625" style="424"/>
    <col min="1548" max="1548" width="13.140625" style="424" customWidth="1"/>
    <col min="1549" max="1549" width="7.28515625" style="424" customWidth="1"/>
    <col min="1550" max="1550" width="30.42578125" style="424" customWidth="1"/>
    <col min="1551" max="1551" width="18.42578125" style="424" customWidth="1"/>
    <col min="1552" max="1552" width="22.28515625" style="424" customWidth="1"/>
    <col min="1553" max="1553" width="11.42578125" style="424" customWidth="1"/>
    <col min="1554" max="1554" width="14" style="424" customWidth="1"/>
    <col min="1555" max="1559" width="9.140625" style="424"/>
    <col min="1560" max="1560" width="14.7109375" style="424" customWidth="1"/>
    <col min="1561" max="1793" width="9.140625" style="424"/>
    <col min="1794" max="1794" width="26.7109375" style="424" customWidth="1"/>
    <col min="1795" max="1795" width="17.28515625" style="424" customWidth="1"/>
    <col min="1796" max="1796" width="21.5703125" style="424" customWidth="1"/>
    <col min="1797" max="1797" width="10.42578125" style="424" customWidth="1"/>
    <col min="1798" max="1798" width="18.42578125" style="424" customWidth="1"/>
    <col min="1799" max="1801" width="9.140625" style="424"/>
    <col min="1802" max="1802" width="20.5703125" style="424" customWidth="1"/>
    <col min="1803" max="1803" width="9.140625" style="424"/>
    <col min="1804" max="1804" width="13.140625" style="424" customWidth="1"/>
    <col min="1805" max="1805" width="7.28515625" style="424" customWidth="1"/>
    <col min="1806" max="1806" width="30.42578125" style="424" customWidth="1"/>
    <col min="1807" max="1807" width="18.42578125" style="424" customWidth="1"/>
    <col min="1808" max="1808" width="22.28515625" style="424" customWidth="1"/>
    <col min="1809" max="1809" width="11.42578125" style="424" customWidth="1"/>
    <col min="1810" max="1810" width="14" style="424" customWidth="1"/>
    <col min="1811" max="1815" width="9.140625" style="424"/>
    <col min="1816" max="1816" width="14.7109375" style="424" customWidth="1"/>
    <col min="1817" max="2049" width="9.140625" style="424"/>
    <col min="2050" max="2050" width="26.7109375" style="424" customWidth="1"/>
    <col min="2051" max="2051" width="17.28515625" style="424" customWidth="1"/>
    <col min="2052" max="2052" width="21.5703125" style="424" customWidth="1"/>
    <col min="2053" max="2053" width="10.42578125" style="424" customWidth="1"/>
    <col min="2054" max="2054" width="18.42578125" style="424" customWidth="1"/>
    <col min="2055" max="2057" width="9.140625" style="424"/>
    <col min="2058" max="2058" width="20.5703125" style="424" customWidth="1"/>
    <col min="2059" max="2059" width="9.140625" style="424"/>
    <col min="2060" max="2060" width="13.140625" style="424" customWidth="1"/>
    <col min="2061" max="2061" width="7.28515625" style="424" customWidth="1"/>
    <col min="2062" max="2062" width="30.42578125" style="424" customWidth="1"/>
    <col min="2063" max="2063" width="18.42578125" style="424" customWidth="1"/>
    <col min="2064" max="2064" width="22.28515625" style="424" customWidth="1"/>
    <col min="2065" max="2065" width="11.42578125" style="424" customWidth="1"/>
    <col min="2066" max="2066" width="14" style="424" customWidth="1"/>
    <col min="2067" max="2071" width="9.140625" style="424"/>
    <col min="2072" max="2072" width="14.7109375" style="424" customWidth="1"/>
    <col min="2073" max="2305" width="9.140625" style="424"/>
    <col min="2306" max="2306" width="26.7109375" style="424" customWidth="1"/>
    <col min="2307" max="2307" width="17.28515625" style="424" customWidth="1"/>
    <col min="2308" max="2308" width="21.5703125" style="424" customWidth="1"/>
    <col min="2309" max="2309" width="10.42578125" style="424" customWidth="1"/>
    <col min="2310" max="2310" width="18.42578125" style="424" customWidth="1"/>
    <col min="2311" max="2313" width="9.140625" style="424"/>
    <col min="2314" max="2314" width="20.5703125" style="424" customWidth="1"/>
    <col min="2315" max="2315" width="9.140625" style="424"/>
    <col min="2316" max="2316" width="13.140625" style="424" customWidth="1"/>
    <col min="2317" max="2317" width="7.28515625" style="424" customWidth="1"/>
    <col min="2318" max="2318" width="30.42578125" style="424" customWidth="1"/>
    <col min="2319" max="2319" width="18.42578125" style="424" customWidth="1"/>
    <col min="2320" max="2320" width="22.28515625" style="424" customWidth="1"/>
    <col min="2321" max="2321" width="11.42578125" style="424" customWidth="1"/>
    <col min="2322" max="2322" width="14" style="424" customWidth="1"/>
    <col min="2323" max="2327" width="9.140625" style="424"/>
    <col min="2328" max="2328" width="14.7109375" style="424" customWidth="1"/>
    <col min="2329" max="2561" width="9.140625" style="424"/>
    <col min="2562" max="2562" width="26.7109375" style="424" customWidth="1"/>
    <col min="2563" max="2563" width="17.28515625" style="424" customWidth="1"/>
    <col min="2564" max="2564" width="21.5703125" style="424" customWidth="1"/>
    <col min="2565" max="2565" width="10.42578125" style="424" customWidth="1"/>
    <col min="2566" max="2566" width="18.42578125" style="424" customWidth="1"/>
    <col min="2567" max="2569" width="9.140625" style="424"/>
    <col min="2570" max="2570" width="20.5703125" style="424" customWidth="1"/>
    <col min="2571" max="2571" width="9.140625" style="424"/>
    <col min="2572" max="2572" width="13.140625" style="424" customWidth="1"/>
    <col min="2573" max="2573" width="7.28515625" style="424" customWidth="1"/>
    <col min="2574" max="2574" width="30.42578125" style="424" customWidth="1"/>
    <col min="2575" max="2575" width="18.42578125" style="424" customWidth="1"/>
    <col min="2576" max="2576" width="22.28515625" style="424" customWidth="1"/>
    <col min="2577" max="2577" width="11.42578125" style="424" customWidth="1"/>
    <col min="2578" max="2578" width="14" style="424" customWidth="1"/>
    <col min="2579" max="2583" width="9.140625" style="424"/>
    <col min="2584" max="2584" width="14.7109375" style="424" customWidth="1"/>
    <col min="2585" max="2817" width="9.140625" style="424"/>
    <col min="2818" max="2818" width="26.7109375" style="424" customWidth="1"/>
    <col min="2819" max="2819" width="17.28515625" style="424" customWidth="1"/>
    <col min="2820" max="2820" width="21.5703125" style="424" customWidth="1"/>
    <col min="2821" max="2821" width="10.42578125" style="424" customWidth="1"/>
    <col min="2822" max="2822" width="18.42578125" style="424" customWidth="1"/>
    <col min="2823" max="2825" width="9.140625" style="424"/>
    <col min="2826" max="2826" width="20.5703125" style="424" customWidth="1"/>
    <col min="2827" max="2827" width="9.140625" style="424"/>
    <col min="2828" max="2828" width="13.140625" style="424" customWidth="1"/>
    <col min="2829" max="2829" width="7.28515625" style="424" customWidth="1"/>
    <col min="2830" max="2830" width="30.42578125" style="424" customWidth="1"/>
    <col min="2831" max="2831" width="18.42578125" style="424" customWidth="1"/>
    <col min="2832" max="2832" width="22.28515625" style="424" customWidth="1"/>
    <col min="2833" max="2833" width="11.42578125" style="424" customWidth="1"/>
    <col min="2834" max="2834" width="14" style="424" customWidth="1"/>
    <col min="2835" max="2839" width="9.140625" style="424"/>
    <col min="2840" max="2840" width="14.7109375" style="424" customWidth="1"/>
    <col min="2841" max="3073" width="9.140625" style="424"/>
    <col min="3074" max="3074" width="26.7109375" style="424" customWidth="1"/>
    <col min="3075" max="3075" width="17.28515625" style="424" customWidth="1"/>
    <col min="3076" max="3076" width="21.5703125" style="424" customWidth="1"/>
    <col min="3077" max="3077" width="10.42578125" style="424" customWidth="1"/>
    <col min="3078" max="3078" width="18.42578125" style="424" customWidth="1"/>
    <col min="3079" max="3081" width="9.140625" style="424"/>
    <col min="3082" max="3082" width="20.5703125" style="424" customWidth="1"/>
    <col min="3083" max="3083" width="9.140625" style="424"/>
    <col min="3084" max="3084" width="13.140625" style="424" customWidth="1"/>
    <col min="3085" max="3085" width="7.28515625" style="424" customWidth="1"/>
    <col min="3086" max="3086" width="30.42578125" style="424" customWidth="1"/>
    <col min="3087" max="3087" width="18.42578125" style="424" customWidth="1"/>
    <col min="3088" max="3088" width="22.28515625" style="424" customWidth="1"/>
    <col min="3089" max="3089" width="11.42578125" style="424" customWidth="1"/>
    <col min="3090" max="3090" width="14" style="424" customWidth="1"/>
    <col min="3091" max="3095" width="9.140625" style="424"/>
    <col min="3096" max="3096" width="14.7109375" style="424" customWidth="1"/>
    <col min="3097" max="3329" width="9.140625" style="424"/>
    <col min="3330" max="3330" width="26.7109375" style="424" customWidth="1"/>
    <col min="3331" max="3331" width="17.28515625" style="424" customWidth="1"/>
    <col min="3332" max="3332" width="21.5703125" style="424" customWidth="1"/>
    <col min="3333" max="3333" width="10.42578125" style="424" customWidth="1"/>
    <col min="3334" max="3334" width="18.42578125" style="424" customWidth="1"/>
    <col min="3335" max="3337" width="9.140625" style="424"/>
    <col min="3338" max="3338" width="20.5703125" style="424" customWidth="1"/>
    <col min="3339" max="3339" width="9.140625" style="424"/>
    <col min="3340" max="3340" width="13.140625" style="424" customWidth="1"/>
    <col min="3341" max="3341" width="7.28515625" style="424" customWidth="1"/>
    <col min="3342" max="3342" width="30.42578125" style="424" customWidth="1"/>
    <col min="3343" max="3343" width="18.42578125" style="424" customWidth="1"/>
    <col min="3344" max="3344" width="22.28515625" style="424" customWidth="1"/>
    <col min="3345" max="3345" width="11.42578125" style="424" customWidth="1"/>
    <col min="3346" max="3346" width="14" style="424" customWidth="1"/>
    <col min="3347" max="3351" width="9.140625" style="424"/>
    <col min="3352" max="3352" width="14.7109375" style="424" customWidth="1"/>
    <col min="3353" max="3585" width="9.140625" style="424"/>
    <col min="3586" max="3586" width="26.7109375" style="424" customWidth="1"/>
    <col min="3587" max="3587" width="17.28515625" style="424" customWidth="1"/>
    <col min="3588" max="3588" width="21.5703125" style="424" customWidth="1"/>
    <col min="3589" max="3589" width="10.42578125" style="424" customWidth="1"/>
    <col min="3590" max="3590" width="18.42578125" style="424" customWidth="1"/>
    <col min="3591" max="3593" width="9.140625" style="424"/>
    <col min="3594" max="3594" width="20.5703125" style="424" customWidth="1"/>
    <col min="3595" max="3595" width="9.140625" style="424"/>
    <col min="3596" max="3596" width="13.140625" style="424" customWidth="1"/>
    <col min="3597" max="3597" width="7.28515625" style="424" customWidth="1"/>
    <col min="3598" max="3598" width="30.42578125" style="424" customWidth="1"/>
    <col min="3599" max="3599" width="18.42578125" style="424" customWidth="1"/>
    <col min="3600" max="3600" width="22.28515625" style="424" customWidth="1"/>
    <col min="3601" max="3601" width="11.42578125" style="424" customWidth="1"/>
    <col min="3602" max="3602" width="14" style="424" customWidth="1"/>
    <col min="3603" max="3607" width="9.140625" style="424"/>
    <col min="3608" max="3608" width="14.7109375" style="424" customWidth="1"/>
    <col min="3609" max="3841" width="9.140625" style="424"/>
    <col min="3842" max="3842" width="26.7109375" style="424" customWidth="1"/>
    <col min="3843" max="3843" width="17.28515625" style="424" customWidth="1"/>
    <col min="3844" max="3844" width="21.5703125" style="424" customWidth="1"/>
    <col min="3845" max="3845" width="10.42578125" style="424" customWidth="1"/>
    <col min="3846" max="3846" width="18.42578125" style="424" customWidth="1"/>
    <col min="3847" max="3849" width="9.140625" style="424"/>
    <col min="3850" max="3850" width="20.5703125" style="424" customWidth="1"/>
    <col min="3851" max="3851" width="9.140625" style="424"/>
    <col min="3852" max="3852" width="13.140625" style="424" customWidth="1"/>
    <col min="3853" max="3853" width="7.28515625" style="424" customWidth="1"/>
    <col min="3854" max="3854" width="30.42578125" style="424" customWidth="1"/>
    <col min="3855" max="3855" width="18.42578125" style="424" customWidth="1"/>
    <col min="3856" max="3856" width="22.28515625" style="424" customWidth="1"/>
    <col min="3857" max="3857" width="11.42578125" style="424" customWidth="1"/>
    <col min="3858" max="3858" width="14" style="424" customWidth="1"/>
    <col min="3859" max="3863" width="9.140625" style="424"/>
    <col min="3864" max="3864" width="14.7109375" style="424" customWidth="1"/>
    <col min="3865" max="4097" width="9.140625" style="424"/>
    <col min="4098" max="4098" width="26.7109375" style="424" customWidth="1"/>
    <col min="4099" max="4099" width="17.28515625" style="424" customWidth="1"/>
    <col min="4100" max="4100" width="21.5703125" style="424" customWidth="1"/>
    <col min="4101" max="4101" width="10.42578125" style="424" customWidth="1"/>
    <col min="4102" max="4102" width="18.42578125" style="424" customWidth="1"/>
    <col min="4103" max="4105" width="9.140625" style="424"/>
    <col min="4106" max="4106" width="20.5703125" style="424" customWidth="1"/>
    <col min="4107" max="4107" width="9.140625" style="424"/>
    <col min="4108" max="4108" width="13.140625" style="424" customWidth="1"/>
    <col min="4109" max="4109" width="7.28515625" style="424" customWidth="1"/>
    <col min="4110" max="4110" width="30.42578125" style="424" customWidth="1"/>
    <col min="4111" max="4111" width="18.42578125" style="424" customWidth="1"/>
    <col min="4112" max="4112" width="22.28515625" style="424" customWidth="1"/>
    <col min="4113" max="4113" width="11.42578125" style="424" customWidth="1"/>
    <col min="4114" max="4114" width="14" style="424" customWidth="1"/>
    <col min="4115" max="4119" width="9.140625" style="424"/>
    <col min="4120" max="4120" width="14.7109375" style="424" customWidth="1"/>
    <col min="4121" max="4353" width="9.140625" style="424"/>
    <col min="4354" max="4354" width="26.7109375" style="424" customWidth="1"/>
    <col min="4355" max="4355" width="17.28515625" style="424" customWidth="1"/>
    <col min="4356" max="4356" width="21.5703125" style="424" customWidth="1"/>
    <col min="4357" max="4357" width="10.42578125" style="424" customWidth="1"/>
    <col min="4358" max="4358" width="18.42578125" style="424" customWidth="1"/>
    <col min="4359" max="4361" width="9.140625" style="424"/>
    <col min="4362" max="4362" width="20.5703125" style="424" customWidth="1"/>
    <col min="4363" max="4363" width="9.140625" style="424"/>
    <col min="4364" max="4364" width="13.140625" style="424" customWidth="1"/>
    <col min="4365" max="4365" width="7.28515625" style="424" customWidth="1"/>
    <col min="4366" max="4366" width="30.42578125" style="424" customWidth="1"/>
    <col min="4367" max="4367" width="18.42578125" style="424" customWidth="1"/>
    <col min="4368" max="4368" width="22.28515625" style="424" customWidth="1"/>
    <col min="4369" max="4369" width="11.42578125" style="424" customWidth="1"/>
    <col min="4370" max="4370" width="14" style="424" customWidth="1"/>
    <col min="4371" max="4375" width="9.140625" style="424"/>
    <col min="4376" max="4376" width="14.7109375" style="424" customWidth="1"/>
    <col min="4377" max="4609" width="9.140625" style="424"/>
    <col min="4610" max="4610" width="26.7109375" style="424" customWidth="1"/>
    <col min="4611" max="4611" width="17.28515625" style="424" customWidth="1"/>
    <col min="4612" max="4612" width="21.5703125" style="424" customWidth="1"/>
    <col min="4613" max="4613" width="10.42578125" style="424" customWidth="1"/>
    <col min="4614" max="4614" width="18.42578125" style="424" customWidth="1"/>
    <col min="4615" max="4617" width="9.140625" style="424"/>
    <col min="4618" max="4618" width="20.5703125" style="424" customWidth="1"/>
    <col min="4619" max="4619" width="9.140625" style="424"/>
    <col min="4620" max="4620" width="13.140625" style="424" customWidth="1"/>
    <col min="4621" max="4621" width="7.28515625" style="424" customWidth="1"/>
    <col min="4622" max="4622" width="30.42578125" style="424" customWidth="1"/>
    <col min="4623" max="4623" width="18.42578125" style="424" customWidth="1"/>
    <col min="4624" max="4624" width="22.28515625" style="424" customWidth="1"/>
    <col min="4625" max="4625" width="11.42578125" style="424" customWidth="1"/>
    <col min="4626" max="4626" width="14" style="424" customWidth="1"/>
    <col min="4627" max="4631" width="9.140625" style="424"/>
    <col min="4632" max="4632" width="14.7109375" style="424" customWidth="1"/>
    <col min="4633" max="4865" width="9.140625" style="424"/>
    <col min="4866" max="4866" width="26.7109375" style="424" customWidth="1"/>
    <col min="4867" max="4867" width="17.28515625" style="424" customWidth="1"/>
    <col min="4868" max="4868" width="21.5703125" style="424" customWidth="1"/>
    <col min="4869" max="4869" width="10.42578125" style="424" customWidth="1"/>
    <col min="4870" max="4870" width="18.42578125" style="424" customWidth="1"/>
    <col min="4871" max="4873" width="9.140625" style="424"/>
    <col min="4874" max="4874" width="20.5703125" style="424" customWidth="1"/>
    <col min="4875" max="4875" width="9.140625" style="424"/>
    <col min="4876" max="4876" width="13.140625" style="424" customWidth="1"/>
    <col min="4877" max="4877" width="7.28515625" style="424" customWidth="1"/>
    <col min="4878" max="4878" width="30.42578125" style="424" customWidth="1"/>
    <col min="4879" max="4879" width="18.42578125" style="424" customWidth="1"/>
    <col min="4880" max="4880" width="22.28515625" style="424" customWidth="1"/>
    <col min="4881" max="4881" width="11.42578125" style="424" customWidth="1"/>
    <col min="4882" max="4882" width="14" style="424" customWidth="1"/>
    <col min="4883" max="4887" width="9.140625" style="424"/>
    <col min="4888" max="4888" width="14.7109375" style="424" customWidth="1"/>
    <col min="4889" max="5121" width="9.140625" style="424"/>
    <col min="5122" max="5122" width="26.7109375" style="424" customWidth="1"/>
    <col min="5123" max="5123" width="17.28515625" style="424" customWidth="1"/>
    <col min="5124" max="5124" width="21.5703125" style="424" customWidth="1"/>
    <col min="5125" max="5125" width="10.42578125" style="424" customWidth="1"/>
    <col min="5126" max="5126" width="18.42578125" style="424" customWidth="1"/>
    <col min="5127" max="5129" width="9.140625" style="424"/>
    <col min="5130" max="5130" width="20.5703125" style="424" customWidth="1"/>
    <col min="5131" max="5131" width="9.140625" style="424"/>
    <col min="5132" max="5132" width="13.140625" style="424" customWidth="1"/>
    <col min="5133" max="5133" width="7.28515625" style="424" customWidth="1"/>
    <col min="5134" max="5134" width="30.42578125" style="424" customWidth="1"/>
    <col min="5135" max="5135" width="18.42578125" style="424" customWidth="1"/>
    <col min="5136" max="5136" width="22.28515625" style="424" customWidth="1"/>
    <col min="5137" max="5137" width="11.42578125" style="424" customWidth="1"/>
    <col min="5138" max="5138" width="14" style="424" customWidth="1"/>
    <col min="5139" max="5143" width="9.140625" style="424"/>
    <col min="5144" max="5144" width="14.7109375" style="424" customWidth="1"/>
    <col min="5145" max="5377" width="9.140625" style="424"/>
    <col min="5378" max="5378" width="26.7109375" style="424" customWidth="1"/>
    <col min="5379" max="5379" width="17.28515625" style="424" customWidth="1"/>
    <col min="5380" max="5380" width="21.5703125" style="424" customWidth="1"/>
    <col min="5381" max="5381" width="10.42578125" style="424" customWidth="1"/>
    <col min="5382" max="5382" width="18.42578125" style="424" customWidth="1"/>
    <col min="5383" max="5385" width="9.140625" style="424"/>
    <col min="5386" max="5386" width="20.5703125" style="424" customWidth="1"/>
    <col min="5387" max="5387" width="9.140625" style="424"/>
    <col min="5388" max="5388" width="13.140625" style="424" customWidth="1"/>
    <col min="5389" max="5389" width="7.28515625" style="424" customWidth="1"/>
    <col min="5390" max="5390" width="30.42578125" style="424" customWidth="1"/>
    <col min="5391" max="5391" width="18.42578125" style="424" customWidth="1"/>
    <col min="5392" max="5392" width="22.28515625" style="424" customWidth="1"/>
    <col min="5393" max="5393" width="11.42578125" style="424" customWidth="1"/>
    <col min="5394" max="5394" width="14" style="424" customWidth="1"/>
    <col min="5395" max="5399" width="9.140625" style="424"/>
    <col min="5400" max="5400" width="14.7109375" style="424" customWidth="1"/>
    <col min="5401" max="5633" width="9.140625" style="424"/>
    <col min="5634" max="5634" width="26.7109375" style="424" customWidth="1"/>
    <col min="5635" max="5635" width="17.28515625" style="424" customWidth="1"/>
    <col min="5636" max="5636" width="21.5703125" style="424" customWidth="1"/>
    <col min="5637" max="5637" width="10.42578125" style="424" customWidth="1"/>
    <col min="5638" max="5638" width="18.42578125" style="424" customWidth="1"/>
    <col min="5639" max="5641" width="9.140625" style="424"/>
    <col min="5642" max="5642" width="20.5703125" style="424" customWidth="1"/>
    <col min="5643" max="5643" width="9.140625" style="424"/>
    <col min="5644" max="5644" width="13.140625" style="424" customWidth="1"/>
    <col min="5645" max="5645" width="7.28515625" style="424" customWidth="1"/>
    <col min="5646" max="5646" width="30.42578125" style="424" customWidth="1"/>
    <col min="5647" max="5647" width="18.42578125" style="424" customWidth="1"/>
    <col min="5648" max="5648" width="22.28515625" style="424" customWidth="1"/>
    <col min="5649" max="5649" width="11.42578125" style="424" customWidth="1"/>
    <col min="5650" max="5650" width="14" style="424" customWidth="1"/>
    <col min="5651" max="5655" width="9.140625" style="424"/>
    <col min="5656" max="5656" width="14.7109375" style="424" customWidth="1"/>
    <col min="5657" max="5889" width="9.140625" style="424"/>
    <col min="5890" max="5890" width="26.7109375" style="424" customWidth="1"/>
    <col min="5891" max="5891" width="17.28515625" style="424" customWidth="1"/>
    <col min="5892" max="5892" width="21.5703125" style="424" customWidth="1"/>
    <col min="5893" max="5893" width="10.42578125" style="424" customWidth="1"/>
    <col min="5894" max="5894" width="18.42578125" style="424" customWidth="1"/>
    <col min="5895" max="5897" width="9.140625" style="424"/>
    <col min="5898" max="5898" width="20.5703125" style="424" customWidth="1"/>
    <col min="5899" max="5899" width="9.140625" style="424"/>
    <col min="5900" max="5900" width="13.140625" style="424" customWidth="1"/>
    <col min="5901" max="5901" width="7.28515625" style="424" customWidth="1"/>
    <col min="5902" max="5902" width="30.42578125" style="424" customWidth="1"/>
    <col min="5903" max="5903" width="18.42578125" style="424" customWidth="1"/>
    <col min="5904" max="5904" width="22.28515625" style="424" customWidth="1"/>
    <col min="5905" max="5905" width="11.42578125" style="424" customWidth="1"/>
    <col min="5906" max="5906" width="14" style="424" customWidth="1"/>
    <col min="5907" max="5911" width="9.140625" style="424"/>
    <col min="5912" max="5912" width="14.7109375" style="424" customWidth="1"/>
    <col min="5913" max="6145" width="9.140625" style="424"/>
    <col min="6146" max="6146" width="26.7109375" style="424" customWidth="1"/>
    <col min="6147" max="6147" width="17.28515625" style="424" customWidth="1"/>
    <col min="6148" max="6148" width="21.5703125" style="424" customWidth="1"/>
    <col min="6149" max="6149" width="10.42578125" style="424" customWidth="1"/>
    <col min="6150" max="6150" width="18.42578125" style="424" customWidth="1"/>
    <col min="6151" max="6153" width="9.140625" style="424"/>
    <col min="6154" max="6154" width="20.5703125" style="424" customWidth="1"/>
    <col min="6155" max="6155" width="9.140625" style="424"/>
    <col min="6156" max="6156" width="13.140625" style="424" customWidth="1"/>
    <col min="6157" max="6157" width="7.28515625" style="424" customWidth="1"/>
    <col min="6158" max="6158" width="30.42578125" style="424" customWidth="1"/>
    <col min="6159" max="6159" width="18.42578125" style="424" customWidth="1"/>
    <col min="6160" max="6160" width="22.28515625" style="424" customWidth="1"/>
    <col min="6161" max="6161" width="11.42578125" style="424" customWidth="1"/>
    <col min="6162" max="6162" width="14" style="424" customWidth="1"/>
    <col min="6163" max="6167" width="9.140625" style="424"/>
    <col min="6168" max="6168" width="14.7109375" style="424" customWidth="1"/>
    <col min="6169" max="6401" width="9.140625" style="424"/>
    <col min="6402" max="6402" width="26.7109375" style="424" customWidth="1"/>
    <col min="6403" max="6403" width="17.28515625" style="424" customWidth="1"/>
    <col min="6404" max="6404" width="21.5703125" style="424" customWidth="1"/>
    <col min="6405" max="6405" width="10.42578125" style="424" customWidth="1"/>
    <col min="6406" max="6406" width="18.42578125" style="424" customWidth="1"/>
    <col min="6407" max="6409" width="9.140625" style="424"/>
    <col min="6410" max="6410" width="20.5703125" style="424" customWidth="1"/>
    <col min="6411" max="6411" width="9.140625" style="424"/>
    <col min="6412" max="6412" width="13.140625" style="424" customWidth="1"/>
    <col min="6413" max="6413" width="7.28515625" style="424" customWidth="1"/>
    <col min="6414" max="6414" width="30.42578125" style="424" customWidth="1"/>
    <col min="6415" max="6415" width="18.42578125" style="424" customWidth="1"/>
    <col min="6416" max="6416" width="22.28515625" style="424" customWidth="1"/>
    <col min="6417" max="6417" width="11.42578125" style="424" customWidth="1"/>
    <col min="6418" max="6418" width="14" style="424" customWidth="1"/>
    <col min="6419" max="6423" width="9.140625" style="424"/>
    <col min="6424" max="6424" width="14.7109375" style="424" customWidth="1"/>
    <col min="6425" max="6657" width="9.140625" style="424"/>
    <col min="6658" max="6658" width="26.7109375" style="424" customWidth="1"/>
    <col min="6659" max="6659" width="17.28515625" style="424" customWidth="1"/>
    <col min="6660" max="6660" width="21.5703125" style="424" customWidth="1"/>
    <col min="6661" max="6661" width="10.42578125" style="424" customWidth="1"/>
    <col min="6662" max="6662" width="18.42578125" style="424" customWidth="1"/>
    <col min="6663" max="6665" width="9.140625" style="424"/>
    <col min="6666" max="6666" width="20.5703125" style="424" customWidth="1"/>
    <col min="6667" max="6667" width="9.140625" style="424"/>
    <col min="6668" max="6668" width="13.140625" style="424" customWidth="1"/>
    <col min="6669" max="6669" width="7.28515625" style="424" customWidth="1"/>
    <col min="6670" max="6670" width="30.42578125" style="424" customWidth="1"/>
    <col min="6671" max="6671" width="18.42578125" style="424" customWidth="1"/>
    <col min="6672" max="6672" width="22.28515625" style="424" customWidth="1"/>
    <col min="6673" max="6673" width="11.42578125" style="424" customWidth="1"/>
    <col min="6674" max="6674" width="14" style="424" customWidth="1"/>
    <col min="6675" max="6679" width="9.140625" style="424"/>
    <col min="6680" max="6680" width="14.7109375" style="424" customWidth="1"/>
    <col min="6681" max="6913" width="9.140625" style="424"/>
    <col min="6914" max="6914" width="26.7109375" style="424" customWidth="1"/>
    <col min="6915" max="6915" width="17.28515625" style="424" customWidth="1"/>
    <col min="6916" max="6916" width="21.5703125" style="424" customWidth="1"/>
    <col min="6917" max="6917" width="10.42578125" style="424" customWidth="1"/>
    <col min="6918" max="6918" width="18.42578125" style="424" customWidth="1"/>
    <col min="6919" max="6921" width="9.140625" style="424"/>
    <col min="6922" max="6922" width="20.5703125" style="424" customWidth="1"/>
    <col min="6923" max="6923" width="9.140625" style="424"/>
    <col min="6924" max="6924" width="13.140625" style="424" customWidth="1"/>
    <col min="6925" max="6925" width="7.28515625" style="424" customWidth="1"/>
    <col min="6926" max="6926" width="30.42578125" style="424" customWidth="1"/>
    <col min="6927" max="6927" width="18.42578125" style="424" customWidth="1"/>
    <col min="6928" max="6928" width="22.28515625" style="424" customWidth="1"/>
    <col min="6929" max="6929" width="11.42578125" style="424" customWidth="1"/>
    <col min="6930" max="6930" width="14" style="424" customWidth="1"/>
    <col min="6931" max="6935" width="9.140625" style="424"/>
    <col min="6936" max="6936" width="14.7109375" style="424" customWidth="1"/>
    <col min="6937" max="7169" width="9.140625" style="424"/>
    <col min="7170" max="7170" width="26.7109375" style="424" customWidth="1"/>
    <col min="7171" max="7171" width="17.28515625" style="424" customWidth="1"/>
    <col min="7172" max="7172" width="21.5703125" style="424" customWidth="1"/>
    <col min="7173" max="7173" width="10.42578125" style="424" customWidth="1"/>
    <col min="7174" max="7174" width="18.42578125" style="424" customWidth="1"/>
    <col min="7175" max="7177" width="9.140625" style="424"/>
    <col min="7178" max="7178" width="20.5703125" style="424" customWidth="1"/>
    <col min="7179" max="7179" width="9.140625" style="424"/>
    <col min="7180" max="7180" width="13.140625" style="424" customWidth="1"/>
    <col min="7181" max="7181" width="7.28515625" style="424" customWidth="1"/>
    <col min="7182" max="7182" width="30.42578125" style="424" customWidth="1"/>
    <col min="7183" max="7183" width="18.42578125" style="424" customWidth="1"/>
    <col min="7184" max="7184" width="22.28515625" style="424" customWidth="1"/>
    <col min="7185" max="7185" width="11.42578125" style="424" customWidth="1"/>
    <col min="7186" max="7186" width="14" style="424" customWidth="1"/>
    <col min="7187" max="7191" width="9.140625" style="424"/>
    <col min="7192" max="7192" width="14.7109375" style="424" customWidth="1"/>
    <col min="7193" max="7425" width="9.140625" style="424"/>
    <col min="7426" max="7426" width="26.7109375" style="424" customWidth="1"/>
    <col min="7427" max="7427" width="17.28515625" style="424" customWidth="1"/>
    <col min="7428" max="7428" width="21.5703125" style="424" customWidth="1"/>
    <col min="7429" max="7429" width="10.42578125" style="424" customWidth="1"/>
    <col min="7430" max="7430" width="18.42578125" style="424" customWidth="1"/>
    <col min="7431" max="7433" width="9.140625" style="424"/>
    <col min="7434" max="7434" width="20.5703125" style="424" customWidth="1"/>
    <col min="7435" max="7435" width="9.140625" style="424"/>
    <col min="7436" max="7436" width="13.140625" style="424" customWidth="1"/>
    <col min="7437" max="7437" width="7.28515625" style="424" customWidth="1"/>
    <col min="7438" max="7438" width="30.42578125" style="424" customWidth="1"/>
    <col min="7439" max="7439" width="18.42578125" style="424" customWidth="1"/>
    <col min="7440" max="7440" width="22.28515625" style="424" customWidth="1"/>
    <col min="7441" max="7441" width="11.42578125" style="424" customWidth="1"/>
    <col min="7442" max="7442" width="14" style="424" customWidth="1"/>
    <col min="7443" max="7447" width="9.140625" style="424"/>
    <col min="7448" max="7448" width="14.7109375" style="424" customWidth="1"/>
    <col min="7449" max="7681" width="9.140625" style="424"/>
    <col min="7682" max="7682" width="26.7109375" style="424" customWidth="1"/>
    <col min="7683" max="7683" width="17.28515625" style="424" customWidth="1"/>
    <col min="7684" max="7684" width="21.5703125" style="424" customWidth="1"/>
    <col min="7685" max="7685" width="10.42578125" style="424" customWidth="1"/>
    <col min="7686" max="7686" width="18.42578125" style="424" customWidth="1"/>
    <col min="7687" max="7689" width="9.140625" style="424"/>
    <col min="7690" max="7690" width="20.5703125" style="424" customWidth="1"/>
    <col min="7691" max="7691" width="9.140625" style="424"/>
    <col min="7692" max="7692" width="13.140625" style="424" customWidth="1"/>
    <col min="7693" max="7693" width="7.28515625" style="424" customWidth="1"/>
    <col min="7694" max="7694" width="30.42578125" style="424" customWidth="1"/>
    <col min="7695" max="7695" width="18.42578125" style="424" customWidth="1"/>
    <col min="7696" max="7696" width="22.28515625" style="424" customWidth="1"/>
    <col min="7697" max="7697" width="11.42578125" style="424" customWidth="1"/>
    <col min="7698" max="7698" width="14" style="424" customWidth="1"/>
    <col min="7699" max="7703" width="9.140625" style="424"/>
    <col min="7704" max="7704" width="14.7109375" style="424" customWidth="1"/>
    <col min="7705" max="7937" width="9.140625" style="424"/>
    <col min="7938" max="7938" width="26.7109375" style="424" customWidth="1"/>
    <col min="7939" max="7939" width="17.28515625" style="424" customWidth="1"/>
    <col min="7940" max="7940" width="21.5703125" style="424" customWidth="1"/>
    <col min="7941" max="7941" width="10.42578125" style="424" customWidth="1"/>
    <col min="7942" max="7942" width="18.42578125" style="424" customWidth="1"/>
    <col min="7943" max="7945" width="9.140625" style="424"/>
    <col min="7946" max="7946" width="20.5703125" style="424" customWidth="1"/>
    <col min="7947" max="7947" width="9.140625" style="424"/>
    <col min="7948" max="7948" width="13.140625" style="424" customWidth="1"/>
    <col min="7949" max="7949" width="7.28515625" style="424" customWidth="1"/>
    <col min="7950" max="7950" width="30.42578125" style="424" customWidth="1"/>
    <col min="7951" max="7951" width="18.42578125" style="424" customWidth="1"/>
    <col min="7952" max="7952" width="22.28515625" style="424" customWidth="1"/>
    <col min="7953" max="7953" width="11.42578125" style="424" customWidth="1"/>
    <col min="7954" max="7954" width="14" style="424" customWidth="1"/>
    <col min="7955" max="7959" width="9.140625" style="424"/>
    <col min="7960" max="7960" width="14.7109375" style="424" customWidth="1"/>
    <col min="7961" max="8193" width="9.140625" style="424"/>
    <col min="8194" max="8194" width="26.7109375" style="424" customWidth="1"/>
    <col min="8195" max="8195" width="17.28515625" style="424" customWidth="1"/>
    <col min="8196" max="8196" width="21.5703125" style="424" customWidth="1"/>
    <col min="8197" max="8197" width="10.42578125" style="424" customWidth="1"/>
    <col min="8198" max="8198" width="18.42578125" style="424" customWidth="1"/>
    <col min="8199" max="8201" width="9.140625" style="424"/>
    <col min="8202" max="8202" width="20.5703125" style="424" customWidth="1"/>
    <col min="8203" max="8203" width="9.140625" style="424"/>
    <col min="8204" max="8204" width="13.140625" style="424" customWidth="1"/>
    <col min="8205" max="8205" width="7.28515625" style="424" customWidth="1"/>
    <col min="8206" max="8206" width="30.42578125" style="424" customWidth="1"/>
    <col min="8207" max="8207" width="18.42578125" style="424" customWidth="1"/>
    <col min="8208" max="8208" width="22.28515625" style="424" customWidth="1"/>
    <col min="8209" max="8209" width="11.42578125" style="424" customWidth="1"/>
    <col min="8210" max="8210" width="14" style="424" customWidth="1"/>
    <col min="8211" max="8215" width="9.140625" style="424"/>
    <col min="8216" max="8216" width="14.7109375" style="424" customWidth="1"/>
    <col min="8217" max="8449" width="9.140625" style="424"/>
    <col min="8450" max="8450" width="26.7109375" style="424" customWidth="1"/>
    <col min="8451" max="8451" width="17.28515625" style="424" customWidth="1"/>
    <col min="8452" max="8452" width="21.5703125" style="424" customWidth="1"/>
    <col min="8453" max="8453" width="10.42578125" style="424" customWidth="1"/>
    <col min="8454" max="8454" width="18.42578125" style="424" customWidth="1"/>
    <col min="8455" max="8457" width="9.140625" style="424"/>
    <col min="8458" max="8458" width="20.5703125" style="424" customWidth="1"/>
    <col min="8459" max="8459" width="9.140625" style="424"/>
    <col min="8460" max="8460" width="13.140625" style="424" customWidth="1"/>
    <col min="8461" max="8461" width="7.28515625" style="424" customWidth="1"/>
    <col min="8462" max="8462" width="30.42578125" style="424" customWidth="1"/>
    <col min="8463" max="8463" width="18.42578125" style="424" customWidth="1"/>
    <col min="8464" max="8464" width="22.28515625" style="424" customWidth="1"/>
    <col min="8465" max="8465" width="11.42578125" style="424" customWidth="1"/>
    <col min="8466" max="8466" width="14" style="424" customWidth="1"/>
    <col min="8467" max="8471" width="9.140625" style="424"/>
    <col min="8472" max="8472" width="14.7109375" style="424" customWidth="1"/>
    <col min="8473" max="8705" width="9.140625" style="424"/>
    <col min="8706" max="8706" width="26.7109375" style="424" customWidth="1"/>
    <col min="8707" max="8707" width="17.28515625" style="424" customWidth="1"/>
    <col min="8708" max="8708" width="21.5703125" style="424" customWidth="1"/>
    <col min="8709" max="8709" width="10.42578125" style="424" customWidth="1"/>
    <col min="8710" max="8710" width="18.42578125" style="424" customWidth="1"/>
    <col min="8711" max="8713" width="9.140625" style="424"/>
    <col min="8714" max="8714" width="20.5703125" style="424" customWidth="1"/>
    <col min="8715" max="8715" width="9.140625" style="424"/>
    <col min="8716" max="8716" width="13.140625" style="424" customWidth="1"/>
    <col min="8717" max="8717" width="7.28515625" style="424" customWidth="1"/>
    <col min="8718" max="8718" width="30.42578125" style="424" customWidth="1"/>
    <col min="8719" max="8719" width="18.42578125" style="424" customWidth="1"/>
    <col min="8720" max="8720" width="22.28515625" style="424" customWidth="1"/>
    <col min="8721" max="8721" width="11.42578125" style="424" customWidth="1"/>
    <col min="8722" max="8722" width="14" style="424" customWidth="1"/>
    <col min="8723" max="8727" width="9.140625" style="424"/>
    <col min="8728" max="8728" width="14.7109375" style="424" customWidth="1"/>
    <col min="8729" max="8961" width="9.140625" style="424"/>
    <col min="8962" max="8962" width="26.7109375" style="424" customWidth="1"/>
    <col min="8963" max="8963" width="17.28515625" style="424" customWidth="1"/>
    <col min="8964" max="8964" width="21.5703125" style="424" customWidth="1"/>
    <col min="8965" max="8965" width="10.42578125" style="424" customWidth="1"/>
    <col min="8966" max="8966" width="18.42578125" style="424" customWidth="1"/>
    <col min="8967" max="8969" width="9.140625" style="424"/>
    <col min="8970" max="8970" width="20.5703125" style="424" customWidth="1"/>
    <col min="8971" max="8971" width="9.140625" style="424"/>
    <col min="8972" max="8972" width="13.140625" style="424" customWidth="1"/>
    <col min="8973" max="8973" width="7.28515625" style="424" customWidth="1"/>
    <col min="8974" max="8974" width="30.42578125" style="424" customWidth="1"/>
    <col min="8975" max="8975" width="18.42578125" style="424" customWidth="1"/>
    <col min="8976" max="8976" width="22.28515625" style="424" customWidth="1"/>
    <col min="8977" max="8977" width="11.42578125" style="424" customWidth="1"/>
    <col min="8978" max="8978" width="14" style="424" customWidth="1"/>
    <col min="8979" max="8983" width="9.140625" style="424"/>
    <col min="8984" max="8984" width="14.7109375" style="424" customWidth="1"/>
    <col min="8985" max="9217" width="9.140625" style="424"/>
    <col min="9218" max="9218" width="26.7109375" style="424" customWidth="1"/>
    <col min="9219" max="9219" width="17.28515625" style="424" customWidth="1"/>
    <col min="9220" max="9220" width="21.5703125" style="424" customWidth="1"/>
    <col min="9221" max="9221" width="10.42578125" style="424" customWidth="1"/>
    <col min="9222" max="9222" width="18.42578125" style="424" customWidth="1"/>
    <col min="9223" max="9225" width="9.140625" style="424"/>
    <col min="9226" max="9226" width="20.5703125" style="424" customWidth="1"/>
    <col min="9227" max="9227" width="9.140625" style="424"/>
    <col min="9228" max="9228" width="13.140625" style="424" customWidth="1"/>
    <col min="9229" max="9229" width="7.28515625" style="424" customWidth="1"/>
    <col min="9230" max="9230" width="30.42578125" style="424" customWidth="1"/>
    <col min="9231" max="9231" width="18.42578125" style="424" customWidth="1"/>
    <col min="9232" max="9232" width="22.28515625" style="424" customWidth="1"/>
    <col min="9233" max="9233" width="11.42578125" style="424" customWidth="1"/>
    <col min="9234" max="9234" width="14" style="424" customWidth="1"/>
    <col min="9235" max="9239" width="9.140625" style="424"/>
    <col min="9240" max="9240" width="14.7109375" style="424" customWidth="1"/>
    <col min="9241" max="9473" width="9.140625" style="424"/>
    <col min="9474" max="9474" width="26.7109375" style="424" customWidth="1"/>
    <col min="9475" max="9475" width="17.28515625" style="424" customWidth="1"/>
    <col min="9476" max="9476" width="21.5703125" style="424" customWidth="1"/>
    <col min="9477" max="9477" width="10.42578125" style="424" customWidth="1"/>
    <col min="9478" max="9478" width="18.42578125" style="424" customWidth="1"/>
    <col min="9479" max="9481" width="9.140625" style="424"/>
    <col min="9482" max="9482" width="20.5703125" style="424" customWidth="1"/>
    <col min="9483" max="9483" width="9.140625" style="424"/>
    <col min="9484" max="9484" width="13.140625" style="424" customWidth="1"/>
    <col min="9485" max="9485" width="7.28515625" style="424" customWidth="1"/>
    <col min="9486" max="9486" width="30.42578125" style="424" customWidth="1"/>
    <col min="9487" max="9487" width="18.42578125" style="424" customWidth="1"/>
    <col min="9488" max="9488" width="22.28515625" style="424" customWidth="1"/>
    <col min="9489" max="9489" width="11.42578125" style="424" customWidth="1"/>
    <col min="9490" max="9490" width="14" style="424" customWidth="1"/>
    <col min="9491" max="9495" width="9.140625" style="424"/>
    <col min="9496" max="9496" width="14.7109375" style="424" customWidth="1"/>
    <col min="9497" max="9729" width="9.140625" style="424"/>
    <col min="9730" max="9730" width="26.7109375" style="424" customWidth="1"/>
    <col min="9731" max="9731" width="17.28515625" style="424" customWidth="1"/>
    <col min="9732" max="9732" width="21.5703125" style="424" customWidth="1"/>
    <col min="9733" max="9733" width="10.42578125" style="424" customWidth="1"/>
    <col min="9734" max="9734" width="18.42578125" style="424" customWidth="1"/>
    <col min="9735" max="9737" width="9.140625" style="424"/>
    <col min="9738" max="9738" width="20.5703125" style="424" customWidth="1"/>
    <col min="9739" max="9739" width="9.140625" style="424"/>
    <col min="9740" max="9740" width="13.140625" style="424" customWidth="1"/>
    <col min="9741" max="9741" width="7.28515625" style="424" customWidth="1"/>
    <col min="9742" max="9742" width="30.42578125" style="424" customWidth="1"/>
    <col min="9743" max="9743" width="18.42578125" style="424" customWidth="1"/>
    <col min="9744" max="9744" width="22.28515625" style="424" customWidth="1"/>
    <col min="9745" max="9745" width="11.42578125" style="424" customWidth="1"/>
    <col min="9746" max="9746" width="14" style="424" customWidth="1"/>
    <col min="9747" max="9751" width="9.140625" style="424"/>
    <col min="9752" max="9752" width="14.7109375" style="424" customWidth="1"/>
    <col min="9753" max="9985" width="9.140625" style="424"/>
    <col min="9986" max="9986" width="26.7109375" style="424" customWidth="1"/>
    <col min="9987" max="9987" width="17.28515625" style="424" customWidth="1"/>
    <col min="9988" max="9988" width="21.5703125" style="424" customWidth="1"/>
    <col min="9989" max="9989" width="10.42578125" style="424" customWidth="1"/>
    <col min="9990" max="9990" width="18.42578125" style="424" customWidth="1"/>
    <col min="9991" max="9993" width="9.140625" style="424"/>
    <col min="9994" max="9994" width="20.5703125" style="424" customWidth="1"/>
    <col min="9995" max="9995" width="9.140625" style="424"/>
    <col min="9996" max="9996" width="13.140625" style="424" customWidth="1"/>
    <col min="9997" max="9997" width="7.28515625" style="424" customWidth="1"/>
    <col min="9998" max="9998" width="30.42578125" style="424" customWidth="1"/>
    <col min="9999" max="9999" width="18.42578125" style="424" customWidth="1"/>
    <col min="10000" max="10000" width="22.28515625" style="424" customWidth="1"/>
    <col min="10001" max="10001" width="11.42578125" style="424" customWidth="1"/>
    <col min="10002" max="10002" width="14" style="424" customWidth="1"/>
    <col min="10003" max="10007" width="9.140625" style="424"/>
    <col min="10008" max="10008" width="14.7109375" style="424" customWidth="1"/>
    <col min="10009" max="10241" width="9.140625" style="424"/>
    <col min="10242" max="10242" width="26.7109375" style="424" customWidth="1"/>
    <col min="10243" max="10243" width="17.28515625" style="424" customWidth="1"/>
    <col min="10244" max="10244" width="21.5703125" style="424" customWidth="1"/>
    <col min="10245" max="10245" width="10.42578125" style="424" customWidth="1"/>
    <col min="10246" max="10246" width="18.42578125" style="424" customWidth="1"/>
    <col min="10247" max="10249" width="9.140625" style="424"/>
    <col min="10250" max="10250" width="20.5703125" style="424" customWidth="1"/>
    <col min="10251" max="10251" width="9.140625" style="424"/>
    <col min="10252" max="10252" width="13.140625" style="424" customWidth="1"/>
    <col min="10253" max="10253" width="7.28515625" style="424" customWidth="1"/>
    <col min="10254" max="10254" width="30.42578125" style="424" customWidth="1"/>
    <col min="10255" max="10255" width="18.42578125" style="424" customWidth="1"/>
    <col min="10256" max="10256" width="22.28515625" style="424" customWidth="1"/>
    <col min="10257" max="10257" width="11.42578125" style="424" customWidth="1"/>
    <col min="10258" max="10258" width="14" style="424" customWidth="1"/>
    <col min="10259" max="10263" width="9.140625" style="424"/>
    <col min="10264" max="10264" width="14.7109375" style="424" customWidth="1"/>
    <col min="10265" max="10497" width="9.140625" style="424"/>
    <col min="10498" max="10498" width="26.7109375" style="424" customWidth="1"/>
    <col min="10499" max="10499" width="17.28515625" style="424" customWidth="1"/>
    <col min="10500" max="10500" width="21.5703125" style="424" customWidth="1"/>
    <col min="10501" max="10501" width="10.42578125" style="424" customWidth="1"/>
    <col min="10502" max="10502" width="18.42578125" style="424" customWidth="1"/>
    <col min="10503" max="10505" width="9.140625" style="424"/>
    <col min="10506" max="10506" width="20.5703125" style="424" customWidth="1"/>
    <col min="10507" max="10507" width="9.140625" style="424"/>
    <col min="10508" max="10508" width="13.140625" style="424" customWidth="1"/>
    <col min="10509" max="10509" width="7.28515625" style="424" customWidth="1"/>
    <col min="10510" max="10510" width="30.42578125" style="424" customWidth="1"/>
    <col min="10511" max="10511" width="18.42578125" style="424" customWidth="1"/>
    <col min="10512" max="10512" width="22.28515625" style="424" customWidth="1"/>
    <col min="10513" max="10513" width="11.42578125" style="424" customWidth="1"/>
    <col min="10514" max="10514" width="14" style="424" customWidth="1"/>
    <col min="10515" max="10519" width="9.140625" style="424"/>
    <col min="10520" max="10520" width="14.7109375" style="424" customWidth="1"/>
    <col min="10521" max="10753" width="9.140625" style="424"/>
    <col min="10754" max="10754" width="26.7109375" style="424" customWidth="1"/>
    <col min="10755" max="10755" width="17.28515625" style="424" customWidth="1"/>
    <col min="10756" max="10756" width="21.5703125" style="424" customWidth="1"/>
    <col min="10757" max="10757" width="10.42578125" style="424" customWidth="1"/>
    <col min="10758" max="10758" width="18.42578125" style="424" customWidth="1"/>
    <col min="10759" max="10761" width="9.140625" style="424"/>
    <col min="10762" max="10762" width="20.5703125" style="424" customWidth="1"/>
    <col min="10763" max="10763" width="9.140625" style="424"/>
    <col min="10764" max="10764" width="13.140625" style="424" customWidth="1"/>
    <col min="10765" max="10765" width="7.28515625" style="424" customWidth="1"/>
    <col min="10766" max="10766" width="30.42578125" style="424" customWidth="1"/>
    <col min="10767" max="10767" width="18.42578125" style="424" customWidth="1"/>
    <col min="10768" max="10768" width="22.28515625" style="424" customWidth="1"/>
    <col min="10769" max="10769" width="11.42578125" style="424" customWidth="1"/>
    <col min="10770" max="10770" width="14" style="424" customWidth="1"/>
    <col min="10771" max="10775" width="9.140625" style="424"/>
    <col min="10776" max="10776" width="14.7109375" style="424" customWidth="1"/>
    <col min="10777" max="11009" width="9.140625" style="424"/>
    <col min="11010" max="11010" width="26.7109375" style="424" customWidth="1"/>
    <col min="11011" max="11011" width="17.28515625" style="424" customWidth="1"/>
    <col min="11012" max="11012" width="21.5703125" style="424" customWidth="1"/>
    <col min="11013" max="11013" width="10.42578125" style="424" customWidth="1"/>
    <col min="11014" max="11014" width="18.42578125" style="424" customWidth="1"/>
    <col min="11015" max="11017" width="9.140625" style="424"/>
    <col min="11018" max="11018" width="20.5703125" style="424" customWidth="1"/>
    <col min="11019" max="11019" width="9.140625" style="424"/>
    <col min="11020" max="11020" width="13.140625" style="424" customWidth="1"/>
    <col min="11021" max="11021" width="7.28515625" style="424" customWidth="1"/>
    <col min="11022" max="11022" width="30.42578125" style="424" customWidth="1"/>
    <col min="11023" max="11023" width="18.42578125" style="424" customWidth="1"/>
    <col min="11024" max="11024" width="22.28515625" style="424" customWidth="1"/>
    <col min="11025" max="11025" width="11.42578125" style="424" customWidth="1"/>
    <col min="11026" max="11026" width="14" style="424" customWidth="1"/>
    <col min="11027" max="11031" width="9.140625" style="424"/>
    <col min="11032" max="11032" width="14.7109375" style="424" customWidth="1"/>
    <col min="11033" max="11265" width="9.140625" style="424"/>
    <col min="11266" max="11266" width="26.7109375" style="424" customWidth="1"/>
    <col min="11267" max="11267" width="17.28515625" style="424" customWidth="1"/>
    <col min="11268" max="11268" width="21.5703125" style="424" customWidth="1"/>
    <col min="11269" max="11269" width="10.42578125" style="424" customWidth="1"/>
    <col min="11270" max="11270" width="18.42578125" style="424" customWidth="1"/>
    <col min="11271" max="11273" width="9.140625" style="424"/>
    <col min="11274" max="11274" width="20.5703125" style="424" customWidth="1"/>
    <col min="11275" max="11275" width="9.140625" style="424"/>
    <col min="11276" max="11276" width="13.140625" style="424" customWidth="1"/>
    <col min="11277" max="11277" width="7.28515625" style="424" customWidth="1"/>
    <col min="11278" max="11278" width="30.42578125" style="424" customWidth="1"/>
    <col min="11279" max="11279" width="18.42578125" style="424" customWidth="1"/>
    <col min="11280" max="11280" width="22.28515625" style="424" customWidth="1"/>
    <col min="11281" max="11281" width="11.42578125" style="424" customWidth="1"/>
    <col min="11282" max="11282" width="14" style="424" customWidth="1"/>
    <col min="11283" max="11287" width="9.140625" style="424"/>
    <col min="11288" max="11288" width="14.7109375" style="424" customWidth="1"/>
    <col min="11289" max="11521" width="9.140625" style="424"/>
    <col min="11522" max="11522" width="26.7109375" style="424" customWidth="1"/>
    <col min="11523" max="11523" width="17.28515625" style="424" customWidth="1"/>
    <col min="11524" max="11524" width="21.5703125" style="424" customWidth="1"/>
    <col min="11525" max="11525" width="10.42578125" style="424" customWidth="1"/>
    <col min="11526" max="11526" width="18.42578125" style="424" customWidth="1"/>
    <col min="11527" max="11529" width="9.140625" style="424"/>
    <col min="11530" max="11530" width="20.5703125" style="424" customWidth="1"/>
    <col min="11531" max="11531" width="9.140625" style="424"/>
    <col min="11532" max="11532" width="13.140625" style="424" customWidth="1"/>
    <col min="11533" max="11533" width="7.28515625" style="424" customWidth="1"/>
    <col min="11534" max="11534" width="30.42578125" style="424" customWidth="1"/>
    <col min="11535" max="11535" width="18.42578125" style="424" customWidth="1"/>
    <col min="11536" max="11536" width="22.28515625" style="424" customWidth="1"/>
    <col min="11537" max="11537" width="11.42578125" style="424" customWidth="1"/>
    <col min="11538" max="11538" width="14" style="424" customWidth="1"/>
    <col min="11539" max="11543" width="9.140625" style="424"/>
    <col min="11544" max="11544" width="14.7109375" style="424" customWidth="1"/>
    <col min="11545" max="11777" width="9.140625" style="424"/>
    <col min="11778" max="11778" width="26.7109375" style="424" customWidth="1"/>
    <col min="11779" max="11779" width="17.28515625" style="424" customWidth="1"/>
    <col min="11780" max="11780" width="21.5703125" style="424" customWidth="1"/>
    <col min="11781" max="11781" width="10.42578125" style="424" customWidth="1"/>
    <col min="11782" max="11782" width="18.42578125" style="424" customWidth="1"/>
    <col min="11783" max="11785" width="9.140625" style="424"/>
    <col min="11786" max="11786" width="20.5703125" style="424" customWidth="1"/>
    <col min="11787" max="11787" width="9.140625" style="424"/>
    <col min="11788" max="11788" width="13.140625" style="424" customWidth="1"/>
    <col min="11789" max="11789" width="7.28515625" style="424" customWidth="1"/>
    <col min="11790" max="11790" width="30.42578125" style="424" customWidth="1"/>
    <col min="11791" max="11791" width="18.42578125" style="424" customWidth="1"/>
    <col min="11792" max="11792" width="22.28515625" style="424" customWidth="1"/>
    <col min="11793" max="11793" width="11.42578125" style="424" customWidth="1"/>
    <col min="11794" max="11794" width="14" style="424" customWidth="1"/>
    <col min="11795" max="11799" width="9.140625" style="424"/>
    <col min="11800" max="11800" width="14.7109375" style="424" customWidth="1"/>
    <col min="11801" max="12033" width="9.140625" style="424"/>
    <col min="12034" max="12034" width="26.7109375" style="424" customWidth="1"/>
    <col min="12035" max="12035" width="17.28515625" style="424" customWidth="1"/>
    <col min="12036" max="12036" width="21.5703125" style="424" customWidth="1"/>
    <col min="12037" max="12037" width="10.42578125" style="424" customWidth="1"/>
    <col min="12038" max="12038" width="18.42578125" style="424" customWidth="1"/>
    <col min="12039" max="12041" width="9.140625" style="424"/>
    <col min="12042" max="12042" width="20.5703125" style="424" customWidth="1"/>
    <col min="12043" max="12043" width="9.140625" style="424"/>
    <col min="12044" max="12044" width="13.140625" style="424" customWidth="1"/>
    <col min="12045" max="12045" width="7.28515625" style="424" customWidth="1"/>
    <col min="12046" max="12046" width="30.42578125" style="424" customWidth="1"/>
    <col min="12047" max="12047" width="18.42578125" style="424" customWidth="1"/>
    <col min="12048" max="12048" width="22.28515625" style="424" customWidth="1"/>
    <col min="12049" max="12049" width="11.42578125" style="424" customWidth="1"/>
    <col min="12050" max="12050" width="14" style="424" customWidth="1"/>
    <col min="12051" max="12055" width="9.140625" style="424"/>
    <col min="12056" max="12056" width="14.7109375" style="424" customWidth="1"/>
    <col min="12057" max="12289" width="9.140625" style="424"/>
    <col min="12290" max="12290" width="26.7109375" style="424" customWidth="1"/>
    <col min="12291" max="12291" width="17.28515625" style="424" customWidth="1"/>
    <col min="12292" max="12292" width="21.5703125" style="424" customWidth="1"/>
    <col min="12293" max="12293" width="10.42578125" style="424" customWidth="1"/>
    <col min="12294" max="12294" width="18.42578125" style="424" customWidth="1"/>
    <col min="12295" max="12297" width="9.140625" style="424"/>
    <col min="12298" max="12298" width="20.5703125" style="424" customWidth="1"/>
    <col min="12299" max="12299" width="9.140625" style="424"/>
    <col min="12300" max="12300" width="13.140625" style="424" customWidth="1"/>
    <col min="12301" max="12301" width="7.28515625" style="424" customWidth="1"/>
    <col min="12302" max="12302" width="30.42578125" style="424" customWidth="1"/>
    <col min="12303" max="12303" width="18.42578125" style="424" customWidth="1"/>
    <col min="12304" max="12304" width="22.28515625" style="424" customWidth="1"/>
    <col min="12305" max="12305" width="11.42578125" style="424" customWidth="1"/>
    <col min="12306" max="12306" width="14" style="424" customWidth="1"/>
    <col min="12307" max="12311" width="9.140625" style="424"/>
    <col min="12312" max="12312" width="14.7109375" style="424" customWidth="1"/>
    <col min="12313" max="12545" width="9.140625" style="424"/>
    <col min="12546" max="12546" width="26.7109375" style="424" customWidth="1"/>
    <col min="12547" max="12547" width="17.28515625" style="424" customWidth="1"/>
    <col min="12548" max="12548" width="21.5703125" style="424" customWidth="1"/>
    <col min="12549" max="12549" width="10.42578125" style="424" customWidth="1"/>
    <col min="12550" max="12550" width="18.42578125" style="424" customWidth="1"/>
    <col min="12551" max="12553" width="9.140625" style="424"/>
    <col min="12554" max="12554" width="20.5703125" style="424" customWidth="1"/>
    <col min="12555" max="12555" width="9.140625" style="424"/>
    <col min="12556" max="12556" width="13.140625" style="424" customWidth="1"/>
    <col min="12557" max="12557" width="7.28515625" style="424" customWidth="1"/>
    <col min="12558" max="12558" width="30.42578125" style="424" customWidth="1"/>
    <col min="12559" max="12559" width="18.42578125" style="424" customWidth="1"/>
    <col min="12560" max="12560" width="22.28515625" style="424" customWidth="1"/>
    <col min="12561" max="12561" width="11.42578125" style="424" customWidth="1"/>
    <col min="12562" max="12562" width="14" style="424" customWidth="1"/>
    <col min="12563" max="12567" width="9.140625" style="424"/>
    <col min="12568" max="12568" width="14.7109375" style="424" customWidth="1"/>
    <col min="12569" max="12801" width="9.140625" style="424"/>
    <col min="12802" max="12802" width="26.7109375" style="424" customWidth="1"/>
    <col min="12803" max="12803" width="17.28515625" style="424" customWidth="1"/>
    <col min="12804" max="12804" width="21.5703125" style="424" customWidth="1"/>
    <col min="12805" max="12805" width="10.42578125" style="424" customWidth="1"/>
    <col min="12806" max="12806" width="18.42578125" style="424" customWidth="1"/>
    <col min="12807" max="12809" width="9.140625" style="424"/>
    <col min="12810" max="12810" width="20.5703125" style="424" customWidth="1"/>
    <col min="12811" max="12811" width="9.140625" style="424"/>
    <col min="12812" max="12812" width="13.140625" style="424" customWidth="1"/>
    <col min="12813" max="12813" width="7.28515625" style="424" customWidth="1"/>
    <col min="12814" max="12814" width="30.42578125" style="424" customWidth="1"/>
    <col min="12815" max="12815" width="18.42578125" style="424" customWidth="1"/>
    <col min="12816" max="12816" width="22.28515625" style="424" customWidth="1"/>
    <col min="12817" max="12817" width="11.42578125" style="424" customWidth="1"/>
    <col min="12818" max="12818" width="14" style="424" customWidth="1"/>
    <col min="12819" max="12823" width="9.140625" style="424"/>
    <col min="12824" max="12824" width="14.7109375" style="424" customWidth="1"/>
    <col min="12825" max="13057" width="9.140625" style="424"/>
    <col min="13058" max="13058" width="26.7109375" style="424" customWidth="1"/>
    <col min="13059" max="13059" width="17.28515625" style="424" customWidth="1"/>
    <col min="13060" max="13060" width="21.5703125" style="424" customWidth="1"/>
    <col min="13061" max="13061" width="10.42578125" style="424" customWidth="1"/>
    <col min="13062" max="13062" width="18.42578125" style="424" customWidth="1"/>
    <col min="13063" max="13065" width="9.140625" style="424"/>
    <col min="13066" max="13066" width="20.5703125" style="424" customWidth="1"/>
    <col min="13067" max="13067" width="9.140625" style="424"/>
    <col min="13068" max="13068" width="13.140625" style="424" customWidth="1"/>
    <col min="13069" max="13069" width="7.28515625" style="424" customWidth="1"/>
    <col min="13070" max="13070" width="30.42578125" style="424" customWidth="1"/>
    <col min="13071" max="13071" width="18.42578125" style="424" customWidth="1"/>
    <col min="13072" max="13072" width="22.28515625" style="424" customWidth="1"/>
    <col min="13073" max="13073" width="11.42578125" style="424" customWidth="1"/>
    <col min="13074" max="13074" width="14" style="424" customWidth="1"/>
    <col min="13075" max="13079" width="9.140625" style="424"/>
    <col min="13080" max="13080" width="14.7109375" style="424" customWidth="1"/>
    <col min="13081" max="13313" width="9.140625" style="424"/>
    <col min="13314" max="13314" width="26.7109375" style="424" customWidth="1"/>
    <col min="13315" max="13315" width="17.28515625" style="424" customWidth="1"/>
    <col min="13316" max="13316" width="21.5703125" style="424" customWidth="1"/>
    <col min="13317" max="13317" width="10.42578125" style="424" customWidth="1"/>
    <col min="13318" max="13318" width="18.42578125" style="424" customWidth="1"/>
    <col min="13319" max="13321" width="9.140625" style="424"/>
    <col min="13322" max="13322" width="20.5703125" style="424" customWidth="1"/>
    <col min="13323" max="13323" width="9.140625" style="424"/>
    <col min="13324" max="13324" width="13.140625" style="424" customWidth="1"/>
    <col min="13325" max="13325" width="7.28515625" style="424" customWidth="1"/>
    <col min="13326" max="13326" width="30.42578125" style="424" customWidth="1"/>
    <col min="13327" max="13327" width="18.42578125" style="424" customWidth="1"/>
    <col min="13328" max="13328" width="22.28515625" style="424" customWidth="1"/>
    <col min="13329" max="13329" width="11.42578125" style="424" customWidth="1"/>
    <col min="13330" max="13330" width="14" style="424" customWidth="1"/>
    <col min="13331" max="13335" width="9.140625" style="424"/>
    <col min="13336" max="13336" width="14.7109375" style="424" customWidth="1"/>
    <col min="13337" max="13569" width="9.140625" style="424"/>
    <col min="13570" max="13570" width="26.7109375" style="424" customWidth="1"/>
    <col min="13571" max="13571" width="17.28515625" style="424" customWidth="1"/>
    <col min="13572" max="13572" width="21.5703125" style="424" customWidth="1"/>
    <col min="13573" max="13573" width="10.42578125" style="424" customWidth="1"/>
    <col min="13574" max="13574" width="18.42578125" style="424" customWidth="1"/>
    <col min="13575" max="13577" width="9.140625" style="424"/>
    <col min="13578" max="13578" width="20.5703125" style="424" customWidth="1"/>
    <col min="13579" max="13579" width="9.140625" style="424"/>
    <col min="13580" max="13580" width="13.140625" style="424" customWidth="1"/>
    <col min="13581" max="13581" width="7.28515625" style="424" customWidth="1"/>
    <col min="13582" max="13582" width="30.42578125" style="424" customWidth="1"/>
    <col min="13583" max="13583" width="18.42578125" style="424" customWidth="1"/>
    <col min="13584" max="13584" width="22.28515625" style="424" customWidth="1"/>
    <col min="13585" max="13585" width="11.42578125" style="424" customWidth="1"/>
    <col min="13586" max="13586" width="14" style="424" customWidth="1"/>
    <col min="13587" max="13591" width="9.140625" style="424"/>
    <col min="13592" max="13592" width="14.7109375" style="424" customWidth="1"/>
    <col min="13593" max="13825" width="9.140625" style="424"/>
    <col min="13826" max="13826" width="26.7109375" style="424" customWidth="1"/>
    <col min="13827" max="13827" width="17.28515625" style="424" customWidth="1"/>
    <col min="13828" max="13828" width="21.5703125" style="424" customWidth="1"/>
    <col min="13829" max="13829" width="10.42578125" style="424" customWidth="1"/>
    <col min="13830" max="13830" width="18.42578125" style="424" customWidth="1"/>
    <col min="13831" max="13833" width="9.140625" style="424"/>
    <col min="13834" max="13834" width="20.5703125" style="424" customWidth="1"/>
    <col min="13835" max="13835" width="9.140625" style="424"/>
    <col min="13836" max="13836" width="13.140625" style="424" customWidth="1"/>
    <col min="13837" max="13837" width="7.28515625" style="424" customWidth="1"/>
    <col min="13838" max="13838" width="30.42578125" style="424" customWidth="1"/>
    <col min="13839" max="13839" width="18.42578125" style="424" customWidth="1"/>
    <col min="13840" max="13840" width="22.28515625" style="424" customWidth="1"/>
    <col min="13841" max="13841" width="11.42578125" style="424" customWidth="1"/>
    <col min="13842" max="13842" width="14" style="424" customWidth="1"/>
    <col min="13843" max="13847" width="9.140625" style="424"/>
    <col min="13848" max="13848" width="14.7109375" style="424" customWidth="1"/>
    <col min="13849" max="14081" width="9.140625" style="424"/>
    <col min="14082" max="14082" width="26.7109375" style="424" customWidth="1"/>
    <col min="14083" max="14083" width="17.28515625" style="424" customWidth="1"/>
    <col min="14084" max="14084" width="21.5703125" style="424" customWidth="1"/>
    <col min="14085" max="14085" width="10.42578125" style="424" customWidth="1"/>
    <col min="14086" max="14086" width="18.42578125" style="424" customWidth="1"/>
    <col min="14087" max="14089" width="9.140625" style="424"/>
    <col min="14090" max="14090" width="20.5703125" style="424" customWidth="1"/>
    <col min="14091" max="14091" width="9.140625" style="424"/>
    <col min="14092" max="14092" width="13.140625" style="424" customWidth="1"/>
    <col min="14093" max="14093" width="7.28515625" style="424" customWidth="1"/>
    <col min="14094" max="14094" width="30.42578125" style="424" customWidth="1"/>
    <col min="14095" max="14095" width="18.42578125" style="424" customWidth="1"/>
    <col min="14096" max="14096" width="22.28515625" style="424" customWidth="1"/>
    <col min="14097" max="14097" width="11.42578125" style="424" customWidth="1"/>
    <col min="14098" max="14098" width="14" style="424" customWidth="1"/>
    <col min="14099" max="14103" width="9.140625" style="424"/>
    <col min="14104" max="14104" width="14.7109375" style="424" customWidth="1"/>
    <col min="14105" max="14337" width="9.140625" style="424"/>
    <col min="14338" max="14338" width="26.7109375" style="424" customWidth="1"/>
    <col min="14339" max="14339" width="17.28515625" style="424" customWidth="1"/>
    <col min="14340" max="14340" width="21.5703125" style="424" customWidth="1"/>
    <col min="14341" max="14341" width="10.42578125" style="424" customWidth="1"/>
    <col min="14342" max="14342" width="18.42578125" style="424" customWidth="1"/>
    <col min="14343" max="14345" width="9.140625" style="424"/>
    <col min="14346" max="14346" width="20.5703125" style="424" customWidth="1"/>
    <col min="14347" max="14347" width="9.140625" style="424"/>
    <col min="14348" max="14348" width="13.140625" style="424" customWidth="1"/>
    <col min="14349" max="14349" width="7.28515625" style="424" customWidth="1"/>
    <col min="14350" max="14350" width="30.42578125" style="424" customWidth="1"/>
    <col min="14351" max="14351" width="18.42578125" style="424" customWidth="1"/>
    <col min="14352" max="14352" width="22.28515625" style="424" customWidth="1"/>
    <col min="14353" max="14353" width="11.42578125" style="424" customWidth="1"/>
    <col min="14354" max="14354" width="14" style="424" customWidth="1"/>
    <col min="14355" max="14359" width="9.140625" style="424"/>
    <col min="14360" max="14360" width="14.7109375" style="424" customWidth="1"/>
    <col min="14361" max="14593" width="9.140625" style="424"/>
    <col min="14594" max="14594" width="26.7109375" style="424" customWidth="1"/>
    <col min="14595" max="14595" width="17.28515625" style="424" customWidth="1"/>
    <col min="14596" max="14596" width="21.5703125" style="424" customWidth="1"/>
    <col min="14597" max="14597" width="10.42578125" style="424" customWidth="1"/>
    <col min="14598" max="14598" width="18.42578125" style="424" customWidth="1"/>
    <col min="14599" max="14601" width="9.140625" style="424"/>
    <col min="14602" max="14602" width="20.5703125" style="424" customWidth="1"/>
    <col min="14603" max="14603" width="9.140625" style="424"/>
    <col min="14604" max="14604" width="13.140625" style="424" customWidth="1"/>
    <col min="14605" max="14605" width="7.28515625" style="424" customWidth="1"/>
    <col min="14606" max="14606" width="30.42578125" style="424" customWidth="1"/>
    <col min="14607" max="14607" width="18.42578125" style="424" customWidth="1"/>
    <col min="14608" max="14608" width="22.28515625" style="424" customWidth="1"/>
    <col min="14609" max="14609" width="11.42578125" style="424" customWidth="1"/>
    <col min="14610" max="14610" width="14" style="424" customWidth="1"/>
    <col min="14611" max="14615" width="9.140625" style="424"/>
    <col min="14616" max="14616" width="14.7109375" style="424" customWidth="1"/>
    <col min="14617" max="14849" width="9.140625" style="424"/>
    <col min="14850" max="14850" width="26.7109375" style="424" customWidth="1"/>
    <col min="14851" max="14851" width="17.28515625" style="424" customWidth="1"/>
    <col min="14852" max="14852" width="21.5703125" style="424" customWidth="1"/>
    <col min="14853" max="14853" width="10.42578125" style="424" customWidth="1"/>
    <col min="14854" max="14854" width="18.42578125" style="424" customWidth="1"/>
    <col min="14855" max="14857" width="9.140625" style="424"/>
    <col min="14858" max="14858" width="20.5703125" style="424" customWidth="1"/>
    <col min="14859" max="14859" width="9.140625" style="424"/>
    <col min="14860" max="14860" width="13.140625" style="424" customWidth="1"/>
    <col min="14861" max="14861" width="7.28515625" style="424" customWidth="1"/>
    <col min="14862" max="14862" width="30.42578125" style="424" customWidth="1"/>
    <col min="14863" max="14863" width="18.42578125" style="424" customWidth="1"/>
    <col min="14864" max="14864" width="22.28515625" style="424" customWidth="1"/>
    <col min="14865" max="14865" width="11.42578125" style="424" customWidth="1"/>
    <col min="14866" max="14866" width="14" style="424" customWidth="1"/>
    <col min="14867" max="14871" width="9.140625" style="424"/>
    <col min="14872" max="14872" width="14.7109375" style="424" customWidth="1"/>
    <col min="14873" max="15105" width="9.140625" style="424"/>
    <col min="15106" max="15106" width="26.7109375" style="424" customWidth="1"/>
    <col min="15107" max="15107" width="17.28515625" style="424" customWidth="1"/>
    <col min="15108" max="15108" width="21.5703125" style="424" customWidth="1"/>
    <col min="15109" max="15109" width="10.42578125" style="424" customWidth="1"/>
    <col min="15110" max="15110" width="18.42578125" style="424" customWidth="1"/>
    <col min="15111" max="15113" width="9.140625" style="424"/>
    <col min="15114" max="15114" width="20.5703125" style="424" customWidth="1"/>
    <col min="15115" max="15115" width="9.140625" style="424"/>
    <col min="15116" max="15116" width="13.140625" style="424" customWidth="1"/>
    <col min="15117" max="15117" width="7.28515625" style="424" customWidth="1"/>
    <col min="15118" max="15118" width="30.42578125" style="424" customWidth="1"/>
    <col min="15119" max="15119" width="18.42578125" style="424" customWidth="1"/>
    <col min="15120" max="15120" width="22.28515625" style="424" customWidth="1"/>
    <col min="15121" max="15121" width="11.42578125" style="424" customWidth="1"/>
    <col min="15122" max="15122" width="14" style="424" customWidth="1"/>
    <col min="15123" max="15127" width="9.140625" style="424"/>
    <col min="15128" max="15128" width="14.7109375" style="424" customWidth="1"/>
    <col min="15129" max="15361" width="9.140625" style="424"/>
    <col min="15362" max="15362" width="26.7109375" style="424" customWidth="1"/>
    <col min="15363" max="15363" width="17.28515625" style="424" customWidth="1"/>
    <col min="15364" max="15364" width="21.5703125" style="424" customWidth="1"/>
    <col min="15365" max="15365" width="10.42578125" style="424" customWidth="1"/>
    <col min="15366" max="15366" width="18.42578125" style="424" customWidth="1"/>
    <col min="15367" max="15369" width="9.140625" style="424"/>
    <col min="15370" max="15370" width="20.5703125" style="424" customWidth="1"/>
    <col min="15371" max="15371" width="9.140625" style="424"/>
    <col min="15372" max="15372" width="13.140625" style="424" customWidth="1"/>
    <col min="15373" max="15373" width="7.28515625" style="424" customWidth="1"/>
    <col min="15374" max="15374" width="30.42578125" style="424" customWidth="1"/>
    <col min="15375" max="15375" width="18.42578125" style="424" customWidth="1"/>
    <col min="15376" max="15376" width="22.28515625" style="424" customWidth="1"/>
    <col min="15377" max="15377" width="11.42578125" style="424" customWidth="1"/>
    <col min="15378" max="15378" width="14" style="424" customWidth="1"/>
    <col min="15379" max="15383" width="9.140625" style="424"/>
    <col min="15384" max="15384" width="14.7109375" style="424" customWidth="1"/>
    <col min="15385" max="15617" width="9.140625" style="424"/>
    <col min="15618" max="15618" width="26.7109375" style="424" customWidth="1"/>
    <col min="15619" max="15619" width="17.28515625" style="424" customWidth="1"/>
    <col min="15620" max="15620" width="21.5703125" style="424" customWidth="1"/>
    <col min="15621" max="15621" width="10.42578125" style="424" customWidth="1"/>
    <col min="15622" max="15622" width="18.42578125" style="424" customWidth="1"/>
    <col min="15623" max="15625" width="9.140625" style="424"/>
    <col min="15626" max="15626" width="20.5703125" style="424" customWidth="1"/>
    <col min="15627" max="15627" width="9.140625" style="424"/>
    <col min="15628" max="15628" width="13.140625" style="424" customWidth="1"/>
    <col min="15629" max="15629" width="7.28515625" style="424" customWidth="1"/>
    <col min="15630" max="15630" width="30.42578125" style="424" customWidth="1"/>
    <col min="15631" max="15631" width="18.42578125" style="424" customWidth="1"/>
    <col min="15632" max="15632" width="22.28515625" style="424" customWidth="1"/>
    <col min="15633" max="15633" width="11.42578125" style="424" customWidth="1"/>
    <col min="15634" max="15634" width="14" style="424" customWidth="1"/>
    <col min="15635" max="15639" width="9.140625" style="424"/>
    <col min="15640" max="15640" width="14.7109375" style="424" customWidth="1"/>
    <col min="15641" max="15873" width="9.140625" style="424"/>
    <col min="15874" max="15874" width="26.7109375" style="424" customWidth="1"/>
    <col min="15875" max="15875" width="17.28515625" style="424" customWidth="1"/>
    <col min="15876" max="15876" width="21.5703125" style="424" customWidth="1"/>
    <col min="15877" max="15877" width="10.42578125" style="424" customWidth="1"/>
    <col min="15878" max="15878" width="18.42578125" style="424" customWidth="1"/>
    <col min="15879" max="15881" width="9.140625" style="424"/>
    <col min="15882" max="15882" width="20.5703125" style="424" customWidth="1"/>
    <col min="15883" max="15883" width="9.140625" style="424"/>
    <col min="15884" max="15884" width="13.140625" style="424" customWidth="1"/>
    <col min="15885" max="15885" width="7.28515625" style="424" customWidth="1"/>
    <col min="15886" max="15886" width="30.42578125" style="424" customWidth="1"/>
    <col min="15887" max="15887" width="18.42578125" style="424" customWidth="1"/>
    <col min="15888" max="15888" width="22.28515625" style="424" customWidth="1"/>
    <col min="15889" max="15889" width="11.42578125" style="424" customWidth="1"/>
    <col min="15890" max="15890" width="14" style="424" customWidth="1"/>
    <col min="15891" max="15895" width="9.140625" style="424"/>
    <col min="15896" max="15896" width="14.7109375" style="424" customWidth="1"/>
    <col min="15897" max="16129" width="9.140625" style="424"/>
    <col min="16130" max="16130" width="26.7109375" style="424" customWidth="1"/>
    <col min="16131" max="16131" width="17.28515625" style="424" customWidth="1"/>
    <col min="16132" max="16132" width="21.5703125" style="424" customWidth="1"/>
    <col min="16133" max="16133" width="10.42578125" style="424" customWidth="1"/>
    <col min="16134" max="16134" width="18.42578125" style="424" customWidth="1"/>
    <col min="16135" max="16137" width="9.140625" style="424"/>
    <col min="16138" max="16138" width="20.5703125" style="424" customWidth="1"/>
    <col min="16139" max="16139" width="9.140625" style="424"/>
    <col min="16140" max="16140" width="13.140625" style="424" customWidth="1"/>
    <col min="16141" max="16141" width="7.28515625" style="424" customWidth="1"/>
    <col min="16142" max="16142" width="30.42578125" style="424" customWidth="1"/>
    <col min="16143" max="16143" width="18.42578125" style="424" customWidth="1"/>
    <col min="16144" max="16144" width="22.28515625" style="424" customWidth="1"/>
    <col min="16145" max="16145" width="11.42578125" style="424" customWidth="1"/>
    <col min="16146" max="16146" width="14" style="424" customWidth="1"/>
    <col min="16147" max="16151" width="9.140625" style="424"/>
    <col min="16152" max="16152" width="14.7109375" style="424" customWidth="1"/>
    <col min="16153" max="16384" width="9.140625" style="424"/>
  </cols>
  <sheetData>
    <row r="1" spans="1:25">
      <c r="A1" s="427"/>
      <c r="B1" s="428" t="s">
        <v>789</v>
      </c>
      <c r="C1" s="429" t="s">
        <v>790</v>
      </c>
      <c r="D1" s="429" t="s">
        <v>791</v>
      </c>
      <c r="E1" s="430"/>
      <c r="F1" s="431" t="s">
        <v>792</v>
      </c>
      <c r="G1" s="424" t="s">
        <v>793</v>
      </c>
    </row>
    <row r="2" spans="1:25" ht="21" customHeight="1">
      <c r="A2" s="427">
        <v>1</v>
      </c>
      <c r="B2" s="432" t="s">
        <v>794</v>
      </c>
      <c r="C2" s="433" t="s">
        <v>795</v>
      </c>
      <c r="D2" s="433"/>
      <c r="E2" s="434"/>
      <c r="F2" s="435" t="s">
        <v>796</v>
      </c>
      <c r="G2" s="436" t="s">
        <v>797</v>
      </c>
      <c r="I2" s="448" t="s">
        <v>798</v>
      </c>
      <c r="J2" s="449"/>
      <c r="K2" s="449"/>
      <c r="L2" s="449"/>
      <c r="M2" s="450"/>
      <c r="N2" s="450"/>
    </row>
    <row r="3" spans="1:25" ht="39" customHeight="1">
      <c r="A3" s="427">
        <v>2</v>
      </c>
      <c r="B3" s="432" t="s">
        <v>799</v>
      </c>
      <c r="C3" s="433" t="s">
        <v>795</v>
      </c>
      <c r="D3" s="433"/>
      <c r="E3" s="434"/>
      <c r="F3" s="435" t="s">
        <v>800</v>
      </c>
      <c r="G3" s="436" t="s">
        <v>801</v>
      </c>
      <c r="I3" s="1667" t="s">
        <v>771</v>
      </c>
      <c r="J3" s="1667" t="s">
        <v>802</v>
      </c>
      <c r="K3" s="1667" t="s">
        <v>650</v>
      </c>
      <c r="L3" s="1668" t="s">
        <v>803</v>
      </c>
      <c r="M3" s="451"/>
      <c r="N3" s="450"/>
      <c r="X3" s="464" t="s">
        <v>804</v>
      </c>
      <c r="Y3" s="462">
        <v>90000</v>
      </c>
    </row>
    <row r="4" spans="1:25" ht="42" customHeight="1">
      <c r="A4" s="427">
        <v>3</v>
      </c>
      <c r="B4" s="432" t="s">
        <v>805</v>
      </c>
      <c r="C4" s="433" t="s">
        <v>795</v>
      </c>
      <c r="D4" s="433"/>
      <c r="E4" s="434"/>
      <c r="F4" s="437" t="s">
        <v>806</v>
      </c>
      <c r="G4" s="436" t="s">
        <v>801</v>
      </c>
      <c r="I4" s="1667"/>
      <c r="J4" s="1667"/>
      <c r="K4" s="1667"/>
      <c r="L4" s="1669"/>
      <c r="M4" s="452"/>
      <c r="N4" s="453" t="s">
        <v>807</v>
      </c>
      <c r="O4" s="453" t="s">
        <v>793</v>
      </c>
      <c r="P4" s="454" t="s">
        <v>808</v>
      </c>
      <c r="Q4" s="454" t="s">
        <v>809</v>
      </c>
      <c r="R4" s="454" t="s">
        <v>810</v>
      </c>
      <c r="S4" s="454" t="s">
        <v>811</v>
      </c>
      <c r="T4" s="454" t="s">
        <v>812</v>
      </c>
      <c r="U4" s="454" t="s">
        <v>813</v>
      </c>
      <c r="V4" s="476" t="s">
        <v>814</v>
      </c>
      <c r="W4" s="476" t="s">
        <v>815</v>
      </c>
      <c r="X4" s="1661" t="s">
        <v>816</v>
      </c>
    </row>
    <row r="5" spans="1:25" ht="17.25">
      <c r="A5" s="427">
        <v>4</v>
      </c>
      <c r="B5" s="432" t="s">
        <v>817</v>
      </c>
      <c r="C5" s="433" t="s">
        <v>795</v>
      </c>
      <c r="D5" s="433"/>
      <c r="E5" s="434"/>
      <c r="F5" s="437" t="s">
        <v>818</v>
      </c>
      <c r="G5" s="436" t="s">
        <v>801</v>
      </c>
      <c r="I5" s="455" t="s">
        <v>819</v>
      </c>
      <c r="J5" s="456" t="s">
        <v>820</v>
      </c>
      <c r="K5" s="457">
        <v>1</v>
      </c>
      <c r="L5" s="458">
        <v>60</v>
      </c>
      <c r="M5" s="459"/>
      <c r="N5" s="1670" t="s">
        <v>821</v>
      </c>
      <c r="O5" s="461" t="s">
        <v>822</v>
      </c>
      <c r="P5" s="462">
        <v>117769.230769231</v>
      </c>
      <c r="Q5" s="454">
        <v>0</v>
      </c>
      <c r="R5" s="454">
        <v>117769.230769231</v>
      </c>
      <c r="S5" s="462">
        <v>94215.384615384595</v>
      </c>
      <c r="T5" s="462">
        <v>117769.230769231</v>
      </c>
      <c r="U5" s="462">
        <v>141323.07692307699</v>
      </c>
      <c r="V5" s="462">
        <v>164876.92307692301</v>
      </c>
      <c r="W5" s="462">
        <v>188430.76923076899</v>
      </c>
      <c r="X5" s="1662"/>
    </row>
    <row r="6" spans="1:25" ht="17.25">
      <c r="A6" s="427">
        <v>5</v>
      </c>
      <c r="B6" s="432" t="s">
        <v>823</v>
      </c>
      <c r="C6" s="433" t="s">
        <v>795</v>
      </c>
      <c r="D6" s="433"/>
      <c r="E6" s="434"/>
      <c r="F6" s="437" t="s">
        <v>824</v>
      </c>
      <c r="G6" s="436" t="s">
        <v>801</v>
      </c>
      <c r="I6" s="455" t="s">
        <v>720</v>
      </c>
      <c r="J6" s="456" t="s">
        <v>825</v>
      </c>
      <c r="K6" s="457">
        <v>1</v>
      </c>
      <c r="L6" s="458">
        <v>60</v>
      </c>
      <c r="M6" s="425"/>
      <c r="N6" s="1671"/>
      <c r="O6" s="463" t="s">
        <v>801</v>
      </c>
      <c r="P6" s="462">
        <v>94215.384615384595</v>
      </c>
      <c r="Q6" s="462">
        <v>0</v>
      </c>
      <c r="R6" s="454">
        <v>94215.384615384595</v>
      </c>
      <c r="S6" s="462">
        <v>75372.307692307702</v>
      </c>
      <c r="T6" s="462">
        <v>94215.384615384595</v>
      </c>
      <c r="U6" s="462">
        <v>113058.461538462</v>
      </c>
      <c r="V6" s="462">
        <v>131901.538461538</v>
      </c>
      <c r="W6" s="462">
        <v>150744.615384615</v>
      </c>
      <c r="X6" s="1662"/>
    </row>
    <row r="7" spans="1:25" ht="17.25">
      <c r="A7" s="427">
        <v>6</v>
      </c>
      <c r="B7" s="432" t="s">
        <v>826</v>
      </c>
      <c r="C7" s="433" t="s">
        <v>795</v>
      </c>
      <c r="D7" s="433"/>
      <c r="E7" s="438"/>
      <c r="F7" s="437" t="s">
        <v>827</v>
      </c>
      <c r="G7" s="436" t="s">
        <v>801</v>
      </c>
      <c r="I7" s="455" t="s">
        <v>828</v>
      </c>
      <c r="J7" s="456" t="s">
        <v>829</v>
      </c>
      <c r="K7" s="457">
        <v>1</v>
      </c>
      <c r="L7" s="458">
        <v>100</v>
      </c>
      <c r="M7" s="425"/>
      <c r="N7" s="1672" t="s">
        <v>830</v>
      </c>
      <c r="O7" s="463" t="s">
        <v>831</v>
      </c>
      <c r="P7" s="462">
        <v>157025.641025641</v>
      </c>
      <c r="Q7" s="462">
        <v>60000</v>
      </c>
      <c r="R7" s="454">
        <v>97025.641025641002</v>
      </c>
      <c r="S7" s="462">
        <v>97025.641025641002</v>
      </c>
      <c r="T7" s="477">
        <v>116430.769230769</v>
      </c>
      <c r="U7" s="477">
        <v>139717</v>
      </c>
      <c r="V7" s="477">
        <v>163003</v>
      </c>
      <c r="W7" s="477">
        <v>186289</v>
      </c>
      <c r="X7" s="1662"/>
    </row>
    <row r="8" spans="1:25" ht="26.25" customHeight="1">
      <c r="A8" s="427">
        <v>7</v>
      </c>
      <c r="B8" s="432" t="s">
        <v>832</v>
      </c>
      <c r="C8" s="433" t="s">
        <v>795</v>
      </c>
      <c r="D8" s="433"/>
      <c r="E8" s="434"/>
      <c r="F8" s="437" t="s">
        <v>833</v>
      </c>
      <c r="G8" s="436" t="s">
        <v>797</v>
      </c>
      <c r="I8" s="455" t="s">
        <v>834</v>
      </c>
      <c r="J8" s="456" t="s">
        <v>835</v>
      </c>
      <c r="K8" s="457">
        <v>1</v>
      </c>
      <c r="L8" s="458"/>
      <c r="M8" s="425"/>
      <c r="N8" s="1673"/>
      <c r="O8" s="463" t="s">
        <v>801</v>
      </c>
      <c r="P8" s="462">
        <v>117769.230769231</v>
      </c>
      <c r="Q8" s="462">
        <v>60000</v>
      </c>
      <c r="R8" s="454">
        <v>57769.230769230802</v>
      </c>
      <c r="S8" s="477">
        <v>75372</v>
      </c>
      <c r="T8" s="477">
        <v>94215</v>
      </c>
      <c r="U8" s="477">
        <v>113058</v>
      </c>
      <c r="V8" s="477">
        <v>131902</v>
      </c>
      <c r="W8" s="477">
        <v>150745</v>
      </c>
      <c r="X8" s="1662"/>
    </row>
    <row r="9" spans="1:25" ht="17.25">
      <c r="A9" s="427">
        <v>8</v>
      </c>
      <c r="B9" s="432" t="s">
        <v>836</v>
      </c>
      <c r="C9" s="433" t="s">
        <v>795</v>
      </c>
      <c r="D9" s="433"/>
      <c r="E9" s="434"/>
      <c r="F9" s="437" t="s">
        <v>837</v>
      </c>
      <c r="G9" s="436" t="s">
        <v>801</v>
      </c>
      <c r="I9" s="455" t="s">
        <v>821</v>
      </c>
      <c r="J9" s="456" t="s">
        <v>838</v>
      </c>
      <c r="K9" s="457">
        <v>1</v>
      </c>
      <c r="L9" s="458"/>
      <c r="M9" s="425"/>
      <c r="N9" s="1673" t="s">
        <v>829</v>
      </c>
      <c r="O9" s="463" t="s">
        <v>801</v>
      </c>
      <c r="P9" s="462">
        <v>212525.641025641</v>
      </c>
      <c r="Q9" s="462">
        <v>100000</v>
      </c>
      <c r="R9" s="454">
        <v>112525.641025641</v>
      </c>
      <c r="S9" s="462">
        <v>112525.641025641</v>
      </c>
      <c r="T9" s="477">
        <v>135030.76923076899</v>
      </c>
      <c r="U9" s="477">
        <v>162037</v>
      </c>
      <c r="V9" s="477">
        <v>189043</v>
      </c>
      <c r="W9" s="477">
        <v>216049</v>
      </c>
      <c r="X9" s="1662"/>
    </row>
    <row r="10" spans="1:25" ht="17.25">
      <c r="A10" s="427">
        <v>9</v>
      </c>
      <c r="B10" s="432" t="s">
        <v>839</v>
      </c>
      <c r="C10" s="433" t="s">
        <v>795</v>
      </c>
      <c r="D10" s="433"/>
      <c r="E10" s="434"/>
      <c r="F10" s="437" t="s">
        <v>840</v>
      </c>
      <c r="G10" s="436" t="s">
        <v>801</v>
      </c>
      <c r="I10" s="455" t="s">
        <v>841</v>
      </c>
      <c r="J10" s="456" t="s">
        <v>842</v>
      </c>
      <c r="K10" s="457">
        <v>1</v>
      </c>
      <c r="L10" s="458">
        <v>60</v>
      </c>
      <c r="M10" s="425"/>
      <c r="N10" s="1673"/>
      <c r="O10" s="463" t="s">
        <v>831</v>
      </c>
      <c r="P10" s="462">
        <v>235538.461538462</v>
      </c>
      <c r="Q10" s="462">
        <v>100000</v>
      </c>
      <c r="R10" s="454">
        <v>135538.461538462</v>
      </c>
      <c r="S10" s="462">
        <v>135538.461538462</v>
      </c>
      <c r="T10" s="477">
        <v>162646</v>
      </c>
      <c r="U10" s="477">
        <v>195175</v>
      </c>
      <c r="V10" s="477">
        <v>227705</v>
      </c>
      <c r="W10" s="477">
        <v>260234</v>
      </c>
      <c r="X10" s="1662"/>
    </row>
    <row r="11" spans="1:25" ht="17.25">
      <c r="A11" s="427"/>
      <c r="B11" s="432" t="s">
        <v>843</v>
      </c>
      <c r="C11" s="433"/>
      <c r="D11" s="433"/>
      <c r="E11" s="434"/>
      <c r="F11" s="437" t="s">
        <v>844</v>
      </c>
      <c r="G11" s="436" t="s">
        <v>797</v>
      </c>
      <c r="I11" s="455" t="s">
        <v>845</v>
      </c>
      <c r="J11" s="456" t="s">
        <v>846</v>
      </c>
      <c r="K11" s="457">
        <v>1</v>
      </c>
      <c r="L11" s="458">
        <v>60</v>
      </c>
      <c r="M11" s="425"/>
      <c r="N11" s="1672" t="s">
        <v>847</v>
      </c>
      <c r="O11" s="463" t="s">
        <v>801</v>
      </c>
      <c r="P11" s="462">
        <v>485288.46153846203</v>
      </c>
      <c r="Q11" s="462">
        <v>120000</v>
      </c>
      <c r="R11" s="454">
        <v>365288.46153846203</v>
      </c>
      <c r="S11" s="462">
        <v>365288.46153846203</v>
      </c>
      <c r="T11" s="477">
        <v>438346</v>
      </c>
      <c r="U11" s="477">
        <v>526015</v>
      </c>
      <c r="V11" s="477">
        <v>613685</v>
      </c>
      <c r="W11" s="477">
        <v>701354</v>
      </c>
      <c r="X11" s="1662"/>
    </row>
    <row r="12" spans="1:25" ht="17.25">
      <c r="A12" s="427">
        <v>1</v>
      </c>
      <c r="B12" s="432" t="s">
        <v>848</v>
      </c>
      <c r="C12" s="433" t="s">
        <v>849</v>
      </c>
      <c r="D12" s="433"/>
      <c r="E12" s="434"/>
      <c r="F12" s="437" t="s">
        <v>850</v>
      </c>
      <c r="G12" s="436" t="s">
        <v>801</v>
      </c>
      <c r="I12" s="455" t="s">
        <v>851</v>
      </c>
      <c r="J12" s="456" t="s">
        <v>852</v>
      </c>
      <c r="K12" s="457">
        <v>2</v>
      </c>
      <c r="L12" s="458">
        <v>120</v>
      </c>
      <c r="M12" s="425"/>
      <c r="N12" s="1673"/>
      <c r="O12" s="463" t="s">
        <v>831</v>
      </c>
      <c r="P12" s="462">
        <v>485288.46153846203</v>
      </c>
      <c r="Q12" s="462">
        <v>120000</v>
      </c>
      <c r="R12" s="454">
        <v>365288.46153846203</v>
      </c>
      <c r="S12" s="462">
        <v>365288.46153846203</v>
      </c>
      <c r="T12" s="477">
        <v>438346</v>
      </c>
      <c r="U12" s="477">
        <v>526015</v>
      </c>
      <c r="V12" s="477">
        <v>613685</v>
      </c>
      <c r="W12" s="477">
        <v>701354</v>
      </c>
      <c r="X12" s="1662"/>
    </row>
    <row r="13" spans="1:25" ht="17.25">
      <c r="A13" s="427">
        <v>2</v>
      </c>
      <c r="B13" s="432" t="s">
        <v>853</v>
      </c>
      <c r="C13" s="433" t="s">
        <v>849</v>
      </c>
      <c r="D13" s="433"/>
      <c r="E13" s="434"/>
      <c r="F13" s="437" t="s">
        <v>854</v>
      </c>
      <c r="G13" s="436" t="s">
        <v>797</v>
      </c>
      <c r="I13" s="455" t="s">
        <v>855</v>
      </c>
      <c r="J13" s="456" t="s">
        <v>856</v>
      </c>
      <c r="K13" s="457">
        <v>2</v>
      </c>
      <c r="L13" s="458">
        <v>120</v>
      </c>
      <c r="M13" s="425"/>
      <c r="N13" s="460" t="s">
        <v>857</v>
      </c>
      <c r="O13" s="463" t="s">
        <v>831</v>
      </c>
      <c r="P13" s="462">
        <v>235538.461538462</v>
      </c>
      <c r="Q13" s="462">
        <v>100000</v>
      </c>
      <c r="R13" s="454">
        <v>135538.461538462</v>
      </c>
      <c r="S13" s="462">
        <v>135538.461538462</v>
      </c>
      <c r="T13" s="477">
        <v>162646.15384615399</v>
      </c>
      <c r="U13" s="477">
        <v>195175</v>
      </c>
      <c r="V13" s="477">
        <v>227705</v>
      </c>
      <c r="W13" s="477">
        <v>260234</v>
      </c>
      <c r="X13" s="1662"/>
    </row>
    <row r="14" spans="1:25" ht="17.25">
      <c r="A14" s="427">
        <v>3</v>
      </c>
      <c r="B14" s="432" t="s">
        <v>858</v>
      </c>
      <c r="C14" s="433" t="s">
        <v>849</v>
      </c>
      <c r="D14" s="433"/>
      <c r="E14" s="439"/>
      <c r="F14" s="440" t="s">
        <v>859</v>
      </c>
      <c r="G14" s="441"/>
      <c r="I14" s="455" t="s">
        <v>860</v>
      </c>
      <c r="J14" s="456" t="s">
        <v>861</v>
      </c>
      <c r="K14" s="457">
        <v>1</v>
      </c>
      <c r="L14" s="458">
        <v>60</v>
      </c>
      <c r="M14" s="425"/>
      <c r="N14" s="463" t="s">
        <v>862</v>
      </c>
      <c r="O14" s="463" t="s">
        <v>831</v>
      </c>
      <c r="P14" s="462">
        <v>402038.46153846203</v>
      </c>
      <c r="Q14" s="462">
        <v>120000</v>
      </c>
      <c r="R14" s="454">
        <v>282038.46153846203</v>
      </c>
      <c r="S14" s="462">
        <v>282038.46153846203</v>
      </c>
      <c r="T14" s="477">
        <v>338446</v>
      </c>
      <c r="U14" s="477">
        <v>406135</v>
      </c>
      <c r="V14" s="477">
        <v>473825</v>
      </c>
      <c r="W14" s="477">
        <v>541514</v>
      </c>
      <c r="X14" s="1663"/>
    </row>
    <row r="15" spans="1:25" ht="17.25">
      <c r="A15" s="427">
        <v>4</v>
      </c>
      <c r="B15" s="432" t="s">
        <v>863</v>
      </c>
      <c r="C15" s="433" t="s">
        <v>849</v>
      </c>
      <c r="D15" s="433"/>
      <c r="E15" s="439"/>
      <c r="F15" s="440" t="s">
        <v>864</v>
      </c>
      <c r="I15" s="455" t="s">
        <v>845</v>
      </c>
      <c r="J15" s="456" t="s">
        <v>846</v>
      </c>
      <c r="K15" s="457">
        <v>1</v>
      </c>
      <c r="L15" s="458">
        <v>60</v>
      </c>
      <c r="M15" s="425"/>
      <c r="N15" s="425"/>
    </row>
    <row r="16" spans="1:25" ht="17.25">
      <c r="A16" s="427">
        <v>5</v>
      </c>
      <c r="B16" s="432" t="s">
        <v>865</v>
      </c>
      <c r="C16" s="433" t="s">
        <v>849</v>
      </c>
      <c r="D16" s="433"/>
      <c r="E16" s="439"/>
      <c r="I16" s="465" t="s">
        <v>866</v>
      </c>
      <c r="J16" s="466" t="s">
        <v>867</v>
      </c>
      <c r="K16" s="467">
        <v>2</v>
      </c>
      <c r="L16" s="468"/>
      <c r="M16" s="425"/>
      <c r="N16" s="425"/>
      <c r="V16" s="478"/>
    </row>
    <row r="17" spans="1:17" ht="17.25">
      <c r="A17" s="427">
        <v>6</v>
      </c>
      <c r="B17" s="432" t="s">
        <v>868</v>
      </c>
      <c r="C17" s="433" t="s">
        <v>849</v>
      </c>
      <c r="D17" s="433"/>
      <c r="E17" s="439"/>
      <c r="F17" s="442" t="s">
        <v>869</v>
      </c>
      <c r="G17" s="424">
        <v>3</v>
      </c>
      <c r="H17" s="424" t="s">
        <v>841</v>
      </c>
      <c r="I17" s="469" t="s">
        <v>870</v>
      </c>
      <c r="J17" s="470" t="s">
        <v>871</v>
      </c>
      <c r="K17" s="471">
        <v>2</v>
      </c>
      <c r="L17" s="458">
        <v>120</v>
      </c>
      <c r="M17" s="425"/>
      <c r="N17" s="425"/>
    </row>
    <row r="18" spans="1:17" ht="17.25">
      <c r="A18" s="427">
        <v>7</v>
      </c>
      <c r="B18" s="432" t="s">
        <v>872</v>
      </c>
      <c r="C18" s="433" t="s">
        <v>849</v>
      </c>
      <c r="D18" s="433"/>
      <c r="E18" s="439"/>
      <c r="F18" s="442" t="s">
        <v>873</v>
      </c>
      <c r="G18" s="424">
        <v>4</v>
      </c>
      <c r="H18" s="424" t="s">
        <v>860</v>
      </c>
      <c r="I18" s="469" t="s">
        <v>874</v>
      </c>
      <c r="J18" s="470" t="s">
        <v>875</v>
      </c>
      <c r="K18" s="471">
        <v>2</v>
      </c>
      <c r="L18" s="458">
        <v>100</v>
      </c>
      <c r="M18" s="425"/>
      <c r="N18" s="425"/>
    </row>
    <row r="19" spans="1:17" ht="17.25">
      <c r="A19" s="427">
        <v>8</v>
      </c>
      <c r="B19" s="432" t="s">
        <v>876</v>
      </c>
      <c r="C19" s="433" t="s">
        <v>849</v>
      </c>
      <c r="D19" s="433"/>
      <c r="E19" s="439"/>
      <c r="I19" s="472" t="s">
        <v>877</v>
      </c>
      <c r="J19" s="470" t="s">
        <v>878</v>
      </c>
      <c r="K19" s="471">
        <v>1</v>
      </c>
      <c r="L19" s="458">
        <v>60</v>
      </c>
    </row>
    <row r="20" spans="1:17">
      <c r="A20" s="427">
        <v>9</v>
      </c>
      <c r="B20" s="432" t="s">
        <v>631</v>
      </c>
      <c r="C20" s="433" t="s">
        <v>849</v>
      </c>
      <c r="D20" s="433"/>
      <c r="E20" s="439"/>
      <c r="I20" s="472"/>
      <c r="J20" s="473"/>
      <c r="K20" s="472"/>
      <c r="L20" s="473"/>
    </row>
    <row r="21" spans="1:17">
      <c r="A21" s="427">
        <v>10</v>
      </c>
      <c r="B21" s="432" t="s">
        <v>879</v>
      </c>
      <c r="C21" s="433" t="s">
        <v>849</v>
      </c>
      <c r="D21" s="433"/>
      <c r="E21" s="439"/>
      <c r="I21" s="472"/>
      <c r="J21" s="473"/>
      <c r="K21" s="473"/>
      <c r="L21" s="473"/>
    </row>
    <row r="22" spans="1:17">
      <c r="A22" s="427">
        <v>11</v>
      </c>
      <c r="B22" s="432" t="s">
        <v>880</v>
      </c>
      <c r="C22" s="433" t="s">
        <v>849</v>
      </c>
      <c r="D22" s="433"/>
      <c r="E22" s="439"/>
      <c r="I22" s="472"/>
      <c r="J22" s="473"/>
      <c r="K22" s="473"/>
      <c r="L22" s="473"/>
    </row>
    <row r="23" spans="1:17">
      <c r="A23" s="427">
        <v>12</v>
      </c>
      <c r="B23" s="432" t="s">
        <v>881</v>
      </c>
      <c r="C23" s="433" t="s">
        <v>849</v>
      </c>
      <c r="D23" s="433"/>
      <c r="E23" s="439"/>
      <c r="I23" s="472"/>
      <c r="J23" s="473"/>
      <c r="K23" s="473"/>
      <c r="L23" s="473"/>
    </row>
    <row r="24" spans="1:17">
      <c r="A24" s="427">
        <v>13</v>
      </c>
      <c r="B24" s="432" t="s">
        <v>882</v>
      </c>
      <c r="C24" s="433" t="s">
        <v>849</v>
      </c>
      <c r="D24" s="433"/>
      <c r="E24" s="439"/>
      <c r="I24" s="472"/>
      <c r="J24" s="473"/>
      <c r="K24" s="473"/>
      <c r="L24" s="473"/>
      <c r="O24" s="1664" t="s">
        <v>883</v>
      </c>
      <c r="P24" s="1665"/>
      <c r="Q24" s="1666"/>
    </row>
    <row r="25" spans="1:17">
      <c r="A25" s="427">
        <v>14</v>
      </c>
      <c r="B25" s="432" t="s">
        <v>884</v>
      </c>
      <c r="C25" s="433" t="s">
        <v>849</v>
      </c>
      <c r="D25" s="433"/>
      <c r="E25" s="439"/>
      <c r="O25" s="474" t="s">
        <v>885</v>
      </c>
      <c r="P25" s="474" t="s">
        <v>886</v>
      </c>
      <c r="Q25" s="474" t="s">
        <v>887</v>
      </c>
    </row>
    <row r="26" spans="1:17">
      <c r="A26" s="427">
        <v>15</v>
      </c>
      <c r="B26" s="432" t="s">
        <v>888</v>
      </c>
      <c r="C26" s="433" t="s">
        <v>849</v>
      </c>
      <c r="D26" s="433"/>
      <c r="E26" s="439"/>
      <c r="O26" s="472" t="s">
        <v>889</v>
      </c>
      <c r="P26" s="473" t="s">
        <v>862</v>
      </c>
      <c r="Q26" s="473">
        <v>150</v>
      </c>
    </row>
    <row r="27" spans="1:17">
      <c r="A27" s="427"/>
      <c r="B27" s="443" t="s">
        <v>890</v>
      </c>
      <c r="C27" s="427"/>
      <c r="D27" s="427"/>
      <c r="E27" s="439"/>
      <c r="O27" s="472" t="s">
        <v>889</v>
      </c>
      <c r="P27" s="473" t="s">
        <v>857</v>
      </c>
      <c r="Q27" s="473">
        <v>115</v>
      </c>
    </row>
    <row r="28" spans="1:17">
      <c r="A28" s="427"/>
      <c r="B28" s="432" t="s">
        <v>891</v>
      </c>
      <c r="C28" s="427" t="s">
        <v>892</v>
      </c>
      <c r="D28" s="444"/>
      <c r="E28" s="445"/>
      <c r="O28" s="472" t="s">
        <v>889</v>
      </c>
      <c r="P28" s="473" t="s">
        <v>893</v>
      </c>
      <c r="Q28" s="473">
        <v>315</v>
      </c>
    </row>
    <row r="29" spans="1:17">
      <c r="A29" s="427"/>
      <c r="B29" s="432" t="s">
        <v>894</v>
      </c>
      <c r="C29" s="427" t="s">
        <v>892</v>
      </c>
      <c r="D29" s="444"/>
      <c r="E29" s="445"/>
      <c r="O29" s="472" t="s">
        <v>889</v>
      </c>
      <c r="P29" s="473" t="s">
        <v>895</v>
      </c>
      <c r="Q29" s="473">
        <v>273</v>
      </c>
    </row>
    <row r="30" spans="1:17">
      <c r="A30" s="427"/>
      <c r="B30" s="432" t="s">
        <v>896</v>
      </c>
      <c r="C30" s="427" t="s">
        <v>892</v>
      </c>
      <c r="D30" s="444"/>
      <c r="E30" s="445"/>
      <c r="O30" s="472" t="s">
        <v>889</v>
      </c>
      <c r="P30" s="473" t="s">
        <v>897</v>
      </c>
      <c r="Q30" s="473">
        <v>194</v>
      </c>
    </row>
    <row r="31" spans="1:17">
      <c r="A31" s="427"/>
      <c r="B31" s="432" t="s">
        <v>898</v>
      </c>
      <c r="C31" s="427" t="s">
        <v>892</v>
      </c>
      <c r="D31" s="444"/>
      <c r="E31" s="445"/>
      <c r="O31" s="472" t="s">
        <v>889</v>
      </c>
      <c r="P31" s="473" t="s">
        <v>899</v>
      </c>
      <c r="Q31" s="473">
        <v>115</v>
      </c>
    </row>
    <row r="32" spans="1:17">
      <c r="A32" s="427"/>
      <c r="B32" s="446" t="s">
        <v>900</v>
      </c>
      <c r="C32" s="427" t="s">
        <v>892</v>
      </c>
      <c r="D32" s="444"/>
      <c r="E32" s="445"/>
      <c r="O32" s="472" t="s">
        <v>889</v>
      </c>
      <c r="P32" s="473" t="s">
        <v>901</v>
      </c>
      <c r="Q32" s="473">
        <v>46</v>
      </c>
    </row>
    <row r="33" spans="1:17">
      <c r="A33" s="427"/>
      <c r="B33" s="432" t="s">
        <v>902</v>
      </c>
      <c r="C33" s="427" t="s">
        <v>892</v>
      </c>
      <c r="D33" s="444"/>
      <c r="E33" s="445"/>
      <c r="O33" s="472" t="s">
        <v>889</v>
      </c>
      <c r="P33" s="473" t="s">
        <v>903</v>
      </c>
      <c r="Q33" s="473">
        <v>51</v>
      </c>
    </row>
    <row r="34" spans="1:17">
      <c r="A34" s="427"/>
      <c r="B34" s="446" t="s">
        <v>904</v>
      </c>
      <c r="C34" s="427" t="s">
        <v>892</v>
      </c>
      <c r="D34" s="444"/>
      <c r="E34" s="445"/>
      <c r="O34" s="472" t="s">
        <v>889</v>
      </c>
      <c r="P34" s="473" t="s">
        <v>905</v>
      </c>
      <c r="Q34" s="473">
        <v>84</v>
      </c>
    </row>
    <row r="35" spans="1:17">
      <c r="A35" s="427"/>
      <c r="B35" s="446" t="s">
        <v>906</v>
      </c>
      <c r="C35" s="427" t="s">
        <v>892</v>
      </c>
      <c r="D35" s="444"/>
      <c r="E35" s="445"/>
      <c r="O35" s="472" t="s">
        <v>889</v>
      </c>
      <c r="P35" s="473" t="s">
        <v>907</v>
      </c>
      <c r="Q35" s="473">
        <v>62</v>
      </c>
    </row>
    <row r="36" spans="1:17">
      <c r="A36" s="427"/>
      <c r="B36" s="432" t="s">
        <v>908</v>
      </c>
      <c r="C36" s="427" t="s">
        <v>892</v>
      </c>
      <c r="D36" s="444"/>
      <c r="E36" s="445"/>
      <c r="O36" s="472" t="s">
        <v>889</v>
      </c>
      <c r="P36" s="475" t="s">
        <v>909</v>
      </c>
      <c r="Q36" s="475">
        <v>122</v>
      </c>
    </row>
    <row r="37" spans="1:17">
      <c r="A37" s="427"/>
      <c r="B37" s="447" t="s">
        <v>910</v>
      </c>
      <c r="C37" s="427" t="s">
        <v>892</v>
      </c>
      <c r="D37" s="444"/>
      <c r="E37" s="445"/>
      <c r="O37" s="472" t="s">
        <v>889</v>
      </c>
      <c r="P37" s="475" t="s">
        <v>911</v>
      </c>
      <c r="Q37" s="475">
        <v>40</v>
      </c>
    </row>
    <row r="38" spans="1:17">
      <c r="E38" s="445"/>
      <c r="O38" s="472" t="s">
        <v>889</v>
      </c>
      <c r="P38" s="475" t="s">
        <v>912</v>
      </c>
      <c r="Q38" s="475">
        <v>60</v>
      </c>
    </row>
  </sheetData>
  <autoFilter ref="B1:F37"/>
  <mergeCells count="10">
    <mergeCell ref="X4:X14"/>
    <mergeCell ref="O24:Q24"/>
    <mergeCell ref="I3:I4"/>
    <mergeCell ref="J3:J4"/>
    <mergeCell ref="K3:K4"/>
    <mergeCell ref="L3:L4"/>
    <mergeCell ref="N5:N6"/>
    <mergeCell ref="N7:N8"/>
    <mergeCell ref="N9:N10"/>
    <mergeCell ref="N11:N12"/>
  </mergeCells>
  <conditionalFormatting sqref="E19">
    <cfRule type="duplicateValues" dxfId="11" priority="13" stopIfTrue="1"/>
  </conditionalFormatting>
  <conditionalFormatting sqref="C20:E20">
    <cfRule type="duplicateValues" dxfId="10" priority="2" stopIfTrue="1"/>
  </conditionalFormatting>
  <conditionalFormatting sqref="C21:E21">
    <cfRule type="duplicateValues" dxfId="9" priority="8" stopIfTrue="1"/>
  </conditionalFormatting>
  <conditionalFormatting sqref="C22:E22">
    <cfRule type="duplicateValues" dxfId="8" priority="6" stopIfTrue="1"/>
  </conditionalFormatting>
  <conditionalFormatting sqref="C23:E23">
    <cfRule type="duplicateValues" dxfId="7" priority="3" stopIfTrue="1"/>
  </conditionalFormatting>
  <conditionalFormatting sqref="C24:E24">
    <cfRule type="duplicateValues" dxfId="6" priority="7" stopIfTrue="1"/>
  </conditionalFormatting>
  <conditionalFormatting sqref="C25:E25">
    <cfRule type="duplicateValues" dxfId="5" priority="5" stopIfTrue="1"/>
  </conditionalFormatting>
  <conditionalFormatting sqref="C26:E26">
    <cfRule type="duplicateValues" dxfId="4" priority="4" stopIfTrue="1"/>
  </conditionalFormatting>
  <conditionalFormatting sqref="E27">
    <cfRule type="duplicateValues" dxfId="3" priority="12" stopIfTrue="1"/>
  </conditionalFormatting>
  <conditionalFormatting sqref="B2:B17">
    <cfRule type="duplicateValues" dxfId="2" priority="11" stopIfTrue="1"/>
  </conditionalFormatting>
  <conditionalFormatting sqref="R5:R14">
    <cfRule type="dataBar" priority="1">
      <dataBar>
        <cfvo type="min"/>
        <cfvo type="max"/>
        <color rgb="FF008AEF"/>
      </dataBar>
      <extLst>
        <ext xmlns:x14="http://schemas.microsoft.com/office/spreadsheetml/2009/9/main" uri="{B025F937-C7B1-47D3-B67F-A62EFF666E3E}">
          <x14:id>{C58606BC-5BA9-4EF1-B38B-0986985587C0}</x14:id>
        </ext>
      </extLst>
    </cfRule>
  </conditionalFormatting>
  <conditionalFormatting sqref="E17 C18:D18">
    <cfRule type="duplicateValues" dxfId="1" priority="10" stopIfTrue="1"/>
  </conditionalFormatting>
  <conditionalFormatting sqref="E18 C19:D19">
    <cfRule type="duplicateValues" dxfId="0" priority="9" stopIfTrue="1"/>
  </conditionalFormatting>
  <pageMargins left="0.69930555555555596" right="0.69930555555555596"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dataBar" id="{C58606BC-5BA9-4EF1-B38B-0986985587C0}">
            <x14:dataBar minLength="0" maxLength="100" negativeBarColorSameAsPositive="1" axisPosition="none">
              <x14:cfvo type="min"/>
              <x14:cfvo type="max"/>
            </x14:dataBar>
          </x14:cfRule>
          <xm:sqref>R5:R14</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WVX83"/>
  <sheetViews>
    <sheetView workbookViewId="0">
      <pane xSplit="2" ySplit="5" topLeftCell="M6" activePane="bottomRight" state="frozen"/>
      <selection pane="topRight"/>
      <selection pane="bottomLeft"/>
      <selection pane="bottomRight" activeCell="P8" sqref="P8"/>
    </sheetView>
  </sheetViews>
  <sheetFormatPr defaultColWidth="9" defaultRowHeight="15"/>
  <cols>
    <col min="1" max="1" width="9.140625" style="360"/>
    <col min="2" max="2" width="20.140625" style="360" customWidth="1"/>
    <col min="3" max="3" width="17.28515625" style="361" customWidth="1"/>
    <col min="4" max="5" width="13" style="361" customWidth="1"/>
    <col min="6" max="15" width="6.7109375" style="361" customWidth="1"/>
    <col min="16" max="16" width="6.42578125" style="361" customWidth="1"/>
    <col min="17" max="17" width="6.42578125" style="361" hidden="1" customWidth="1"/>
    <col min="18" max="20" width="8" style="361" hidden="1" customWidth="1"/>
    <col min="21" max="21" width="6.42578125" style="361" hidden="1" customWidth="1"/>
    <col min="22" max="25" width="6.7109375" style="361" hidden="1" customWidth="1"/>
    <col min="26" max="26" width="6.42578125" style="361" customWidth="1"/>
    <col min="27" max="27" width="6.42578125" style="361" hidden="1" customWidth="1"/>
    <col min="28" max="30" width="7" style="361" hidden="1" customWidth="1"/>
    <col min="31" max="31" width="6.42578125" style="361" hidden="1" customWidth="1"/>
    <col min="32" max="35" width="8.140625" style="361" hidden="1" customWidth="1"/>
    <col min="36" max="36" width="8.140625" style="361" customWidth="1"/>
    <col min="37" max="37" width="8.140625" style="361" hidden="1" customWidth="1"/>
    <col min="38" max="38" width="8.140625" style="361" customWidth="1"/>
    <col min="39" max="39" width="8.140625" style="361" hidden="1" customWidth="1"/>
    <col min="40" max="41" width="8.140625" style="361" customWidth="1"/>
    <col min="42" max="42" width="6.42578125" style="361" customWidth="1"/>
    <col min="43" max="45" width="6.42578125" style="361" hidden="1" customWidth="1"/>
    <col min="46" max="46" width="6.42578125" style="361" customWidth="1"/>
    <col min="47" max="47" width="6.42578125" style="361" hidden="1" customWidth="1"/>
    <col min="48" max="48" width="6.140625" style="361" customWidth="1"/>
    <col min="49" max="49" width="10.28515625" style="361" customWidth="1"/>
    <col min="50" max="50" width="7.28515625" style="361" customWidth="1"/>
    <col min="51" max="51" width="8.140625" style="361" customWidth="1"/>
    <col min="52" max="52" width="7" style="361" customWidth="1"/>
    <col min="53" max="53" width="1.42578125" style="361" customWidth="1"/>
    <col min="54" max="54" width="9" style="361" hidden="1" customWidth="1"/>
    <col min="55" max="55" width="10.42578125" style="361" customWidth="1"/>
    <col min="56" max="56" width="14.140625" style="361" customWidth="1"/>
    <col min="57" max="238" width="9.140625" style="361"/>
    <col min="239" max="239" width="17.28515625" style="361" customWidth="1"/>
    <col min="240" max="240" width="13" style="361" customWidth="1"/>
    <col min="241" max="272" width="9" style="361" hidden="1" customWidth="1"/>
    <col min="273" max="273" width="7.5703125" style="361" customWidth="1"/>
    <col min="274" max="274" width="7" style="361" customWidth="1"/>
    <col min="275" max="275" width="7.42578125" style="361" customWidth="1"/>
    <col min="276" max="276" width="7.140625" style="361" customWidth="1"/>
    <col min="277" max="277" width="7" style="361" customWidth="1"/>
    <col min="278" max="278" width="7.5703125" style="361" customWidth="1"/>
    <col min="279" max="279" width="6.5703125" style="361" customWidth="1"/>
    <col min="280" max="282" width="5.5703125" style="361" customWidth="1"/>
    <col min="283" max="283" width="6.42578125" style="361" customWidth="1"/>
    <col min="284" max="284" width="6.5703125" style="361" customWidth="1"/>
    <col min="285" max="285" width="6.28515625" style="361" customWidth="1"/>
    <col min="286" max="286" width="6.5703125" style="361" customWidth="1"/>
    <col min="287" max="287" width="6.28515625" style="361" customWidth="1"/>
    <col min="288" max="288" width="7.42578125" style="361" customWidth="1"/>
    <col min="289" max="289" width="6.140625" style="361" customWidth="1"/>
    <col min="290" max="290" width="6.28515625" style="361" customWidth="1"/>
    <col min="291" max="291" width="9.140625" style="361" customWidth="1"/>
    <col min="292" max="292" width="15.28515625" style="361" customWidth="1"/>
    <col min="293" max="293" width="17.85546875" style="361" customWidth="1"/>
    <col min="294" max="294" width="13.85546875" style="361" customWidth="1"/>
    <col min="295" max="295" width="12.85546875" style="361" customWidth="1"/>
    <col min="296" max="296" width="14.140625" style="361" customWidth="1"/>
    <col min="297" max="297" width="17.140625" style="361" customWidth="1"/>
    <col min="298" max="298" width="12.5703125" style="361" customWidth="1"/>
    <col min="299" max="299" width="15.42578125" style="361" customWidth="1"/>
    <col min="300" max="300" width="11.7109375" style="361" customWidth="1"/>
    <col min="301" max="301" width="16.7109375" style="361" customWidth="1"/>
    <col min="302" max="302" width="21.42578125" style="361" customWidth="1"/>
    <col min="303" max="494" width="9.140625" style="361"/>
    <col min="495" max="495" width="17.28515625" style="361" customWidth="1"/>
    <col min="496" max="496" width="13" style="361" customWidth="1"/>
    <col min="497" max="528" width="9" style="361" hidden="1" customWidth="1"/>
    <col min="529" max="529" width="7.5703125" style="361" customWidth="1"/>
    <col min="530" max="530" width="7" style="361" customWidth="1"/>
    <col min="531" max="531" width="7.42578125" style="361" customWidth="1"/>
    <col min="532" max="532" width="7.140625" style="361" customWidth="1"/>
    <col min="533" max="533" width="7" style="361" customWidth="1"/>
    <col min="534" max="534" width="7.5703125" style="361" customWidth="1"/>
    <col min="535" max="535" width="6.5703125" style="361" customWidth="1"/>
    <col min="536" max="538" width="5.5703125" style="361" customWidth="1"/>
    <col min="539" max="539" width="6.42578125" style="361" customWidth="1"/>
    <col min="540" max="540" width="6.5703125" style="361" customWidth="1"/>
    <col min="541" max="541" width="6.28515625" style="361" customWidth="1"/>
    <col min="542" max="542" width="6.5703125" style="361" customWidth="1"/>
    <col min="543" max="543" width="6.28515625" style="361" customWidth="1"/>
    <col min="544" max="544" width="7.42578125" style="361" customWidth="1"/>
    <col min="545" max="545" width="6.140625" style="361" customWidth="1"/>
    <col min="546" max="546" width="6.28515625" style="361" customWidth="1"/>
    <col min="547" max="547" width="9.140625" style="361" customWidth="1"/>
    <col min="548" max="548" width="15.28515625" style="361" customWidth="1"/>
    <col min="549" max="549" width="17.85546875" style="361" customWidth="1"/>
    <col min="550" max="550" width="13.85546875" style="361" customWidth="1"/>
    <col min="551" max="551" width="12.85546875" style="361" customWidth="1"/>
    <col min="552" max="552" width="14.140625" style="361" customWidth="1"/>
    <col min="553" max="553" width="17.140625" style="361" customWidth="1"/>
    <col min="554" max="554" width="12.5703125" style="361" customWidth="1"/>
    <col min="555" max="555" width="15.42578125" style="361" customWidth="1"/>
    <col min="556" max="556" width="11.7109375" style="361" customWidth="1"/>
    <col min="557" max="557" width="16.7109375" style="361" customWidth="1"/>
    <col min="558" max="558" width="21.42578125" style="361" customWidth="1"/>
    <col min="559" max="750" width="9.140625" style="361"/>
    <col min="751" max="751" width="17.28515625" style="361" customWidth="1"/>
    <col min="752" max="752" width="13" style="361" customWidth="1"/>
    <col min="753" max="784" width="9" style="361" hidden="1" customWidth="1"/>
    <col min="785" max="785" width="7.5703125" style="361" customWidth="1"/>
    <col min="786" max="786" width="7" style="361" customWidth="1"/>
    <col min="787" max="787" width="7.42578125" style="361" customWidth="1"/>
    <col min="788" max="788" width="7.140625" style="361" customWidth="1"/>
    <col min="789" max="789" width="7" style="361" customWidth="1"/>
    <col min="790" max="790" width="7.5703125" style="361" customWidth="1"/>
    <col min="791" max="791" width="6.5703125" style="361" customWidth="1"/>
    <col min="792" max="794" width="5.5703125" style="361" customWidth="1"/>
    <col min="795" max="795" width="6.42578125" style="361" customWidth="1"/>
    <col min="796" max="796" width="6.5703125" style="361" customWidth="1"/>
    <col min="797" max="797" width="6.28515625" style="361" customWidth="1"/>
    <col min="798" max="798" width="6.5703125" style="361" customWidth="1"/>
    <col min="799" max="799" width="6.28515625" style="361" customWidth="1"/>
    <col min="800" max="800" width="7.42578125" style="361" customWidth="1"/>
    <col min="801" max="801" width="6.140625" style="361" customWidth="1"/>
    <col min="802" max="802" width="6.28515625" style="361" customWidth="1"/>
    <col min="803" max="803" width="9.140625" style="361" customWidth="1"/>
    <col min="804" max="804" width="15.28515625" style="361" customWidth="1"/>
    <col min="805" max="805" width="17.85546875" style="361" customWidth="1"/>
    <col min="806" max="806" width="13.85546875" style="361" customWidth="1"/>
    <col min="807" max="807" width="12.85546875" style="361" customWidth="1"/>
    <col min="808" max="808" width="14.140625" style="361" customWidth="1"/>
    <col min="809" max="809" width="17.140625" style="361" customWidth="1"/>
    <col min="810" max="810" width="12.5703125" style="361" customWidth="1"/>
    <col min="811" max="811" width="15.42578125" style="361" customWidth="1"/>
    <col min="812" max="812" width="11.7109375" style="361" customWidth="1"/>
    <col min="813" max="813" width="16.7109375" style="361" customWidth="1"/>
    <col min="814" max="814" width="21.42578125" style="361" customWidth="1"/>
    <col min="815" max="1006" width="9.140625" style="361"/>
    <col min="1007" max="1007" width="17.28515625" style="361" customWidth="1"/>
    <col min="1008" max="1008" width="13" style="361" customWidth="1"/>
    <col min="1009" max="1040" width="9" style="361" hidden="1" customWidth="1"/>
    <col min="1041" max="1041" width="7.5703125" style="361" customWidth="1"/>
    <col min="1042" max="1042" width="7" style="361" customWidth="1"/>
    <col min="1043" max="1043" width="7.42578125" style="361" customWidth="1"/>
    <col min="1044" max="1044" width="7.140625" style="361" customWidth="1"/>
    <col min="1045" max="1045" width="7" style="361" customWidth="1"/>
    <col min="1046" max="1046" width="7.5703125" style="361" customWidth="1"/>
    <col min="1047" max="1047" width="6.5703125" style="361" customWidth="1"/>
    <col min="1048" max="1050" width="5.5703125" style="361" customWidth="1"/>
    <col min="1051" max="1051" width="6.42578125" style="361" customWidth="1"/>
    <col min="1052" max="1052" width="6.5703125" style="361" customWidth="1"/>
    <col min="1053" max="1053" width="6.28515625" style="361" customWidth="1"/>
    <col min="1054" max="1054" width="6.5703125" style="361" customWidth="1"/>
    <col min="1055" max="1055" width="6.28515625" style="361" customWidth="1"/>
    <col min="1056" max="1056" width="7.42578125" style="361" customWidth="1"/>
    <col min="1057" max="1057" width="6.140625" style="361" customWidth="1"/>
    <col min="1058" max="1058" width="6.28515625" style="361" customWidth="1"/>
    <col min="1059" max="1059" width="9.140625" style="361" customWidth="1"/>
    <col min="1060" max="1060" width="15.28515625" style="361" customWidth="1"/>
    <col min="1061" max="1061" width="17.85546875" style="361" customWidth="1"/>
    <col min="1062" max="1062" width="13.85546875" style="361" customWidth="1"/>
    <col min="1063" max="1063" width="12.85546875" style="361" customWidth="1"/>
    <col min="1064" max="1064" width="14.140625" style="361" customWidth="1"/>
    <col min="1065" max="1065" width="17.140625" style="361" customWidth="1"/>
    <col min="1066" max="1066" width="12.5703125" style="361" customWidth="1"/>
    <col min="1067" max="1067" width="15.42578125" style="361" customWidth="1"/>
    <col min="1068" max="1068" width="11.7109375" style="361" customWidth="1"/>
    <col min="1069" max="1069" width="16.7109375" style="361" customWidth="1"/>
    <col min="1070" max="1070" width="21.42578125" style="361" customWidth="1"/>
    <col min="1071" max="1262" width="9.140625" style="361"/>
    <col min="1263" max="1263" width="17.28515625" style="361" customWidth="1"/>
    <col min="1264" max="1264" width="13" style="361" customWidth="1"/>
    <col min="1265" max="1296" width="9" style="361" hidden="1" customWidth="1"/>
    <col min="1297" max="1297" width="7.5703125" style="361" customWidth="1"/>
    <col min="1298" max="1298" width="7" style="361" customWidth="1"/>
    <col min="1299" max="1299" width="7.42578125" style="361" customWidth="1"/>
    <col min="1300" max="1300" width="7.140625" style="361" customWidth="1"/>
    <col min="1301" max="1301" width="7" style="361" customWidth="1"/>
    <col min="1302" max="1302" width="7.5703125" style="361" customWidth="1"/>
    <col min="1303" max="1303" width="6.5703125" style="361" customWidth="1"/>
    <col min="1304" max="1306" width="5.5703125" style="361" customWidth="1"/>
    <col min="1307" max="1307" width="6.42578125" style="361" customWidth="1"/>
    <col min="1308" max="1308" width="6.5703125" style="361" customWidth="1"/>
    <col min="1309" max="1309" width="6.28515625" style="361" customWidth="1"/>
    <col min="1310" max="1310" width="6.5703125" style="361" customWidth="1"/>
    <col min="1311" max="1311" width="6.28515625" style="361" customWidth="1"/>
    <col min="1312" max="1312" width="7.42578125" style="361" customWidth="1"/>
    <col min="1313" max="1313" width="6.140625" style="361" customWidth="1"/>
    <col min="1314" max="1314" width="6.28515625" style="361" customWidth="1"/>
    <col min="1315" max="1315" width="9.140625" style="361" customWidth="1"/>
    <col min="1316" max="1316" width="15.28515625" style="361" customWidth="1"/>
    <col min="1317" max="1317" width="17.85546875" style="361" customWidth="1"/>
    <col min="1318" max="1318" width="13.85546875" style="361" customWidth="1"/>
    <col min="1319" max="1319" width="12.85546875" style="361" customWidth="1"/>
    <col min="1320" max="1320" width="14.140625" style="361" customWidth="1"/>
    <col min="1321" max="1321" width="17.140625" style="361" customWidth="1"/>
    <col min="1322" max="1322" width="12.5703125" style="361" customWidth="1"/>
    <col min="1323" max="1323" width="15.42578125" style="361" customWidth="1"/>
    <col min="1324" max="1324" width="11.7109375" style="361" customWidth="1"/>
    <col min="1325" max="1325" width="16.7109375" style="361" customWidth="1"/>
    <col min="1326" max="1326" width="21.42578125" style="361" customWidth="1"/>
    <col min="1327" max="1518" width="9.140625" style="361"/>
    <col min="1519" max="1519" width="17.28515625" style="361" customWidth="1"/>
    <col min="1520" max="1520" width="13" style="361" customWidth="1"/>
    <col min="1521" max="1552" width="9" style="361" hidden="1" customWidth="1"/>
    <col min="1553" max="1553" width="7.5703125" style="361" customWidth="1"/>
    <col min="1554" max="1554" width="7" style="361" customWidth="1"/>
    <col min="1555" max="1555" width="7.42578125" style="361" customWidth="1"/>
    <col min="1556" max="1556" width="7.140625" style="361" customWidth="1"/>
    <col min="1557" max="1557" width="7" style="361" customWidth="1"/>
    <col min="1558" max="1558" width="7.5703125" style="361" customWidth="1"/>
    <col min="1559" max="1559" width="6.5703125" style="361" customWidth="1"/>
    <col min="1560" max="1562" width="5.5703125" style="361" customWidth="1"/>
    <col min="1563" max="1563" width="6.42578125" style="361" customWidth="1"/>
    <col min="1564" max="1564" width="6.5703125" style="361" customWidth="1"/>
    <col min="1565" max="1565" width="6.28515625" style="361" customWidth="1"/>
    <col min="1566" max="1566" width="6.5703125" style="361" customWidth="1"/>
    <col min="1567" max="1567" width="6.28515625" style="361" customWidth="1"/>
    <col min="1568" max="1568" width="7.42578125" style="361" customWidth="1"/>
    <col min="1569" max="1569" width="6.140625" style="361" customWidth="1"/>
    <col min="1570" max="1570" width="6.28515625" style="361" customWidth="1"/>
    <col min="1571" max="1571" width="9.140625" style="361" customWidth="1"/>
    <col min="1572" max="1572" width="15.28515625" style="361" customWidth="1"/>
    <col min="1573" max="1573" width="17.85546875" style="361" customWidth="1"/>
    <col min="1574" max="1574" width="13.85546875" style="361" customWidth="1"/>
    <col min="1575" max="1575" width="12.85546875" style="361" customWidth="1"/>
    <col min="1576" max="1576" width="14.140625" style="361" customWidth="1"/>
    <col min="1577" max="1577" width="17.140625" style="361" customWidth="1"/>
    <col min="1578" max="1578" width="12.5703125" style="361" customWidth="1"/>
    <col min="1579" max="1579" width="15.42578125" style="361" customWidth="1"/>
    <col min="1580" max="1580" width="11.7109375" style="361" customWidth="1"/>
    <col min="1581" max="1581" width="16.7109375" style="361" customWidth="1"/>
    <col min="1582" max="1582" width="21.42578125" style="361" customWidth="1"/>
    <col min="1583" max="1774" width="9.140625" style="361"/>
    <col min="1775" max="1775" width="17.28515625" style="361" customWidth="1"/>
    <col min="1776" max="1776" width="13" style="361" customWidth="1"/>
    <col min="1777" max="1808" width="9" style="361" hidden="1" customWidth="1"/>
    <col min="1809" max="1809" width="7.5703125" style="361" customWidth="1"/>
    <col min="1810" max="1810" width="7" style="361" customWidth="1"/>
    <col min="1811" max="1811" width="7.42578125" style="361" customWidth="1"/>
    <col min="1812" max="1812" width="7.140625" style="361" customWidth="1"/>
    <col min="1813" max="1813" width="7" style="361" customWidth="1"/>
    <col min="1814" max="1814" width="7.5703125" style="361" customWidth="1"/>
    <col min="1815" max="1815" width="6.5703125" style="361" customWidth="1"/>
    <col min="1816" max="1818" width="5.5703125" style="361" customWidth="1"/>
    <col min="1819" max="1819" width="6.42578125" style="361" customWidth="1"/>
    <col min="1820" max="1820" width="6.5703125" style="361" customWidth="1"/>
    <col min="1821" max="1821" width="6.28515625" style="361" customWidth="1"/>
    <col min="1822" max="1822" width="6.5703125" style="361" customWidth="1"/>
    <col min="1823" max="1823" width="6.28515625" style="361" customWidth="1"/>
    <col min="1824" max="1824" width="7.42578125" style="361" customWidth="1"/>
    <col min="1825" max="1825" width="6.140625" style="361" customWidth="1"/>
    <col min="1826" max="1826" width="6.28515625" style="361" customWidth="1"/>
    <col min="1827" max="1827" width="9.140625" style="361" customWidth="1"/>
    <col min="1828" max="1828" width="15.28515625" style="361" customWidth="1"/>
    <col min="1829" max="1829" width="17.85546875" style="361" customWidth="1"/>
    <col min="1830" max="1830" width="13.85546875" style="361" customWidth="1"/>
    <col min="1831" max="1831" width="12.85546875" style="361" customWidth="1"/>
    <col min="1832" max="1832" width="14.140625" style="361" customWidth="1"/>
    <col min="1833" max="1833" width="17.140625" style="361" customWidth="1"/>
    <col min="1834" max="1834" width="12.5703125" style="361" customWidth="1"/>
    <col min="1835" max="1835" width="15.42578125" style="361" customWidth="1"/>
    <col min="1836" max="1836" width="11.7109375" style="361" customWidth="1"/>
    <col min="1837" max="1837" width="16.7109375" style="361" customWidth="1"/>
    <col min="1838" max="1838" width="21.42578125" style="361" customWidth="1"/>
    <col min="1839" max="2030" width="9.140625" style="361"/>
    <col min="2031" max="2031" width="17.28515625" style="361" customWidth="1"/>
    <col min="2032" max="2032" width="13" style="361" customWidth="1"/>
    <col min="2033" max="2064" width="9" style="361" hidden="1" customWidth="1"/>
    <col min="2065" max="2065" width="7.5703125" style="361" customWidth="1"/>
    <col min="2066" max="2066" width="7" style="361" customWidth="1"/>
    <col min="2067" max="2067" width="7.42578125" style="361" customWidth="1"/>
    <col min="2068" max="2068" width="7.140625" style="361" customWidth="1"/>
    <col min="2069" max="2069" width="7" style="361" customWidth="1"/>
    <col min="2070" max="2070" width="7.5703125" style="361" customWidth="1"/>
    <col min="2071" max="2071" width="6.5703125" style="361" customWidth="1"/>
    <col min="2072" max="2074" width="5.5703125" style="361" customWidth="1"/>
    <col min="2075" max="2075" width="6.42578125" style="361" customWidth="1"/>
    <col min="2076" max="2076" width="6.5703125" style="361" customWidth="1"/>
    <col min="2077" max="2077" width="6.28515625" style="361" customWidth="1"/>
    <col min="2078" max="2078" width="6.5703125" style="361" customWidth="1"/>
    <col min="2079" max="2079" width="6.28515625" style="361" customWidth="1"/>
    <col min="2080" max="2080" width="7.42578125" style="361" customWidth="1"/>
    <col min="2081" max="2081" width="6.140625" style="361" customWidth="1"/>
    <col min="2082" max="2082" width="6.28515625" style="361" customWidth="1"/>
    <col min="2083" max="2083" width="9.140625" style="361" customWidth="1"/>
    <col min="2084" max="2084" width="15.28515625" style="361" customWidth="1"/>
    <col min="2085" max="2085" width="17.85546875" style="361" customWidth="1"/>
    <col min="2086" max="2086" width="13.85546875" style="361" customWidth="1"/>
    <col min="2087" max="2087" width="12.85546875" style="361" customWidth="1"/>
    <col min="2088" max="2088" width="14.140625" style="361" customWidth="1"/>
    <col min="2089" max="2089" width="17.140625" style="361" customWidth="1"/>
    <col min="2090" max="2090" width="12.5703125" style="361" customWidth="1"/>
    <col min="2091" max="2091" width="15.42578125" style="361" customWidth="1"/>
    <col min="2092" max="2092" width="11.7109375" style="361" customWidth="1"/>
    <col min="2093" max="2093" width="16.7109375" style="361" customWidth="1"/>
    <col min="2094" max="2094" width="21.42578125" style="361" customWidth="1"/>
    <col min="2095" max="2286" width="9.140625" style="361"/>
    <col min="2287" max="2287" width="17.28515625" style="361" customWidth="1"/>
    <col min="2288" max="2288" width="13" style="361" customWidth="1"/>
    <col min="2289" max="2320" width="9" style="361" hidden="1" customWidth="1"/>
    <col min="2321" max="2321" width="7.5703125" style="361" customWidth="1"/>
    <col min="2322" max="2322" width="7" style="361" customWidth="1"/>
    <col min="2323" max="2323" width="7.42578125" style="361" customWidth="1"/>
    <col min="2324" max="2324" width="7.140625" style="361" customWidth="1"/>
    <col min="2325" max="2325" width="7" style="361" customWidth="1"/>
    <col min="2326" max="2326" width="7.5703125" style="361" customWidth="1"/>
    <col min="2327" max="2327" width="6.5703125" style="361" customWidth="1"/>
    <col min="2328" max="2330" width="5.5703125" style="361" customWidth="1"/>
    <col min="2331" max="2331" width="6.42578125" style="361" customWidth="1"/>
    <col min="2332" max="2332" width="6.5703125" style="361" customWidth="1"/>
    <col min="2333" max="2333" width="6.28515625" style="361" customWidth="1"/>
    <col min="2334" max="2334" width="6.5703125" style="361" customWidth="1"/>
    <col min="2335" max="2335" width="6.28515625" style="361" customWidth="1"/>
    <col min="2336" max="2336" width="7.42578125" style="361" customWidth="1"/>
    <col min="2337" max="2337" width="6.140625" style="361" customWidth="1"/>
    <col min="2338" max="2338" width="6.28515625" style="361" customWidth="1"/>
    <col min="2339" max="2339" width="9.140625" style="361" customWidth="1"/>
    <col min="2340" max="2340" width="15.28515625" style="361" customWidth="1"/>
    <col min="2341" max="2341" width="17.85546875" style="361" customWidth="1"/>
    <col min="2342" max="2342" width="13.85546875" style="361" customWidth="1"/>
    <col min="2343" max="2343" width="12.85546875" style="361" customWidth="1"/>
    <col min="2344" max="2344" width="14.140625" style="361" customWidth="1"/>
    <col min="2345" max="2345" width="17.140625" style="361" customWidth="1"/>
    <col min="2346" max="2346" width="12.5703125" style="361" customWidth="1"/>
    <col min="2347" max="2347" width="15.42578125" style="361" customWidth="1"/>
    <col min="2348" max="2348" width="11.7109375" style="361" customWidth="1"/>
    <col min="2349" max="2349" width="16.7109375" style="361" customWidth="1"/>
    <col min="2350" max="2350" width="21.42578125" style="361" customWidth="1"/>
    <col min="2351" max="2542" width="9.140625" style="361"/>
    <col min="2543" max="2543" width="17.28515625" style="361" customWidth="1"/>
    <col min="2544" max="2544" width="13" style="361" customWidth="1"/>
    <col min="2545" max="2576" width="9" style="361" hidden="1" customWidth="1"/>
    <col min="2577" max="2577" width="7.5703125" style="361" customWidth="1"/>
    <col min="2578" max="2578" width="7" style="361" customWidth="1"/>
    <col min="2579" max="2579" width="7.42578125" style="361" customWidth="1"/>
    <col min="2580" max="2580" width="7.140625" style="361" customWidth="1"/>
    <col min="2581" max="2581" width="7" style="361" customWidth="1"/>
    <col min="2582" max="2582" width="7.5703125" style="361" customWidth="1"/>
    <col min="2583" max="2583" width="6.5703125" style="361" customWidth="1"/>
    <col min="2584" max="2586" width="5.5703125" style="361" customWidth="1"/>
    <col min="2587" max="2587" width="6.42578125" style="361" customWidth="1"/>
    <col min="2588" max="2588" width="6.5703125" style="361" customWidth="1"/>
    <col min="2589" max="2589" width="6.28515625" style="361" customWidth="1"/>
    <col min="2590" max="2590" width="6.5703125" style="361" customWidth="1"/>
    <col min="2591" max="2591" width="6.28515625" style="361" customWidth="1"/>
    <col min="2592" max="2592" width="7.42578125" style="361" customWidth="1"/>
    <col min="2593" max="2593" width="6.140625" style="361" customWidth="1"/>
    <col min="2594" max="2594" width="6.28515625" style="361" customWidth="1"/>
    <col min="2595" max="2595" width="9.140625" style="361" customWidth="1"/>
    <col min="2596" max="2596" width="15.28515625" style="361" customWidth="1"/>
    <col min="2597" max="2597" width="17.85546875" style="361" customWidth="1"/>
    <col min="2598" max="2598" width="13.85546875" style="361" customWidth="1"/>
    <col min="2599" max="2599" width="12.85546875" style="361" customWidth="1"/>
    <col min="2600" max="2600" width="14.140625" style="361" customWidth="1"/>
    <col min="2601" max="2601" width="17.140625" style="361" customWidth="1"/>
    <col min="2602" max="2602" width="12.5703125" style="361" customWidth="1"/>
    <col min="2603" max="2603" width="15.42578125" style="361" customWidth="1"/>
    <col min="2604" max="2604" width="11.7109375" style="361" customWidth="1"/>
    <col min="2605" max="2605" width="16.7109375" style="361" customWidth="1"/>
    <col min="2606" max="2606" width="21.42578125" style="361" customWidth="1"/>
    <col min="2607" max="2798" width="9.140625" style="361"/>
    <col min="2799" max="2799" width="17.28515625" style="361" customWidth="1"/>
    <col min="2800" max="2800" width="13" style="361" customWidth="1"/>
    <col min="2801" max="2832" width="9" style="361" hidden="1" customWidth="1"/>
    <col min="2833" max="2833" width="7.5703125" style="361" customWidth="1"/>
    <col min="2834" max="2834" width="7" style="361" customWidth="1"/>
    <col min="2835" max="2835" width="7.42578125" style="361" customWidth="1"/>
    <col min="2836" max="2836" width="7.140625" style="361" customWidth="1"/>
    <col min="2837" max="2837" width="7" style="361" customWidth="1"/>
    <col min="2838" max="2838" width="7.5703125" style="361" customWidth="1"/>
    <col min="2839" max="2839" width="6.5703125" style="361" customWidth="1"/>
    <col min="2840" max="2842" width="5.5703125" style="361" customWidth="1"/>
    <col min="2843" max="2843" width="6.42578125" style="361" customWidth="1"/>
    <col min="2844" max="2844" width="6.5703125" style="361" customWidth="1"/>
    <col min="2845" max="2845" width="6.28515625" style="361" customWidth="1"/>
    <col min="2846" max="2846" width="6.5703125" style="361" customWidth="1"/>
    <col min="2847" max="2847" width="6.28515625" style="361" customWidth="1"/>
    <col min="2848" max="2848" width="7.42578125" style="361" customWidth="1"/>
    <col min="2849" max="2849" width="6.140625" style="361" customWidth="1"/>
    <col min="2850" max="2850" width="6.28515625" style="361" customWidth="1"/>
    <col min="2851" max="2851" width="9.140625" style="361" customWidth="1"/>
    <col min="2852" max="2852" width="15.28515625" style="361" customWidth="1"/>
    <col min="2853" max="2853" width="17.85546875" style="361" customWidth="1"/>
    <col min="2854" max="2854" width="13.85546875" style="361" customWidth="1"/>
    <col min="2855" max="2855" width="12.85546875" style="361" customWidth="1"/>
    <col min="2856" max="2856" width="14.140625" style="361" customWidth="1"/>
    <col min="2857" max="2857" width="17.140625" style="361" customWidth="1"/>
    <col min="2858" max="2858" width="12.5703125" style="361" customWidth="1"/>
    <col min="2859" max="2859" width="15.42578125" style="361" customWidth="1"/>
    <col min="2860" max="2860" width="11.7109375" style="361" customWidth="1"/>
    <col min="2861" max="2861" width="16.7109375" style="361" customWidth="1"/>
    <col min="2862" max="2862" width="21.42578125" style="361" customWidth="1"/>
    <col min="2863" max="3054" width="9.140625" style="361"/>
    <col min="3055" max="3055" width="17.28515625" style="361" customWidth="1"/>
    <col min="3056" max="3056" width="13" style="361" customWidth="1"/>
    <col min="3057" max="3088" width="9" style="361" hidden="1" customWidth="1"/>
    <col min="3089" max="3089" width="7.5703125" style="361" customWidth="1"/>
    <col min="3090" max="3090" width="7" style="361" customWidth="1"/>
    <col min="3091" max="3091" width="7.42578125" style="361" customWidth="1"/>
    <col min="3092" max="3092" width="7.140625" style="361" customWidth="1"/>
    <col min="3093" max="3093" width="7" style="361" customWidth="1"/>
    <col min="3094" max="3094" width="7.5703125" style="361" customWidth="1"/>
    <col min="3095" max="3095" width="6.5703125" style="361" customWidth="1"/>
    <col min="3096" max="3098" width="5.5703125" style="361" customWidth="1"/>
    <col min="3099" max="3099" width="6.42578125" style="361" customWidth="1"/>
    <col min="3100" max="3100" width="6.5703125" style="361" customWidth="1"/>
    <col min="3101" max="3101" width="6.28515625" style="361" customWidth="1"/>
    <col min="3102" max="3102" width="6.5703125" style="361" customWidth="1"/>
    <col min="3103" max="3103" width="6.28515625" style="361" customWidth="1"/>
    <col min="3104" max="3104" width="7.42578125" style="361" customWidth="1"/>
    <col min="3105" max="3105" width="6.140625" style="361" customWidth="1"/>
    <col min="3106" max="3106" width="6.28515625" style="361" customWidth="1"/>
    <col min="3107" max="3107" width="9.140625" style="361" customWidth="1"/>
    <col min="3108" max="3108" width="15.28515625" style="361" customWidth="1"/>
    <col min="3109" max="3109" width="17.85546875" style="361" customWidth="1"/>
    <col min="3110" max="3110" width="13.85546875" style="361" customWidth="1"/>
    <col min="3111" max="3111" width="12.85546875" style="361" customWidth="1"/>
    <col min="3112" max="3112" width="14.140625" style="361" customWidth="1"/>
    <col min="3113" max="3113" width="17.140625" style="361" customWidth="1"/>
    <col min="3114" max="3114" width="12.5703125" style="361" customWidth="1"/>
    <col min="3115" max="3115" width="15.42578125" style="361" customWidth="1"/>
    <col min="3116" max="3116" width="11.7109375" style="361" customWidth="1"/>
    <col min="3117" max="3117" width="16.7109375" style="361" customWidth="1"/>
    <col min="3118" max="3118" width="21.42578125" style="361" customWidth="1"/>
    <col min="3119" max="3310" width="9.140625" style="361"/>
    <col min="3311" max="3311" width="17.28515625" style="361" customWidth="1"/>
    <col min="3312" max="3312" width="13" style="361" customWidth="1"/>
    <col min="3313" max="3344" width="9" style="361" hidden="1" customWidth="1"/>
    <col min="3345" max="3345" width="7.5703125" style="361" customWidth="1"/>
    <col min="3346" max="3346" width="7" style="361" customWidth="1"/>
    <col min="3347" max="3347" width="7.42578125" style="361" customWidth="1"/>
    <col min="3348" max="3348" width="7.140625" style="361" customWidth="1"/>
    <col min="3349" max="3349" width="7" style="361" customWidth="1"/>
    <col min="3350" max="3350" width="7.5703125" style="361" customWidth="1"/>
    <col min="3351" max="3351" width="6.5703125" style="361" customWidth="1"/>
    <col min="3352" max="3354" width="5.5703125" style="361" customWidth="1"/>
    <col min="3355" max="3355" width="6.42578125" style="361" customWidth="1"/>
    <col min="3356" max="3356" width="6.5703125" style="361" customWidth="1"/>
    <col min="3357" max="3357" width="6.28515625" style="361" customWidth="1"/>
    <col min="3358" max="3358" width="6.5703125" style="361" customWidth="1"/>
    <col min="3359" max="3359" width="6.28515625" style="361" customWidth="1"/>
    <col min="3360" max="3360" width="7.42578125" style="361" customWidth="1"/>
    <col min="3361" max="3361" width="6.140625" style="361" customWidth="1"/>
    <col min="3362" max="3362" width="6.28515625" style="361" customWidth="1"/>
    <col min="3363" max="3363" width="9.140625" style="361" customWidth="1"/>
    <col min="3364" max="3364" width="15.28515625" style="361" customWidth="1"/>
    <col min="3365" max="3365" width="17.85546875" style="361" customWidth="1"/>
    <col min="3366" max="3366" width="13.85546875" style="361" customWidth="1"/>
    <col min="3367" max="3367" width="12.85546875" style="361" customWidth="1"/>
    <col min="3368" max="3368" width="14.140625" style="361" customWidth="1"/>
    <col min="3369" max="3369" width="17.140625" style="361" customWidth="1"/>
    <col min="3370" max="3370" width="12.5703125" style="361" customWidth="1"/>
    <col min="3371" max="3371" width="15.42578125" style="361" customWidth="1"/>
    <col min="3372" max="3372" width="11.7109375" style="361" customWidth="1"/>
    <col min="3373" max="3373" width="16.7109375" style="361" customWidth="1"/>
    <col min="3374" max="3374" width="21.42578125" style="361" customWidth="1"/>
    <col min="3375" max="3566" width="9.140625" style="361"/>
    <col min="3567" max="3567" width="17.28515625" style="361" customWidth="1"/>
    <col min="3568" max="3568" width="13" style="361" customWidth="1"/>
    <col min="3569" max="3600" width="9" style="361" hidden="1" customWidth="1"/>
    <col min="3601" max="3601" width="7.5703125" style="361" customWidth="1"/>
    <col min="3602" max="3602" width="7" style="361" customWidth="1"/>
    <col min="3603" max="3603" width="7.42578125" style="361" customWidth="1"/>
    <col min="3604" max="3604" width="7.140625" style="361" customWidth="1"/>
    <col min="3605" max="3605" width="7" style="361" customWidth="1"/>
    <col min="3606" max="3606" width="7.5703125" style="361" customWidth="1"/>
    <col min="3607" max="3607" width="6.5703125" style="361" customWidth="1"/>
    <col min="3608" max="3610" width="5.5703125" style="361" customWidth="1"/>
    <col min="3611" max="3611" width="6.42578125" style="361" customWidth="1"/>
    <col min="3612" max="3612" width="6.5703125" style="361" customWidth="1"/>
    <col min="3613" max="3613" width="6.28515625" style="361" customWidth="1"/>
    <col min="3614" max="3614" width="6.5703125" style="361" customWidth="1"/>
    <col min="3615" max="3615" width="6.28515625" style="361" customWidth="1"/>
    <col min="3616" max="3616" width="7.42578125" style="361" customWidth="1"/>
    <col min="3617" max="3617" width="6.140625" style="361" customWidth="1"/>
    <col min="3618" max="3618" width="6.28515625" style="361" customWidth="1"/>
    <col min="3619" max="3619" width="9.140625" style="361" customWidth="1"/>
    <col min="3620" max="3620" width="15.28515625" style="361" customWidth="1"/>
    <col min="3621" max="3621" width="17.85546875" style="361" customWidth="1"/>
    <col min="3622" max="3622" width="13.85546875" style="361" customWidth="1"/>
    <col min="3623" max="3623" width="12.85546875" style="361" customWidth="1"/>
    <col min="3624" max="3624" width="14.140625" style="361" customWidth="1"/>
    <col min="3625" max="3625" width="17.140625" style="361" customWidth="1"/>
    <col min="3626" max="3626" width="12.5703125" style="361" customWidth="1"/>
    <col min="3627" max="3627" width="15.42578125" style="361" customWidth="1"/>
    <col min="3628" max="3628" width="11.7109375" style="361" customWidth="1"/>
    <col min="3629" max="3629" width="16.7109375" style="361" customWidth="1"/>
    <col min="3630" max="3630" width="21.42578125" style="361" customWidth="1"/>
    <col min="3631" max="3822" width="9.140625" style="361"/>
    <col min="3823" max="3823" width="17.28515625" style="361" customWidth="1"/>
    <col min="3824" max="3824" width="13" style="361" customWidth="1"/>
    <col min="3825" max="3856" width="9" style="361" hidden="1" customWidth="1"/>
    <col min="3857" max="3857" width="7.5703125" style="361" customWidth="1"/>
    <col min="3858" max="3858" width="7" style="361" customWidth="1"/>
    <col min="3859" max="3859" width="7.42578125" style="361" customWidth="1"/>
    <col min="3860" max="3860" width="7.140625" style="361" customWidth="1"/>
    <col min="3861" max="3861" width="7" style="361" customWidth="1"/>
    <col min="3862" max="3862" width="7.5703125" style="361" customWidth="1"/>
    <col min="3863" max="3863" width="6.5703125" style="361" customWidth="1"/>
    <col min="3864" max="3866" width="5.5703125" style="361" customWidth="1"/>
    <col min="3867" max="3867" width="6.42578125" style="361" customWidth="1"/>
    <col min="3868" max="3868" width="6.5703125" style="361" customWidth="1"/>
    <col min="3869" max="3869" width="6.28515625" style="361" customWidth="1"/>
    <col min="3870" max="3870" width="6.5703125" style="361" customWidth="1"/>
    <col min="3871" max="3871" width="6.28515625" style="361" customWidth="1"/>
    <col min="3872" max="3872" width="7.42578125" style="361" customWidth="1"/>
    <col min="3873" max="3873" width="6.140625" style="361" customWidth="1"/>
    <col min="3874" max="3874" width="6.28515625" style="361" customWidth="1"/>
    <col min="3875" max="3875" width="9.140625" style="361" customWidth="1"/>
    <col min="3876" max="3876" width="15.28515625" style="361" customWidth="1"/>
    <col min="3877" max="3877" width="17.85546875" style="361" customWidth="1"/>
    <col min="3878" max="3878" width="13.85546875" style="361" customWidth="1"/>
    <col min="3879" max="3879" width="12.85546875" style="361" customWidth="1"/>
    <col min="3880" max="3880" width="14.140625" style="361" customWidth="1"/>
    <col min="3881" max="3881" width="17.140625" style="361" customWidth="1"/>
    <col min="3882" max="3882" width="12.5703125" style="361" customWidth="1"/>
    <col min="3883" max="3883" width="15.42578125" style="361" customWidth="1"/>
    <col min="3884" max="3884" width="11.7109375" style="361" customWidth="1"/>
    <col min="3885" max="3885" width="16.7109375" style="361" customWidth="1"/>
    <col min="3886" max="3886" width="21.42578125" style="361" customWidth="1"/>
    <col min="3887" max="4078" width="9.140625" style="361"/>
    <col min="4079" max="4079" width="17.28515625" style="361" customWidth="1"/>
    <col min="4080" max="4080" width="13" style="361" customWidth="1"/>
    <col min="4081" max="4112" width="9" style="361" hidden="1" customWidth="1"/>
    <col min="4113" max="4113" width="7.5703125" style="361" customWidth="1"/>
    <col min="4114" max="4114" width="7" style="361" customWidth="1"/>
    <col min="4115" max="4115" width="7.42578125" style="361" customWidth="1"/>
    <col min="4116" max="4116" width="7.140625" style="361" customWidth="1"/>
    <col min="4117" max="4117" width="7" style="361" customWidth="1"/>
    <col min="4118" max="4118" width="7.5703125" style="361" customWidth="1"/>
    <col min="4119" max="4119" width="6.5703125" style="361" customWidth="1"/>
    <col min="4120" max="4122" width="5.5703125" style="361" customWidth="1"/>
    <col min="4123" max="4123" width="6.42578125" style="361" customWidth="1"/>
    <col min="4124" max="4124" width="6.5703125" style="361" customWidth="1"/>
    <col min="4125" max="4125" width="6.28515625" style="361" customWidth="1"/>
    <col min="4126" max="4126" width="6.5703125" style="361" customWidth="1"/>
    <col min="4127" max="4127" width="6.28515625" style="361" customWidth="1"/>
    <col min="4128" max="4128" width="7.42578125" style="361" customWidth="1"/>
    <col min="4129" max="4129" width="6.140625" style="361" customWidth="1"/>
    <col min="4130" max="4130" width="6.28515625" style="361" customWidth="1"/>
    <col min="4131" max="4131" width="9.140625" style="361" customWidth="1"/>
    <col min="4132" max="4132" width="15.28515625" style="361" customWidth="1"/>
    <col min="4133" max="4133" width="17.85546875" style="361" customWidth="1"/>
    <col min="4134" max="4134" width="13.85546875" style="361" customWidth="1"/>
    <col min="4135" max="4135" width="12.85546875" style="361" customWidth="1"/>
    <col min="4136" max="4136" width="14.140625" style="361" customWidth="1"/>
    <col min="4137" max="4137" width="17.140625" style="361" customWidth="1"/>
    <col min="4138" max="4138" width="12.5703125" style="361" customWidth="1"/>
    <col min="4139" max="4139" width="15.42578125" style="361" customWidth="1"/>
    <col min="4140" max="4140" width="11.7109375" style="361" customWidth="1"/>
    <col min="4141" max="4141" width="16.7109375" style="361" customWidth="1"/>
    <col min="4142" max="4142" width="21.42578125" style="361" customWidth="1"/>
    <col min="4143" max="4334" width="9.140625" style="361"/>
    <col min="4335" max="4335" width="17.28515625" style="361" customWidth="1"/>
    <col min="4336" max="4336" width="13" style="361" customWidth="1"/>
    <col min="4337" max="4368" width="9" style="361" hidden="1" customWidth="1"/>
    <col min="4369" max="4369" width="7.5703125" style="361" customWidth="1"/>
    <col min="4370" max="4370" width="7" style="361" customWidth="1"/>
    <col min="4371" max="4371" width="7.42578125" style="361" customWidth="1"/>
    <col min="4372" max="4372" width="7.140625" style="361" customWidth="1"/>
    <col min="4373" max="4373" width="7" style="361" customWidth="1"/>
    <col min="4374" max="4374" width="7.5703125" style="361" customWidth="1"/>
    <col min="4375" max="4375" width="6.5703125" style="361" customWidth="1"/>
    <col min="4376" max="4378" width="5.5703125" style="361" customWidth="1"/>
    <col min="4379" max="4379" width="6.42578125" style="361" customWidth="1"/>
    <col min="4380" max="4380" width="6.5703125" style="361" customWidth="1"/>
    <col min="4381" max="4381" width="6.28515625" style="361" customWidth="1"/>
    <col min="4382" max="4382" width="6.5703125" style="361" customWidth="1"/>
    <col min="4383" max="4383" width="6.28515625" style="361" customWidth="1"/>
    <col min="4384" max="4384" width="7.42578125" style="361" customWidth="1"/>
    <col min="4385" max="4385" width="6.140625" style="361" customWidth="1"/>
    <col min="4386" max="4386" width="6.28515625" style="361" customWidth="1"/>
    <col min="4387" max="4387" width="9.140625" style="361" customWidth="1"/>
    <col min="4388" max="4388" width="15.28515625" style="361" customWidth="1"/>
    <col min="4389" max="4389" width="17.85546875" style="361" customWidth="1"/>
    <col min="4390" max="4390" width="13.85546875" style="361" customWidth="1"/>
    <col min="4391" max="4391" width="12.85546875" style="361" customWidth="1"/>
    <col min="4392" max="4392" width="14.140625" style="361" customWidth="1"/>
    <col min="4393" max="4393" width="17.140625" style="361" customWidth="1"/>
    <col min="4394" max="4394" width="12.5703125" style="361" customWidth="1"/>
    <col min="4395" max="4395" width="15.42578125" style="361" customWidth="1"/>
    <col min="4396" max="4396" width="11.7109375" style="361" customWidth="1"/>
    <col min="4397" max="4397" width="16.7109375" style="361" customWidth="1"/>
    <col min="4398" max="4398" width="21.42578125" style="361" customWidth="1"/>
    <col min="4399" max="4590" width="9.140625" style="361"/>
    <col min="4591" max="4591" width="17.28515625" style="361" customWidth="1"/>
    <col min="4592" max="4592" width="13" style="361" customWidth="1"/>
    <col min="4593" max="4624" width="9" style="361" hidden="1" customWidth="1"/>
    <col min="4625" max="4625" width="7.5703125" style="361" customWidth="1"/>
    <col min="4626" max="4626" width="7" style="361" customWidth="1"/>
    <col min="4627" max="4627" width="7.42578125" style="361" customWidth="1"/>
    <col min="4628" max="4628" width="7.140625" style="361" customWidth="1"/>
    <col min="4629" max="4629" width="7" style="361" customWidth="1"/>
    <col min="4630" max="4630" width="7.5703125" style="361" customWidth="1"/>
    <col min="4631" max="4631" width="6.5703125" style="361" customWidth="1"/>
    <col min="4632" max="4634" width="5.5703125" style="361" customWidth="1"/>
    <col min="4635" max="4635" width="6.42578125" style="361" customWidth="1"/>
    <col min="4636" max="4636" width="6.5703125" style="361" customWidth="1"/>
    <col min="4637" max="4637" width="6.28515625" style="361" customWidth="1"/>
    <col min="4638" max="4638" width="6.5703125" style="361" customWidth="1"/>
    <col min="4639" max="4639" width="6.28515625" style="361" customWidth="1"/>
    <col min="4640" max="4640" width="7.42578125" style="361" customWidth="1"/>
    <col min="4641" max="4641" width="6.140625" style="361" customWidth="1"/>
    <col min="4642" max="4642" width="6.28515625" style="361" customWidth="1"/>
    <col min="4643" max="4643" width="9.140625" style="361" customWidth="1"/>
    <col min="4644" max="4644" width="15.28515625" style="361" customWidth="1"/>
    <col min="4645" max="4645" width="17.85546875" style="361" customWidth="1"/>
    <col min="4646" max="4646" width="13.85546875" style="361" customWidth="1"/>
    <col min="4647" max="4647" width="12.85546875" style="361" customWidth="1"/>
    <col min="4648" max="4648" width="14.140625" style="361" customWidth="1"/>
    <col min="4649" max="4649" width="17.140625" style="361" customWidth="1"/>
    <col min="4650" max="4650" width="12.5703125" style="361" customWidth="1"/>
    <col min="4651" max="4651" width="15.42578125" style="361" customWidth="1"/>
    <col min="4652" max="4652" width="11.7109375" style="361" customWidth="1"/>
    <col min="4653" max="4653" width="16.7109375" style="361" customWidth="1"/>
    <col min="4654" max="4654" width="21.42578125" style="361" customWidth="1"/>
    <col min="4655" max="4846" width="9.140625" style="361"/>
    <col min="4847" max="4847" width="17.28515625" style="361" customWidth="1"/>
    <col min="4848" max="4848" width="13" style="361" customWidth="1"/>
    <col min="4849" max="4880" width="9" style="361" hidden="1" customWidth="1"/>
    <col min="4881" max="4881" width="7.5703125" style="361" customWidth="1"/>
    <col min="4882" max="4882" width="7" style="361" customWidth="1"/>
    <col min="4883" max="4883" width="7.42578125" style="361" customWidth="1"/>
    <col min="4884" max="4884" width="7.140625" style="361" customWidth="1"/>
    <col min="4885" max="4885" width="7" style="361" customWidth="1"/>
    <col min="4886" max="4886" width="7.5703125" style="361" customWidth="1"/>
    <col min="4887" max="4887" width="6.5703125" style="361" customWidth="1"/>
    <col min="4888" max="4890" width="5.5703125" style="361" customWidth="1"/>
    <col min="4891" max="4891" width="6.42578125" style="361" customWidth="1"/>
    <col min="4892" max="4892" width="6.5703125" style="361" customWidth="1"/>
    <col min="4893" max="4893" width="6.28515625" style="361" customWidth="1"/>
    <col min="4894" max="4894" width="6.5703125" style="361" customWidth="1"/>
    <col min="4895" max="4895" width="6.28515625" style="361" customWidth="1"/>
    <col min="4896" max="4896" width="7.42578125" style="361" customWidth="1"/>
    <col min="4897" max="4897" width="6.140625" style="361" customWidth="1"/>
    <col min="4898" max="4898" width="6.28515625" style="361" customWidth="1"/>
    <col min="4899" max="4899" width="9.140625" style="361" customWidth="1"/>
    <col min="4900" max="4900" width="15.28515625" style="361" customWidth="1"/>
    <col min="4901" max="4901" width="17.85546875" style="361" customWidth="1"/>
    <col min="4902" max="4902" width="13.85546875" style="361" customWidth="1"/>
    <col min="4903" max="4903" width="12.85546875" style="361" customWidth="1"/>
    <col min="4904" max="4904" width="14.140625" style="361" customWidth="1"/>
    <col min="4905" max="4905" width="17.140625" style="361" customWidth="1"/>
    <col min="4906" max="4906" width="12.5703125" style="361" customWidth="1"/>
    <col min="4907" max="4907" width="15.42578125" style="361" customWidth="1"/>
    <col min="4908" max="4908" width="11.7109375" style="361" customWidth="1"/>
    <col min="4909" max="4909" width="16.7109375" style="361" customWidth="1"/>
    <col min="4910" max="4910" width="21.42578125" style="361" customWidth="1"/>
    <col min="4911" max="5102" width="9.140625" style="361"/>
    <col min="5103" max="5103" width="17.28515625" style="361" customWidth="1"/>
    <col min="5104" max="5104" width="13" style="361" customWidth="1"/>
    <col min="5105" max="5136" width="9" style="361" hidden="1" customWidth="1"/>
    <col min="5137" max="5137" width="7.5703125" style="361" customWidth="1"/>
    <col min="5138" max="5138" width="7" style="361" customWidth="1"/>
    <col min="5139" max="5139" width="7.42578125" style="361" customWidth="1"/>
    <col min="5140" max="5140" width="7.140625" style="361" customWidth="1"/>
    <col min="5141" max="5141" width="7" style="361" customWidth="1"/>
    <col min="5142" max="5142" width="7.5703125" style="361" customWidth="1"/>
    <col min="5143" max="5143" width="6.5703125" style="361" customWidth="1"/>
    <col min="5144" max="5146" width="5.5703125" style="361" customWidth="1"/>
    <col min="5147" max="5147" width="6.42578125" style="361" customWidth="1"/>
    <col min="5148" max="5148" width="6.5703125" style="361" customWidth="1"/>
    <col min="5149" max="5149" width="6.28515625" style="361" customWidth="1"/>
    <col min="5150" max="5150" width="6.5703125" style="361" customWidth="1"/>
    <col min="5151" max="5151" width="6.28515625" style="361" customWidth="1"/>
    <col min="5152" max="5152" width="7.42578125" style="361" customWidth="1"/>
    <col min="5153" max="5153" width="6.140625" style="361" customWidth="1"/>
    <col min="5154" max="5154" width="6.28515625" style="361" customWidth="1"/>
    <col min="5155" max="5155" width="9.140625" style="361" customWidth="1"/>
    <col min="5156" max="5156" width="15.28515625" style="361" customWidth="1"/>
    <col min="5157" max="5157" width="17.85546875" style="361" customWidth="1"/>
    <col min="5158" max="5158" width="13.85546875" style="361" customWidth="1"/>
    <col min="5159" max="5159" width="12.85546875" style="361" customWidth="1"/>
    <col min="5160" max="5160" width="14.140625" style="361" customWidth="1"/>
    <col min="5161" max="5161" width="17.140625" style="361" customWidth="1"/>
    <col min="5162" max="5162" width="12.5703125" style="361" customWidth="1"/>
    <col min="5163" max="5163" width="15.42578125" style="361" customWidth="1"/>
    <col min="5164" max="5164" width="11.7109375" style="361" customWidth="1"/>
    <col min="5165" max="5165" width="16.7109375" style="361" customWidth="1"/>
    <col min="5166" max="5166" width="21.42578125" style="361" customWidth="1"/>
    <col min="5167" max="5358" width="9.140625" style="361"/>
    <col min="5359" max="5359" width="17.28515625" style="361" customWidth="1"/>
    <col min="5360" max="5360" width="13" style="361" customWidth="1"/>
    <col min="5361" max="5392" width="9" style="361" hidden="1" customWidth="1"/>
    <col min="5393" max="5393" width="7.5703125" style="361" customWidth="1"/>
    <col min="5394" max="5394" width="7" style="361" customWidth="1"/>
    <col min="5395" max="5395" width="7.42578125" style="361" customWidth="1"/>
    <col min="5396" max="5396" width="7.140625" style="361" customWidth="1"/>
    <col min="5397" max="5397" width="7" style="361" customWidth="1"/>
    <col min="5398" max="5398" width="7.5703125" style="361" customWidth="1"/>
    <col min="5399" max="5399" width="6.5703125" style="361" customWidth="1"/>
    <col min="5400" max="5402" width="5.5703125" style="361" customWidth="1"/>
    <col min="5403" max="5403" width="6.42578125" style="361" customWidth="1"/>
    <col min="5404" max="5404" width="6.5703125" style="361" customWidth="1"/>
    <col min="5405" max="5405" width="6.28515625" style="361" customWidth="1"/>
    <col min="5406" max="5406" width="6.5703125" style="361" customWidth="1"/>
    <col min="5407" max="5407" width="6.28515625" style="361" customWidth="1"/>
    <col min="5408" max="5408" width="7.42578125" style="361" customWidth="1"/>
    <col min="5409" max="5409" width="6.140625" style="361" customWidth="1"/>
    <col min="5410" max="5410" width="6.28515625" style="361" customWidth="1"/>
    <col min="5411" max="5411" width="9.140625" style="361" customWidth="1"/>
    <col min="5412" max="5412" width="15.28515625" style="361" customWidth="1"/>
    <col min="5413" max="5413" width="17.85546875" style="361" customWidth="1"/>
    <col min="5414" max="5414" width="13.85546875" style="361" customWidth="1"/>
    <col min="5415" max="5415" width="12.85546875" style="361" customWidth="1"/>
    <col min="5416" max="5416" width="14.140625" style="361" customWidth="1"/>
    <col min="5417" max="5417" width="17.140625" style="361" customWidth="1"/>
    <col min="5418" max="5418" width="12.5703125" style="361" customWidth="1"/>
    <col min="5419" max="5419" width="15.42578125" style="361" customWidth="1"/>
    <col min="5420" max="5420" width="11.7109375" style="361" customWidth="1"/>
    <col min="5421" max="5421" width="16.7109375" style="361" customWidth="1"/>
    <col min="5422" max="5422" width="21.42578125" style="361" customWidth="1"/>
    <col min="5423" max="5614" width="9.140625" style="361"/>
    <col min="5615" max="5615" width="17.28515625" style="361" customWidth="1"/>
    <col min="5616" max="5616" width="13" style="361" customWidth="1"/>
    <col min="5617" max="5648" width="9" style="361" hidden="1" customWidth="1"/>
    <col min="5649" max="5649" width="7.5703125" style="361" customWidth="1"/>
    <col min="5650" max="5650" width="7" style="361" customWidth="1"/>
    <col min="5651" max="5651" width="7.42578125" style="361" customWidth="1"/>
    <col min="5652" max="5652" width="7.140625" style="361" customWidth="1"/>
    <col min="5653" max="5653" width="7" style="361" customWidth="1"/>
    <col min="5654" max="5654" width="7.5703125" style="361" customWidth="1"/>
    <col min="5655" max="5655" width="6.5703125" style="361" customWidth="1"/>
    <col min="5656" max="5658" width="5.5703125" style="361" customWidth="1"/>
    <col min="5659" max="5659" width="6.42578125" style="361" customWidth="1"/>
    <col min="5660" max="5660" width="6.5703125" style="361" customWidth="1"/>
    <col min="5661" max="5661" width="6.28515625" style="361" customWidth="1"/>
    <col min="5662" max="5662" width="6.5703125" style="361" customWidth="1"/>
    <col min="5663" max="5663" width="6.28515625" style="361" customWidth="1"/>
    <col min="5664" max="5664" width="7.42578125" style="361" customWidth="1"/>
    <col min="5665" max="5665" width="6.140625" style="361" customWidth="1"/>
    <col min="5666" max="5666" width="6.28515625" style="361" customWidth="1"/>
    <col min="5667" max="5667" width="9.140625" style="361" customWidth="1"/>
    <col min="5668" max="5668" width="15.28515625" style="361" customWidth="1"/>
    <col min="5669" max="5669" width="17.85546875" style="361" customWidth="1"/>
    <col min="5670" max="5670" width="13.85546875" style="361" customWidth="1"/>
    <col min="5671" max="5671" width="12.85546875" style="361" customWidth="1"/>
    <col min="5672" max="5672" width="14.140625" style="361" customWidth="1"/>
    <col min="5673" max="5673" width="17.140625" style="361" customWidth="1"/>
    <col min="5674" max="5674" width="12.5703125" style="361" customWidth="1"/>
    <col min="5675" max="5675" width="15.42578125" style="361" customWidth="1"/>
    <col min="5676" max="5676" width="11.7109375" style="361" customWidth="1"/>
    <col min="5677" max="5677" width="16.7109375" style="361" customWidth="1"/>
    <col min="5678" max="5678" width="21.42578125" style="361" customWidth="1"/>
    <col min="5679" max="5870" width="9.140625" style="361"/>
    <col min="5871" max="5871" width="17.28515625" style="361" customWidth="1"/>
    <col min="5872" max="5872" width="13" style="361" customWidth="1"/>
    <col min="5873" max="5904" width="9" style="361" hidden="1" customWidth="1"/>
    <col min="5905" max="5905" width="7.5703125" style="361" customWidth="1"/>
    <col min="5906" max="5906" width="7" style="361" customWidth="1"/>
    <col min="5907" max="5907" width="7.42578125" style="361" customWidth="1"/>
    <col min="5908" max="5908" width="7.140625" style="361" customWidth="1"/>
    <col min="5909" max="5909" width="7" style="361" customWidth="1"/>
    <col min="5910" max="5910" width="7.5703125" style="361" customWidth="1"/>
    <col min="5911" max="5911" width="6.5703125" style="361" customWidth="1"/>
    <col min="5912" max="5914" width="5.5703125" style="361" customWidth="1"/>
    <col min="5915" max="5915" width="6.42578125" style="361" customWidth="1"/>
    <col min="5916" max="5916" width="6.5703125" style="361" customWidth="1"/>
    <col min="5917" max="5917" width="6.28515625" style="361" customWidth="1"/>
    <col min="5918" max="5918" width="6.5703125" style="361" customWidth="1"/>
    <col min="5919" max="5919" width="6.28515625" style="361" customWidth="1"/>
    <col min="5920" max="5920" width="7.42578125" style="361" customWidth="1"/>
    <col min="5921" max="5921" width="6.140625" style="361" customWidth="1"/>
    <col min="5922" max="5922" width="6.28515625" style="361" customWidth="1"/>
    <col min="5923" max="5923" width="9.140625" style="361" customWidth="1"/>
    <col min="5924" max="5924" width="15.28515625" style="361" customWidth="1"/>
    <col min="5925" max="5925" width="17.85546875" style="361" customWidth="1"/>
    <col min="5926" max="5926" width="13.85546875" style="361" customWidth="1"/>
    <col min="5927" max="5927" width="12.85546875" style="361" customWidth="1"/>
    <col min="5928" max="5928" width="14.140625" style="361" customWidth="1"/>
    <col min="5929" max="5929" width="17.140625" style="361" customWidth="1"/>
    <col min="5930" max="5930" width="12.5703125" style="361" customWidth="1"/>
    <col min="5931" max="5931" width="15.42578125" style="361" customWidth="1"/>
    <col min="5932" max="5932" width="11.7109375" style="361" customWidth="1"/>
    <col min="5933" max="5933" width="16.7109375" style="361" customWidth="1"/>
    <col min="5934" max="5934" width="21.42578125" style="361" customWidth="1"/>
    <col min="5935" max="6126" width="9.140625" style="361"/>
    <col min="6127" max="6127" width="17.28515625" style="361" customWidth="1"/>
    <col min="6128" max="6128" width="13" style="361" customWidth="1"/>
    <col min="6129" max="6160" width="9" style="361" hidden="1" customWidth="1"/>
    <col min="6161" max="6161" width="7.5703125" style="361" customWidth="1"/>
    <col min="6162" max="6162" width="7" style="361" customWidth="1"/>
    <col min="6163" max="6163" width="7.42578125" style="361" customWidth="1"/>
    <col min="6164" max="6164" width="7.140625" style="361" customWidth="1"/>
    <col min="6165" max="6165" width="7" style="361" customWidth="1"/>
    <col min="6166" max="6166" width="7.5703125" style="361" customWidth="1"/>
    <col min="6167" max="6167" width="6.5703125" style="361" customWidth="1"/>
    <col min="6168" max="6170" width="5.5703125" style="361" customWidth="1"/>
    <col min="6171" max="6171" width="6.42578125" style="361" customWidth="1"/>
    <col min="6172" max="6172" width="6.5703125" style="361" customWidth="1"/>
    <col min="6173" max="6173" width="6.28515625" style="361" customWidth="1"/>
    <col min="6174" max="6174" width="6.5703125" style="361" customWidth="1"/>
    <col min="6175" max="6175" width="6.28515625" style="361" customWidth="1"/>
    <col min="6176" max="6176" width="7.42578125" style="361" customWidth="1"/>
    <col min="6177" max="6177" width="6.140625" style="361" customWidth="1"/>
    <col min="6178" max="6178" width="6.28515625" style="361" customWidth="1"/>
    <col min="6179" max="6179" width="9.140625" style="361" customWidth="1"/>
    <col min="6180" max="6180" width="15.28515625" style="361" customWidth="1"/>
    <col min="6181" max="6181" width="17.85546875" style="361" customWidth="1"/>
    <col min="6182" max="6182" width="13.85546875" style="361" customWidth="1"/>
    <col min="6183" max="6183" width="12.85546875" style="361" customWidth="1"/>
    <col min="6184" max="6184" width="14.140625" style="361" customWidth="1"/>
    <col min="6185" max="6185" width="17.140625" style="361" customWidth="1"/>
    <col min="6186" max="6186" width="12.5703125" style="361" customWidth="1"/>
    <col min="6187" max="6187" width="15.42578125" style="361" customWidth="1"/>
    <col min="6188" max="6188" width="11.7109375" style="361" customWidth="1"/>
    <col min="6189" max="6189" width="16.7109375" style="361" customWidth="1"/>
    <col min="6190" max="6190" width="21.42578125" style="361" customWidth="1"/>
    <col min="6191" max="6382" width="9.140625" style="361"/>
    <col min="6383" max="6383" width="17.28515625" style="361" customWidth="1"/>
    <col min="6384" max="6384" width="13" style="361" customWidth="1"/>
    <col min="6385" max="6416" width="9" style="361" hidden="1" customWidth="1"/>
    <col min="6417" max="6417" width="7.5703125" style="361" customWidth="1"/>
    <col min="6418" max="6418" width="7" style="361" customWidth="1"/>
    <col min="6419" max="6419" width="7.42578125" style="361" customWidth="1"/>
    <col min="6420" max="6420" width="7.140625" style="361" customWidth="1"/>
    <col min="6421" max="6421" width="7" style="361" customWidth="1"/>
    <col min="6422" max="6422" width="7.5703125" style="361" customWidth="1"/>
    <col min="6423" max="6423" width="6.5703125" style="361" customWidth="1"/>
    <col min="6424" max="6426" width="5.5703125" style="361" customWidth="1"/>
    <col min="6427" max="6427" width="6.42578125" style="361" customWidth="1"/>
    <col min="6428" max="6428" width="6.5703125" style="361" customWidth="1"/>
    <col min="6429" max="6429" width="6.28515625" style="361" customWidth="1"/>
    <col min="6430" max="6430" width="6.5703125" style="361" customWidth="1"/>
    <col min="6431" max="6431" width="6.28515625" style="361" customWidth="1"/>
    <col min="6432" max="6432" width="7.42578125" style="361" customWidth="1"/>
    <col min="6433" max="6433" width="6.140625" style="361" customWidth="1"/>
    <col min="6434" max="6434" width="6.28515625" style="361" customWidth="1"/>
    <col min="6435" max="6435" width="9.140625" style="361" customWidth="1"/>
    <col min="6436" max="6436" width="15.28515625" style="361" customWidth="1"/>
    <col min="6437" max="6437" width="17.85546875" style="361" customWidth="1"/>
    <col min="6438" max="6438" width="13.85546875" style="361" customWidth="1"/>
    <col min="6439" max="6439" width="12.85546875" style="361" customWidth="1"/>
    <col min="6440" max="6440" width="14.140625" style="361" customWidth="1"/>
    <col min="6441" max="6441" width="17.140625" style="361" customWidth="1"/>
    <col min="6442" max="6442" width="12.5703125" style="361" customWidth="1"/>
    <col min="6443" max="6443" width="15.42578125" style="361" customWidth="1"/>
    <col min="6444" max="6444" width="11.7109375" style="361" customWidth="1"/>
    <col min="6445" max="6445" width="16.7109375" style="361" customWidth="1"/>
    <col min="6446" max="6446" width="21.42578125" style="361" customWidth="1"/>
    <col min="6447" max="6638" width="9.140625" style="361"/>
    <col min="6639" max="6639" width="17.28515625" style="361" customWidth="1"/>
    <col min="6640" max="6640" width="13" style="361" customWidth="1"/>
    <col min="6641" max="6672" width="9" style="361" hidden="1" customWidth="1"/>
    <col min="6673" max="6673" width="7.5703125" style="361" customWidth="1"/>
    <col min="6674" max="6674" width="7" style="361" customWidth="1"/>
    <col min="6675" max="6675" width="7.42578125" style="361" customWidth="1"/>
    <col min="6676" max="6676" width="7.140625" style="361" customWidth="1"/>
    <col min="6677" max="6677" width="7" style="361" customWidth="1"/>
    <col min="6678" max="6678" width="7.5703125" style="361" customWidth="1"/>
    <col min="6679" max="6679" width="6.5703125" style="361" customWidth="1"/>
    <col min="6680" max="6682" width="5.5703125" style="361" customWidth="1"/>
    <col min="6683" max="6683" width="6.42578125" style="361" customWidth="1"/>
    <col min="6684" max="6684" width="6.5703125" style="361" customWidth="1"/>
    <col min="6685" max="6685" width="6.28515625" style="361" customWidth="1"/>
    <col min="6686" max="6686" width="6.5703125" style="361" customWidth="1"/>
    <col min="6687" max="6687" width="6.28515625" style="361" customWidth="1"/>
    <col min="6688" max="6688" width="7.42578125" style="361" customWidth="1"/>
    <col min="6689" max="6689" width="6.140625" style="361" customWidth="1"/>
    <col min="6690" max="6690" width="6.28515625" style="361" customWidth="1"/>
    <col min="6691" max="6691" width="9.140625" style="361" customWidth="1"/>
    <col min="6692" max="6692" width="15.28515625" style="361" customWidth="1"/>
    <col min="6693" max="6693" width="17.85546875" style="361" customWidth="1"/>
    <col min="6694" max="6694" width="13.85546875" style="361" customWidth="1"/>
    <col min="6695" max="6695" width="12.85546875" style="361" customWidth="1"/>
    <col min="6696" max="6696" width="14.140625" style="361" customWidth="1"/>
    <col min="6697" max="6697" width="17.140625" style="361" customWidth="1"/>
    <col min="6698" max="6698" width="12.5703125" style="361" customWidth="1"/>
    <col min="6699" max="6699" width="15.42578125" style="361" customWidth="1"/>
    <col min="6700" max="6700" width="11.7109375" style="361" customWidth="1"/>
    <col min="6701" max="6701" width="16.7109375" style="361" customWidth="1"/>
    <col min="6702" max="6702" width="21.42578125" style="361" customWidth="1"/>
    <col min="6703" max="6894" width="9.140625" style="361"/>
    <col min="6895" max="6895" width="17.28515625" style="361" customWidth="1"/>
    <col min="6896" max="6896" width="13" style="361" customWidth="1"/>
    <col min="6897" max="6928" width="9" style="361" hidden="1" customWidth="1"/>
    <col min="6929" max="6929" width="7.5703125" style="361" customWidth="1"/>
    <col min="6930" max="6930" width="7" style="361" customWidth="1"/>
    <col min="6931" max="6931" width="7.42578125" style="361" customWidth="1"/>
    <col min="6932" max="6932" width="7.140625" style="361" customWidth="1"/>
    <col min="6933" max="6933" width="7" style="361" customWidth="1"/>
    <col min="6934" max="6934" width="7.5703125" style="361" customWidth="1"/>
    <col min="6935" max="6935" width="6.5703125" style="361" customWidth="1"/>
    <col min="6936" max="6938" width="5.5703125" style="361" customWidth="1"/>
    <col min="6939" max="6939" width="6.42578125" style="361" customWidth="1"/>
    <col min="6940" max="6940" width="6.5703125" style="361" customWidth="1"/>
    <col min="6941" max="6941" width="6.28515625" style="361" customWidth="1"/>
    <col min="6942" max="6942" width="6.5703125" style="361" customWidth="1"/>
    <col min="6943" max="6943" width="6.28515625" style="361" customWidth="1"/>
    <col min="6944" max="6944" width="7.42578125" style="361" customWidth="1"/>
    <col min="6945" max="6945" width="6.140625" style="361" customWidth="1"/>
    <col min="6946" max="6946" width="6.28515625" style="361" customWidth="1"/>
    <col min="6947" max="6947" width="9.140625" style="361" customWidth="1"/>
    <col min="6948" max="6948" width="15.28515625" style="361" customWidth="1"/>
    <col min="6949" max="6949" width="17.85546875" style="361" customWidth="1"/>
    <col min="6950" max="6950" width="13.85546875" style="361" customWidth="1"/>
    <col min="6951" max="6951" width="12.85546875" style="361" customWidth="1"/>
    <col min="6952" max="6952" width="14.140625" style="361" customWidth="1"/>
    <col min="6953" max="6953" width="17.140625" style="361" customWidth="1"/>
    <col min="6954" max="6954" width="12.5703125" style="361" customWidth="1"/>
    <col min="6955" max="6955" width="15.42578125" style="361" customWidth="1"/>
    <col min="6956" max="6956" width="11.7109375" style="361" customWidth="1"/>
    <col min="6957" max="6957" width="16.7109375" style="361" customWidth="1"/>
    <col min="6958" max="6958" width="21.42578125" style="361" customWidth="1"/>
    <col min="6959" max="7150" width="9.140625" style="361"/>
    <col min="7151" max="7151" width="17.28515625" style="361" customWidth="1"/>
    <col min="7152" max="7152" width="13" style="361" customWidth="1"/>
    <col min="7153" max="7184" width="9" style="361" hidden="1" customWidth="1"/>
    <col min="7185" max="7185" width="7.5703125" style="361" customWidth="1"/>
    <col min="7186" max="7186" width="7" style="361" customWidth="1"/>
    <col min="7187" max="7187" width="7.42578125" style="361" customWidth="1"/>
    <col min="7188" max="7188" width="7.140625" style="361" customWidth="1"/>
    <col min="7189" max="7189" width="7" style="361" customWidth="1"/>
    <col min="7190" max="7190" width="7.5703125" style="361" customWidth="1"/>
    <col min="7191" max="7191" width="6.5703125" style="361" customWidth="1"/>
    <col min="7192" max="7194" width="5.5703125" style="361" customWidth="1"/>
    <col min="7195" max="7195" width="6.42578125" style="361" customWidth="1"/>
    <col min="7196" max="7196" width="6.5703125" style="361" customWidth="1"/>
    <col min="7197" max="7197" width="6.28515625" style="361" customWidth="1"/>
    <col min="7198" max="7198" width="6.5703125" style="361" customWidth="1"/>
    <col min="7199" max="7199" width="6.28515625" style="361" customWidth="1"/>
    <col min="7200" max="7200" width="7.42578125" style="361" customWidth="1"/>
    <col min="7201" max="7201" width="6.140625" style="361" customWidth="1"/>
    <col min="7202" max="7202" width="6.28515625" style="361" customWidth="1"/>
    <col min="7203" max="7203" width="9.140625" style="361" customWidth="1"/>
    <col min="7204" max="7204" width="15.28515625" style="361" customWidth="1"/>
    <col min="7205" max="7205" width="17.85546875" style="361" customWidth="1"/>
    <col min="7206" max="7206" width="13.85546875" style="361" customWidth="1"/>
    <col min="7207" max="7207" width="12.85546875" style="361" customWidth="1"/>
    <col min="7208" max="7208" width="14.140625" style="361" customWidth="1"/>
    <col min="7209" max="7209" width="17.140625" style="361" customWidth="1"/>
    <col min="7210" max="7210" width="12.5703125" style="361" customWidth="1"/>
    <col min="7211" max="7211" width="15.42578125" style="361" customWidth="1"/>
    <col min="7212" max="7212" width="11.7109375" style="361" customWidth="1"/>
    <col min="7213" max="7213" width="16.7109375" style="361" customWidth="1"/>
    <col min="7214" max="7214" width="21.42578125" style="361" customWidth="1"/>
    <col min="7215" max="7406" width="9.140625" style="361"/>
    <col min="7407" max="7407" width="17.28515625" style="361" customWidth="1"/>
    <col min="7408" max="7408" width="13" style="361" customWidth="1"/>
    <col min="7409" max="7440" width="9" style="361" hidden="1" customWidth="1"/>
    <col min="7441" max="7441" width="7.5703125" style="361" customWidth="1"/>
    <col min="7442" max="7442" width="7" style="361" customWidth="1"/>
    <col min="7443" max="7443" width="7.42578125" style="361" customWidth="1"/>
    <col min="7444" max="7444" width="7.140625" style="361" customWidth="1"/>
    <col min="7445" max="7445" width="7" style="361" customWidth="1"/>
    <col min="7446" max="7446" width="7.5703125" style="361" customWidth="1"/>
    <col min="7447" max="7447" width="6.5703125" style="361" customWidth="1"/>
    <col min="7448" max="7450" width="5.5703125" style="361" customWidth="1"/>
    <col min="7451" max="7451" width="6.42578125" style="361" customWidth="1"/>
    <col min="7452" max="7452" width="6.5703125" style="361" customWidth="1"/>
    <col min="7453" max="7453" width="6.28515625" style="361" customWidth="1"/>
    <col min="7454" max="7454" width="6.5703125" style="361" customWidth="1"/>
    <col min="7455" max="7455" width="6.28515625" style="361" customWidth="1"/>
    <col min="7456" max="7456" width="7.42578125" style="361" customWidth="1"/>
    <col min="7457" max="7457" width="6.140625" style="361" customWidth="1"/>
    <col min="7458" max="7458" width="6.28515625" style="361" customWidth="1"/>
    <col min="7459" max="7459" width="9.140625" style="361" customWidth="1"/>
    <col min="7460" max="7460" width="15.28515625" style="361" customWidth="1"/>
    <col min="7461" max="7461" width="17.85546875" style="361" customWidth="1"/>
    <col min="7462" max="7462" width="13.85546875" style="361" customWidth="1"/>
    <col min="7463" max="7463" width="12.85546875" style="361" customWidth="1"/>
    <col min="7464" max="7464" width="14.140625" style="361" customWidth="1"/>
    <col min="7465" max="7465" width="17.140625" style="361" customWidth="1"/>
    <col min="7466" max="7466" width="12.5703125" style="361" customWidth="1"/>
    <col min="7467" max="7467" width="15.42578125" style="361" customWidth="1"/>
    <col min="7468" max="7468" width="11.7109375" style="361" customWidth="1"/>
    <col min="7469" max="7469" width="16.7109375" style="361" customWidth="1"/>
    <col min="7470" max="7470" width="21.42578125" style="361" customWidth="1"/>
    <col min="7471" max="7662" width="9.140625" style="361"/>
    <col min="7663" max="7663" width="17.28515625" style="361" customWidth="1"/>
    <col min="7664" max="7664" width="13" style="361" customWidth="1"/>
    <col min="7665" max="7696" width="9" style="361" hidden="1" customWidth="1"/>
    <col min="7697" max="7697" width="7.5703125" style="361" customWidth="1"/>
    <col min="7698" max="7698" width="7" style="361" customWidth="1"/>
    <col min="7699" max="7699" width="7.42578125" style="361" customWidth="1"/>
    <col min="7700" max="7700" width="7.140625" style="361" customWidth="1"/>
    <col min="7701" max="7701" width="7" style="361" customWidth="1"/>
    <col min="7702" max="7702" width="7.5703125" style="361" customWidth="1"/>
    <col min="7703" max="7703" width="6.5703125" style="361" customWidth="1"/>
    <col min="7704" max="7706" width="5.5703125" style="361" customWidth="1"/>
    <col min="7707" max="7707" width="6.42578125" style="361" customWidth="1"/>
    <col min="7708" max="7708" width="6.5703125" style="361" customWidth="1"/>
    <col min="7709" max="7709" width="6.28515625" style="361" customWidth="1"/>
    <col min="7710" max="7710" width="6.5703125" style="361" customWidth="1"/>
    <col min="7711" max="7711" width="6.28515625" style="361" customWidth="1"/>
    <col min="7712" max="7712" width="7.42578125" style="361" customWidth="1"/>
    <col min="7713" max="7713" width="6.140625" style="361" customWidth="1"/>
    <col min="7714" max="7714" width="6.28515625" style="361" customWidth="1"/>
    <col min="7715" max="7715" width="9.140625" style="361" customWidth="1"/>
    <col min="7716" max="7716" width="15.28515625" style="361" customWidth="1"/>
    <col min="7717" max="7717" width="17.85546875" style="361" customWidth="1"/>
    <col min="7718" max="7718" width="13.85546875" style="361" customWidth="1"/>
    <col min="7719" max="7719" width="12.85546875" style="361" customWidth="1"/>
    <col min="7720" max="7720" width="14.140625" style="361" customWidth="1"/>
    <col min="7721" max="7721" width="17.140625" style="361" customWidth="1"/>
    <col min="7722" max="7722" width="12.5703125" style="361" customWidth="1"/>
    <col min="7723" max="7723" width="15.42578125" style="361" customWidth="1"/>
    <col min="7724" max="7724" width="11.7109375" style="361" customWidth="1"/>
    <col min="7725" max="7725" width="16.7109375" style="361" customWidth="1"/>
    <col min="7726" max="7726" width="21.42578125" style="361" customWidth="1"/>
    <col min="7727" max="7918" width="9.140625" style="361"/>
    <col min="7919" max="7919" width="17.28515625" style="361" customWidth="1"/>
    <col min="7920" max="7920" width="13" style="361" customWidth="1"/>
    <col min="7921" max="7952" width="9" style="361" hidden="1" customWidth="1"/>
    <col min="7953" max="7953" width="7.5703125" style="361" customWidth="1"/>
    <col min="7954" max="7954" width="7" style="361" customWidth="1"/>
    <col min="7955" max="7955" width="7.42578125" style="361" customWidth="1"/>
    <col min="7956" max="7956" width="7.140625" style="361" customWidth="1"/>
    <col min="7957" max="7957" width="7" style="361" customWidth="1"/>
    <col min="7958" max="7958" width="7.5703125" style="361" customWidth="1"/>
    <col min="7959" max="7959" width="6.5703125" style="361" customWidth="1"/>
    <col min="7960" max="7962" width="5.5703125" style="361" customWidth="1"/>
    <col min="7963" max="7963" width="6.42578125" style="361" customWidth="1"/>
    <col min="7964" max="7964" width="6.5703125" style="361" customWidth="1"/>
    <col min="7965" max="7965" width="6.28515625" style="361" customWidth="1"/>
    <col min="7966" max="7966" width="6.5703125" style="361" customWidth="1"/>
    <col min="7967" max="7967" width="6.28515625" style="361" customWidth="1"/>
    <col min="7968" max="7968" width="7.42578125" style="361" customWidth="1"/>
    <col min="7969" max="7969" width="6.140625" style="361" customWidth="1"/>
    <col min="7970" max="7970" width="6.28515625" style="361" customWidth="1"/>
    <col min="7971" max="7971" width="9.140625" style="361" customWidth="1"/>
    <col min="7972" max="7972" width="15.28515625" style="361" customWidth="1"/>
    <col min="7973" max="7973" width="17.85546875" style="361" customWidth="1"/>
    <col min="7974" max="7974" width="13.85546875" style="361" customWidth="1"/>
    <col min="7975" max="7975" width="12.85546875" style="361" customWidth="1"/>
    <col min="7976" max="7976" width="14.140625" style="361" customWidth="1"/>
    <col min="7977" max="7977" width="17.140625" style="361" customWidth="1"/>
    <col min="7978" max="7978" width="12.5703125" style="361" customWidth="1"/>
    <col min="7979" max="7979" width="15.42578125" style="361" customWidth="1"/>
    <col min="7980" max="7980" width="11.7109375" style="361" customWidth="1"/>
    <col min="7981" max="7981" width="16.7109375" style="361" customWidth="1"/>
    <col min="7982" max="7982" width="21.42578125" style="361" customWidth="1"/>
    <col min="7983" max="8174" width="9.140625" style="361"/>
    <col min="8175" max="8175" width="17.28515625" style="361" customWidth="1"/>
    <col min="8176" max="8176" width="13" style="361" customWidth="1"/>
    <col min="8177" max="8208" width="9" style="361" hidden="1" customWidth="1"/>
    <col min="8209" max="8209" width="7.5703125" style="361" customWidth="1"/>
    <col min="8210" max="8210" width="7" style="361" customWidth="1"/>
    <col min="8211" max="8211" width="7.42578125" style="361" customWidth="1"/>
    <col min="8212" max="8212" width="7.140625" style="361" customWidth="1"/>
    <col min="8213" max="8213" width="7" style="361" customWidth="1"/>
    <col min="8214" max="8214" width="7.5703125" style="361" customWidth="1"/>
    <col min="8215" max="8215" width="6.5703125" style="361" customWidth="1"/>
    <col min="8216" max="8218" width="5.5703125" style="361" customWidth="1"/>
    <col min="8219" max="8219" width="6.42578125" style="361" customWidth="1"/>
    <col min="8220" max="8220" width="6.5703125" style="361" customWidth="1"/>
    <col min="8221" max="8221" width="6.28515625" style="361" customWidth="1"/>
    <col min="8222" max="8222" width="6.5703125" style="361" customWidth="1"/>
    <col min="8223" max="8223" width="6.28515625" style="361" customWidth="1"/>
    <col min="8224" max="8224" width="7.42578125" style="361" customWidth="1"/>
    <col min="8225" max="8225" width="6.140625" style="361" customWidth="1"/>
    <col min="8226" max="8226" width="6.28515625" style="361" customWidth="1"/>
    <col min="8227" max="8227" width="9.140625" style="361" customWidth="1"/>
    <col min="8228" max="8228" width="15.28515625" style="361" customWidth="1"/>
    <col min="8229" max="8229" width="17.85546875" style="361" customWidth="1"/>
    <col min="8230" max="8230" width="13.85546875" style="361" customWidth="1"/>
    <col min="8231" max="8231" width="12.85546875" style="361" customWidth="1"/>
    <col min="8232" max="8232" width="14.140625" style="361" customWidth="1"/>
    <col min="8233" max="8233" width="17.140625" style="361" customWidth="1"/>
    <col min="8234" max="8234" width="12.5703125" style="361" customWidth="1"/>
    <col min="8235" max="8235" width="15.42578125" style="361" customWidth="1"/>
    <col min="8236" max="8236" width="11.7109375" style="361" customWidth="1"/>
    <col min="8237" max="8237" width="16.7109375" style="361" customWidth="1"/>
    <col min="8238" max="8238" width="21.42578125" style="361" customWidth="1"/>
    <col min="8239" max="8430" width="9.140625" style="361"/>
    <col min="8431" max="8431" width="17.28515625" style="361" customWidth="1"/>
    <col min="8432" max="8432" width="13" style="361" customWidth="1"/>
    <col min="8433" max="8464" width="9" style="361" hidden="1" customWidth="1"/>
    <col min="8465" max="8465" width="7.5703125" style="361" customWidth="1"/>
    <col min="8466" max="8466" width="7" style="361" customWidth="1"/>
    <col min="8467" max="8467" width="7.42578125" style="361" customWidth="1"/>
    <col min="8468" max="8468" width="7.140625" style="361" customWidth="1"/>
    <col min="8469" max="8469" width="7" style="361" customWidth="1"/>
    <col min="8470" max="8470" width="7.5703125" style="361" customWidth="1"/>
    <col min="8471" max="8471" width="6.5703125" style="361" customWidth="1"/>
    <col min="8472" max="8474" width="5.5703125" style="361" customWidth="1"/>
    <col min="8475" max="8475" width="6.42578125" style="361" customWidth="1"/>
    <col min="8476" max="8476" width="6.5703125" style="361" customWidth="1"/>
    <col min="8477" max="8477" width="6.28515625" style="361" customWidth="1"/>
    <col min="8478" max="8478" width="6.5703125" style="361" customWidth="1"/>
    <col min="8479" max="8479" width="6.28515625" style="361" customWidth="1"/>
    <col min="8480" max="8480" width="7.42578125" style="361" customWidth="1"/>
    <col min="8481" max="8481" width="6.140625" style="361" customWidth="1"/>
    <col min="8482" max="8482" width="6.28515625" style="361" customWidth="1"/>
    <col min="8483" max="8483" width="9.140625" style="361" customWidth="1"/>
    <col min="8484" max="8484" width="15.28515625" style="361" customWidth="1"/>
    <col min="8485" max="8485" width="17.85546875" style="361" customWidth="1"/>
    <col min="8486" max="8486" width="13.85546875" style="361" customWidth="1"/>
    <col min="8487" max="8487" width="12.85546875" style="361" customWidth="1"/>
    <col min="8488" max="8488" width="14.140625" style="361" customWidth="1"/>
    <col min="8489" max="8489" width="17.140625" style="361" customWidth="1"/>
    <col min="8490" max="8490" width="12.5703125" style="361" customWidth="1"/>
    <col min="8491" max="8491" width="15.42578125" style="361" customWidth="1"/>
    <col min="8492" max="8492" width="11.7109375" style="361" customWidth="1"/>
    <col min="8493" max="8493" width="16.7109375" style="361" customWidth="1"/>
    <col min="8494" max="8494" width="21.42578125" style="361" customWidth="1"/>
    <col min="8495" max="8686" width="9.140625" style="361"/>
    <col min="8687" max="8687" width="17.28515625" style="361" customWidth="1"/>
    <col min="8688" max="8688" width="13" style="361" customWidth="1"/>
    <col min="8689" max="8720" width="9" style="361" hidden="1" customWidth="1"/>
    <col min="8721" max="8721" width="7.5703125" style="361" customWidth="1"/>
    <col min="8722" max="8722" width="7" style="361" customWidth="1"/>
    <col min="8723" max="8723" width="7.42578125" style="361" customWidth="1"/>
    <col min="8724" max="8724" width="7.140625" style="361" customWidth="1"/>
    <col min="8725" max="8725" width="7" style="361" customWidth="1"/>
    <col min="8726" max="8726" width="7.5703125" style="361" customWidth="1"/>
    <col min="8727" max="8727" width="6.5703125" style="361" customWidth="1"/>
    <col min="8728" max="8730" width="5.5703125" style="361" customWidth="1"/>
    <col min="8731" max="8731" width="6.42578125" style="361" customWidth="1"/>
    <col min="8732" max="8732" width="6.5703125" style="361" customWidth="1"/>
    <col min="8733" max="8733" width="6.28515625" style="361" customWidth="1"/>
    <col min="8734" max="8734" width="6.5703125" style="361" customWidth="1"/>
    <col min="8735" max="8735" width="6.28515625" style="361" customWidth="1"/>
    <col min="8736" max="8736" width="7.42578125" style="361" customWidth="1"/>
    <col min="8737" max="8737" width="6.140625" style="361" customWidth="1"/>
    <col min="8738" max="8738" width="6.28515625" style="361" customWidth="1"/>
    <col min="8739" max="8739" width="9.140625" style="361" customWidth="1"/>
    <col min="8740" max="8740" width="15.28515625" style="361" customWidth="1"/>
    <col min="8741" max="8741" width="17.85546875" style="361" customWidth="1"/>
    <col min="8742" max="8742" width="13.85546875" style="361" customWidth="1"/>
    <col min="8743" max="8743" width="12.85546875" style="361" customWidth="1"/>
    <col min="8744" max="8744" width="14.140625" style="361" customWidth="1"/>
    <col min="8745" max="8745" width="17.140625" style="361" customWidth="1"/>
    <col min="8746" max="8746" width="12.5703125" style="361" customWidth="1"/>
    <col min="8747" max="8747" width="15.42578125" style="361" customWidth="1"/>
    <col min="8748" max="8748" width="11.7109375" style="361" customWidth="1"/>
    <col min="8749" max="8749" width="16.7109375" style="361" customWidth="1"/>
    <col min="8750" max="8750" width="21.42578125" style="361" customWidth="1"/>
    <col min="8751" max="8942" width="9.140625" style="361"/>
    <col min="8943" max="8943" width="17.28515625" style="361" customWidth="1"/>
    <col min="8944" max="8944" width="13" style="361" customWidth="1"/>
    <col min="8945" max="8976" width="9" style="361" hidden="1" customWidth="1"/>
    <col min="8977" max="8977" width="7.5703125" style="361" customWidth="1"/>
    <col min="8978" max="8978" width="7" style="361" customWidth="1"/>
    <col min="8979" max="8979" width="7.42578125" style="361" customWidth="1"/>
    <col min="8980" max="8980" width="7.140625" style="361" customWidth="1"/>
    <col min="8981" max="8981" width="7" style="361" customWidth="1"/>
    <col min="8982" max="8982" width="7.5703125" style="361" customWidth="1"/>
    <col min="8983" max="8983" width="6.5703125" style="361" customWidth="1"/>
    <col min="8984" max="8986" width="5.5703125" style="361" customWidth="1"/>
    <col min="8987" max="8987" width="6.42578125" style="361" customWidth="1"/>
    <col min="8988" max="8988" width="6.5703125" style="361" customWidth="1"/>
    <col min="8989" max="8989" width="6.28515625" style="361" customWidth="1"/>
    <col min="8990" max="8990" width="6.5703125" style="361" customWidth="1"/>
    <col min="8991" max="8991" width="6.28515625" style="361" customWidth="1"/>
    <col min="8992" max="8992" width="7.42578125" style="361" customWidth="1"/>
    <col min="8993" max="8993" width="6.140625" style="361" customWidth="1"/>
    <col min="8994" max="8994" width="6.28515625" style="361" customWidth="1"/>
    <col min="8995" max="8995" width="9.140625" style="361" customWidth="1"/>
    <col min="8996" max="8996" width="15.28515625" style="361" customWidth="1"/>
    <col min="8997" max="8997" width="17.85546875" style="361" customWidth="1"/>
    <col min="8998" max="8998" width="13.85546875" style="361" customWidth="1"/>
    <col min="8999" max="8999" width="12.85546875" style="361" customWidth="1"/>
    <col min="9000" max="9000" width="14.140625" style="361" customWidth="1"/>
    <col min="9001" max="9001" width="17.140625" style="361" customWidth="1"/>
    <col min="9002" max="9002" width="12.5703125" style="361" customWidth="1"/>
    <col min="9003" max="9003" width="15.42578125" style="361" customWidth="1"/>
    <col min="9004" max="9004" width="11.7109375" style="361" customWidth="1"/>
    <col min="9005" max="9005" width="16.7109375" style="361" customWidth="1"/>
    <col min="9006" max="9006" width="21.42578125" style="361" customWidth="1"/>
    <col min="9007" max="9198" width="9.140625" style="361"/>
    <col min="9199" max="9199" width="17.28515625" style="361" customWidth="1"/>
    <col min="9200" max="9200" width="13" style="361" customWidth="1"/>
    <col min="9201" max="9232" width="9" style="361" hidden="1" customWidth="1"/>
    <col min="9233" max="9233" width="7.5703125" style="361" customWidth="1"/>
    <col min="9234" max="9234" width="7" style="361" customWidth="1"/>
    <col min="9235" max="9235" width="7.42578125" style="361" customWidth="1"/>
    <col min="9236" max="9236" width="7.140625" style="361" customWidth="1"/>
    <col min="9237" max="9237" width="7" style="361" customWidth="1"/>
    <col min="9238" max="9238" width="7.5703125" style="361" customWidth="1"/>
    <col min="9239" max="9239" width="6.5703125" style="361" customWidth="1"/>
    <col min="9240" max="9242" width="5.5703125" style="361" customWidth="1"/>
    <col min="9243" max="9243" width="6.42578125" style="361" customWidth="1"/>
    <col min="9244" max="9244" width="6.5703125" style="361" customWidth="1"/>
    <col min="9245" max="9245" width="6.28515625" style="361" customWidth="1"/>
    <col min="9246" max="9246" width="6.5703125" style="361" customWidth="1"/>
    <col min="9247" max="9247" width="6.28515625" style="361" customWidth="1"/>
    <col min="9248" max="9248" width="7.42578125" style="361" customWidth="1"/>
    <col min="9249" max="9249" width="6.140625" style="361" customWidth="1"/>
    <col min="9250" max="9250" width="6.28515625" style="361" customWidth="1"/>
    <col min="9251" max="9251" width="9.140625" style="361" customWidth="1"/>
    <col min="9252" max="9252" width="15.28515625" style="361" customWidth="1"/>
    <col min="9253" max="9253" width="17.85546875" style="361" customWidth="1"/>
    <col min="9254" max="9254" width="13.85546875" style="361" customWidth="1"/>
    <col min="9255" max="9255" width="12.85546875" style="361" customWidth="1"/>
    <col min="9256" max="9256" width="14.140625" style="361" customWidth="1"/>
    <col min="9257" max="9257" width="17.140625" style="361" customWidth="1"/>
    <col min="9258" max="9258" width="12.5703125" style="361" customWidth="1"/>
    <col min="9259" max="9259" width="15.42578125" style="361" customWidth="1"/>
    <col min="9260" max="9260" width="11.7109375" style="361" customWidth="1"/>
    <col min="9261" max="9261" width="16.7109375" style="361" customWidth="1"/>
    <col min="9262" max="9262" width="21.42578125" style="361" customWidth="1"/>
    <col min="9263" max="9454" width="9.140625" style="361"/>
    <col min="9455" max="9455" width="17.28515625" style="361" customWidth="1"/>
    <col min="9456" max="9456" width="13" style="361" customWidth="1"/>
    <col min="9457" max="9488" width="9" style="361" hidden="1" customWidth="1"/>
    <col min="9489" max="9489" width="7.5703125" style="361" customWidth="1"/>
    <col min="9490" max="9490" width="7" style="361" customWidth="1"/>
    <col min="9491" max="9491" width="7.42578125" style="361" customWidth="1"/>
    <col min="9492" max="9492" width="7.140625" style="361" customWidth="1"/>
    <col min="9493" max="9493" width="7" style="361" customWidth="1"/>
    <col min="9494" max="9494" width="7.5703125" style="361" customWidth="1"/>
    <col min="9495" max="9495" width="6.5703125" style="361" customWidth="1"/>
    <col min="9496" max="9498" width="5.5703125" style="361" customWidth="1"/>
    <col min="9499" max="9499" width="6.42578125" style="361" customWidth="1"/>
    <col min="9500" max="9500" width="6.5703125" style="361" customWidth="1"/>
    <col min="9501" max="9501" width="6.28515625" style="361" customWidth="1"/>
    <col min="9502" max="9502" width="6.5703125" style="361" customWidth="1"/>
    <col min="9503" max="9503" width="6.28515625" style="361" customWidth="1"/>
    <col min="9504" max="9504" width="7.42578125" style="361" customWidth="1"/>
    <col min="9505" max="9505" width="6.140625" style="361" customWidth="1"/>
    <col min="9506" max="9506" width="6.28515625" style="361" customWidth="1"/>
    <col min="9507" max="9507" width="9.140625" style="361" customWidth="1"/>
    <col min="9508" max="9508" width="15.28515625" style="361" customWidth="1"/>
    <col min="9509" max="9509" width="17.85546875" style="361" customWidth="1"/>
    <col min="9510" max="9510" width="13.85546875" style="361" customWidth="1"/>
    <col min="9511" max="9511" width="12.85546875" style="361" customWidth="1"/>
    <col min="9512" max="9512" width="14.140625" style="361" customWidth="1"/>
    <col min="9513" max="9513" width="17.140625" style="361" customWidth="1"/>
    <col min="9514" max="9514" width="12.5703125" style="361" customWidth="1"/>
    <col min="9515" max="9515" width="15.42578125" style="361" customWidth="1"/>
    <col min="9516" max="9516" width="11.7109375" style="361" customWidth="1"/>
    <col min="9517" max="9517" width="16.7109375" style="361" customWidth="1"/>
    <col min="9518" max="9518" width="21.42578125" style="361" customWidth="1"/>
    <col min="9519" max="9710" width="9.140625" style="361"/>
    <col min="9711" max="9711" width="17.28515625" style="361" customWidth="1"/>
    <col min="9712" max="9712" width="13" style="361" customWidth="1"/>
    <col min="9713" max="9744" width="9" style="361" hidden="1" customWidth="1"/>
    <col min="9745" max="9745" width="7.5703125" style="361" customWidth="1"/>
    <col min="9746" max="9746" width="7" style="361" customWidth="1"/>
    <col min="9747" max="9747" width="7.42578125" style="361" customWidth="1"/>
    <col min="9748" max="9748" width="7.140625" style="361" customWidth="1"/>
    <col min="9749" max="9749" width="7" style="361" customWidth="1"/>
    <col min="9750" max="9750" width="7.5703125" style="361" customWidth="1"/>
    <col min="9751" max="9751" width="6.5703125" style="361" customWidth="1"/>
    <col min="9752" max="9754" width="5.5703125" style="361" customWidth="1"/>
    <col min="9755" max="9755" width="6.42578125" style="361" customWidth="1"/>
    <col min="9756" max="9756" width="6.5703125" style="361" customWidth="1"/>
    <col min="9757" max="9757" width="6.28515625" style="361" customWidth="1"/>
    <col min="9758" max="9758" width="6.5703125" style="361" customWidth="1"/>
    <col min="9759" max="9759" width="6.28515625" style="361" customWidth="1"/>
    <col min="9760" max="9760" width="7.42578125" style="361" customWidth="1"/>
    <col min="9761" max="9761" width="6.140625" style="361" customWidth="1"/>
    <col min="9762" max="9762" width="6.28515625" style="361" customWidth="1"/>
    <col min="9763" max="9763" width="9.140625" style="361" customWidth="1"/>
    <col min="9764" max="9764" width="15.28515625" style="361" customWidth="1"/>
    <col min="9765" max="9765" width="17.85546875" style="361" customWidth="1"/>
    <col min="9766" max="9766" width="13.85546875" style="361" customWidth="1"/>
    <col min="9767" max="9767" width="12.85546875" style="361" customWidth="1"/>
    <col min="9768" max="9768" width="14.140625" style="361" customWidth="1"/>
    <col min="9769" max="9769" width="17.140625" style="361" customWidth="1"/>
    <col min="9770" max="9770" width="12.5703125" style="361" customWidth="1"/>
    <col min="9771" max="9771" width="15.42578125" style="361" customWidth="1"/>
    <col min="9772" max="9772" width="11.7109375" style="361" customWidth="1"/>
    <col min="9773" max="9773" width="16.7109375" style="361" customWidth="1"/>
    <col min="9774" max="9774" width="21.42578125" style="361" customWidth="1"/>
    <col min="9775" max="9966" width="9.140625" style="361"/>
    <col min="9967" max="9967" width="17.28515625" style="361" customWidth="1"/>
    <col min="9968" max="9968" width="13" style="361" customWidth="1"/>
    <col min="9969" max="10000" width="9" style="361" hidden="1" customWidth="1"/>
    <col min="10001" max="10001" width="7.5703125" style="361" customWidth="1"/>
    <col min="10002" max="10002" width="7" style="361" customWidth="1"/>
    <col min="10003" max="10003" width="7.42578125" style="361" customWidth="1"/>
    <col min="10004" max="10004" width="7.140625" style="361" customWidth="1"/>
    <col min="10005" max="10005" width="7" style="361" customWidth="1"/>
    <col min="10006" max="10006" width="7.5703125" style="361" customWidth="1"/>
    <col min="10007" max="10007" width="6.5703125" style="361" customWidth="1"/>
    <col min="10008" max="10010" width="5.5703125" style="361" customWidth="1"/>
    <col min="10011" max="10011" width="6.42578125" style="361" customWidth="1"/>
    <col min="10012" max="10012" width="6.5703125" style="361" customWidth="1"/>
    <col min="10013" max="10013" width="6.28515625" style="361" customWidth="1"/>
    <col min="10014" max="10014" width="6.5703125" style="361" customWidth="1"/>
    <col min="10015" max="10015" width="6.28515625" style="361" customWidth="1"/>
    <col min="10016" max="10016" width="7.42578125" style="361" customWidth="1"/>
    <col min="10017" max="10017" width="6.140625" style="361" customWidth="1"/>
    <col min="10018" max="10018" width="6.28515625" style="361" customWidth="1"/>
    <col min="10019" max="10019" width="9.140625" style="361" customWidth="1"/>
    <col min="10020" max="10020" width="15.28515625" style="361" customWidth="1"/>
    <col min="10021" max="10021" width="17.85546875" style="361" customWidth="1"/>
    <col min="10022" max="10022" width="13.85546875" style="361" customWidth="1"/>
    <col min="10023" max="10023" width="12.85546875" style="361" customWidth="1"/>
    <col min="10024" max="10024" width="14.140625" style="361" customWidth="1"/>
    <col min="10025" max="10025" width="17.140625" style="361" customWidth="1"/>
    <col min="10026" max="10026" width="12.5703125" style="361" customWidth="1"/>
    <col min="10027" max="10027" width="15.42578125" style="361" customWidth="1"/>
    <col min="10028" max="10028" width="11.7109375" style="361" customWidth="1"/>
    <col min="10029" max="10029" width="16.7109375" style="361" customWidth="1"/>
    <col min="10030" max="10030" width="21.42578125" style="361" customWidth="1"/>
    <col min="10031" max="10222" width="9.140625" style="361"/>
    <col min="10223" max="10223" width="17.28515625" style="361" customWidth="1"/>
    <col min="10224" max="10224" width="13" style="361" customWidth="1"/>
    <col min="10225" max="10256" width="9" style="361" hidden="1" customWidth="1"/>
    <col min="10257" max="10257" width="7.5703125" style="361" customWidth="1"/>
    <col min="10258" max="10258" width="7" style="361" customWidth="1"/>
    <col min="10259" max="10259" width="7.42578125" style="361" customWidth="1"/>
    <col min="10260" max="10260" width="7.140625" style="361" customWidth="1"/>
    <col min="10261" max="10261" width="7" style="361" customWidth="1"/>
    <col min="10262" max="10262" width="7.5703125" style="361" customWidth="1"/>
    <col min="10263" max="10263" width="6.5703125" style="361" customWidth="1"/>
    <col min="10264" max="10266" width="5.5703125" style="361" customWidth="1"/>
    <col min="10267" max="10267" width="6.42578125" style="361" customWidth="1"/>
    <col min="10268" max="10268" width="6.5703125" style="361" customWidth="1"/>
    <col min="10269" max="10269" width="6.28515625" style="361" customWidth="1"/>
    <col min="10270" max="10270" width="6.5703125" style="361" customWidth="1"/>
    <col min="10271" max="10271" width="6.28515625" style="361" customWidth="1"/>
    <col min="10272" max="10272" width="7.42578125" style="361" customWidth="1"/>
    <col min="10273" max="10273" width="6.140625" style="361" customWidth="1"/>
    <col min="10274" max="10274" width="6.28515625" style="361" customWidth="1"/>
    <col min="10275" max="10275" width="9.140625" style="361" customWidth="1"/>
    <col min="10276" max="10276" width="15.28515625" style="361" customWidth="1"/>
    <col min="10277" max="10277" width="17.85546875" style="361" customWidth="1"/>
    <col min="10278" max="10278" width="13.85546875" style="361" customWidth="1"/>
    <col min="10279" max="10279" width="12.85546875" style="361" customWidth="1"/>
    <col min="10280" max="10280" width="14.140625" style="361" customWidth="1"/>
    <col min="10281" max="10281" width="17.140625" style="361" customWidth="1"/>
    <col min="10282" max="10282" width="12.5703125" style="361" customWidth="1"/>
    <col min="10283" max="10283" width="15.42578125" style="361" customWidth="1"/>
    <col min="10284" max="10284" width="11.7109375" style="361" customWidth="1"/>
    <col min="10285" max="10285" width="16.7109375" style="361" customWidth="1"/>
    <col min="10286" max="10286" width="21.42578125" style="361" customWidth="1"/>
    <col min="10287" max="10478" width="9.140625" style="361"/>
    <col min="10479" max="10479" width="17.28515625" style="361" customWidth="1"/>
    <col min="10480" max="10480" width="13" style="361" customWidth="1"/>
    <col min="10481" max="10512" width="9" style="361" hidden="1" customWidth="1"/>
    <col min="10513" max="10513" width="7.5703125" style="361" customWidth="1"/>
    <col min="10514" max="10514" width="7" style="361" customWidth="1"/>
    <col min="10515" max="10515" width="7.42578125" style="361" customWidth="1"/>
    <col min="10516" max="10516" width="7.140625" style="361" customWidth="1"/>
    <col min="10517" max="10517" width="7" style="361" customWidth="1"/>
    <col min="10518" max="10518" width="7.5703125" style="361" customWidth="1"/>
    <col min="10519" max="10519" width="6.5703125" style="361" customWidth="1"/>
    <col min="10520" max="10522" width="5.5703125" style="361" customWidth="1"/>
    <col min="10523" max="10523" width="6.42578125" style="361" customWidth="1"/>
    <col min="10524" max="10524" width="6.5703125" style="361" customWidth="1"/>
    <col min="10525" max="10525" width="6.28515625" style="361" customWidth="1"/>
    <col min="10526" max="10526" width="6.5703125" style="361" customWidth="1"/>
    <col min="10527" max="10527" width="6.28515625" style="361" customWidth="1"/>
    <col min="10528" max="10528" width="7.42578125" style="361" customWidth="1"/>
    <col min="10529" max="10529" width="6.140625" style="361" customWidth="1"/>
    <col min="10530" max="10530" width="6.28515625" style="361" customWidth="1"/>
    <col min="10531" max="10531" width="9.140625" style="361" customWidth="1"/>
    <col min="10532" max="10532" width="15.28515625" style="361" customWidth="1"/>
    <col min="10533" max="10533" width="17.85546875" style="361" customWidth="1"/>
    <col min="10534" max="10534" width="13.85546875" style="361" customWidth="1"/>
    <col min="10535" max="10535" width="12.85546875" style="361" customWidth="1"/>
    <col min="10536" max="10536" width="14.140625" style="361" customWidth="1"/>
    <col min="10537" max="10537" width="17.140625" style="361" customWidth="1"/>
    <col min="10538" max="10538" width="12.5703125" style="361" customWidth="1"/>
    <col min="10539" max="10539" width="15.42578125" style="361" customWidth="1"/>
    <col min="10540" max="10540" width="11.7109375" style="361" customWidth="1"/>
    <col min="10541" max="10541" width="16.7109375" style="361" customWidth="1"/>
    <col min="10542" max="10542" width="21.42578125" style="361" customWidth="1"/>
    <col min="10543" max="10734" width="9.140625" style="361"/>
    <col min="10735" max="10735" width="17.28515625" style="361" customWidth="1"/>
    <col min="10736" max="10736" width="13" style="361" customWidth="1"/>
    <col min="10737" max="10768" width="9" style="361" hidden="1" customWidth="1"/>
    <col min="10769" max="10769" width="7.5703125" style="361" customWidth="1"/>
    <col min="10770" max="10770" width="7" style="361" customWidth="1"/>
    <col min="10771" max="10771" width="7.42578125" style="361" customWidth="1"/>
    <col min="10772" max="10772" width="7.140625" style="361" customWidth="1"/>
    <col min="10773" max="10773" width="7" style="361" customWidth="1"/>
    <col min="10774" max="10774" width="7.5703125" style="361" customWidth="1"/>
    <col min="10775" max="10775" width="6.5703125" style="361" customWidth="1"/>
    <col min="10776" max="10778" width="5.5703125" style="361" customWidth="1"/>
    <col min="10779" max="10779" width="6.42578125" style="361" customWidth="1"/>
    <col min="10780" max="10780" width="6.5703125" style="361" customWidth="1"/>
    <col min="10781" max="10781" width="6.28515625" style="361" customWidth="1"/>
    <col min="10782" max="10782" width="6.5703125" style="361" customWidth="1"/>
    <col min="10783" max="10783" width="6.28515625" style="361" customWidth="1"/>
    <col min="10784" max="10784" width="7.42578125" style="361" customWidth="1"/>
    <col min="10785" max="10785" width="6.140625" style="361" customWidth="1"/>
    <col min="10786" max="10786" width="6.28515625" style="361" customWidth="1"/>
    <col min="10787" max="10787" width="9.140625" style="361" customWidth="1"/>
    <col min="10788" max="10788" width="15.28515625" style="361" customWidth="1"/>
    <col min="10789" max="10789" width="17.85546875" style="361" customWidth="1"/>
    <col min="10790" max="10790" width="13.85546875" style="361" customWidth="1"/>
    <col min="10791" max="10791" width="12.85546875" style="361" customWidth="1"/>
    <col min="10792" max="10792" width="14.140625" style="361" customWidth="1"/>
    <col min="10793" max="10793" width="17.140625" style="361" customWidth="1"/>
    <col min="10794" max="10794" width="12.5703125" style="361" customWidth="1"/>
    <col min="10795" max="10795" width="15.42578125" style="361" customWidth="1"/>
    <col min="10796" max="10796" width="11.7109375" style="361" customWidth="1"/>
    <col min="10797" max="10797" width="16.7109375" style="361" customWidth="1"/>
    <col min="10798" max="10798" width="21.42578125" style="361" customWidth="1"/>
    <col min="10799" max="10990" width="9.140625" style="361"/>
    <col min="10991" max="10991" width="17.28515625" style="361" customWidth="1"/>
    <col min="10992" max="10992" width="13" style="361" customWidth="1"/>
    <col min="10993" max="11024" width="9" style="361" hidden="1" customWidth="1"/>
    <col min="11025" max="11025" width="7.5703125" style="361" customWidth="1"/>
    <col min="11026" max="11026" width="7" style="361" customWidth="1"/>
    <col min="11027" max="11027" width="7.42578125" style="361" customWidth="1"/>
    <col min="11028" max="11028" width="7.140625" style="361" customWidth="1"/>
    <col min="11029" max="11029" width="7" style="361" customWidth="1"/>
    <col min="11030" max="11030" width="7.5703125" style="361" customWidth="1"/>
    <col min="11031" max="11031" width="6.5703125" style="361" customWidth="1"/>
    <col min="11032" max="11034" width="5.5703125" style="361" customWidth="1"/>
    <col min="11035" max="11035" width="6.42578125" style="361" customWidth="1"/>
    <col min="11036" max="11036" width="6.5703125" style="361" customWidth="1"/>
    <col min="11037" max="11037" width="6.28515625" style="361" customWidth="1"/>
    <col min="11038" max="11038" width="6.5703125" style="361" customWidth="1"/>
    <col min="11039" max="11039" width="6.28515625" style="361" customWidth="1"/>
    <col min="11040" max="11040" width="7.42578125" style="361" customWidth="1"/>
    <col min="11041" max="11041" width="6.140625" style="361" customWidth="1"/>
    <col min="11042" max="11042" width="6.28515625" style="361" customWidth="1"/>
    <col min="11043" max="11043" width="9.140625" style="361" customWidth="1"/>
    <col min="11044" max="11044" width="15.28515625" style="361" customWidth="1"/>
    <col min="11045" max="11045" width="17.85546875" style="361" customWidth="1"/>
    <col min="11046" max="11046" width="13.85546875" style="361" customWidth="1"/>
    <col min="11047" max="11047" width="12.85546875" style="361" customWidth="1"/>
    <col min="11048" max="11048" width="14.140625" style="361" customWidth="1"/>
    <col min="11049" max="11049" width="17.140625" style="361" customWidth="1"/>
    <col min="11050" max="11050" width="12.5703125" style="361" customWidth="1"/>
    <col min="11051" max="11051" width="15.42578125" style="361" customWidth="1"/>
    <col min="11052" max="11052" width="11.7109375" style="361" customWidth="1"/>
    <col min="11053" max="11053" width="16.7109375" style="361" customWidth="1"/>
    <col min="11054" max="11054" width="21.42578125" style="361" customWidth="1"/>
    <col min="11055" max="11246" width="9.140625" style="361"/>
    <col min="11247" max="11247" width="17.28515625" style="361" customWidth="1"/>
    <col min="11248" max="11248" width="13" style="361" customWidth="1"/>
    <col min="11249" max="11280" width="9" style="361" hidden="1" customWidth="1"/>
    <col min="11281" max="11281" width="7.5703125" style="361" customWidth="1"/>
    <col min="11282" max="11282" width="7" style="361" customWidth="1"/>
    <col min="11283" max="11283" width="7.42578125" style="361" customWidth="1"/>
    <col min="11284" max="11284" width="7.140625" style="361" customWidth="1"/>
    <col min="11285" max="11285" width="7" style="361" customWidth="1"/>
    <col min="11286" max="11286" width="7.5703125" style="361" customWidth="1"/>
    <col min="11287" max="11287" width="6.5703125" style="361" customWidth="1"/>
    <col min="11288" max="11290" width="5.5703125" style="361" customWidth="1"/>
    <col min="11291" max="11291" width="6.42578125" style="361" customWidth="1"/>
    <col min="11292" max="11292" width="6.5703125" style="361" customWidth="1"/>
    <col min="11293" max="11293" width="6.28515625" style="361" customWidth="1"/>
    <col min="11294" max="11294" width="6.5703125" style="361" customWidth="1"/>
    <col min="11295" max="11295" width="6.28515625" style="361" customWidth="1"/>
    <col min="11296" max="11296" width="7.42578125" style="361" customWidth="1"/>
    <col min="11297" max="11297" width="6.140625" style="361" customWidth="1"/>
    <col min="11298" max="11298" width="6.28515625" style="361" customWidth="1"/>
    <col min="11299" max="11299" width="9.140625" style="361" customWidth="1"/>
    <col min="11300" max="11300" width="15.28515625" style="361" customWidth="1"/>
    <col min="11301" max="11301" width="17.85546875" style="361" customWidth="1"/>
    <col min="11302" max="11302" width="13.85546875" style="361" customWidth="1"/>
    <col min="11303" max="11303" width="12.85546875" style="361" customWidth="1"/>
    <col min="11304" max="11304" width="14.140625" style="361" customWidth="1"/>
    <col min="11305" max="11305" width="17.140625" style="361" customWidth="1"/>
    <col min="11306" max="11306" width="12.5703125" style="361" customWidth="1"/>
    <col min="11307" max="11307" width="15.42578125" style="361" customWidth="1"/>
    <col min="11308" max="11308" width="11.7109375" style="361" customWidth="1"/>
    <col min="11309" max="11309" width="16.7109375" style="361" customWidth="1"/>
    <col min="11310" max="11310" width="21.42578125" style="361" customWidth="1"/>
    <col min="11311" max="11502" width="9.140625" style="361"/>
    <col min="11503" max="11503" width="17.28515625" style="361" customWidth="1"/>
    <col min="11504" max="11504" width="13" style="361" customWidth="1"/>
    <col min="11505" max="11536" width="9" style="361" hidden="1" customWidth="1"/>
    <col min="11537" max="11537" width="7.5703125" style="361" customWidth="1"/>
    <col min="11538" max="11538" width="7" style="361" customWidth="1"/>
    <col min="11539" max="11539" width="7.42578125" style="361" customWidth="1"/>
    <col min="11540" max="11540" width="7.140625" style="361" customWidth="1"/>
    <col min="11541" max="11541" width="7" style="361" customWidth="1"/>
    <col min="11542" max="11542" width="7.5703125" style="361" customWidth="1"/>
    <col min="11543" max="11543" width="6.5703125" style="361" customWidth="1"/>
    <col min="11544" max="11546" width="5.5703125" style="361" customWidth="1"/>
    <col min="11547" max="11547" width="6.42578125" style="361" customWidth="1"/>
    <col min="11548" max="11548" width="6.5703125" style="361" customWidth="1"/>
    <col min="11549" max="11549" width="6.28515625" style="361" customWidth="1"/>
    <col min="11550" max="11550" width="6.5703125" style="361" customWidth="1"/>
    <col min="11551" max="11551" width="6.28515625" style="361" customWidth="1"/>
    <col min="11552" max="11552" width="7.42578125" style="361" customWidth="1"/>
    <col min="11553" max="11553" width="6.140625" style="361" customWidth="1"/>
    <col min="11554" max="11554" width="6.28515625" style="361" customWidth="1"/>
    <col min="11555" max="11555" width="9.140625" style="361" customWidth="1"/>
    <col min="11556" max="11556" width="15.28515625" style="361" customWidth="1"/>
    <col min="11557" max="11557" width="17.85546875" style="361" customWidth="1"/>
    <col min="11558" max="11558" width="13.85546875" style="361" customWidth="1"/>
    <col min="11559" max="11559" width="12.85546875" style="361" customWidth="1"/>
    <col min="11560" max="11560" width="14.140625" style="361" customWidth="1"/>
    <col min="11561" max="11561" width="17.140625" style="361" customWidth="1"/>
    <col min="11562" max="11562" width="12.5703125" style="361" customWidth="1"/>
    <col min="11563" max="11563" width="15.42578125" style="361" customWidth="1"/>
    <col min="11564" max="11564" width="11.7109375" style="361" customWidth="1"/>
    <col min="11565" max="11565" width="16.7109375" style="361" customWidth="1"/>
    <col min="11566" max="11566" width="21.42578125" style="361" customWidth="1"/>
    <col min="11567" max="11758" width="9.140625" style="361"/>
    <col min="11759" max="11759" width="17.28515625" style="361" customWidth="1"/>
    <col min="11760" max="11760" width="13" style="361" customWidth="1"/>
    <col min="11761" max="11792" width="9" style="361" hidden="1" customWidth="1"/>
    <col min="11793" max="11793" width="7.5703125" style="361" customWidth="1"/>
    <col min="11794" max="11794" width="7" style="361" customWidth="1"/>
    <col min="11795" max="11795" width="7.42578125" style="361" customWidth="1"/>
    <col min="11796" max="11796" width="7.140625" style="361" customWidth="1"/>
    <col min="11797" max="11797" width="7" style="361" customWidth="1"/>
    <col min="11798" max="11798" width="7.5703125" style="361" customWidth="1"/>
    <col min="11799" max="11799" width="6.5703125" style="361" customWidth="1"/>
    <col min="11800" max="11802" width="5.5703125" style="361" customWidth="1"/>
    <col min="11803" max="11803" width="6.42578125" style="361" customWidth="1"/>
    <col min="11804" max="11804" width="6.5703125" style="361" customWidth="1"/>
    <col min="11805" max="11805" width="6.28515625" style="361" customWidth="1"/>
    <col min="11806" max="11806" width="6.5703125" style="361" customWidth="1"/>
    <col min="11807" max="11807" width="6.28515625" style="361" customWidth="1"/>
    <col min="11808" max="11808" width="7.42578125" style="361" customWidth="1"/>
    <col min="11809" max="11809" width="6.140625" style="361" customWidth="1"/>
    <col min="11810" max="11810" width="6.28515625" style="361" customWidth="1"/>
    <col min="11811" max="11811" width="9.140625" style="361" customWidth="1"/>
    <col min="11812" max="11812" width="15.28515625" style="361" customWidth="1"/>
    <col min="11813" max="11813" width="17.85546875" style="361" customWidth="1"/>
    <col min="11814" max="11814" width="13.85546875" style="361" customWidth="1"/>
    <col min="11815" max="11815" width="12.85546875" style="361" customWidth="1"/>
    <col min="11816" max="11816" width="14.140625" style="361" customWidth="1"/>
    <col min="11817" max="11817" width="17.140625" style="361" customWidth="1"/>
    <col min="11818" max="11818" width="12.5703125" style="361" customWidth="1"/>
    <col min="11819" max="11819" width="15.42578125" style="361" customWidth="1"/>
    <col min="11820" max="11820" width="11.7109375" style="361" customWidth="1"/>
    <col min="11821" max="11821" width="16.7109375" style="361" customWidth="1"/>
    <col min="11822" max="11822" width="21.42578125" style="361" customWidth="1"/>
    <col min="11823" max="12014" width="9.140625" style="361"/>
    <col min="12015" max="12015" width="17.28515625" style="361" customWidth="1"/>
    <col min="12016" max="12016" width="13" style="361" customWidth="1"/>
    <col min="12017" max="12048" width="9" style="361" hidden="1" customWidth="1"/>
    <col min="12049" max="12049" width="7.5703125" style="361" customWidth="1"/>
    <col min="12050" max="12050" width="7" style="361" customWidth="1"/>
    <col min="12051" max="12051" width="7.42578125" style="361" customWidth="1"/>
    <col min="12052" max="12052" width="7.140625" style="361" customWidth="1"/>
    <col min="12053" max="12053" width="7" style="361" customWidth="1"/>
    <col min="12054" max="12054" width="7.5703125" style="361" customWidth="1"/>
    <col min="12055" max="12055" width="6.5703125" style="361" customWidth="1"/>
    <col min="12056" max="12058" width="5.5703125" style="361" customWidth="1"/>
    <col min="12059" max="12059" width="6.42578125" style="361" customWidth="1"/>
    <col min="12060" max="12060" width="6.5703125" style="361" customWidth="1"/>
    <col min="12061" max="12061" width="6.28515625" style="361" customWidth="1"/>
    <col min="12062" max="12062" width="6.5703125" style="361" customWidth="1"/>
    <col min="12063" max="12063" width="6.28515625" style="361" customWidth="1"/>
    <col min="12064" max="12064" width="7.42578125" style="361" customWidth="1"/>
    <col min="12065" max="12065" width="6.140625" style="361" customWidth="1"/>
    <col min="12066" max="12066" width="6.28515625" style="361" customWidth="1"/>
    <col min="12067" max="12067" width="9.140625" style="361" customWidth="1"/>
    <col min="12068" max="12068" width="15.28515625" style="361" customWidth="1"/>
    <col min="12069" max="12069" width="17.85546875" style="361" customWidth="1"/>
    <col min="12070" max="12070" width="13.85546875" style="361" customWidth="1"/>
    <col min="12071" max="12071" width="12.85546875" style="361" customWidth="1"/>
    <col min="12072" max="12072" width="14.140625" style="361" customWidth="1"/>
    <col min="12073" max="12073" width="17.140625" style="361" customWidth="1"/>
    <col min="12074" max="12074" width="12.5703125" style="361" customWidth="1"/>
    <col min="12075" max="12075" width="15.42578125" style="361" customWidth="1"/>
    <col min="12076" max="12076" width="11.7109375" style="361" customWidth="1"/>
    <col min="12077" max="12077" width="16.7109375" style="361" customWidth="1"/>
    <col min="12078" max="12078" width="21.42578125" style="361" customWidth="1"/>
    <col min="12079" max="12270" width="9.140625" style="361"/>
    <col min="12271" max="12271" width="17.28515625" style="361" customWidth="1"/>
    <col min="12272" max="12272" width="13" style="361" customWidth="1"/>
    <col min="12273" max="12304" width="9" style="361" hidden="1" customWidth="1"/>
    <col min="12305" max="12305" width="7.5703125" style="361" customWidth="1"/>
    <col min="12306" max="12306" width="7" style="361" customWidth="1"/>
    <col min="12307" max="12307" width="7.42578125" style="361" customWidth="1"/>
    <col min="12308" max="12308" width="7.140625" style="361" customWidth="1"/>
    <col min="12309" max="12309" width="7" style="361" customWidth="1"/>
    <col min="12310" max="12310" width="7.5703125" style="361" customWidth="1"/>
    <col min="12311" max="12311" width="6.5703125" style="361" customWidth="1"/>
    <col min="12312" max="12314" width="5.5703125" style="361" customWidth="1"/>
    <col min="12315" max="12315" width="6.42578125" style="361" customWidth="1"/>
    <col min="12316" max="12316" width="6.5703125" style="361" customWidth="1"/>
    <col min="12317" max="12317" width="6.28515625" style="361" customWidth="1"/>
    <col min="12318" max="12318" width="6.5703125" style="361" customWidth="1"/>
    <col min="12319" max="12319" width="6.28515625" style="361" customWidth="1"/>
    <col min="12320" max="12320" width="7.42578125" style="361" customWidth="1"/>
    <col min="12321" max="12321" width="6.140625" style="361" customWidth="1"/>
    <col min="12322" max="12322" width="6.28515625" style="361" customWidth="1"/>
    <col min="12323" max="12323" width="9.140625" style="361" customWidth="1"/>
    <col min="12324" max="12324" width="15.28515625" style="361" customWidth="1"/>
    <col min="12325" max="12325" width="17.85546875" style="361" customWidth="1"/>
    <col min="12326" max="12326" width="13.85546875" style="361" customWidth="1"/>
    <col min="12327" max="12327" width="12.85546875" style="361" customWidth="1"/>
    <col min="12328" max="12328" width="14.140625" style="361" customWidth="1"/>
    <col min="12329" max="12329" width="17.140625" style="361" customWidth="1"/>
    <col min="12330" max="12330" width="12.5703125" style="361" customWidth="1"/>
    <col min="12331" max="12331" width="15.42578125" style="361" customWidth="1"/>
    <col min="12332" max="12332" width="11.7109375" style="361" customWidth="1"/>
    <col min="12333" max="12333" width="16.7109375" style="361" customWidth="1"/>
    <col min="12334" max="12334" width="21.42578125" style="361" customWidth="1"/>
    <col min="12335" max="12526" width="9.140625" style="361"/>
    <col min="12527" max="12527" width="17.28515625" style="361" customWidth="1"/>
    <col min="12528" max="12528" width="13" style="361" customWidth="1"/>
    <col min="12529" max="12560" width="9" style="361" hidden="1" customWidth="1"/>
    <col min="12561" max="12561" width="7.5703125" style="361" customWidth="1"/>
    <col min="12562" max="12562" width="7" style="361" customWidth="1"/>
    <col min="12563" max="12563" width="7.42578125" style="361" customWidth="1"/>
    <col min="12564" max="12564" width="7.140625" style="361" customWidth="1"/>
    <col min="12565" max="12565" width="7" style="361" customWidth="1"/>
    <col min="12566" max="12566" width="7.5703125" style="361" customWidth="1"/>
    <col min="12567" max="12567" width="6.5703125" style="361" customWidth="1"/>
    <col min="12568" max="12570" width="5.5703125" style="361" customWidth="1"/>
    <col min="12571" max="12571" width="6.42578125" style="361" customWidth="1"/>
    <col min="12572" max="12572" width="6.5703125" style="361" customWidth="1"/>
    <col min="12573" max="12573" width="6.28515625" style="361" customWidth="1"/>
    <col min="12574" max="12574" width="6.5703125" style="361" customWidth="1"/>
    <col min="12575" max="12575" width="6.28515625" style="361" customWidth="1"/>
    <col min="12576" max="12576" width="7.42578125" style="361" customWidth="1"/>
    <col min="12577" max="12577" width="6.140625" style="361" customWidth="1"/>
    <col min="12578" max="12578" width="6.28515625" style="361" customWidth="1"/>
    <col min="12579" max="12579" width="9.140625" style="361" customWidth="1"/>
    <col min="12580" max="12580" width="15.28515625" style="361" customWidth="1"/>
    <col min="12581" max="12581" width="17.85546875" style="361" customWidth="1"/>
    <col min="12582" max="12582" width="13.85546875" style="361" customWidth="1"/>
    <col min="12583" max="12583" width="12.85546875" style="361" customWidth="1"/>
    <col min="12584" max="12584" width="14.140625" style="361" customWidth="1"/>
    <col min="12585" max="12585" width="17.140625" style="361" customWidth="1"/>
    <col min="12586" max="12586" width="12.5703125" style="361" customWidth="1"/>
    <col min="12587" max="12587" width="15.42578125" style="361" customWidth="1"/>
    <col min="12588" max="12588" width="11.7109375" style="361" customWidth="1"/>
    <col min="12589" max="12589" width="16.7109375" style="361" customWidth="1"/>
    <col min="12590" max="12590" width="21.42578125" style="361" customWidth="1"/>
    <col min="12591" max="12782" width="9.140625" style="361"/>
    <col min="12783" max="12783" width="17.28515625" style="361" customWidth="1"/>
    <col min="12784" max="12784" width="13" style="361" customWidth="1"/>
    <col min="12785" max="12816" width="9" style="361" hidden="1" customWidth="1"/>
    <col min="12817" max="12817" width="7.5703125" style="361" customWidth="1"/>
    <col min="12818" max="12818" width="7" style="361" customWidth="1"/>
    <col min="12819" max="12819" width="7.42578125" style="361" customWidth="1"/>
    <col min="12820" max="12820" width="7.140625" style="361" customWidth="1"/>
    <col min="12821" max="12821" width="7" style="361" customWidth="1"/>
    <col min="12822" max="12822" width="7.5703125" style="361" customWidth="1"/>
    <col min="12823" max="12823" width="6.5703125" style="361" customWidth="1"/>
    <col min="12824" max="12826" width="5.5703125" style="361" customWidth="1"/>
    <col min="12827" max="12827" width="6.42578125" style="361" customWidth="1"/>
    <col min="12828" max="12828" width="6.5703125" style="361" customWidth="1"/>
    <col min="12829" max="12829" width="6.28515625" style="361" customWidth="1"/>
    <col min="12830" max="12830" width="6.5703125" style="361" customWidth="1"/>
    <col min="12831" max="12831" width="6.28515625" style="361" customWidth="1"/>
    <col min="12832" max="12832" width="7.42578125" style="361" customWidth="1"/>
    <col min="12833" max="12833" width="6.140625" style="361" customWidth="1"/>
    <col min="12834" max="12834" width="6.28515625" style="361" customWidth="1"/>
    <col min="12835" max="12835" width="9.140625" style="361" customWidth="1"/>
    <col min="12836" max="12836" width="15.28515625" style="361" customWidth="1"/>
    <col min="12837" max="12837" width="17.85546875" style="361" customWidth="1"/>
    <col min="12838" max="12838" width="13.85546875" style="361" customWidth="1"/>
    <col min="12839" max="12839" width="12.85546875" style="361" customWidth="1"/>
    <col min="12840" max="12840" width="14.140625" style="361" customWidth="1"/>
    <col min="12841" max="12841" width="17.140625" style="361" customWidth="1"/>
    <col min="12842" max="12842" width="12.5703125" style="361" customWidth="1"/>
    <col min="12843" max="12843" width="15.42578125" style="361" customWidth="1"/>
    <col min="12844" max="12844" width="11.7109375" style="361" customWidth="1"/>
    <col min="12845" max="12845" width="16.7109375" style="361" customWidth="1"/>
    <col min="12846" max="12846" width="21.42578125" style="361" customWidth="1"/>
    <col min="12847" max="13038" width="9.140625" style="361"/>
    <col min="13039" max="13039" width="17.28515625" style="361" customWidth="1"/>
    <col min="13040" max="13040" width="13" style="361" customWidth="1"/>
    <col min="13041" max="13072" width="9" style="361" hidden="1" customWidth="1"/>
    <col min="13073" max="13073" width="7.5703125" style="361" customWidth="1"/>
    <col min="13074" max="13074" width="7" style="361" customWidth="1"/>
    <col min="13075" max="13075" width="7.42578125" style="361" customWidth="1"/>
    <col min="13076" max="13076" width="7.140625" style="361" customWidth="1"/>
    <col min="13077" max="13077" width="7" style="361" customWidth="1"/>
    <col min="13078" max="13078" width="7.5703125" style="361" customWidth="1"/>
    <col min="13079" max="13079" width="6.5703125" style="361" customWidth="1"/>
    <col min="13080" max="13082" width="5.5703125" style="361" customWidth="1"/>
    <col min="13083" max="13083" width="6.42578125" style="361" customWidth="1"/>
    <col min="13084" max="13084" width="6.5703125" style="361" customWidth="1"/>
    <col min="13085" max="13085" width="6.28515625" style="361" customWidth="1"/>
    <col min="13086" max="13086" width="6.5703125" style="361" customWidth="1"/>
    <col min="13087" max="13087" width="6.28515625" style="361" customWidth="1"/>
    <col min="13088" max="13088" width="7.42578125" style="361" customWidth="1"/>
    <col min="13089" max="13089" width="6.140625" style="361" customWidth="1"/>
    <col min="13090" max="13090" width="6.28515625" style="361" customWidth="1"/>
    <col min="13091" max="13091" width="9.140625" style="361" customWidth="1"/>
    <col min="13092" max="13092" width="15.28515625" style="361" customWidth="1"/>
    <col min="13093" max="13093" width="17.85546875" style="361" customWidth="1"/>
    <col min="13094" max="13094" width="13.85546875" style="361" customWidth="1"/>
    <col min="13095" max="13095" width="12.85546875" style="361" customWidth="1"/>
    <col min="13096" max="13096" width="14.140625" style="361" customWidth="1"/>
    <col min="13097" max="13097" width="17.140625" style="361" customWidth="1"/>
    <col min="13098" max="13098" width="12.5703125" style="361" customWidth="1"/>
    <col min="13099" max="13099" width="15.42578125" style="361" customWidth="1"/>
    <col min="13100" max="13100" width="11.7109375" style="361" customWidth="1"/>
    <col min="13101" max="13101" width="16.7109375" style="361" customWidth="1"/>
    <col min="13102" max="13102" width="21.42578125" style="361" customWidth="1"/>
    <col min="13103" max="13294" width="9.140625" style="361"/>
    <col min="13295" max="13295" width="17.28515625" style="361" customWidth="1"/>
    <col min="13296" max="13296" width="13" style="361" customWidth="1"/>
    <col min="13297" max="13328" width="9" style="361" hidden="1" customWidth="1"/>
    <col min="13329" max="13329" width="7.5703125" style="361" customWidth="1"/>
    <col min="13330" max="13330" width="7" style="361" customWidth="1"/>
    <col min="13331" max="13331" width="7.42578125" style="361" customWidth="1"/>
    <col min="13332" max="13332" width="7.140625" style="361" customWidth="1"/>
    <col min="13333" max="13333" width="7" style="361" customWidth="1"/>
    <col min="13334" max="13334" width="7.5703125" style="361" customWidth="1"/>
    <col min="13335" max="13335" width="6.5703125" style="361" customWidth="1"/>
    <col min="13336" max="13338" width="5.5703125" style="361" customWidth="1"/>
    <col min="13339" max="13339" width="6.42578125" style="361" customWidth="1"/>
    <col min="13340" max="13340" width="6.5703125" style="361" customWidth="1"/>
    <col min="13341" max="13341" width="6.28515625" style="361" customWidth="1"/>
    <col min="13342" max="13342" width="6.5703125" style="361" customWidth="1"/>
    <col min="13343" max="13343" width="6.28515625" style="361" customWidth="1"/>
    <col min="13344" max="13344" width="7.42578125" style="361" customWidth="1"/>
    <col min="13345" max="13345" width="6.140625" style="361" customWidth="1"/>
    <col min="13346" max="13346" width="6.28515625" style="361" customWidth="1"/>
    <col min="13347" max="13347" width="9.140625" style="361" customWidth="1"/>
    <col min="13348" max="13348" width="15.28515625" style="361" customWidth="1"/>
    <col min="13349" max="13349" width="17.85546875" style="361" customWidth="1"/>
    <col min="13350" max="13350" width="13.85546875" style="361" customWidth="1"/>
    <col min="13351" max="13351" width="12.85546875" style="361" customWidth="1"/>
    <col min="13352" max="13352" width="14.140625" style="361" customWidth="1"/>
    <col min="13353" max="13353" width="17.140625" style="361" customWidth="1"/>
    <col min="13354" max="13354" width="12.5703125" style="361" customWidth="1"/>
    <col min="13355" max="13355" width="15.42578125" style="361" customWidth="1"/>
    <col min="13356" max="13356" width="11.7109375" style="361" customWidth="1"/>
    <col min="13357" max="13357" width="16.7109375" style="361" customWidth="1"/>
    <col min="13358" max="13358" width="21.42578125" style="361" customWidth="1"/>
    <col min="13359" max="13550" width="9.140625" style="361"/>
    <col min="13551" max="13551" width="17.28515625" style="361" customWidth="1"/>
    <col min="13552" max="13552" width="13" style="361" customWidth="1"/>
    <col min="13553" max="13584" width="9" style="361" hidden="1" customWidth="1"/>
    <col min="13585" max="13585" width="7.5703125" style="361" customWidth="1"/>
    <col min="13586" max="13586" width="7" style="361" customWidth="1"/>
    <col min="13587" max="13587" width="7.42578125" style="361" customWidth="1"/>
    <col min="13588" max="13588" width="7.140625" style="361" customWidth="1"/>
    <col min="13589" max="13589" width="7" style="361" customWidth="1"/>
    <col min="13590" max="13590" width="7.5703125" style="361" customWidth="1"/>
    <col min="13591" max="13591" width="6.5703125" style="361" customWidth="1"/>
    <col min="13592" max="13594" width="5.5703125" style="361" customWidth="1"/>
    <col min="13595" max="13595" width="6.42578125" style="361" customWidth="1"/>
    <col min="13596" max="13596" width="6.5703125" style="361" customWidth="1"/>
    <col min="13597" max="13597" width="6.28515625" style="361" customWidth="1"/>
    <col min="13598" max="13598" width="6.5703125" style="361" customWidth="1"/>
    <col min="13599" max="13599" width="6.28515625" style="361" customWidth="1"/>
    <col min="13600" max="13600" width="7.42578125" style="361" customWidth="1"/>
    <col min="13601" max="13601" width="6.140625" style="361" customWidth="1"/>
    <col min="13602" max="13602" width="6.28515625" style="361" customWidth="1"/>
    <col min="13603" max="13603" width="9.140625" style="361" customWidth="1"/>
    <col min="13604" max="13604" width="15.28515625" style="361" customWidth="1"/>
    <col min="13605" max="13605" width="17.85546875" style="361" customWidth="1"/>
    <col min="13606" max="13606" width="13.85546875" style="361" customWidth="1"/>
    <col min="13607" max="13607" width="12.85546875" style="361" customWidth="1"/>
    <col min="13608" max="13608" width="14.140625" style="361" customWidth="1"/>
    <col min="13609" max="13609" width="17.140625" style="361" customWidth="1"/>
    <col min="13610" max="13610" width="12.5703125" style="361" customWidth="1"/>
    <col min="13611" max="13611" width="15.42578125" style="361" customWidth="1"/>
    <col min="13612" max="13612" width="11.7109375" style="361" customWidth="1"/>
    <col min="13613" max="13613" width="16.7109375" style="361" customWidth="1"/>
    <col min="13614" max="13614" width="21.42578125" style="361" customWidth="1"/>
    <col min="13615" max="13806" width="9.140625" style="361"/>
    <col min="13807" max="13807" width="17.28515625" style="361" customWidth="1"/>
    <col min="13808" max="13808" width="13" style="361" customWidth="1"/>
    <col min="13809" max="13840" width="9" style="361" hidden="1" customWidth="1"/>
    <col min="13841" max="13841" width="7.5703125" style="361" customWidth="1"/>
    <col min="13842" max="13842" width="7" style="361" customWidth="1"/>
    <col min="13843" max="13843" width="7.42578125" style="361" customWidth="1"/>
    <col min="13844" max="13844" width="7.140625" style="361" customWidth="1"/>
    <col min="13845" max="13845" width="7" style="361" customWidth="1"/>
    <col min="13846" max="13846" width="7.5703125" style="361" customWidth="1"/>
    <col min="13847" max="13847" width="6.5703125" style="361" customWidth="1"/>
    <col min="13848" max="13850" width="5.5703125" style="361" customWidth="1"/>
    <col min="13851" max="13851" width="6.42578125" style="361" customWidth="1"/>
    <col min="13852" max="13852" width="6.5703125" style="361" customWidth="1"/>
    <col min="13853" max="13853" width="6.28515625" style="361" customWidth="1"/>
    <col min="13854" max="13854" width="6.5703125" style="361" customWidth="1"/>
    <col min="13855" max="13855" width="6.28515625" style="361" customWidth="1"/>
    <col min="13856" max="13856" width="7.42578125" style="361" customWidth="1"/>
    <col min="13857" max="13857" width="6.140625" style="361" customWidth="1"/>
    <col min="13858" max="13858" width="6.28515625" style="361" customWidth="1"/>
    <col min="13859" max="13859" width="9.140625" style="361" customWidth="1"/>
    <col min="13860" max="13860" width="15.28515625" style="361" customWidth="1"/>
    <col min="13861" max="13861" width="17.85546875" style="361" customWidth="1"/>
    <col min="13862" max="13862" width="13.85546875" style="361" customWidth="1"/>
    <col min="13863" max="13863" width="12.85546875" style="361" customWidth="1"/>
    <col min="13864" max="13864" width="14.140625" style="361" customWidth="1"/>
    <col min="13865" max="13865" width="17.140625" style="361" customWidth="1"/>
    <col min="13866" max="13866" width="12.5703125" style="361" customWidth="1"/>
    <col min="13867" max="13867" width="15.42578125" style="361" customWidth="1"/>
    <col min="13868" max="13868" width="11.7109375" style="361" customWidth="1"/>
    <col min="13869" max="13869" width="16.7109375" style="361" customWidth="1"/>
    <col min="13870" max="13870" width="21.42578125" style="361" customWidth="1"/>
    <col min="13871" max="14062" width="9.140625" style="361"/>
    <col min="14063" max="14063" width="17.28515625" style="361" customWidth="1"/>
    <col min="14064" max="14064" width="13" style="361" customWidth="1"/>
    <col min="14065" max="14096" width="9" style="361" hidden="1" customWidth="1"/>
    <col min="14097" max="14097" width="7.5703125" style="361" customWidth="1"/>
    <col min="14098" max="14098" width="7" style="361" customWidth="1"/>
    <col min="14099" max="14099" width="7.42578125" style="361" customWidth="1"/>
    <col min="14100" max="14100" width="7.140625" style="361" customWidth="1"/>
    <col min="14101" max="14101" width="7" style="361" customWidth="1"/>
    <col min="14102" max="14102" width="7.5703125" style="361" customWidth="1"/>
    <col min="14103" max="14103" width="6.5703125" style="361" customWidth="1"/>
    <col min="14104" max="14106" width="5.5703125" style="361" customWidth="1"/>
    <col min="14107" max="14107" width="6.42578125" style="361" customWidth="1"/>
    <col min="14108" max="14108" width="6.5703125" style="361" customWidth="1"/>
    <col min="14109" max="14109" width="6.28515625" style="361" customWidth="1"/>
    <col min="14110" max="14110" width="6.5703125" style="361" customWidth="1"/>
    <col min="14111" max="14111" width="6.28515625" style="361" customWidth="1"/>
    <col min="14112" max="14112" width="7.42578125" style="361" customWidth="1"/>
    <col min="14113" max="14113" width="6.140625" style="361" customWidth="1"/>
    <col min="14114" max="14114" width="6.28515625" style="361" customWidth="1"/>
    <col min="14115" max="14115" width="9.140625" style="361" customWidth="1"/>
    <col min="14116" max="14116" width="15.28515625" style="361" customWidth="1"/>
    <col min="14117" max="14117" width="17.85546875" style="361" customWidth="1"/>
    <col min="14118" max="14118" width="13.85546875" style="361" customWidth="1"/>
    <col min="14119" max="14119" width="12.85546875" style="361" customWidth="1"/>
    <col min="14120" max="14120" width="14.140625" style="361" customWidth="1"/>
    <col min="14121" max="14121" width="17.140625" style="361" customWidth="1"/>
    <col min="14122" max="14122" width="12.5703125" style="361" customWidth="1"/>
    <col min="14123" max="14123" width="15.42578125" style="361" customWidth="1"/>
    <col min="14124" max="14124" width="11.7109375" style="361" customWidth="1"/>
    <col min="14125" max="14125" width="16.7109375" style="361" customWidth="1"/>
    <col min="14126" max="14126" width="21.42578125" style="361" customWidth="1"/>
    <col min="14127" max="14318" width="9.140625" style="361"/>
    <col min="14319" max="14319" width="17.28515625" style="361" customWidth="1"/>
    <col min="14320" max="14320" width="13" style="361" customWidth="1"/>
    <col min="14321" max="14352" width="9" style="361" hidden="1" customWidth="1"/>
    <col min="14353" max="14353" width="7.5703125" style="361" customWidth="1"/>
    <col min="14354" max="14354" width="7" style="361" customWidth="1"/>
    <col min="14355" max="14355" width="7.42578125" style="361" customWidth="1"/>
    <col min="14356" max="14356" width="7.140625" style="361" customWidth="1"/>
    <col min="14357" max="14357" width="7" style="361" customWidth="1"/>
    <col min="14358" max="14358" width="7.5703125" style="361" customWidth="1"/>
    <col min="14359" max="14359" width="6.5703125" style="361" customWidth="1"/>
    <col min="14360" max="14362" width="5.5703125" style="361" customWidth="1"/>
    <col min="14363" max="14363" width="6.42578125" style="361" customWidth="1"/>
    <col min="14364" max="14364" width="6.5703125" style="361" customWidth="1"/>
    <col min="14365" max="14365" width="6.28515625" style="361" customWidth="1"/>
    <col min="14366" max="14366" width="6.5703125" style="361" customWidth="1"/>
    <col min="14367" max="14367" width="6.28515625" style="361" customWidth="1"/>
    <col min="14368" max="14368" width="7.42578125" style="361" customWidth="1"/>
    <col min="14369" max="14369" width="6.140625" style="361" customWidth="1"/>
    <col min="14370" max="14370" width="6.28515625" style="361" customWidth="1"/>
    <col min="14371" max="14371" width="9.140625" style="361" customWidth="1"/>
    <col min="14372" max="14372" width="15.28515625" style="361" customWidth="1"/>
    <col min="14373" max="14373" width="17.85546875" style="361" customWidth="1"/>
    <col min="14374" max="14374" width="13.85546875" style="361" customWidth="1"/>
    <col min="14375" max="14375" width="12.85546875" style="361" customWidth="1"/>
    <col min="14376" max="14376" width="14.140625" style="361" customWidth="1"/>
    <col min="14377" max="14377" width="17.140625" style="361" customWidth="1"/>
    <col min="14378" max="14378" width="12.5703125" style="361" customWidth="1"/>
    <col min="14379" max="14379" width="15.42578125" style="361" customWidth="1"/>
    <col min="14380" max="14380" width="11.7109375" style="361" customWidth="1"/>
    <col min="14381" max="14381" width="16.7109375" style="361" customWidth="1"/>
    <col min="14382" max="14382" width="21.42578125" style="361" customWidth="1"/>
    <col min="14383" max="14574" width="9.140625" style="361"/>
    <col min="14575" max="14575" width="17.28515625" style="361" customWidth="1"/>
    <col min="14576" max="14576" width="13" style="361" customWidth="1"/>
    <col min="14577" max="14608" width="9" style="361" hidden="1" customWidth="1"/>
    <col min="14609" max="14609" width="7.5703125" style="361" customWidth="1"/>
    <col min="14610" max="14610" width="7" style="361" customWidth="1"/>
    <col min="14611" max="14611" width="7.42578125" style="361" customWidth="1"/>
    <col min="14612" max="14612" width="7.140625" style="361" customWidth="1"/>
    <col min="14613" max="14613" width="7" style="361" customWidth="1"/>
    <col min="14614" max="14614" width="7.5703125" style="361" customWidth="1"/>
    <col min="14615" max="14615" width="6.5703125" style="361" customWidth="1"/>
    <col min="14616" max="14618" width="5.5703125" style="361" customWidth="1"/>
    <col min="14619" max="14619" width="6.42578125" style="361" customWidth="1"/>
    <col min="14620" max="14620" width="6.5703125" style="361" customWidth="1"/>
    <col min="14621" max="14621" width="6.28515625" style="361" customWidth="1"/>
    <col min="14622" max="14622" width="6.5703125" style="361" customWidth="1"/>
    <col min="14623" max="14623" width="6.28515625" style="361" customWidth="1"/>
    <col min="14624" max="14624" width="7.42578125" style="361" customWidth="1"/>
    <col min="14625" max="14625" width="6.140625" style="361" customWidth="1"/>
    <col min="14626" max="14626" width="6.28515625" style="361" customWidth="1"/>
    <col min="14627" max="14627" width="9.140625" style="361" customWidth="1"/>
    <col min="14628" max="14628" width="15.28515625" style="361" customWidth="1"/>
    <col min="14629" max="14629" width="17.85546875" style="361" customWidth="1"/>
    <col min="14630" max="14630" width="13.85546875" style="361" customWidth="1"/>
    <col min="14631" max="14631" width="12.85546875" style="361" customWidth="1"/>
    <col min="14632" max="14632" width="14.140625" style="361" customWidth="1"/>
    <col min="14633" max="14633" width="17.140625" style="361" customWidth="1"/>
    <col min="14634" max="14634" width="12.5703125" style="361" customWidth="1"/>
    <col min="14635" max="14635" width="15.42578125" style="361" customWidth="1"/>
    <col min="14636" max="14636" width="11.7109375" style="361" customWidth="1"/>
    <col min="14637" max="14637" width="16.7109375" style="361" customWidth="1"/>
    <col min="14638" max="14638" width="21.42578125" style="361" customWidth="1"/>
    <col min="14639" max="14830" width="9.140625" style="361"/>
    <col min="14831" max="14831" width="17.28515625" style="361" customWidth="1"/>
    <col min="14832" max="14832" width="13" style="361" customWidth="1"/>
    <col min="14833" max="14864" width="9" style="361" hidden="1" customWidth="1"/>
    <col min="14865" max="14865" width="7.5703125" style="361" customWidth="1"/>
    <col min="14866" max="14866" width="7" style="361" customWidth="1"/>
    <col min="14867" max="14867" width="7.42578125" style="361" customWidth="1"/>
    <col min="14868" max="14868" width="7.140625" style="361" customWidth="1"/>
    <col min="14869" max="14869" width="7" style="361" customWidth="1"/>
    <col min="14870" max="14870" width="7.5703125" style="361" customWidth="1"/>
    <col min="14871" max="14871" width="6.5703125" style="361" customWidth="1"/>
    <col min="14872" max="14874" width="5.5703125" style="361" customWidth="1"/>
    <col min="14875" max="14875" width="6.42578125" style="361" customWidth="1"/>
    <col min="14876" max="14876" width="6.5703125" style="361" customWidth="1"/>
    <col min="14877" max="14877" width="6.28515625" style="361" customWidth="1"/>
    <col min="14878" max="14878" width="6.5703125" style="361" customWidth="1"/>
    <col min="14879" max="14879" width="6.28515625" style="361" customWidth="1"/>
    <col min="14880" max="14880" width="7.42578125" style="361" customWidth="1"/>
    <col min="14881" max="14881" width="6.140625" style="361" customWidth="1"/>
    <col min="14882" max="14882" width="6.28515625" style="361" customWidth="1"/>
    <col min="14883" max="14883" width="9.140625" style="361" customWidth="1"/>
    <col min="14884" max="14884" width="15.28515625" style="361" customWidth="1"/>
    <col min="14885" max="14885" width="17.85546875" style="361" customWidth="1"/>
    <col min="14886" max="14886" width="13.85546875" style="361" customWidth="1"/>
    <col min="14887" max="14887" width="12.85546875" style="361" customWidth="1"/>
    <col min="14888" max="14888" width="14.140625" style="361" customWidth="1"/>
    <col min="14889" max="14889" width="17.140625" style="361" customWidth="1"/>
    <col min="14890" max="14890" width="12.5703125" style="361" customWidth="1"/>
    <col min="14891" max="14891" width="15.42578125" style="361" customWidth="1"/>
    <col min="14892" max="14892" width="11.7109375" style="361" customWidth="1"/>
    <col min="14893" max="14893" width="16.7109375" style="361" customWidth="1"/>
    <col min="14894" max="14894" width="21.42578125" style="361" customWidth="1"/>
    <col min="14895" max="15086" width="9.140625" style="361"/>
    <col min="15087" max="15087" width="17.28515625" style="361" customWidth="1"/>
    <col min="15088" max="15088" width="13" style="361" customWidth="1"/>
    <col min="15089" max="15120" width="9" style="361" hidden="1" customWidth="1"/>
    <col min="15121" max="15121" width="7.5703125" style="361" customWidth="1"/>
    <col min="15122" max="15122" width="7" style="361" customWidth="1"/>
    <col min="15123" max="15123" width="7.42578125" style="361" customWidth="1"/>
    <col min="15124" max="15124" width="7.140625" style="361" customWidth="1"/>
    <col min="15125" max="15125" width="7" style="361" customWidth="1"/>
    <col min="15126" max="15126" width="7.5703125" style="361" customWidth="1"/>
    <col min="15127" max="15127" width="6.5703125" style="361" customWidth="1"/>
    <col min="15128" max="15130" width="5.5703125" style="361" customWidth="1"/>
    <col min="15131" max="15131" width="6.42578125" style="361" customWidth="1"/>
    <col min="15132" max="15132" width="6.5703125" style="361" customWidth="1"/>
    <col min="15133" max="15133" width="6.28515625" style="361" customWidth="1"/>
    <col min="15134" max="15134" width="6.5703125" style="361" customWidth="1"/>
    <col min="15135" max="15135" width="6.28515625" style="361" customWidth="1"/>
    <col min="15136" max="15136" width="7.42578125" style="361" customWidth="1"/>
    <col min="15137" max="15137" width="6.140625" style="361" customWidth="1"/>
    <col min="15138" max="15138" width="6.28515625" style="361" customWidth="1"/>
    <col min="15139" max="15139" width="9.140625" style="361" customWidth="1"/>
    <col min="15140" max="15140" width="15.28515625" style="361" customWidth="1"/>
    <col min="15141" max="15141" width="17.85546875" style="361" customWidth="1"/>
    <col min="15142" max="15142" width="13.85546875" style="361" customWidth="1"/>
    <col min="15143" max="15143" width="12.85546875" style="361" customWidth="1"/>
    <col min="15144" max="15144" width="14.140625" style="361" customWidth="1"/>
    <col min="15145" max="15145" width="17.140625" style="361" customWidth="1"/>
    <col min="15146" max="15146" width="12.5703125" style="361" customWidth="1"/>
    <col min="15147" max="15147" width="15.42578125" style="361" customWidth="1"/>
    <col min="15148" max="15148" width="11.7109375" style="361" customWidth="1"/>
    <col min="15149" max="15149" width="16.7109375" style="361" customWidth="1"/>
    <col min="15150" max="15150" width="21.42578125" style="361" customWidth="1"/>
    <col min="15151" max="15342" width="9.140625" style="361"/>
    <col min="15343" max="15343" width="17.28515625" style="361" customWidth="1"/>
    <col min="15344" max="15344" width="13" style="361" customWidth="1"/>
    <col min="15345" max="15376" width="9" style="361" hidden="1" customWidth="1"/>
    <col min="15377" max="15377" width="7.5703125" style="361" customWidth="1"/>
    <col min="15378" max="15378" width="7" style="361" customWidth="1"/>
    <col min="15379" max="15379" width="7.42578125" style="361" customWidth="1"/>
    <col min="15380" max="15380" width="7.140625" style="361" customWidth="1"/>
    <col min="15381" max="15381" width="7" style="361" customWidth="1"/>
    <col min="15382" max="15382" width="7.5703125" style="361" customWidth="1"/>
    <col min="15383" max="15383" width="6.5703125" style="361" customWidth="1"/>
    <col min="15384" max="15386" width="5.5703125" style="361" customWidth="1"/>
    <col min="15387" max="15387" width="6.42578125" style="361" customWidth="1"/>
    <col min="15388" max="15388" width="6.5703125" style="361" customWidth="1"/>
    <col min="15389" max="15389" width="6.28515625" style="361" customWidth="1"/>
    <col min="15390" max="15390" width="6.5703125" style="361" customWidth="1"/>
    <col min="15391" max="15391" width="6.28515625" style="361" customWidth="1"/>
    <col min="15392" max="15392" width="7.42578125" style="361" customWidth="1"/>
    <col min="15393" max="15393" width="6.140625" style="361" customWidth="1"/>
    <col min="15394" max="15394" width="6.28515625" style="361" customWidth="1"/>
    <col min="15395" max="15395" width="9.140625" style="361" customWidth="1"/>
    <col min="15396" max="15396" width="15.28515625" style="361" customWidth="1"/>
    <col min="15397" max="15397" width="17.85546875" style="361" customWidth="1"/>
    <col min="15398" max="15398" width="13.85546875" style="361" customWidth="1"/>
    <col min="15399" max="15399" width="12.85546875" style="361" customWidth="1"/>
    <col min="15400" max="15400" width="14.140625" style="361" customWidth="1"/>
    <col min="15401" max="15401" width="17.140625" style="361" customWidth="1"/>
    <col min="15402" max="15402" width="12.5703125" style="361" customWidth="1"/>
    <col min="15403" max="15403" width="15.42578125" style="361" customWidth="1"/>
    <col min="15404" max="15404" width="11.7109375" style="361" customWidth="1"/>
    <col min="15405" max="15405" width="16.7109375" style="361" customWidth="1"/>
    <col min="15406" max="15406" width="21.42578125" style="361" customWidth="1"/>
    <col min="15407" max="15598" width="9.140625" style="361"/>
    <col min="15599" max="15599" width="17.28515625" style="361" customWidth="1"/>
    <col min="15600" max="15600" width="13" style="361" customWidth="1"/>
    <col min="15601" max="15632" width="9" style="361" hidden="1" customWidth="1"/>
    <col min="15633" max="15633" width="7.5703125" style="361" customWidth="1"/>
    <col min="15634" max="15634" width="7" style="361" customWidth="1"/>
    <col min="15635" max="15635" width="7.42578125" style="361" customWidth="1"/>
    <col min="15636" max="15636" width="7.140625" style="361" customWidth="1"/>
    <col min="15637" max="15637" width="7" style="361" customWidth="1"/>
    <col min="15638" max="15638" width="7.5703125" style="361" customWidth="1"/>
    <col min="15639" max="15639" width="6.5703125" style="361" customWidth="1"/>
    <col min="15640" max="15642" width="5.5703125" style="361" customWidth="1"/>
    <col min="15643" max="15643" width="6.42578125" style="361" customWidth="1"/>
    <col min="15644" max="15644" width="6.5703125" style="361" customWidth="1"/>
    <col min="15645" max="15645" width="6.28515625" style="361" customWidth="1"/>
    <col min="15646" max="15646" width="6.5703125" style="361" customWidth="1"/>
    <col min="15647" max="15647" width="6.28515625" style="361" customWidth="1"/>
    <col min="15648" max="15648" width="7.42578125" style="361" customWidth="1"/>
    <col min="15649" max="15649" width="6.140625" style="361" customWidth="1"/>
    <col min="15650" max="15650" width="6.28515625" style="361" customWidth="1"/>
    <col min="15651" max="15651" width="9.140625" style="361" customWidth="1"/>
    <col min="15652" max="15652" width="15.28515625" style="361" customWidth="1"/>
    <col min="15653" max="15653" width="17.85546875" style="361" customWidth="1"/>
    <col min="15654" max="15654" width="13.85546875" style="361" customWidth="1"/>
    <col min="15655" max="15655" width="12.85546875" style="361" customWidth="1"/>
    <col min="15656" max="15656" width="14.140625" style="361" customWidth="1"/>
    <col min="15657" max="15657" width="17.140625" style="361" customWidth="1"/>
    <col min="15658" max="15658" width="12.5703125" style="361" customWidth="1"/>
    <col min="15659" max="15659" width="15.42578125" style="361" customWidth="1"/>
    <col min="15660" max="15660" width="11.7109375" style="361" customWidth="1"/>
    <col min="15661" max="15661" width="16.7109375" style="361" customWidth="1"/>
    <col min="15662" max="15662" width="21.42578125" style="361" customWidth="1"/>
    <col min="15663" max="15854" width="9.140625" style="361"/>
    <col min="15855" max="15855" width="17.28515625" style="361" customWidth="1"/>
    <col min="15856" max="15856" width="13" style="361" customWidth="1"/>
    <col min="15857" max="15888" width="9" style="361" hidden="1" customWidth="1"/>
    <col min="15889" max="15889" width="7.5703125" style="361" customWidth="1"/>
    <col min="15890" max="15890" width="7" style="361" customWidth="1"/>
    <col min="15891" max="15891" width="7.42578125" style="361" customWidth="1"/>
    <col min="15892" max="15892" width="7.140625" style="361" customWidth="1"/>
    <col min="15893" max="15893" width="7" style="361" customWidth="1"/>
    <col min="15894" max="15894" width="7.5703125" style="361" customWidth="1"/>
    <col min="15895" max="15895" width="6.5703125" style="361" customWidth="1"/>
    <col min="15896" max="15898" width="5.5703125" style="361" customWidth="1"/>
    <col min="15899" max="15899" width="6.42578125" style="361" customWidth="1"/>
    <col min="15900" max="15900" width="6.5703125" style="361" customWidth="1"/>
    <col min="15901" max="15901" width="6.28515625" style="361" customWidth="1"/>
    <col min="15902" max="15902" width="6.5703125" style="361" customWidth="1"/>
    <col min="15903" max="15903" width="6.28515625" style="361" customWidth="1"/>
    <col min="15904" max="15904" width="7.42578125" style="361" customWidth="1"/>
    <col min="15905" max="15905" width="6.140625" style="361" customWidth="1"/>
    <col min="15906" max="15906" width="6.28515625" style="361" customWidth="1"/>
    <col min="15907" max="15907" width="9.140625" style="361" customWidth="1"/>
    <col min="15908" max="15908" width="15.28515625" style="361" customWidth="1"/>
    <col min="15909" max="15909" width="17.85546875" style="361" customWidth="1"/>
    <col min="15910" max="15910" width="13.85546875" style="361" customWidth="1"/>
    <col min="15911" max="15911" width="12.85546875" style="361" customWidth="1"/>
    <col min="15912" max="15912" width="14.140625" style="361" customWidth="1"/>
    <col min="15913" max="15913" width="17.140625" style="361" customWidth="1"/>
    <col min="15914" max="15914" width="12.5703125" style="361" customWidth="1"/>
    <col min="15915" max="15915" width="15.42578125" style="361" customWidth="1"/>
    <col min="15916" max="15916" width="11.7109375" style="361" customWidth="1"/>
    <col min="15917" max="15917" width="16.7109375" style="361" customWidth="1"/>
    <col min="15918" max="15918" width="21.42578125" style="361" customWidth="1"/>
    <col min="15919" max="16110" width="9.140625" style="361"/>
    <col min="16111" max="16111" width="17.28515625" style="361" customWidth="1"/>
    <col min="16112" max="16112" width="13" style="361" customWidth="1"/>
    <col min="16113" max="16144" width="9" style="361" hidden="1" customWidth="1"/>
    <col min="16145" max="16145" width="7.5703125" style="361" customWidth="1"/>
    <col min="16146" max="16146" width="7" style="361" customWidth="1"/>
    <col min="16147" max="16147" width="7.42578125" style="361" customWidth="1"/>
    <col min="16148" max="16148" width="7.140625" style="361" customWidth="1"/>
    <col min="16149" max="16149" width="7" style="361" customWidth="1"/>
    <col min="16150" max="16150" width="7.5703125" style="361" customWidth="1"/>
    <col min="16151" max="16151" width="6.5703125" style="361" customWidth="1"/>
    <col min="16152" max="16154" width="5.5703125" style="361" customWidth="1"/>
    <col min="16155" max="16155" width="6.42578125" style="361" customWidth="1"/>
    <col min="16156" max="16156" width="6.5703125" style="361" customWidth="1"/>
    <col min="16157" max="16157" width="6.28515625" style="361" customWidth="1"/>
    <col min="16158" max="16158" width="6.5703125" style="361" customWidth="1"/>
    <col min="16159" max="16159" width="6.28515625" style="361" customWidth="1"/>
    <col min="16160" max="16160" width="7.42578125" style="361" customWidth="1"/>
    <col min="16161" max="16161" width="6.140625" style="361" customWidth="1"/>
    <col min="16162" max="16162" width="6.28515625" style="361" customWidth="1"/>
    <col min="16163" max="16163" width="9.140625" style="361" customWidth="1"/>
    <col min="16164" max="16164" width="15.28515625" style="361" customWidth="1"/>
    <col min="16165" max="16165" width="17.85546875" style="361" customWidth="1"/>
    <col min="16166" max="16166" width="13.85546875" style="361" customWidth="1"/>
    <col min="16167" max="16167" width="12.85546875" style="361" customWidth="1"/>
    <col min="16168" max="16168" width="14.140625" style="361" customWidth="1"/>
    <col min="16169" max="16169" width="17.140625" style="361" customWidth="1"/>
    <col min="16170" max="16170" width="12.5703125" style="361" customWidth="1"/>
    <col min="16171" max="16171" width="15.42578125" style="361" customWidth="1"/>
    <col min="16172" max="16172" width="11.7109375" style="361" customWidth="1"/>
    <col min="16173" max="16173" width="16.7109375" style="361" customWidth="1"/>
    <col min="16174" max="16174" width="21.42578125" style="361" customWidth="1"/>
    <col min="16175" max="16384" width="9.140625" style="361"/>
  </cols>
  <sheetData>
    <row r="1" spans="1:54" ht="20.25" customHeight="1">
      <c r="A1" s="362"/>
      <c r="B1" s="363" t="s">
        <v>913</v>
      </c>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4"/>
      <c r="AH1" s="364"/>
      <c r="AI1" s="364"/>
      <c r="AJ1" s="364"/>
      <c r="AK1" s="364"/>
      <c r="AL1" s="364"/>
      <c r="AM1" s="364"/>
      <c r="AN1" s="364"/>
      <c r="AO1" s="364"/>
      <c r="AP1" s="364"/>
      <c r="AQ1" s="364"/>
      <c r="AR1" s="364"/>
      <c r="AS1" s="364"/>
      <c r="AT1" s="364"/>
      <c r="AU1" s="364"/>
      <c r="AV1" s="364"/>
      <c r="AW1" s="364"/>
      <c r="AX1" s="364"/>
      <c r="AY1" s="364"/>
      <c r="AZ1" s="364"/>
    </row>
    <row r="2" spans="1:54" ht="7.5" customHeight="1">
      <c r="A2" s="365"/>
      <c r="B2" s="366"/>
      <c r="C2" s="367"/>
      <c r="D2" s="367"/>
      <c r="E2" s="367"/>
      <c r="F2" s="367"/>
      <c r="G2" s="367"/>
      <c r="H2" s="367"/>
      <c r="I2" s="367"/>
      <c r="J2" s="367"/>
      <c r="K2" s="367"/>
      <c r="L2" s="367"/>
      <c r="M2" s="367"/>
      <c r="N2" s="367"/>
      <c r="O2" s="367"/>
      <c r="P2" s="367"/>
      <c r="Q2" s="367"/>
      <c r="R2" s="367"/>
      <c r="S2" s="367"/>
      <c r="T2" s="367"/>
      <c r="U2" s="367"/>
      <c r="V2" s="367"/>
      <c r="W2" s="367"/>
      <c r="X2" s="367"/>
      <c r="Y2" s="367"/>
      <c r="Z2" s="367"/>
      <c r="AA2" s="367"/>
      <c r="AB2" s="367"/>
      <c r="AC2" s="367"/>
      <c r="AD2" s="367"/>
      <c r="AE2" s="367"/>
      <c r="AF2" s="367"/>
      <c r="AG2" s="367"/>
      <c r="AH2" s="367"/>
      <c r="AI2" s="367"/>
      <c r="AJ2" s="367"/>
      <c r="AK2" s="367"/>
      <c r="AL2" s="367"/>
      <c r="AM2" s="367"/>
      <c r="AN2" s="367"/>
      <c r="AO2" s="367"/>
      <c r="AP2" s="367"/>
      <c r="AQ2" s="367"/>
      <c r="AR2" s="367"/>
      <c r="AS2" s="367"/>
      <c r="AT2" s="367"/>
      <c r="AU2" s="367"/>
      <c r="AV2" s="367"/>
      <c r="AW2" s="367"/>
      <c r="AX2" s="367"/>
      <c r="AY2" s="367"/>
      <c r="AZ2" s="367"/>
    </row>
    <row r="3" spans="1:54" ht="24.75" customHeight="1">
      <c r="A3" s="1681" t="s">
        <v>217</v>
      </c>
      <c r="B3" s="1681" t="s">
        <v>914</v>
      </c>
      <c r="C3" s="1682" t="s">
        <v>219</v>
      </c>
      <c r="D3" s="1680" t="s">
        <v>915</v>
      </c>
      <c r="E3" s="1682" t="s">
        <v>916</v>
      </c>
      <c r="F3" s="1677" t="s">
        <v>917</v>
      </c>
      <c r="G3" s="1678"/>
      <c r="H3" s="1678"/>
      <c r="I3" s="1678"/>
      <c r="J3" s="1679"/>
      <c r="K3" s="1677" t="s">
        <v>918</v>
      </c>
      <c r="L3" s="1678"/>
      <c r="M3" s="1678"/>
      <c r="N3" s="1678"/>
      <c r="O3" s="1679"/>
      <c r="P3" s="1677" t="s">
        <v>919</v>
      </c>
      <c r="Q3" s="1678"/>
      <c r="R3" s="1678"/>
      <c r="S3" s="1678"/>
      <c r="T3" s="1679"/>
      <c r="U3" s="1677" t="s">
        <v>920</v>
      </c>
      <c r="V3" s="1678"/>
      <c r="W3" s="1678"/>
      <c r="X3" s="1678"/>
      <c r="Y3" s="1679"/>
      <c r="Z3" s="1677" t="s">
        <v>921</v>
      </c>
      <c r="AA3" s="1678"/>
      <c r="AB3" s="1678"/>
      <c r="AC3" s="1678"/>
      <c r="AD3" s="1679"/>
      <c r="AE3" s="1677" t="s">
        <v>922</v>
      </c>
      <c r="AF3" s="1678"/>
      <c r="AG3" s="1678"/>
      <c r="AH3" s="1678"/>
      <c r="AI3" s="1679"/>
      <c r="AJ3" s="1677" t="s">
        <v>923</v>
      </c>
      <c r="AK3" s="1679"/>
      <c r="AL3" s="1677" t="s">
        <v>924</v>
      </c>
      <c r="AM3" s="1679"/>
      <c r="AN3" s="368" t="s">
        <v>925</v>
      </c>
      <c r="AO3" s="368" t="s">
        <v>926</v>
      </c>
      <c r="AP3" s="1685" t="s">
        <v>927</v>
      </c>
      <c r="AQ3" s="1686"/>
      <c r="AR3" s="1685" t="s">
        <v>928</v>
      </c>
      <c r="AS3" s="1686"/>
      <c r="AT3" s="1685" t="s">
        <v>861</v>
      </c>
      <c r="AU3" s="1686"/>
      <c r="AV3" s="1674" t="s">
        <v>929</v>
      </c>
      <c r="AW3" s="1674" t="s">
        <v>930</v>
      </c>
      <c r="AX3" s="1674" t="s">
        <v>233</v>
      </c>
      <c r="AY3" s="1674" t="s">
        <v>931</v>
      </c>
      <c r="AZ3" s="1674" t="s">
        <v>932</v>
      </c>
    </row>
    <row r="4" spans="1:54" ht="21" customHeight="1">
      <c r="A4" s="1681"/>
      <c r="B4" s="1681"/>
      <c r="C4" s="1683"/>
      <c r="D4" s="1680"/>
      <c r="E4" s="1683"/>
      <c r="F4" s="1677" t="s">
        <v>933</v>
      </c>
      <c r="G4" s="1678"/>
      <c r="H4" s="1678"/>
      <c r="I4" s="1678"/>
      <c r="J4" s="1679"/>
      <c r="K4" s="1677" t="s">
        <v>933</v>
      </c>
      <c r="L4" s="1678"/>
      <c r="M4" s="1678"/>
      <c r="N4" s="1678"/>
      <c r="O4" s="1679"/>
      <c r="P4" s="1677" t="s">
        <v>933</v>
      </c>
      <c r="Q4" s="1678"/>
      <c r="R4" s="1678"/>
      <c r="S4" s="1678"/>
      <c r="T4" s="1679"/>
      <c r="U4" s="1677" t="s">
        <v>933</v>
      </c>
      <c r="V4" s="1678"/>
      <c r="W4" s="1678"/>
      <c r="X4" s="1678"/>
      <c r="Y4" s="1679"/>
      <c r="Z4" s="1677" t="s">
        <v>933</v>
      </c>
      <c r="AA4" s="1678"/>
      <c r="AB4" s="1678"/>
      <c r="AC4" s="1678"/>
      <c r="AD4" s="1679"/>
      <c r="AE4" s="1677" t="s">
        <v>933</v>
      </c>
      <c r="AF4" s="1678"/>
      <c r="AG4" s="1678"/>
      <c r="AH4" s="1678"/>
      <c r="AI4" s="1679"/>
      <c r="AJ4" s="410" t="s">
        <v>934</v>
      </c>
      <c r="AK4" s="411" t="s">
        <v>935</v>
      </c>
      <c r="AL4" s="411" t="s">
        <v>934</v>
      </c>
      <c r="AM4" s="411" t="s">
        <v>935</v>
      </c>
      <c r="AN4" s="411" t="s">
        <v>935</v>
      </c>
      <c r="AO4" s="411" t="s">
        <v>935</v>
      </c>
      <c r="AP4" s="411" t="s">
        <v>934</v>
      </c>
      <c r="AQ4" s="411" t="s">
        <v>935</v>
      </c>
      <c r="AR4" s="411" t="s">
        <v>934</v>
      </c>
      <c r="AS4" s="411" t="s">
        <v>935</v>
      </c>
      <c r="AT4" s="410" t="s">
        <v>934</v>
      </c>
      <c r="AU4" s="412" t="s">
        <v>935</v>
      </c>
      <c r="AV4" s="1675"/>
      <c r="AW4" s="1675"/>
      <c r="AX4" s="1675"/>
      <c r="AY4" s="1675"/>
      <c r="AZ4" s="1675"/>
    </row>
    <row r="5" spans="1:54" ht="38.25" customHeight="1">
      <c r="A5" s="1681"/>
      <c r="B5" s="1681"/>
      <c r="C5" s="1684"/>
      <c r="D5" s="1680"/>
      <c r="E5" s="1684"/>
      <c r="F5" s="368" t="s">
        <v>936</v>
      </c>
      <c r="G5" s="368" t="s">
        <v>937</v>
      </c>
      <c r="H5" s="368" t="s">
        <v>938</v>
      </c>
      <c r="I5" s="368" t="s">
        <v>939</v>
      </c>
      <c r="J5" s="368" t="s">
        <v>940</v>
      </c>
      <c r="K5" s="368" t="s">
        <v>936</v>
      </c>
      <c r="L5" s="368" t="s">
        <v>937</v>
      </c>
      <c r="M5" s="368" t="s">
        <v>938</v>
      </c>
      <c r="N5" s="368" t="s">
        <v>939</v>
      </c>
      <c r="O5" s="368" t="s">
        <v>940</v>
      </c>
      <c r="P5" s="368" t="s">
        <v>936</v>
      </c>
      <c r="Q5" s="368" t="s">
        <v>937</v>
      </c>
      <c r="R5" s="368" t="s">
        <v>938</v>
      </c>
      <c r="S5" s="368" t="s">
        <v>939</v>
      </c>
      <c r="T5" s="368" t="s">
        <v>940</v>
      </c>
      <c r="U5" s="368" t="s">
        <v>936</v>
      </c>
      <c r="V5" s="368" t="s">
        <v>937</v>
      </c>
      <c r="W5" s="368" t="s">
        <v>938</v>
      </c>
      <c r="X5" s="368" t="s">
        <v>939</v>
      </c>
      <c r="Y5" s="368" t="s">
        <v>940</v>
      </c>
      <c r="Z5" s="368" t="s">
        <v>936</v>
      </c>
      <c r="AA5" s="368" t="s">
        <v>937</v>
      </c>
      <c r="AB5" s="368" t="s">
        <v>938</v>
      </c>
      <c r="AC5" s="368" t="s">
        <v>939</v>
      </c>
      <c r="AD5" s="368" t="s">
        <v>940</v>
      </c>
      <c r="AE5" s="368" t="s">
        <v>936</v>
      </c>
      <c r="AF5" s="368" t="s">
        <v>937</v>
      </c>
      <c r="AG5" s="368" t="s">
        <v>938</v>
      </c>
      <c r="AH5" s="368" t="s">
        <v>939</v>
      </c>
      <c r="AI5" s="368" t="s">
        <v>940</v>
      </c>
      <c r="AJ5" s="368" t="s">
        <v>828</v>
      </c>
      <c r="AK5" s="368" t="s">
        <v>828</v>
      </c>
      <c r="AL5" s="368" t="s">
        <v>851</v>
      </c>
      <c r="AM5" s="368" t="s">
        <v>851</v>
      </c>
      <c r="AN5" s="368" t="s">
        <v>870</v>
      </c>
      <c r="AO5" s="368" t="s">
        <v>874</v>
      </c>
      <c r="AP5" s="414" t="s">
        <v>845</v>
      </c>
      <c r="AQ5" s="414" t="s">
        <v>845</v>
      </c>
      <c r="AR5" s="414" t="s">
        <v>877</v>
      </c>
      <c r="AS5" s="414" t="s">
        <v>877</v>
      </c>
      <c r="AT5" s="414" t="s">
        <v>941</v>
      </c>
      <c r="AU5" s="414" t="s">
        <v>941</v>
      </c>
      <c r="AV5" s="1675"/>
      <c r="AW5" s="1675"/>
      <c r="AX5" s="1675"/>
      <c r="AY5" s="1675"/>
      <c r="AZ5" s="1675"/>
    </row>
    <row r="6" spans="1:54">
      <c r="A6" s="1680" t="s">
        <v>942</v>
      </c>
      <c r="B6" s="1680"/>
      <c r="C6" s="1680"/>
      <c r="D6" s="1680"/>
      <c r="E6" s="1680"/>
      <c r="F6" s="369">
        <f>DS!S$6/1000</f>
        <v>75.3723076923077</v>
      </c>
      <c r="G6" s="369">
        <f>DS!T$6/1000</f>
        <v>94.215384615384593</v>
      </c>
      <c r="H6" s="369">
        <f>DS!U$6/1000</f>
        <v>113.058461538462</v>
      </c>
      <c r="I6" s="369">
        <f>DS!V$6/1000</f>
        <v>131.901538461538</v>
      </c>
      <c r="J6" s="369">
        <f>DS!W$6/1000</f>
        <v>150.744615384615</v>
      </c>
      <c r="K6" s="369">
        <f>DS!S$5/1000</f>
        <v>94.215384615384593</v>
      </c>
      <c r="L6" s="369">
        <f>DS!T$5/1000</f>
        <v>117.769230769231</v>
      </c>
      <c r="M6" s="369">
        <f>DS!U$5/1000</f>
        <v>141.323076923077</v>
      </c>
      <c r="N6" s="369">
        <f>DS!V$5/1000</f>
        <v>164.87692307692299</v>
      </c>
      <c r="O6" s="369">
        <f>DS!W$5/1000</f>
        <v>188.43076923076899</v>
      </c>
      <c r="P6" s="369">
        <f>DS!S$8/1000</f>
        <v>75.372</v>
      </c>
      <c r="Q6" s="369">
        <f>DS!T$8/1000</f>
        <v>94.215000000000003</v>
      </c>
      <c r="R6" s="369">
        <f>DS!U$8/1000</f>
        <v>113.05800000000001</v>
      </c>
      <c r="S6" s="369">
        <f>DS!V$8/1000</f>
        <v>131.90199999999999</v>
      </c>
      <c r="T6" s="369">
        <f>DS!W$8/1000</f>
        <v>150.745</v>
      </c>
      <c r="U6" s="369">
        <f>DS!S7/1000</f>
        <v>97.025641025641008</v>
      </c>
      <c r="V6" s="369">
        <f>DS!T7/1000</f>
        <v>116.430769230769</v>
      </c>
      <c r="W6" s="369">
        <f>DS!U7/1000</f>
        <v>139.71700000000001</v>
      </c>
      <c r="X6" s="369">
        <f>DS!V7/1000</f>
        <v>163.00299999999999</v>
      </c>
      <c r="Y6" s="369">
        <f>DS!W7/1000</f>
        <v>186.28899999999999</v>
      </c>
      <c r="Z6" s="369">
        <f>DS!S8/1000</f>
        <v>75.372</v>
      </c>
      <c r="AA6" s="369">
        <f>DS!T8/1000</f>
        <v>94.215000000000003</v>
      </c>
      <c r="AB6" s="369">
        <f>DS!U8/1000</f>
        <v>113.05800000000001</v>
      </c>
      <c r="AC6" s="369">
        <f>DS!V8/1000</f>
        <v>131.90199999999999</v>
      </c>
      <c r="AD6" s="369">
        <f>DS!W8/1000</f>
        <v>150.745</v>
      </c>
      <c r="AE6" s="369">
        <f>DS!S7/1000</f>
        <v>97.025641025641008</v>
      </c>
      <c r="AF6" s="369">
        <f>DS!T7/1000</f>
        <v>116.430769230769</v>
      </c>
      <c r="AG6" s="369">
        <f>DS!U7/1000</f>
        <v>139.71700000000001</v>
      </c>
      <c r="AH6" s="369">
        <f>DS!V7/1000</f>
        <v>163.00299999999999</v>
      </c>
      <c r="AI6" s="369">
        <f>DS!W7/1000</f>
        <v>186.28899999999999</v>
      </c>
      <c r="AJ6" s="369">
        <f>DS!$T$9/1000</f>
        <v>135.03076923076898</v>
      </c>
      <c r="AK6" s="369">
        <f>DS!$T$9/1000</f>
        <v>135.03076923076898</v>
      </c>
      <c r="AL6" s="369">
        <f>DS!$T$11/1000</f>
        <v>438.346</v>
      </c>
      <c r="AM6" s="369">
        <f>DS!$T$11/1000</f>
        <v>438.346</v>
      </c>
      <c r="AN6" s="369">
        <f>DS!$T$14/1000</f>
        <v>338.44600000000003</v>
      </c>
      <c r="AO6" s="369">
        <f>DS!$T$14/1000</f>
        <v>338.44600000000003</v>
      </c>
      <c r="AP6" s="369">
        <f>DS!$T$8/1000</f>
        <v>94.215000000000003</v>
      </c>
      <c r="AQ6" s="369">
        <f>DS!$T$8/1000</f>
        <v>94.215000000000003</v>
      </c>
      <c r="AR6" s="369">
        <f>DS!$T$8/1000</f>
        <v>94.215000000000003</v>
      </c>
      <c r="AS6" s="369">
        <f>DS!$T$8/1000</f>
        <v>94.215000000000003</v>
      </c>
      <c r="AT6" s="369">
        <f>DS!$T$8/1000</f>
        <v>94.215000000000003</v>
      </c>
      <c r="AU6" s="369">
        <f>DS!$T$8/1000</f>
        <v>94.215000000000003</v>
      </c>
      <c r="AV6" s="1675"/>
      <c r="AW6" s="1675"/>
      <c r="AX6" s="1675"/>
      <c r="AY6" s="413"/>
      <c r="AZ6" s="413"/>
    </row>
    <row r="7" spans="1:54">
      <c r="A7" s="1680" t="s">
        <v>943</v>
      </c>
      <c r="B7" s="1680"/>
      <c r="C7" s="1680"/>
      <c r="D7" s="1680"/>
      <c r="E7" s="1680"/>
      <c r="F7" s="368">
        <v>0</v>
      </c>
      <c r="G7" s="368">
        <v>0</v>
      </c>
      <c r="H7" s="368">
        <v>0</v>
      </c>
      <c r="I7" s="368">
        <v>0</v>
      </c>
      <c r="J7" s="368">
        <v>0</v>
      </c>
      <c r="K7" s="368">
        <v>0</v>
      </c>
      <c r="L7" s="368">
        <v>0</v>
      </c>
      <c r="M7" s="368">
        <v>0</v>
      </c>
      <c r="N7" s="368">
        <v>0</v>
      </c>
      <c r="O7" s="368">
        <v>0</v>
      </c>
      <c r="P7" s="368">
        <f>DS!$L$10</f>
        <v>60</v>
      </c>
      <c r="Q7" s="368">
        <f>DS!$L$10</f>
        <v>60</v>
      </c>
      <c r="R7" s="368">
        <f>DS!$L$10</f>
        <v>60</v>
      </c>
      <c r="S7" s="368">
        <f>DS!$L$10</f>
        <v>60</v>
      </c>
      <c r="T7" s="368">
        <f>DS!$L$10</f>
        <v>60</v>
      </c>
      <c r="U7" s="368">
        <f>DS!$L$10</f>
        <v>60</v>
      </c>
      <c r="V7" s="368">
        <f>DS!$L$10</f>
        <v>60</v>
      </c>
      <c r="W7" s="368">
        <f>DS!$L$10</f>
        <v>60</v>
      </c>
      <c r="X7" s="368">
        <f>DS!$L$10</f>
        <v>60</v>
      </c>
      <c r="Y7" s="368">
        <f>DS!$L$10</f>
        <v>60</v>
      </c>
      <c r="Z7" s="368">
        <f>DS!$L$5</f>
        <v>60</v>
      </c>
      <c r="AA7" s="368">
        <f>DS!$L$5</f>
        <v>60</v>
      </c>
      <c r="AB7" s="368">
        <f>DS!$L$5</f>
        <v>60</v>
      </c>
      <c r="AC7" s="368">
        <f>DS!$L$5</f>
        <v>60</v>
      </c>
      <c r="AD7" s="368">
        <f>DS!$L$5</f>
        <v>60</v>
      </c>
      <c r="AE7" s="368">
        <f>DS!$L$5</f>
        <v>60</v>
      </c>
      <c r="AF7" s="368">
        <f>DS!$L$5</f>
        <v>60</v>
      </c>
      <c r="AG7" s="368">
        <f>DS!$L$5</f>
        <v>60</v>
      </c>
      <c r="AH7" s="368">
        <f>DS!$L$5</f>
        <v>60</v>
      </c>
      <c r="AI7" s="368">
        <f>DS!$L$5</f>
        <v>60</v>
      </c>
      <c r="AJ7" s="368">
        <f>DS!$L$7</f>
        <v>100</v>
      </c>
      <c r="AK7" s="368">
        <f>DS!$L$7</f>
        <v>100</v>
      </c>
      <c r="AL7" s="368">
        <f>DS!$L$12</f>
        <v>120</v>
      </c>
      <c r="AM7" s="368">
        <f>DS!$L$12</f>
        <v>120</v>
      </c>
      <c r="AN7" s="368">
        <f>DS!$L$17</f>
        <v>120</v>
      </c>
      <c r="AO7" s="368">
        <f>DS!$L$18</f>
        <v>100</v>
      </c>
      <c r="AP7" s="414">
        <f>DS!$L$11</f>
        <v>60</v>
      </c>
      <c r="AQ7" s="414">
        <f>DS!$L$11</f>
        <v>60</v>
      </c>
      <c r="AR7" s="414">
        <f>DS!$L$19</f>
        <v>60</v>
      </c>
      <c r="AS7" s="414">
        <f>DS!$L$19</f>
        <v>60</v>
      </c>
      <c r="AT7" s="414">
        <f>DS!$L$14</f>
        <v>60</v>
      </c>
      <c r="AU7" s="414">
        <f>DS!$L$14</f>
        <v>60</v>
      </c>
      <c r="AV7" s="1675"/>
      <c r="AW7" s="1676"/>
      <c r="AX7" s="1676"/>
      <c r="AY7" s="413"/>
      <c r="AZ7" s="420">
        <f>22500/1000</f>
        <v>22.5</v>
      </c>
    </row>
    <row r="8" spans="1:54" ht="15" customHeight="1">
      <c r="A8" s="370" t="s">
        <v>618</v>
      </c>
      <c r="B8" s="370" t="s">
        <v>619</v>
      </c>
      <c r="C8" s="371" t="str">
        <f>VLOOKUP(A8,'Luong VP'!$B$10:$D$209,3,0)</f>
        <v>NV Giao nhận/ Phụ xe</v>
      </c>
      <c r="D8" s="372">
        <v>171152666.66666672</v>
      </c>
      <c r="E8" s="373">
        <f t="shared" ref="E8:E20" si="0">D8*1.2%/1000</f>
        <v>2053.8320000000008</v>
      </c>
      <c r="F8" s="374"/>
      <c r="G8" s="374"/>
      <c r="H8" s="374"/>
      <c r="I8" s="374"/>
      <c r="J8" s="374"/>
      <c r="K8" s="374"/>
      <c r="L8" s="374"/>
      <c r="M8" s="374"/>
      <c r="N8" s="374"/>
      <c r="O8" s="374"/>
      <c r="P8" s="397"/>
      <c r="Q8" s="403"/>
      <c r="R8" s="403"/>
      <c r="S8" s="403"/>
      <c r="T8" s="403"/>
      <c r="U8" s="403"/>
      <c r="V8" s="403"/>
      <c r="W8" s="403"/>
      <c r="X8" s="403"/>
      <c r="Y8" s="403"/>
      <c r="Z8" s="397"/>
      <c r="AA8" s="403"/>
      <c r="AB8" s="403"/>
      <c r="AC8" s="403"/>
      <c r="AD8" s="403"/>
      <c r="AE8" s="403"/>
      <c r="AF8" s="403"/>
      <c r="AG8" s="403"/>
      <c r="AH8" s="403"/>
      <c r="AI8" s="403"/>
      <c r="AJ8" s="397"/>
      <c r="AK8" s="403"/>
      <c r="AL8" s="397"/>
      <c r="AM8" s="403"/>
      <c r="AN8" s="397"/>
      <c r="AO8" s="397"/>
      <c r="AP8" s="397"/>
      <c r="AQ8" s="403"/>
      <c r="AR8" s="403"/>
      <c r="AS8" s="403"/>
      <c r="AT8" s="397"/>
      <c r="AU8" s="403"/>
      <c r="AV8" s="374">
        <f>SUM(F8:AU8)</f>
        <v>0</v>
      </c>
      <c r="AW8" s="381">
        <f t="shared" ref="AW8:AW20" si="1">IF(C8="Tài xế",SUMPRODUCT($F$6:$AU$6,F8:AU8),0)</f>
        <v>0</v>
      </c>
      <c r="AX8" s="381">
        <f t="shared" ref="AX8:AX20" si="2">SUMPRODUCT($F$7:$AU$7,F8:AU8)</f>
        <v>0</v>
      </c>
      <c r="AY8" s="381"/>
      <c r="AZ8" s="381">
        <f>AY8*$AZ$7/1000</f>
        <v>0</v>
      </c>
    </row>
    <row r="9" spans="1:54" s="356" customFormat="1">
      <c r="A9" s="375" t="s">
        <v>630</v>
      </c>
      <c r="B9" s="375" t="s">
        <v>631</v>
      </c>
      <c r="C9" s="376" t="str">
        <f>VLOOKUP(A9,'Luong VP'!$B$10:$D$210,3,0)</f>
        <v>NV Giao nhận/ Phụ xe</v>
      </c>
      <c r="D9" s="377">
        <v>91163333.333333343</v>
      </c>
      <c r="E9" s="377">
        <f t="shared" si="0"/>
        <v>1093.9600000000003</v>
      </c>
      <c r="F9" s="378"/>
      <c r="G9" s="378"/>
      <c r="H9" s="378"/>
      <c r="I9" s="378"/>
      <c r="J9" s="378"/>
      <c r="K9" s="378"/>
      <c r="L9" s="378"/>
      <c r="M9" s="378"/>
      <c r="N9" s="378"/>
      <c r="O9" s="378"/>
      <c r="P9" s="398">
        <v>5</v>
      </c>
      <c r="Q9" s="404"/>
      <c r="R9" s="404"/>
      <c r="S9" s="404"/>
      <c r="T9" s="404"/>
      <c r="U9" s="404"/>
      <c r="V9" s="404"/>
      <c r="W9" s="404"/>
      <c r="X9" s="404"/>
      <c r="Y9" s="404"/>
      <c r="Z9" s="398">
        <v>3</v>
      </c>
      <c r="AA9" s="404"/>
      <c r="AB9" s="404"/>
      <c r="AC9" s="404"/>
      <c r="AD9" s="404"/>
      <c r="AE9" s="404"/>
      <c r="AF9" s="404"/>
      <c r="AG9" s="404"/>
      <c r="AH9" s="404"/>
      <c r="AI9" s="404"/>
      <c r="AJ9" s="398"/>
      <c r="AK9" s="404"/>
      <c r="AL9" s="398"/>
      <c r="AM9" s="404"/>
      <c r="AN9" s="398"/>
      <c r="AO9" s="398"/>
      <c r="AP9" s="398"/>
      <c r="AQ9" s="404"/>
      <c r="AR9" s="404"/>
      <c r="AS9" s="404"/>
      <c r="AT9" s="398"/>
      <c r="AU9" s="404"/>
      <c r="AV9" s="415">
        <f t="shared" ref="AV9:AV20" si="3">SUM(F9:AU9)</f>
        <v>8</v>
      </c>
      <c r="AW9" s="378">
        <f t="shared" si="1"/>
        <v>0</v>
      </c>
      <c r="AX9" s="378">
        <f t="shared" si="2"/>
        <v>480</v>
      </c>
      <c r="AY9" s="378"/>
      <c r="AZ9" s="378">
        <f t="shared" ref="AZ9:AZ31" si="4">AY9*$AZ$7/1000</f>
        <v>0</v>
      </c>
    </row>
    <row r="10" spans="1:54">
      <c r="A10" s="379" t="s">
        <v>632</v>
      </c>
      <c r="B10" s="379" t="s">
        <v>633</v>
      </c>
      <c r="C10" s="371" t="str">
        <f>VLOOKUP(A10,'Luong VP'!$B$10:$D$211,3,0)</f>
        <v>NV Giao nhận/ Phụ xe</v>
      </c>
      <c r="D10" s="380">
        <v>140661750.00000003</v>
      </c>
      <c r="E10" s="373">
        <f t="shared" si="0"/>
        <v>1687.9410000000005</v>
      </c>
      <c r="F10" s="381"/>
      <c r="G10" s="381"/>
      <c r="H10" s="381"/>
      <c r="I10" s="381"/>
      <c r="J10" s="381"/>
      <c r="K10" s="381"/>
      <c r="L10" s="381"/>
      <c r="M10" s="381"/>
      <c r="N10" s="381"/>
      <c r="O10" s="381"/>
      <c r="P10" s="399">
        <v>4</v>
      </c>
      <c r="Q10" s="405"/>
      <c r="R10" s="405"/>
      <c r="S10" s="405"/>
      <c r="T10" s="405"/>
      <c r="U10" s="405"/>
      <c r="V10" s="405"/>
      <c r="W10" s="405"/>
      <c r="X10" s="405"/>
      <c r="Y10" s="405"/>
      <c r="Z10" s="399">
        <v>2</v>
      </c>
      <c r="AA10" s="405"/>
      <c r="AB10" s="405"/>
      <c r="AC10" s="405"/>
      <c r="AD10" s="405"/>
      <c r="AE10" s="405"/>
      <c r="AF10" s="405"/>
      <c r="AG10" s="405"/>
      <c r="AH10" s="405"/>
      <c r="AI10" s="405"/>
      <c r="AJ10" s="399"/>
      <c r="AK10" s="405"/>
      <c r="AL10" s="399"/>
      <c r="AM10" s="405"/>
      <c r="AN10" s="399"/>
      <c r="AO10" s="399"/>
      <c r="AP10" s="399"/>
      <c r="AQ10" s="405"/>
      <c r="AR10" s="405"/>
      <c r="AS10" s="405"/>
      <c r="AT10" s="399"/>
      <c r="AU10" s="405"/>
      <c r="AV10" s="374">
        <f>SUM(F10:AU10)</f>
        <v>6</v>
      </c>
      <c r="AW10" s="381">
        <f t="shared" si="1"/>
        <v>0</v>
      </c>
      <c r="AX10" s="381">
        <f>SUMPRODUCT($F$7:$AU$7,F10:AU10)</f>
        <v>360</v>
      </c>
      <c r="AY10" s="381"/>
      <c r="AZ10" s="381">
        <f t="shared" si="4"/>
        <v>0</v>
      </c>
    </row>
    <row r="11" spans="1:54">
      <c r="A11" s="379" t="s">
        <v>620</v>
      </c>
      <c r="B11" s="379" t="s">
        <v>621</v>
      </c>
      <c r="C11" s="371" t="str">
        <f>VLOOKUP(A11,'Luong VP'!$B$10:$D$209,3,0)</f>
        <v>NV Giao nhận/ Phụ xe</v>
      </c>
      <c r="D11" s="380">
        <v>148542083.33333334</v>
      </c>
      <c r="E11" s="373">
        <f t="shared" si="0"/>
        <v>1782.5050000000003</v>
      </c>
      <c r="F11" s="381"/>
      <c r="G11" s="381"/>
      <c r="H11" s="381"/>
      <c r="I11" s="381"/>
      <c r="J11" s="381"/>
      <c r="K11" s="381"/>
      <c r="L11" s="381"/>
      <c r="M11" s="381"/>
      <c r="N11" s="381"/>
      <c r="O11" s="381"/>
      <c r="P11" s="399">
        <v>12</v>
      </c>
      <c r="Q11" s="405"/>
      <c r="R11" s="405"/>
      <c r="S11" s="405"/>
      <c r="T11" s="405"/>
      <c r="U11" s="405"/>
      <c r="V11" s="405"/>
      <c r="W11" s="405"/>
      <c r="X11" s="405"/>
      <c r="Y11" s="405"/>
      <c r="Z11" s="399">
        <v>1</v>
      </c>
      <c r="AA11" s="405"/>
      <c r="AB11" s="405"/>
      <c r="AC11" s="405"/>
      <c r="AD11" s="405"/>
      <c r="AE11" s="405"/>
      <c r="AF11" s="405"/>
      <c r="AG11" s="405"/>
      <c r="AH11" s="405"/>
      <c r="AI11" s="405"/>
      <c r="AJ11" s="399"/>
      <c r="AK11" s="405"/>
      <c r="AL11" s="399"/>
      <c r="AM11" s="405"/>
      <c r="AN11" s="399"/>
      <c r="AO11" s="399"/>
      <c r="AP11" s="399">
        <v>1</v>
      </c>
      <c r="AQ11" s="405"/>
      <c r="AR11" s="405"/>
      <c r="AS11" s="405"/>
      <c r="AT11" s="399"/>
      <c r="AU11" s="405"/>
      <c r="AV11" s="374">
        <f t="shared" si="3"/>
        <v>14</v>
      </c>
      <c r="AW11" s="381">
        <f t="shared" si="1"/>
        <v>0</v>
      </c>
      <c r="AX11" s="381">
        <f t="shared" si="2"/>
        <v>840</v>
      </c>
      <c r="AY11" s="381"/>
      <c r="AZ11" s="381">
        <f t="shared" si="4"/>
        <v>0</v>
      </c>
    </row>
    <row r="12" spans="1:54">
      <c r="A12" s="379" t="s">
        <v>622</v>
      </c>
      <c r="B12" s="379" t="s">
        <v>623</v>
      </c>
      <c r="C12" s="371" t="str">
        <f>VLOOKUP(A12,'Luong VP'!$B$10:$D$209,3,0)</f>
        <v>NV Giao nhận/ Phụ xe</v>
      </c>
      <c r="D12" s="380">
        <v>154826666.66666672</v>
      </c>
      <c r="E12" s="373">
        <f t="shared" si="0"/>
        <v>1857.9200000000008</v>
      </c>
      <c r="F12" s="381"/>
      <c r="G12" s="381"/>
      <c r="H12" s="381"/>
      <c r="I12" s="381"/>
      <c r="J12" s="381"/>
      <c r="K12" s="381"/>
      <c r="L12" s="381"/>
      <c r="M12" s="381"/>
      <c r="N12" s="381"/>
      <c r="O12" s="381"/>
      <c r="P12" s="399">
        <v>7</v>
      </c>
      <c r="Q12" s="405"/>
      <c r="R12" s="405"/>
      <c r="S12" s="405"/>
      <c r="T12" s="405"/>
      <c r="U12" s="405"/>
      <c r="V12" s="405"/>
      <c r="W12" s="405"/>
      <c r="X12" s="405"/>
      <c r="Y12" s="405"/>
      <c r="Z12" s="399"/>
      <c r="AA12" s="405"/>
      <c r="AB12" s="405"/>
      <c r="AC12" s="405"/>
      <c r="AD12" s="405"/>
      <c r="AE12" s="405"/>
      <c r="AF12" s="405"/>
      <c r="AG12" s="405"/>
      <c r="AH12" s="405"/>
      <c r="AI12" s="405"/>
      <c r="AJ12" s="399"/>
      <c r="AK12" s="405"/>
      <c r="AL12" s="399"/>
      <c r="AM12" s="405"/>
      <c r="AN12" s="399"/>
      <c r="AO12" s="399"/>
      <c r="AP12" s="399"/>
      <c r="AQ12" s="405"/>
      <c r="AR12" s="405"/>
      <c r="AS12" s="405"/>
      <c r="AT12" s="399">
        <v>6</v>
      </c>
      <c r="AU12" s="405"/>
      <c r="AV12" s="374">
        <f t="shared" si="3"/>
        <v>13</v>
      </c>
      <c r="AW12" s="381">
        <f t="shared" si="1"/>
        <v>0</v>
      </c>
      <c r="AX12" s="381">
        <f t="shared" si="2"/>
        <v>780</v>
      </c>
      <c r="AY12" s="381"/>
      <c r="AZ12" s="381">
        <f t="shared" si="4"/>
        <v>0</v>
      </c>
    </row>
    <row r="13" spans="1:54">
      <c r="A13" s="379" t="s">
        <v>624</v>
      </c>
      <c r="B13" s="379" t="s">
        <v>625</v>
      </c>
      <c r="C13" s="371" t="str">
        <f>VLOOKUP(A13,'Luong VP'!$B$10:$D$209,3,0)</f>
        <v>NV Giao nhận/ Phụ xe</v>
      </c>
      <c r="D13" s="380">
        <v>177481499.99999997</v>
      </c>
      <c r="E13" s="373">
        <f t="shared" si="0"/>
        <v>2129.7779999999993</v>
      </c>
      <c r="F13" s="381"/>
      <c r="G13" s="381"/>
      <c r="H13" s="381"/>
      <c r="I13" s="381"/>
      <c r="J13" s="381"/>
      <c r="K13" s="381"/>
      <c r="L13" s="381"/>
      <c r="M13" s="381"/>
      <c r="N13" s="381"/>
      <c r="O13" s="381"/>
      <c r="P13" s="399"/>
      <c r="Q13" s="405"/>
      <c r="R13" s="405"/>
      <c r="S13" s="405"/>
      <c r="T13" s="405"/>
      <c r="U13" s="405"/>
      <c r="V13" s="405"/>
      <c r="W13" s="405"/>
      <c r="X13" s="405"/>
      <c r="Y13" s="405"/>
      <c r="Z13" s="399"/>
      <c r="AA13" s="405"/>
      <c r="AB13" s="405"/>
      <c r="AC13" s="405"/>
      <c r="AD13" s="405"/>
      <c r="AE13" s="405"/>
      <c r="AF13" s="405"/>
      <c r="AG13" s="405"/>
      <c r="AH13" s="405"/>
      <c r="AI13" s="405"/>
      <c r="AJ13" s="399"/>
      <c r="AK13" s="405"/>
      <c r="AL13" s="399"/>
      <c r="AM13" s="405"/>
      <c r="AN13" s="399"/>
      <c r="AO13" s="399"/>
      <c r="AP13" s="399">
        <v>1</v>
      </c>
      <c r="AQ13" s="405"/>
      <c r="AR13" s="405"/>
      <c r="AS13" s="405"/>
      <c r="AT13" s="399"/>
      <c r="AU13" s="405"/>
      <c r="AV13" s="374">
        <f t="shared" si="3"/>
        <v>1</v>
      </c>
      <c r="AW13" s="381">
        <f t="shared" si="1"/>
        <v>0</v>
      </c>
      <c r="AX13" s="381">
        <f t="shared" si="2"/>
        <v>60</v>
      </c>
      <c r="AY13" s="381"/>
      <c r="AZ13" s="381">
        <f t="shared" si="4"/>
        <v>0</v>
      </c>
      <c r="BB13" s="361">
        <v>150000</v>
      </c>
    </row>
    <row r="14" spans="1:54">
      <c r="A14" s="379" t="s">
        <v>628</v>
      </c>
      <c r="B14" s="379" t="s">
        <v>629</v>
      </c>
      <c r="C14" s="371" t="str">
        <f>VLOOKUP(A14,'Luong VP'!$B$10:$D$209,3,0)</f>
        <v>NV Giao nhận/ Phụ xe</v>
      </c>
      <c r="D14" s="380">
        <v>177144916.66666663</v>
      </c>
      <c r="E14" s="373">
        <f t="shared" si="0"/>
        <v>2125.7389999999996</v>
      </c>
      <c r="F14" s="381"/>
      <c r="G14" s="381"/>
      <c r="H14" s="381"/>
      <c r="I14" s="381"/>
      <c r="J14" s="381"/>
      <c r="K14" s="381"/>
      <c r="L14" s="381"/>
      <c r="M14" s="381"/>
      <c r="N14" s="381"/>
      <c r="O14" s="381"/>
      <c r="P14" s="399"/>
      <c r="Q14" s="405"/>
      <c r="R14" s="405"/>
      <c r="S14" s="405"/>
      <c r="T14" s="405"/>
      <c r="U14" s="405"/>
      <c r="V14" s="405"/>
      <c r="W14" s="405"/>
      <c r="X14" s="405"/>
      <c r="Y14" s="405"/>
      <c r="Z14" s="399"/>
      <c r="AA14" s="405"/>
      <c r="AB14" s="405"/>
      <c r="AC14" s="405"/>
      <c r="AD14" s="405"/>
      <c r="AE14" s="405"/>
      <c r="AF14" s="405"/>
      <c r="AG14" s="405"/>
      <c r="AH14" s="405"/>
      <c r="AI14" s="405"/>
      <c r="AJ14" s="399"/>
      <c r="AK14" s="405"/>
      <c r="AL14" s="399"/>
      <c r="AM14" s="405"/>
      <c r="AN14" s="399"/>
      <c r="AO14" s="399"/>
      <c r="AP14" s="399">
        <v>1</v>
      </c>
      <c r="AQ14" s="405"/>
      <c r="AR14" s="405"/>
      <c r="AS14" s="405"/>
      <c r="AT14" s="399"/>
      <c r="AU14" s="405"/>
      <c r="AV14" s="374">
        <f t="shared" si="3"/>
        <v>1</v>
      </c>
      <c r="AW14" s="381">
        <f t="shared" si="1"/>
        <v>0</v>
      </c>
      <c r="AX14" s="381">
        <f t="shared" si="2"/>
        <v>60</v>
      </c>
      <c r="AY14" s="381"/>
      <c r="AZ14" s="381">
        <f t="shared" si="4"/>
        <v>0</v>
      </c>
    </row>
    <row r="15" spans="1:54" s="1482" customFormat="1">
      <c r="A15" s="1478" t="s">
        <v>578</v>
      </c>
      <c r="B15" s="1478" t="s">
        <v>579</v>
      </c>
      <c r="C15" s="382" t="str">
        <f>VLOOKUP(A15,'Luong VP'!$B$10:$D$209,3,0)</f>
        <v>NV Giao nhận/ Phụ xe</v>
      </c>
      <c r="D15" s="380">
        <v>134884083.33333328</v>
      </c>
      <c r="E15" s="380">
        <f t="shared" si="0"/>
        <v>1618.6089999999995</v>
      </c>
      <c r="F15" s="383"/>
      <c r="G15" s="383"/>
      <c r="H15" s="383"/>
      <c r="I15" s="383"/>
      <c r="J15" s="383"/>
      <c r="K15" s="383"/>
      <c r="L15" s="383"/>
      <c r="M15" s="383"/>
      <c r="N15" s="383"/>
      <c r="O15" s="383"/>
      <c r="P15" s="1479">
        <v>4</v>
      </c>
      <c r="Q15" s="1480"/>
      <c r="R15" s="1480"/>
      <c r="S15" s="1480"/>
      <c r="T15" s="1480"/>
      <c r="U15" s="1480"/>
      <c r="V15" s="1480"/>
      <c r="W15" s="1480"/>
      <c r="X15" s="1480"/>
      <c r="Y15" s="1480"/>
      <c r="Z15" s="1479">
        <v>2</v>
      </c>
      <c r="AA15" s="1480"/>
      <c r="AB15" s="1480"/>
      <c r="AC15" s="1480"/>
      <c r="AD15" s="1480"/>
      <c r="AE15" s="1480"/>
      <c r="AF15" s="1480"/>
      <c r="AG15" s="1480"/>
      <c r="AH15" s="1480"/>
      <c r="AI15" s="1480"/>
      <c r="AJ15" s="1479"/>
      <c r="AK15" s="1480"/>
      <c r="AL15" s="1479"/>
      <c r="AM15" s="1480"/>
      <c r="AN15" s="1479"/>
      <c r="AO15" s="1479"/>
      <c r="AP15" s="1479">
        <v>1</v>
      </c>
      <c r="AQ15" s="1480"/>
      <c r="AR15" s="1480"/>
      <c r="AS15" s="1480"/>
      <c r="AT15" s="1479"/>
      <c r="AU15" s="1480"/>
      <c r="AV15" s="1481">
        <f t="shared" si="3"/>
        <v>7</v>
      </c>
      <c r="AW15" s="383">
        <f t="shared" si="1"/>
        <v>0</v>
      </c>
      <c r="AX15" s="383">
        <f t="shared" si="2"/>
        <v>420</v>
      </c>
      <c r="AY15" s="383"/>
      <c r="AZ15" s="383">
        <f t="shared" si="4"/>
        <v>0</v>
      </c>
    </row>
    <row r="16" spans="1:54" s="1482" customFormat="1">
      <c r="A16" s="1478" t="s">
        <v>580</v>
      </c>
      <c r="B16" s="1478" t="s">
        <v>581</v>
      </c>
      <c r="C16" s="382" t="str">
        <f>VLOOKUP(A16,'Luong VP'!$B$10:$D$209,3,0)</f>
        <v>NV Giao nhận/ Phụ xe</v>
      </c>
      <c r="D16" s="380">
        <v>165584124.99999994</v>
      </c>
      <c r="E16" s="380">
        <f t="shared" si="0"/>
        <v>1987.0094999999992</v>
      </c>
      <c r="F16" s="383"/>
      <c r="G16" s="383"/>
      <c r="H16" s="383"/>
      <c r="I16" s="383"/>
      <c r="J16" s="383"/>
      <c r="K16" s="383"/>
      <c r="L16" s="383"/>
      <c r="M16" s="383"/>
      <c r="N16" s="383"/>
      <c r="O16" s="383"/>
      <c r="P16" s="1479">
        <v>4</v>
      </c>
      <c r="Q16" s="1480"/>
      <c r="R16" s="1480"/>
      <c r="S16" s="1480"/>
      <c r="T16" s="1480"/>
      <c r="U16" s="1480"/>
      <c r="V16" s="1480"/>
      <c r="W16" s="1480"/>
      <c r="X16" s="1480"/>
      <c r="Y16" s="1480"/>
      <c r="Z16" s="1479">
        <v>4</v>
      </c>
      <c r="AA16" s="1480"/>
      <c r="AB16" s="1480"/>
      <c r="AC16" s="1480"/>
      <c r="AD16" s="1480"/>
      <c r="AE16" s="1480"/>
      <c r="AF16" s="1480"/>
      <c r="AG16" s="1480"/>
      <c r="AH16" s="1480"/>
      <c r="AI16" s="1480"/>
      <c r="AJ16" s="1479"/>
      <c r="AK16" s="1480"/>
      <c r="AL16" s="1479">
        <v>3</v>
      </c>
      <c r="AM16" s="1480"/>
      <c r="AN16" s="1479"/>
      <c r="AO16" s="1479"/>
      <c r="AP16" s="1479"/>
      <c r="AQ16" s="1480"/>
      <c r="AR16" s="1480"/>
      <c r="AS16" s="1480"/>
      <c r="AT16" s="1479"/>
      <c r="AU16" s="1480"/>
      <c r="AV16" s="1481">
        <f t="shared" si="3"/>
        <v>11</v>
      </c>
      <c r="AW16" s="383">
        <f t="shared" si="1"/>
        <v>0</v>
      </c>
      <c r="AX16" s="383">
        <f t="shared" si="2"/>
        <v>840</v>
      </c>
      <c r="AY16" s="383"/>
      <c r="AZ16" s="383">
        <f t="shared" si="4"/>
        <v>0</v>
      </c>
    </row>
    <row r="17" spans="1:56" s="1482" customFormat="1">
      <c r="A17" s="1478" t="s">
        <v>582</v>
      </c>
      <c r="B17" s="1478" t="s">
        <v>583</v>
      </c>
      <c r="C17" s="382" t="str">
        <f>VLOOKUP(A17,'Luong VP'!$B$10:$D$209,3,0)</f>
        <v>NV Giao nhận/ Phụ xe</v>
      </c>
      <c r="D17" s="380">
        <v>162559458.33333331</v>
      </c>
      <c r="E17" s="380">
        <f t="shared" si="0"/>
        <v>1950.7134999999998</v>
      </c>
      <c r="F17" s="383"/>
      <c r="G17" s="383"/>
      <c r="H17" s="383"/>
      <c r="I17" s="383"/>
      <c r="J17" s="383"/>
      <c r="K17" s="383"/>
      <c r="L17" s="383"/>
      <c r="M17" s="383"/>
      <c r="N17" s="383"/>
      <c r="O17" s="383"/>
      <c r="P17" s="1479">
        <v>3</v>
      </c>
      <c r="Q17" s="1480"/>
      <c r="R17" s="1480"/>
      <c r="S17" s="1480"/>
      <c r="T17" s="1480"/>
      <c r="U17" s="1480"/>
      <c r="V17" s="1480"/>
      <c r="W17" s="1480"/>
      <c r="X17" s="1480"/>
      <c r="Y17" s="1480"/>
      <c r="Z17" s="1479">
        <v>4</v>
      </c>
      <c r="AA17" s="1480"/>
      <c r="AB17" s="1480"/>
      <c r="AC17" s="1480"/>
      <c r="AD17" s="1480"/>
      <c r="AE17" s="1480"/>
      <c r="AF17" s="1480"/>
      <c r="AG17" s="1480"/>
      <c r="AH17" s="1480"/>
      <c r="AI17" s="1480"/>
      <c r="AJ17" s="1479"/>
      <c r="AK17" s="1480"/>
      <c r="AL17" s="1479">
        <v>3</v>
      </c>
      <c r="AM17" s="1480"/>
      <c r="AN17" s="1479"/>
      <c r="AO17" s="1479"/>
      <c r="AP17" s="1479"/>
      <c r="AQ17" s="1480"/>
      <c r="AR17" s="1480"/>
      <c r="AS17" s="1480"/>
      <c r="AT17" s="1479"/>
      <c r="AU17" s="1480"/>
      <c r="AV17" s="1481">
        <f t="shared" si="3"/>
        <v>10</v>
      </c>
      <c r="AW17" s="383">
        <f t="shared" si="1"/>
        <v>0</v>
      </c>
      <c r="AX17" s="383">
        <f t="shared" si="2"/>
        <v>780</v>
      </c>
      <c r="AY17" s="383"/>
      <c r="AZ17" s="383">
        <f t="shared" si="4"/>
        <v>0</v>
      </c>
    </row>
    <row r="18" spans="1:56" s="1482" customFormat="1">
      <c r="A18" s="1478" t="s">
        <v>586</v>
      </c>
      <c r="B18" s="1478" t="s">
        <v>587</v>
      </c>
      <c r="C18" s="382" t="str">
        <f>VLOOKUP(A18,'Luong VP'!$B$10:$D$209,3,0)</f>
        <v>NV Giao nhận/ Phụ xe</v>
      </c>
      <c r="D18" s="380">
        <v>180909625.00000006</v>
      </c>
      <c r="E18" s="380">
        <f t="shared" si="0"/>
        <v>2170.915500000001</v>
      </c>
      <c r="F18" s="383"/>
      <c r="G18" s="383"/>
      <c r="H18" s="383"/>
      <c r="I18" s="383"/>
      <c r="J18" s="383"/>
      <c r="K18" s="383"/>
      <c r="L18" s="383"/>
      <c r="M18" s="383"/>
      <c r="N18" s="383"/>
      <c r="O18" s="383"/>
      <c r="P18" s="1479">
        <v>7</v>
      </c>
      <c r="Q18" s="1480"/>
      <c r="R18" s="1480"/>
      <c r="S18" s="1480"/>
      <c r="T18" s="1480"/>
      <c r="U18" s="1480"/>
      <c r="V18" s="1480"/>
      <c r="W18" s="1480"/>
      <c r="X18" s="1480"/>
      <c r="Y18" s="1480"/>
      <c r="Z18" s="1479"/>
      <c r="AA18" s="1480"/>
      <c r="AB18" s="1480"/>
      <c r="AC18" s="1480"/>
      <c r="AD18" s="1480"/>
      <c r="AE18" s="1480"/>
      <c r="AF18" s="1480"/>
      <c r="AG18" s="1480"/>
      <c r="AH18" s="1480"/>
      <c r="AI18" s="1480"/>
      <c r="AJ18" s="1479"/>
      <c r="AK18" s="1480"/>
      <c r="AL18" s="1479"/>
      <c r="AM18" s="1480"/>
      <c r="AN18" s="1479"/>
      <c r="AO18" s="1479"/>
      <c r="AP18" s="1479">
        <v>1</v>
      </c>
      <c r="AQ18" s="1480"/>
      <c r="AR18" s="1480"/>
      <c r="AS18" s="1480"/>
      <c r="AT18" s="1479">
        <v>3</v>
      </c>
      <c r="AU18" s="1480"/>
      <c r="AV18" s="1481">
        <f t="shared" si="3"/>
        <v>11</v>
      </c>
      <c r="AW18" s="383">
        <f t="shared" si="1"/>
        <v>0</v>
      </c>
      <c r="AX18" s="383">
        <f t="shared" si="2"/>
        <v>660</v>
      </c>
      <c r="AY18" s="383"/>
      <c r="AZ18" s="383">
        <f t="shared" si="4"/>
        <v>0</v>
      </c>
    </row>
    <row r="19" spans="1:56">
      <c r="A19" s="379" t="s">
        <v>588</v>
      </c>
      <c r="B19" s="379" t="s">
        <v>589</v>
      </c>
      <c r="C19" s="371" t="str">
        <f>VLOOKUP(A19,'Luong VP'!$B$10:$D$209,3,0)</f>
        <v>NV Giao nhận/ Phụ xe</v>
      </c>
      <c r="D19" s="380">
        <v>177820833.33333331</v>
      </c>
      <c r="E19" s="373">
        <f t="shared" si="0"/>
        <v>2133.85</v>
      </c>
      <c r="F19" s="381"/>
      <c r="G19" s="381"/>
      <c r="H19" s="381"/>
      <c r="I19" s="381"/>
      <c r="J19" s="381"/>
      <c r="K19" s="381"/>
      <c r="L19" s="381"/>
      <c r="M19" s="381"/>
      <c r="N19" s="381"/>
      <c r="O19" s="381"/>
      <c r="P19" s="399">
        <v>3</v>
      </c>
      <c r="Q19" s="406"/>
      <c r="R19" s="406"/>
      <c r="S19" s="406"/>
      <c r="T19" s="406"/>
      <c r="U19" s="406"/>
      <c r="V19" s="406"/>
      <c r="W19" s="406"/>
      <c r="X19" s="406"/>
      <c r="Y19" s="406"/>
      <c r="Z19" s="399">
        <v>2</v>
      </c>
      <c r="AA19" s="406"/>
      <c r="AB19" s="406"/>
      <c r="AC19" s="406"/>
      <c r="AD19" s="406"/>
      <c r="AE19" s="406"/>
      <c r="AF19" s="406"/>
      <c r="AG19" s="406"/>
      <c r="AH19" s="406"/>
      <c r="AI19" s="406"/>
      <c r="AJ19" s="399"/>
      <c r="AK19" s="406"/>
      <c r="AL19" s="399">
        <v>4</v>
      </c>
      <c r="AM19" s="406"/>
      <c r="AN19" s="399"/>
      <c r="AO19" s="399"/>
      <c r="AP19" s="399">
        <v>1</v>
      </c>
      <c r="AQ19" s="406"/>
      <c r="AR19" s="406"/>
      <c r="AS19" s="406"/>
      <c r="AT19" s="399"/>
      <c r="AU19" s="406"/>
      <c r="AV19" s="374">
        <f t="shared" si="3"/>
        <v>10</v>
      </c>
      <c r="AW19" s="381">
        <f t="shared" si="1"/>
        <v>0</v>
      </c>
      <c r="AX19" s="381">
        <f t="shared" si="2"/>
        <v>840</v>
      </c>
      <c r="AY19" s="381"/>
      <c r="AZ19" s="381">
        <f t="shared" si="4"/>
        <v>0</v>
      </c>
    </row>
    <row r="20" spans="1:56" s="357" customFormat="1">
      <c r="A20" s="379" t="s">
        <v>592</v>
      </c>
      <c r="B20" s="379" t="s">
        <v>593</v>
      </c>
      <c r="C20" s="382" t="str">
        <f>VLOOKUP(A20,'Luong VP'!$B$10:$D$209,3,0)</f>
        <v>NV Giao nhận/ Phụ xe</v>
      </c>
      <c r="D20" s="380">
        <v>150738416.6666666</v>
      </c>
      <c r="E20" s="384">
        <f t="shared" si="0"/>
        <v>1808.8609999999992</v>
      </c>
      <c r="F20" s="385"/>
      <c r="G20" s="385"/>
      <c r="H20" s="385"/>
      <c r="I20" s="385"/>
      <c r="J20" s="385"/>
      <c r="K20" s="385"/>
      <c r="L20" s="385"/>
      <c r="M20" s="385"/>
      <c r="N20" s="385"/>
      <c r="O20" s="385"/>
      <c r="P20" s="400">
        <v>3</v>
      </c>
      <c r="Q20" s="407"/>
      <c r="R20" s="407"/>
      <c r="S20" s="407"/>
      <c r="T20" s="407"/>
      <c r="U20" s="407"/>
      <c r="V20" s="407"/>
      <c r="W20" s="407"/>
      <c r="X20" s="407"/>
      <c r="Y20" s="407"/>
      <c r="Z20" s="400">
        <v>2</v>
      </c>
      <c r="AA20" s="407"/>
      <c r="AB20" s="407"/>
      <c r="AC20" s="407"/>
      <c r="AD20" s="407"/>
      <c r="AE20" s="407"/>
      <c r="AF20" s="407"/>
      <c r="AG20" s="407"/>
      <c r="AH20" s="407"/>
      <c r="AI20" s="407"/>
      <c r="AJ20" s="400"/>
      <c r="AK20" s="407"/>
      <c r="AL20" s="400"/>
      <c r="AM20" s="407"/>
      <c r="AN20" s="400"/>
      <c r="AO20" s="400"/>
      <c r="AP20" s="400">
        <v>1</v>
      </c>
      <c r="AQ20" s="407"/>
      <c r="AR20" s="407"/>
      <c r="AS20" s="407"/>
      <c r="AT20" s="400"/>
      <c r="AU20" s="407"/>
      <c r="AV20" s="416">
        <f t="shared" si="3"/>
        <v>6</v>
      </c>
      <c r="AW20" s="385">
        <f t="shared" si="1"/>
        <v>0</v>
      </c>
      <c r="AX20" s="385">
        <f t="shared" si="2"/>
        <v>360</v>
      </c>
      <c r="AY20" s="385"/>
      <c r="AZ20" s="381">
        <f t="shared" si="4"/>
        <v>0</v>
      </c>
    </row>
    <row r="21" spans="1:56" s="357" customFormat="1">
      <c r="A21" s="379" t="s">
        <v>594</v>
      </c>
      <c r="B21" s="379" t="s">
        <v>595</v>
      </c>
      <c r="C21" s="371" t="str">
        <f>VLOOKUP(A21,'Luong VP'!$B$10:$D$209,3,0)</f>
        <v>NV Giao nhận/ Phụ xe</v>
      </c>
      <c r="D21" s="380">
        <v>168684708.33333334</v>
      </c>
      <c r="E21" s="384">
        <f t="shared" ref="E21:E31" si="5">D21*1.2%/1000</f>
        <v>2024.2165000000002</v>
      </c>
      <c r="F21" s="385"/>
      <c r="G21" s="385"/>
      <c r="H21" s="385"/>
      <c r="I21" s="385"/>
      <c r="J21" s="385"/>
      <c r="K21" s="385"/>
      <c r="L21" s="385"/>
      <c r="M21" s="385"/>
      <c r="N21" s="385"/>
      <c r="O21" s="385"/>
      <c r="P21" s="400">
        <v>7</v>
      </c>
      <c r="Q21" s="407"/>
      <c r="R21" s="407"/>
      <c r="S21" s="407"/>
      <c r="T21" s="407"/>
      <c r="U21" s="407"/>
      <c r="V21" s="407"/>
      <c r="W21" s="407"/>
      <c r="X21" s="407"/>
      <c r="Y21" s="407"/>
      <c r="Z21" s="400">
        <v>2</v>
      </c>
      <c r="AA21" s="407"/>
      <c r="AB21" s="407"/>
      <c r="AC21" s="407"/>
      <c r="AD21" s="407"/>
      <c r="AE21" s="407"/>
      <c r="AF21" s="407"/>
      <c r="AG21" s="407"/>
      <c r="AH21" s="407"/>
      <c r="AI21" s="407"/>
      <c r="AJ21" s="400"/>
      <c r="AK21" s="407"/>
      <c r="AL21" s="400"/>
      <c r="AM21" s="407"/>
      <c r="AN21" s="400"/>
      <c r="AO21" s="400"/>
      <c r="AP21" s="400">
        <v>1</v>
      </c>
      <c r="AQ21" s="407"/>
      <c r="AR21" s="407"/>
      <c r="AS21" s="407"/>
      <c r="AT21" s="400"/>
      <c r="AU21" s="407"/>
      <c r="AV21" s="416">
        <f t="shared" ref="AV21:AV29" si="6">SUM(F21:AU21)</f>
        <v>10</v>
      </c>
      <c r="AW21" s="385">
        <f t="shared" ref="AW21:AW27" si="7">IF(C21="Tài xế",SUMPRODUCT($F$6:$AU$6,F21:AU21),0)</f>
        <v>0</v>
      </c>
      <c r="AX21" s="385">
        <f t="shared" ref="AX21:AX27" si="8">SUMPRODUCT($F$7:$AU$7,F21:AU21)</f>
        <v>600</v>
      </c>
      <c r="AY21" s="385"/>
      <c r="AZ21" s="381">
        <f t="shared" si="4"/>
        <v>0</v>
      </c>
    </row>
    <row r="22" spans="1:56" s="357" customFormat="1">
      <c r="A22" s="379" t="s">
        <v>590</v>
      </c>
      <c r="B22" s="379" t="s">
        <v>591</v>
      </c>
      <c r="C22" s="371" t="str">
        <f>VLOOKUP(A22,'Luong VP'!$B$10:$D$209,3,0)</f>
        <v>NV Giao nhận/ Phụ xe</v>
      </c>
      <c r="D22" s="380">
        <v>161143666.66666669</v>
      </c>
      <c r="E22" s="384">
        <f t="shared" si="5"/>
        <v>1933.7240000000002</v>
      </c>
      <c r="F22" s="385"/>
      <c r="G22" s="385"/>
      <c r="H22" s="385"/>
      <c r="I22" s="385"/>
      <c r="J22" s="385"/>
      <c r="K22" s="385"/>
      <c r="L22" s="385"/>
      <c r="M22" s="385"/>
      <c r="N22" s="385"/>
      <c r="O22" s="385"/>
      <c r="P22" s="400">
        <v>4</v>
      </c>
      <c r="Q22" s="407"/>
      <c r="R22" s="407"/>
      <c r="S22" s="407"/>
      <c r="T22" s="407"/>
      <c r="U22" s="407"/>
      <c r="V22" s="407"/>
      <c r="W22" s="407"/>
      <c r="X22" s="407"/>
      <c r="Y22" s="407"/>
      <c r="Z22" s="400">
        <v>2</v>
      </c>
      <c r="AA22" s="407"/>
      <c r="AB22" s="407"/>
      <c r="AC22" s="407"/>
      <c r="AD22" s="407"/>
      <c r="AE22" s="407"/>
      <c r="AF22" s="407"/>
      <c r="AG22" s="407"/>
      <c r="AH22" s="407"/>
      <c r="AI22" s="407"/>
      <c r="AJ22" s="400"/>
      <c r="AK22" s="407"/>
      <c r="AL22" s="400"/>
      <c r="AM22" s="407"/>
      <c r="AN22" s="400"/>
      <c r="AO22" s="400">
        <v>2</v>
      </c>
      <c r="AP22" s="400"/>
      <c r="AQ22" s="407"/>
      <c r="AR22" s="407"/>
      <c r="AS22" s="407"/>
      <c r="AT22" s="400"/>
      <c r="AU22" s="407"/>
      <c r="AV22" s="416">
        <f t="shared" si="6"/>
        <v>8</v>
      </c>
      <c r="AW22" s="385">
        <f t="shared" si="7"/>
        <v>0</v>
      </c>
      <c r="AX22" s="385">
        <f t="shared" si="8"/>
        <v>560</v>
      </c>
      <c r="AY22" s="385">
        <f>BC22*2</f>
        <v>13332</v>
      </c>
      <c r="AZ22" s="381">
        <f t="shared" si="4"/>
        <v>299.97000000000003</v>
      </c>
      <c r="BC22" s="421">
        <v>6666</v>
      </c>
      <c r="BD22" s="422"/>
    </row>
    <row r="23" spans="1:56" s="357" customFormat="1">
      <c r="A23" s="379" t="s">
        <v>609</v>
      </c>
      <c r="B23" s="379" t="s">
        <v>610</v>
      </c>
      <c r="C23" s="371" t="str">
        <f>VLOOKUP(A23,'Luong VP'!$B$10:$D$209,3,0)</f>
        <v>NV Giao nhận/ Phụ xe</v>
      </c>
      <c r="D23" s="380">
        <v>147200666.66666666</v>
      </c>
      <c r="E23" s="384">
        <f t="shared" si="5"/>
        <v>1766.4079999999999</v>
      </c>
      <c r="F23" s="385"/>
      <c r="G23" s="385"/>
      <c r="H23" s="385"/>
      <c r="I23" s="385"/>
      <c r="J23" s="385"/>
      <c r="K23" s="385"/>
      <c r="L23" s="385"/>
      <c r="M23" s="385"/>
      <c r="N23" s="385"/>
      <c r="O23" s="385"/>
      <c r="P23" s="400">
        <v>8</v>
      </c>
      <c r="Q23" s="407"/>
      <c r="R23" s="407"/>
      <c r="S23" s="407"/>
      <c r="T23" s="407"/>
      <c r="U23" s="407"/>
      <c r="V23" s="407"/>
      <c r="W23" s="407"/>
      <c r="X23" s="407"/>
      <c r="Y23" s="407"/>
      <c r="Z23" s="400">
        <v>1</v>
      </c>
      <c r="AA23" s="407"/>
      <c r="AB23" s="407"/>
      <c r="AC23" s="407"/>
      <c r="AD23" s="407"/>
      <c r="AE23" s="407"/>
      <c r="AF23" s="407"/>
      <c r="AG23" s="407"/>
      <c r="AH23" s="407"/>
      <c r="AI23" s="407"/>
      <c r="AJ23" s="400"/>
      <c r="AK23" s="407"/>
      <c r="AL23" s="400"/>
      <c r="AM23" s="407"/>
      <c r="AN23" s="400"/>
      <c r="AO23" s="400"/>
      <c r="AP23" s="400"/>
      <c r="AQ23" s="407"/>
      <c r="AR23" s="407"/>
      <c r="AS23" s="407"/>
      <c r="AT23" s="400"/>
      <c r="AU23" s="407"/>
      <c r="AV23" s="416">
        <f t="shared" si="6"/>
        <v>9</v>
      </c>
      <c r="AW23" s="385">
        <f t="shared" si="7"/>
        <v>0</v>
      </c>
      <c r="AX23" s="385">
        <f t="shared" si="8"/>
        <v>540</v>
      </c>
      <c r="AY23" s="385"/>
      <c r="AZ23" s="385">
        <f t="shared" si="4"/>
        <v>0</v>
      </c>
    </row>
    <row r="24" spans="1:56" s="357" customFormat="1">
      <c r="A24" s="379" t="s">
        <v>596</v>
      </c>
      <c r="B24" s="379" t="s">
        <v>597</v>
      </c>
      <c r="C24" s="371" t="str">
        <f>VLOOKUP(A24,'Luong VP'!$B$10:$D$209,3,0)</f>
        <v>NV Giao nhận/ Phụ xe</v>
      </c>
      <c r="D24" s="380">
        <v>169760000</v>
      </c>
      <c r="E24" s="384">
        <f t="shared" si="5"/>
        <v>2037.12</v>
      </c>
      <c r="F24" s="385"/>
      <c r="G24" s="385"/>
      <c r="H24" s="385"/>
      <c r="I24" s="385"/>
      <c r="J24" s="385"/>
      <c r="K24" s="385"/>
      <c r="L24" s="385"/>
      <c r="M24" s="385"/>
      <c r="N24" s="385"/>
      <c r="O24" s="385"/>
      <c r="P24" s="400">
        <v>7</v>
      </c>
      <c r="Q24" s="407"/>
      <c r="R24" s="407"/>
      <c r="S24" s="407"/>
      <c r="T24" s="407"/>
      <c r="U24" s="407"/>
      <c r="V24" s="407"/>
      <c r="W24" s="407"/>
      <c r="X24" s="407"/>
      <c r="Y24" s="407"/>
      <c r="Z24" s="400">
        <v>1</v>
      </c>
      <c r="AA24" s="407"/>
      <c r="AB24" s="407"/>
      <c r="AC24" s="407"/>
      <c r="AD24" s="407"/>
      <c r="AE24" s="407"/>
      <c r="AF24" s="407"/>
      <c r="AG24" s="407"/>
      <c r="AH24" s="407"/>
      <c r="AI24" s="407"/>
      <c r="AJ24" s="400"/>
      <c r="AK24" s="407"/>
      <c r="AL24" s="400"/>
      <c r="AM24" s="407"/>
      <c r="AN24" s="400"/>
      <c r="AO24" s="400"/>
      <c r="AP24" s="400"/>
      <c r="AQ24" s="407"/>
      <c r="AR24" s="407"/>
      <c r="AS24" s="407"/>
      <c r="AT24" s="400"/>
      <c r="AU24" s="407"/>
      <c r="AV24" s="416">
        <f t="shared" si="6"/>
        <v>8</v>
      </c>
      <c r="AW24" s="385">
        <f t="shared" si="7"/>
        <v>0</v>
      </c>
      <c r="AX24" s="385">
        <f t="shared" si="8"/>
        <v>480</v>
      </c>
      <c r="AY24" s="385"/>
      <c r="AZ24" s="385">
        <f t="shared" si="4"/>
        <v>0</v>
      </c>
      <c r="BB24" s="357">
        <v>1200000</v>
      </c>
      <c r="BC24" s="423">
        <f>3*BC22</f>
        <v>19998</v>
      </c>
    </row>
    <row r="25" spans="1:56" s="357" customFormat="1">
      <c r="A25" s="386" t="s">
        <v>598</v>
      </c>
      <c r="B25" s="379" t="s">
        <v>599</v>
      </c>
      <c r="C25" s="371" t="str">
        <f>VLOOKUP(A25,'Luong VP'!$B$10:$D$209,3,0)</f>
        <v>NV Giao nhận/ Phụ xe</v>
      </c>
      <c r="D25" s="380">
        <v>157240375.00000003</v>
      </c>
      <c r="E25" s="384">
        <f t="shared" si="5"/>
        <v>1886.8845000000006</v>
      </c>
      <c r="F25" s="385"/>
      <c r="G25" s="385"/>
      <c r="H25" s="385"/>
      <c r="I25" s="385"/>
      <c r="J25" s="385"/>
      <c r="K25" s="385"/>
      <c r="L25" s="385"/>
      <c r="M25" s="385"/>
      <c r="N25" s="385"/>
      <c r="O25" s="385"/>
      <c r="P25" s="400">
        <v>2</v>
      </c>
      <c r="Q25" s="407"/>
      <c r="R25" s="407"/>
      <c r="S25" s="407"/>
      <c r="T25" s="407"/>
      <c r="U25" s="407"/>
      <c r="V25" s="407"/>
      <c r="W25" s="407"/>
      <c r="X25" s="407"/>
      <c r="Y25" s="407"/>
      <c r="Z25" s="400">
        <v>2</v>
      </c>
      <c r="AA25" s="407"/>
      <c r="AB25" s="407"/>
      <c r="AC25" s="407"/>
      <c r="AD25" s="407"/>
      <c r="AE25" s="407"/>
      <c r="AF25" s="407"/>
      <c r="AG25" s="407"/>
      <c r="AH25" s="407"/>
      <c r="AI25" s="407"/>
      <c r="AJ25" s="400"/>
      <c r="AK25" s="407"/>
      <c r="AL25" s="400">
        <v>1</v>
      </c>
      <c r="AM25" s="407"/>
      <c r="AN25" s="400"/>
      <c r="AO25" s="400"/>
      <c r="AP25" s="400">
        <v>2</v>
      </c>
      <c r="AQ25" s="407"/>
      <c r="AR25" s="407"/>
      <c r="AS25" s="407"/>
      <c r="AT25" s="400"/>
      <c r="AU25" s="407"/>
      <c r="AV25" s="416">
        <f t="shared" si="6"/>
        <v>7</v>
      </c>
      <c r="AW25" s="385">
        <f t="shared" si="7"/>
        <v>0</v>
      </c>
      <c r="AX25" s="385">
        <f t="shared" si="8"/>
        <v>480</v>
      </c>
      <c r="AY25" s="385"/>
      <c r="AZ25" s="385">
        <f t="shared" si="4"/>
        <v>0</v>
      </c>
      <c r="BB25" s="357">
        <f>BB24/AZ7</f>
        <v>53333.333333333336</v>
      </c>
      <c r="BC25" s="423">
        <f>2*BC22</f>
        <v>13332</v>
      </c>
    </row>
    <row r="26" spans="1:56" s="357" customFormat="1">
      <c r="A26" s="386" t="s">
        <v>600</v>
      </c>
      <c r="B26" s="379" t="s">
        <v>601</v>
      </c>
      <c r="C26" s="387" t="str">
        <f>VLOOKUP(A26,'Luong VP'!$B$10:$D$209,3,0)</f>
        <v>NV Bốc Bùn</v>
      </c>
      <c r="D26" s="380">
        <v>30164833.333333332</v>
      </c>
      <c r="E26" s="384">
        <f t="shared" si="5"/>
        <v>361.97800000000001</v>
      </c>
      <c r="F26" s="385"/>
      <c r="G26" s="385"/>
      <c r="H26" s="385"/>
      <c r="I26" s="385"/>
      <c r="J26" s="385"/>
      <c r="K26" s="385"/>
      <c r="L26" s="385"/>
      <c r="M26" s="385"/>
      <c r="N26" s="385"/>
      <c r="O26" s="385"/>
      <c r="P26" s="400"/>
      <c r="Q26" s="407"/>
      <c r="R26" s="407"/>
      <c r="S26" s="407"/>
      <c r="T26" s="407"/>
      <c r="U26" s="407"/>
      <c r="V26" s="407"/>
      <c r="W26" s="407"/>
      <c r="X26" s="407"/>
      <c r="Y26" s="407"/>
      <c r="Z26" s="400"/>
      <c r="AA26" s="407"/>
      <c r="AB26" s="407"/>
      <c r="AC26" s="407"/>
      <c r="AD26" s="407"/>
      <c r="AE26" s="407"/>
      <c r="AF26" s="407"/>
      <c r="AG26" s="407"/>
      <c r="AH26" s="407"/>
      <c r="AI26" s="407"/>
      <c r="AJ26" s="400"/>
      <c r="AK26" s="407"/>
      <c r="AL26" s="400">
        <v>2</v>
      </c>
      <c r="AM26" s="407"/>
      <c r="AN26" s="400"/>
      <c r="AO26" s="400"/>
      <c r="AP26" s="400"/>
      <c r="AQ26" s="407"/>
      <c r="AR26" s="407"/>
      <c r="AS26" s="407"/>
      <c r="AT26" s="400"/>
      <c r="AU26" s="407"/>
      <c r="AV26" s="416">
        <f t="shared" si="6"/>
        <v>2</v>
      </c>
      <c r="AW26" s="385">
        <f t="shared" si="7"/>
        <v>0</v>
      </c>
      <c r="AX26" s="385">
        <f t="shared" si="8"/>
        <v>240</v>
      </c>
      <c r="AY26" s="385"/>
      <c r="AZ26" s="385">
        <f t="shared" si="4"/>
        <v>0</v>
      </c>
    </row>
    <row r="27" spans="1:56" s="357" customFormat="1">
      <c r="A27" s="386" t="s">
        <v>611</v>
      </c>
      <c r="B27" s="379" t="s">
        <v>612</v>
      </c>
      <c r="C27" s="387" t="str">
        <f>VLOOKUP(A27,'Luong VP'!$B$10:$D$209,3,0)</f>
        <v>NV Giao nhận/ Phụ xe</v>
      </c>
      <c r="D27" s="380">
        <v>124862166.66666666</v>
      </c>
      <c r="E27" s="384">
        <f t="shared" si="5"/>
        <v>1498.346</v>
      </c>
      <c r="F27" s="385"/>
      <c r="G27" s="385"/>
      <c r="H27" s="385"/>
      <c r="I27" s="385"/>
      <c r="J27" s="385"/>
      <c r="K27" s="385"/>
      <c r="L27" s="385"/>
      <c r="M27" s="385"/>
      <c r="N27" s="385"/>
      <c r="O27" s="385"/>
      <c r="P27" s="400">
        <v>4</v>
      </c>
      <c r="Q27" s="407"/>
      <c r="R27" s="407"/>
      <c r="S27" s="407"/>
      <c r="T27" s="407"/>
      <c r="U27" s="407"/>
      <c r="V27" s="407"/>
      <c r="W27" s="407"/>
      <c r="X27" s="407"/>
      <c r="Y27" s="407"/>
      <c r="Z27" s="400">
        <v>2</v>
      </c>
      <c r="AA27" s="407"/>
      <c r="AB27" s="407"/>
      <c r="AC27" s="407"/>
      <c r="AD27" s="407"/>
      <c r="AE27" s="407"/>
      <c r="AF27" s="407"/>
      <c r="AG27" s="407"/>
      <c r="AH27" s="407"/>
      <c r="AI27" s="407"/>
      <c r="AJ27" s="400"/>
      <c r="AK27" s="407"/>
      <c r="AL27" s="400">
        <v>3</v>
      </c>
      <c r="AM27" s="407"/>
      <c r="AN27" s="400"/>
      <c r="AO27" s="400"/>
      <c r="AP27" s="400">
        <v>1</v>
      </c>
      <c r="AQ27" s="407"/>
      <c r="AR27" s="407"/>
      <c r="AS27" s="407"/>
      <c r="AT27" s="400"/>
      <c r="AU27" s="407"/>
      <c r="AV27" s="416">
        <f t="shared" si="6"/>
        <v>10</v>
      </c>
      <c r="AW27" s="385">
        <f t="shared" si="7"/>
        <v>0</v>
      </c>
      <c r="AX27" s="385">
        <f t="shared" si="8"/>
        <v>780</v>
      </c>
      <c r="AY27" s="385"/>
      <c r="AZ27" s="385">
        <f t="shared" si="4"/>
        <v>0</v>
      </c>
    </row>
    <row r="28" spans="1:56" s="357" customFormat="1">
      <c r="A28" s="386" t="s">
        <v>603</v>
      </c>
      <c r="B28" s="379" t="s">
        <v>604</v>
      </c>
      <c r="C28" s="387" t="str">
        <f>VLOOKUP(A28,'Luong VP'!$B$10:$D$209,3,0)</f>
        <v>NV Bốc Bùn</v>
      </c>
      <c r="D28" s="380">
        <v>54963750</v>
      </c>
      <c r="E28" s="384">
        <f t="shared" si="5"/>
        <v>659.56500000000005</v>
      </c>
      <c r="F28" s="385"/>
      <c r="G28" s="385"/>
      <c r="H28" s="385"/>
      <c r="I28" s="385"/>
      <c r="J28" s="385"/>
      <c r="K28" s="385"/>
      <c r="L28" s="385"/>
      <c r="M28" s="385"/>
      <c r="N28" s="385"/>
      <c r="O28" s="385"/>
      <c r="P28" s="400"/>
      <c r="Q28" s="407"/>
      <c r="R28" s="407"/>
      <c r="S28" s="407"/>
      <c r="T28" s="407"/>
      <c r="U28" s="407"/>
      <c r="V28" s="407"/>
      <c r="W28" s="407"/>
      <c r="X28" s="407"/>
      <c r="Y28" s="407"/>
      <c r="Z28" s="400"/>
      <c r="AA28" s="407"/>
      <c r="AB28" s="407"/>
      <c r="AC28" s="407"/>
      <c r="AD28" s="407"/>
      <c r="AE28" s="407"/>
      <c r="AF28" s="407"/>
      <c r="AG28" s="407"/>
      <c r="AH28" s="407"/>
      <c r="AI28" s="407"/>
      <c r="AJ28" s="400"/>
      <c r="AK28" s="407"/>
      <c r="AL28" s="400"/>
      <c r="AM28" s="407"/>
      <c r="AN28" s="400"/>
      <c r="AO28" s="400"/>
      <c r="AP28" s="400"/>
      <c r="AQ28" s="407"/>
      <c r="AR28" s="407"/>
      <c r="AS28" s="407"/>
      <c r="AT28" s="400"/>
      <c r="AU28" s="407"/>
      <c r="AV28" s="416">
        <f t="shared" si="6"/>
        <v>0</v>
      </c>
      <c r="AW28" s="385">
        <f t="shared" ref="AW28:AW32" si="9">IF(C28="Tài xế",SUMPRODUCT($F$6:$AU$6,F28:AU28),0)</f>
        <v>0</v>
      </c>
      <c r="AX28" s="385">
        <f t="shared" ref="AX28:AX33" si="10">SUMPRODUCT($F$7:$AU$7,F28:AU28)</f>
        <v>0</v>
      </c>
      <c r="AY28" s="385"/>
      <c r="AZ28" s="385">
        <f t="shared" si="4"/>
        <v>0</v>
      </c>
    </row>
    <row r="29" spans="1:56" s="357" customFormat="1">
      <c r="A29" s="386" t="s">
        <v>613</v>
      </c>
      <c r="B29" s="379" t="s">
        <v>614</v>
      </c>
      <c r="C29" s="387" t="str">
        <f>VLOOKUP(A29,'Luong VP'!$B$10:$D$209,3,0)</f>
        <v>NV Giao nhận/ Phụ xe</v>
      </c>
      <c r="D29" s="380">
        <v>134909125.00000006</v>
      </c>
      <c r="E29" s="384">
        <f t="shared" si="5"/>
        <v>1618.9095000000007</v>
      </c>
      <c r="F29" s="385"/>
      <c r="G29" s="385"/>
      <c r="H29" s="385"/>
      <c r="I29" s="385"/>
      <c r="J29" s="385"/>
      <c r="K29" s="385"/>
      <c r="L29" s="385"/>
      <c r="M29" s="385"/>
      <c r="N29" s="385"/>
      <c r="O29" s="385"/>
      <c r="P29" s="400">
        <v>2</v>
      </c>
      <c r="Q29" s="407"/>
      <c r="R29" s="407"/>
      <c r="S29" s="407"/>
      <c r="T29" s="407"/>
      <c r="U29" s="407"/>
      <c r="V29" s="407"/>
      <c r="W29" s="407"/>
      <c r="X29" s="407"/>
      <c r="Y29" s="407"/>
      <c r="Z29" s="400">
        <v>1</v>
      </c>
      <c r="AA29" s="407"/>
      <c r="AB29" s="407"/>
      <c r="AC29" s="407"/>
      <c r="AD29" s="407"/>
      <c r="AE29" s="407"/>
      <c r="AF29" s="407"/>
      <c r="AG29" s="407"/>
      <c r="AH29" s="407"/>
      <c r="AI29" s="407"/>
      <c r="AJ29" s="400"/>
      <c r="AK29" s="407"/>
      <c r="AL29" s="400">
        <v>1</v>
      </c>
      <c r="AM29" s="407"/>
      <c r="AN29" s="400"/>
      <c r="AO29" s="400"/>
      <c r="AP29" s="400">
        <v>2</v>
      </c>
      <c r="AQ29" s="407"/>
      <c r="AR29" s="407"/>
      <c r="AS29" s="407"/>
      <c r="AT29" s="400"/>
      <c r="AU29" s="407"/>
      <c r="AV29" s="416">
        <f t="shared" si="6"/>
        <v>6</v>
      </c>
      <c r="AW29" s="385">
        <f t="shared" si="9"/>
        <v>0</v>
      </c>
      <c r="AX29" s="385">
        <f t="shared" si="10"/>
        <v>420</v>
      </c>
      <c r="AY29" s="385"/>
      <c r="AZ29" s="385">
        <f t="shared" si="4"/>
        <v>0</v>
      </c>
    </row>
    <row r="30" spans="1:56" s="357" customFormat="1">
      <c r="A30" s="386" t="s">
        <v>605</v>
      </c>
      <c r="B30" s="379" t="s">
        <v>606</v>
      </c>
      <c r="C30" s="387" t="str">
        <f>VLOOKUP(A30,'Luong VP'!$B$10:$D$209,3,0)</f>
        <v>NV Giao nhận/ Phụ xe</v>
      </c>
      <c r="D30" s="380">
        <v>162069833.33333334</v>
      </c>
      <c r="E30" s="384">
        <f t="shared" si="5"/>
        <v>1944.8380000000002</v>
      </c>
      <c r="F30" s="385"/>
      <c r="G30" s="385"/>
      <c r="H30" s="385"/>
      <c r="I30" s="385"/>
      <c r="J30" s="385"/>
      <c r="K30" s="385"/>
      <c r="L30" s="385"/>
      <c r="M30" s="385"/>
      <c r="N30" s="385"/>
      <c r="O30" s="385"/>
      <c r="P30" s="400">
        <v>4</v>
      </c>
      <c r="Q30" s="407"/>
      <c r="R30" s="407"/>
      <c r="S30" s="407"/>
      <c r="T30" s="407"/>
      <c r="U30" s="407"/>
      <c r="V30" s="407"/>
      <c r="W30" s="407"/>
      <c r="X30" s="407"/>
      <c r="Y30" s="407"/>
      <c r="Z30" s="400">
        <v>1</v>
      </c>
      <c r="AA30" s="407"/>
      <c r="AB30" s="407"/>
      <c r="AC30" s="407"/>
      <c r="AD30" s="407"/>
      <c r="AE30" s="407"/>
      <c r="AF30" s="407"/>
      <c r="AG30" s="407"/>
      <c r="AH30" s="407"/>
      <c r="AI30" s="407"/>
      <c r="AJ30" s="400"/>
      <c r="AK30" s="407"/>
      <c r="AL30" s="400"/>
      <c r="AM30" s="407"/>
      <c r="AN30" s="400"/>
      <c r="AO30" s="400"/>
      <c r="AP30" s="400">
        <v>2</v>
      </c>
      <c r="AQ30" s="407"/>
      <c r="AR30" s="407"/>
      <c r="AS30" s="407"/>
      <c r="AT30" s="400"/>
      <c r="AU30" s="407"/>
      <c r="AV30" s="416">
        <f t="shared" ref="AV30:AV44" si="11">SUM(F30:AU30)</f>
        <v>7</v>
      </c>
      <c r="AW30" s="385">
        <f t="shared" si="9"/>
        <v>0</v>
      </c>
      <c r="AX30" s="385">
        <f t="shared" si="10"/>
        <v>420</v>
      </c>
      <c r="AY30" s="385">
        <v>0</v>
      </c>
      <c r="AZ30" s="385">
        <f t="shared" si="4"/>
        <v>0</v>
      </c>
    </row>
    <row r="31" spans="1:56" s="356" customFormat="1">
      <c r="A31" s="389" t="s">
        <v>607</v>
      </c>
      <c r="B31" s="375" t="s">
        <v>608</v>
      </c>
      <c r="C31" s="390" t="str">
        <f>VLOOKUP(A31,'Luong VP'!$B$10:$D$209,3,0)</f>
        <v>NV Giao nhận/ Phụ xe</v>
      </c>
      <c r="D31" s="380">
        <v>100715916.66666666</v>
      </c>
      <c r="E31" s="384">
        <f t="shared" si="5"/>
        <v>1208.5909999999999</v>
      </c>
      <c r="F31" s="378"/>
      <c r="G31" s="378"/>
      <c r="H31" s="378"/>
      <c r="I31" s="378"/>
      <c r="J31" s="378"/>
      <c r="K31" s="378"/>
      <c r="L31" s="378"/>
      <c r="M31" s="378"/>
      <c r="N31" s="378"/>
      <c r="O31" s="378"/>
      <c r="P31" s="398"/>
      <c r="Q31" s="408"/>
      <c r="R31" s="408"/>
      <c r="S31" s="408"/>
      <c r="T31" s="408"/>
      <c r="U31" s="408"/>
      <c r="V31" s="408"/>
      <c r="W31" s="408"/>
      <c r="X31" s="408"/>
      <c r="Y31" s="408"/>
      <c r="Z31" s="398"/>
      <c r="AA31" s="408"/>
      <c r="AB31" s="408"/>
      <c r="AC31" s="408"/>
      <c r="AD31" s="408"/>
      <c r="AE31" s="408"/>
      <c r="AF31" s="408"/>
      <c r="AG31" s="408"/>
      <c r="AH31" s="408"/>
      <c r="AI31" s="408"/>
      <c r="AJ31" s="398">
        <v>11</v>
      </c>
      <c r="AK31" s="408"/>
      <c r="AL31" s="398">
        <v>3</v>
      </c>
      <c r="AM31" s="408"/>
      <c r="AN31" s="398">
        <v>4</v>
      </c>
      <c r="AO31" s="398"/>
      <c r="AP31" s="398"/>
      <c r="AQ31" s="408"/>
      <c r="AR31" s="408"/>
      <c r="AS31" s="408"/>
      <c r="AT31" s="398"/>
      <c r="AU31" s="408"/>
      <c r="AV31" s="415">
        <f t="shared" si="11"/>
        <v>18</v>
      </c>
      <c r="AW31" s="378">
        <f t="shared" si="9"/>
        <v>0</v>
      </c>
      <c r="AX31" s="378">
        <f t="shared" si="10"/>
        <v>1940</v>
      </c>
      <c r="AY31" s="378"/>
      <c r="AZ31" s="378">
        <f t="shared" si="4"/>
        <v>0</v>
      </c>
    </row>
    <row r="32" spans="1:56" s="358" customFormat="1">
      <c r="A32" s="386" t="s">
        <v>575</v>
      </c>
      <c r="B32" s="379" t="s">
        <v>576</v>
      </c>
      <c r="C32" s="387" t="str">
        <f>VLOOKUP(A32,'Luong VP'!$B$10:$D$209,3,0)</f>
        <v>Tài xế</v>
      </c>
      <c r="D32" s="388"/>
      <c r="E32" s="388"/>
      <c r="F32" s="391">
        <v>26</v>
      </c>
      <c r="G32" s="391">
        <v>24</v>
      </c>
      <c r="H32" s="391">
        <v>2</v>
      </c>
      <c r="I32" s="391">
        <v>1</v>
      </c>
      <c r="J32" s="391">
        <v>0</v>
      </c>
      <c r="K32" s="391">
        <v>0</v>
      </c>
      <c r="L32" s="391">
        <v>0</v>
      </c>
      <c r="M32" s="391"/>
      <c r="N32" s="391"/>
      <c r="O32" s="391"/>
      <c r="P32" s="391"/>
      <c r="Q32" s="391"/>
      <c r="R32" s="391"/>
      <c r="S32" s="391"/>
      <c r="T32" s="391"/>
      <c r="U32" s="391"/>
      <c r="V32" s="391"/>
      <c r="W32" s="391"/>
      <c r="X32" s="391"/>
      <c r="Y32" s="391"/>
      <c r="Z32" s="391"/>
      <c r="AA32" s="391"/>
      <c r="AB32" s="391"/>
      <c r="AC32" s="391"/>
      <c r="AD32" s="391"/>
      <c r="AE32" s="391"/>
      <c r="AF32" s="391"/>
      <c r="AG32" s="391"/>
      <c r="AH32" s="391"/>
      <c r="AI32" s="391"/>
      <c r="AJ32" s="391">
        <v>0</v>
      </c>
      <c r="AK32" s="391"/>
      <c r="AL32" s="391">
        <v>0</v>
      </c>
      <c r="AM32" s="391"/>
      <c r="AN32" s="391">
        <v>0</v>
      </c>
      <c r="AO32" s="391"/>
      <c r="AP32" s="391"/>
      <c r="AQ32" s="391"/>
      <c r="AR32" s="391"/>
      <c r="AS32" s="391"/>
      <c r="AT32" s="391">
        <v>6</v>
      </c>
      <c r="AU32" s="391"/>
      <c r="AV32" s="1290">
        <f t="shared" si="11"/>
        <v>59</v>
      </c>
      <c r="AW32" s="385">
        <f t="shared" si="9"/>
        <v>5144.1576923076918</v>
      </c>
      <c r="AX32" s="385">
        <f>SUMPRODUCT($F$7:$AU$7,F32:AU32)</f>
        <v>360</v>
      </c>
      <c r="AY32" s="385"/>
      <c r="AZ32" s="385">
        <f>AY32*$AZ$7</f>
        <v>0</v>
      </c>
    </row>
    <row r="33" spans="1:52" s="357" customFormat="1">
      <c r="A33" s="379" t="s">
        <v>573</v>
      </c>
      <c r="B33" s="379" t="s">
        <v>574</v>
      </c>
      <c r="C33" s="371" t="str">
        <f>VLOOKUP(A33,'Luong VP'!$B$10:$D$209,3,0)</f>
        <v>Tài xế</v>
      </c>
      <c r="D33" s="388"/>
      <c r="E33" s="388"/>
      <c r="F33" s="385">
        <v>1</v>
      </c>
      <c r="G33" s="385">
        <v>2</v>
      </c>
      <c r="H33" s="385">
        <v>0</v>
      </c>
      <c r="I33" s="385">
        <v>0</v>
      </c>
      <c r="J33" s="385">
        <v>0</v>
      </c>
      <c r="K33" s="391">
        <v>1</v>
      </c>
      <c r="L33" s="391">
        <v>0</v>
      </c>
      <c r="M33" s="385"/>
      <c r="N33" s="385"/>
      <c r="O33" s="385"/>
      <c r="P33" s="385"/>
      <c r="Q33" s="385"/>
      <c r="R33" s="385"/>
      <c r="S33" s="385"/>
      <c r="T33" s="385"/>
      <c r="U33" s="385"/>
      <c r="V33" s="385"/>
      <c r="W33" s="385"/>
      <c r="X33" s="385"/>
      <c r="Y33" s="385"/>
      <c r="Z33" s="385"/>
      <c r="AA33" s="385"/>
      <c r="AB33" s="385"/>
      <c r="AC33" s="385"/>
      <c r="AD33" s="385"/>
      <c r="AE33" s="385"/>
      <c r="AF33" s="385"/>
      <c r="AG33" s="385"/>
      <c r="AH33" s="385"/>
      <c r="AI33" s="385"/>
      <c r="AJ33" s="385">
        <v>10</v>
      </c>
      <c r="AK33" s="385"/>
      <c r="AL33" s="385">
        <v>3</v>
      </c>
      <c r="AM33" s="385"/>
      <c r="AN33" s="391">
        <v>4</v>
      </c>
      <c r="AO33" s="385"/>
      <c r="AP33" s="385"/>
      <c r="AQ33" s="385"/>
      <c r="AR33" s="385"/>
      <c r="AS33" s="385"/>
      <c r="AT33" s="385">
        <v>0</v>
      </c>
      <c r="AU33" s="401"/>
      <c r="AV33" s="416">
        <f t="shared" si="11"/>
        <v>21</v>
      </c>
      <c r="AW33" s="385">
        <f>IF(C33="Tài xế",SUMPRODUCT($F$6:$AU$6,F33:AU33),0)</f>
        <v>4377.1481538461521</v>
      </c>
      <c r="AX33" s="385">
        <f t="shared" si="10"/>
        <v>1840</v>
      </c>
      <c r="AY33" s="385"/>
      <c r="AZ33" s="385">
        <f>AY33*$AZ$7</f>
        <v>0</v>
      </c>
    </row>
    <row r="34" spans="1:52">
      <c r="A34" s="379" t="s">
        <v>559</v>
      </c>
      <c r="B34" s="379" t="s">
        <v>560</v>
      </c>
      <c r="C34" s="371" t="str">
        <f>VLOOKUP(A34,'Luong VP'!$B$10:$D$209,3,0)</f>
        <v>Tài xế</v>
      </c>
      <c r="D34" s="1380"/>
      <c r="E34" s="1380">
        <f t="shared" ref="E34:E42" si="12">D34*1.2%/1000</f>
        <v>0</v>
      </c>
      <c r="F34" s="381">
        <v>25</v>
      </c>
      <c r="G34" s="381">
        <v>18</v>
      </c>
      <c r="H34" s="381">
        <v>7</v>
      </c>
      <c r="I34" s="381">
        <v>0</v>
      </c>
      <c r="J34" s="381">
        <v>0</v>
      </c>
      <c r="K34" s="381">
        <v>0</v>
      </c>
      <c r="L34" s="381">
        <v>0</v>
      </c>
      <c r="M34" s="381"/>
      <c r="N34" s="381"/>
      <c r="O34" s="381"/>
      <c r="P34" s="381"/>
      <c r="Q34" s="381"/>
      <c r="R34" s="381"/>
      <c r="S34" s="381"/>
      <c r="T34" s="381"/>
      <c r="U34" s="381"/>
      <c r="V34" s="381"/>
      <c r="W34" s="381"/>
      <c r="X34" s="381"/>
      <c r="Y34" s="381"/>
      <c r="Z34" s="381"/>
      <c r="AA34" s="381"/>
      <c r="AB34" s="381"/>
      <c r="AC34" s="381"/>
      <c r="AD34" s="381"/>
      <c r="AE34" s="381"/>
      <c r="AF34" s="381"/>
      <c r="AG34" s="381"/>
      <c r="AH34" s="381"/>
      <c r="AI34" s="381"/>
      <c r="AJ34" s="381">
        <v>0</v>
      </c>
      <c r="AK34" s="381"/>
      <c r="AL34" s="381">
        <v>0</v>
      </c>
      <c r="AM34" s="381"/>
      <c r="AN34" s="391">
        <v>0</v>
      </c>
      <c r="AO34" s="381"/>
      <c r="AP34" s="381"/>
      <c r="AQ34" s="381"/>
      <c r="AR34" s="381"/>
      <c r="AS34" s="381"/>
      <c r="AT34" s="383">
        <v>10</v>
      </c>
      <c r="AU34" s="417"/>
      <c r="AV34" s="416">
        <f t="shared" si="11"/>
        <v>60</v>
      </c>
      <c r="AW34" s="385">
        <f t="shared" ref="AW34:AW44" si="13">IF(C34="Tài xế",SUMPRODUCT($F$6:$AU$6,F34:AU34),0)</f>
        <v>5313.7438461538495</v>
      </c>
      <c r="AX34" s="381">
        <f t="shared" ref="AX34:AX44" si="14">SUMPRODUCT($F$7:$AU$7,F34:AU34)</f>
        <v>600</v>
      </c>
      <c r="AY34" s="381"/>
      <c r="AZ34" s="381">
        <f t="shared" ref="AZ34:AZ39" si="15">AY34*$AZ$7</f>
        <v>0</v>
      </c>
    </row>
    <row r="35" spans="1:52">
      <c r="A35" s="379" t="s">
        <v>555</v>
      </c>
      <c r="B35" s="379" t="s">
        <v>556</v>
      </c>
      <c r="C35" s="371" t="str">
        <f>VLOOKUP(A35,'Luong VP'!$B$10:$D$209,3,0)</f>
        <v>Tài xế</v>
      </c>
      <c r="D35" s="1380"/>
      <c r="E35" s="1380">
        <f t="shared" si="12"/>
        <v>0</v>
      </c>
      <c r="F35" s="381">
        <v>25</v>
      </c>
      <c r="G35" s="381">
        <v>19</v>
      </c>
      <c r="H35" s="381">
        <v>6</v>
      </c>
      <c r="I35" s="381">
        <v>0</v>
      </c>
      <c r="J35" s="381">
        <v>0</v>
      </c>
      <c r="K35" s="381">
        <v>0</v>
      </c>
      <c r="L35" s="381">
        <v>0</v>
      </c>
      <c r="M35" s="381"/>
      <c r="N35" s="381"/>
      <c r="O35" s="381"/>
      <c r="P35" s="381"/>
      <c r="Q35" s="381"/>
      <c r="R35" s="381"/>
      <c r="S35" s="381"/>
      <c r="T35" s="381"/>
      <c r="U35" s="381"/>
      <c r="V35" s="381"/>
      <c r="W35" s="381"/>
      <c r="X35" s="381"/>
      <c r="Y35" s="381"/>
      <c r="Z35" s="381"/>
      <c r="AA35" s="381"/>
      <c r="AB35" s="381"/>
      <c r="AC35" s="381"/>
      <c r="AD35" s="381"/>
      <c r="AE35" s="381"/>
      <c r="AF35" s="381"/>
      <c r="AG35" s="381"/>
      <c r="AH35" s="381"/>
      <c r="AI35" s="381"/>
      <c r="AJ35" s="381">
        <v>0</v>
      </c>
      <c r="AK35" s="381"/>
      <c r="AL35" s="381">
        <v>3</v>
      </c>
      <c r="AM35" s="381"/>
      <c r="AN35" s="391">
        <v>0</v>
      </c>
      <c r="AO35" s="381"/>
      <c r="AP35" s="381"/>
      <c r="AQ35" s="381"/>
      <c r="AR35" s="381"/>
      <c r="AS35" s="381"/>
      <c r="AT35" s="383">
        <v>8</v>
      </c>
      <c r="AU35" s="417"/>
      <c r="AV35" s="416">
        <f t="shared" si="11"/>
        <v>61</v>
      </c>
      <c r="AW35" s="385">
        <f t="shared" si="13"/>
        <v>6421.5087692307725</v>
      </c>
      <c r="AX35" s="381">
        <f t="shared" si="14"/>
        <v>840</v>
      </c>
      <c r="AY35" s="381"/>
      <c r="AZ35" s="381">
        <f t="shared" si="15"/>
        <v>0</v>
      </c>
    </row>
    <row r="36" spans="1:52">
      <c r="A36" s="379" t="s">
        <v>561</v>
      </c>
      <c r="B36" s="379" t="s">
        <v>562</v>
      </c>
      <c r="C36" s="371" t="str">
        <f>VLOOKUP(A36,'Luong VP'!$B$10:$D$209,3,0)</f>
        <v>Tài xế</v>
      </c>
      <c r="D36" s="1380"/>
      <c r="E36" s="1380">
        <f t="shared" si="12"/>
        <v>0</v>
      </c>
      <c r="F36" s="381">
        <v>25</v>
      </c>
      <c r="G36" s="381">
        <v>18</v>
      </c>
      <c r="H36" s="381">
        <v>4</v>
      </c>
      <c r="I36" s="381">
        <v>0</v>
      </c>
      <c r="J36" s="381">
        <v>0</v>
      </c>
      <c r="K36" s="381">
        <v>0</v>
      </c>
      <c r="L36" s="381">
        <v>0</v>
      </c>
      <c r="M36" s="381"/>
      <c r="N36" s="381"/>
      <c r="O36" s="381"/>
      <c r="P36" s="381"/>
      <c r="Q36" s="381"/>
      <c r="R36" s="381"/>
      <c r="S36" s="381"/>
      <c r="T36" s="381"/>
      <c r="U36" s="381"/>
      <c r="V36" s="381"/>
      <c r="W36" s="381"/>
      <c r="X36" s="381"/>
      <c r="Y36" s="381"/>
      <c r="Z36" s="381"/>
      <c r="AA36" s="381"/>
      <c r="AB36" s="381"/>
      <c r="AC36" s="381"/>
      <c r="AD36" s="381"/>
      <c r="AE36" s="381"/>
      <c r="AF36" s="381"/>
      <c r="AG36" s="381"/>
      <c r="AH36" s="381"/>
      <c r="AI36" s="381"/>
      <c r="AJ36" s="381">
        <v>0</v>
      </c>
      <c r="AK36" s="381"/>
      <c r="AL36" s="381">
        <v>1</v>
      </c>
      <c r="AM36" s="381"/>
      <c r="AN36" s="391">
        <v>0</v>
      </c>
      <c r="AO36" s="381"/>
      <c r="AP36" s="381"/>
      <c r="AQ36" s="381"/>
      <c r="AR36" s="381"/>
      <c r="AS36" s="381"/>
      <c r="AT36" s="383">
        <v>7</v>
      </c>
      <c r="AU36" s="417"/>
      <c r="AV36" s="416">
        <f t="shared" si="11"/>
        <v>55</v>
      </c>
      <c r="AW36" s="385">
        <f t="shared" si="13"/>
        <v>5130.2694615384635</v>
      </c>
      <c r="AX36" s="381">
        <f t="shared" si="14"/>
        <v>540</v>
      </c>
      <c r="AY36" s="381"/>
      <c r="AZ36" s="381">
        <f t="shared" si="15"/>
        <v>0</v>
      </c>
    </row>
    <row r="37" spans="1:52">
      <c r="A37" s="379" t="s">
        <v>565</v>
      </c>
      <c r="B37" s="379" t="s">
        <v>566</v>
      </c>
      <c r="C37" s="371" t="str">
        <f>VLOOKUP(A37,'Luong VP'!$B$10:$D$209,3,0)</f>
        <v>Tài xế</v>
      </c>
      <c r="D37" s="1380"/>
      <c r="E37" s="1380">
        <f t="shared" si="12"/>
        <v>0</v>
      </c>
      <c r="F37" s="381">
        <v>4</v>
      </c>
      <c r="G37" s="381">
        <v>3</v>
      </c>
      <c r="H37" s="381">
        <v>0</v>
      </c>
      <c r="I37" s="381">
        <v>0</v>
      </c>
      <c r="J37" s="381">
        <v>0</v>
      </c>
      <c r="K37" s="381">
        <v>0</v>
      </c>
      <c r="L37" s="381">
        <v>0</v>
      </c>
      <c r="M37" s="381"/>
      <c r="N37" s="381"/>
      <c r="O37" s="381"/>
      <c r="P37" s="381"/>
      <c r="Q37" s="381"/>
      <c r="R37" s="381"/>
      <c r="S37" s="381"/>
      <c r="T37" s="381"/>
      <c r="U37" s="381"/>
      <c r="V37" s="381"/>
      <c r="W37" s="381"/>
      <c r="X37" s="381"/>
      <c r="Y37" s="381"/>
      <c r="Z37" s="381"/>
      <c r="AA37" s="381"/>
      <c r="AB37" s="381"/>
      <c r="AC37" s="381"/>
      <c r="AD37" s="381"/>
      <c r="AE37" s="381"/>
      <c r="AF37" s="381"/>
      <c r="AG37" s="381"/>
      <c r="AH37" s="381"/>
      <c r="AI37" s="381"/>
      <c r="AJ37" s="381">
        <v>0</v>
      </c>
      <c r="AK37" s="381"/>
      <c r="AL37" s="381">
        <v>0</v>
      </c>
      <c r="AM37" s="381"/>
      <c r="AN37" s="391">
        <v>0</v>
      </c>
      <c r="AO37" s="381"/>
      <c r="AP37" s="381"/>
      <c r="AQ37" s="381"/>
      <c r="AR37" s="381"/>
      <c r="AS37" s="381"/>
      <c r="AT37" s="383">
        <v>0</v>
      </c>
      <c r="AU37" s="417"/>
      <c r="AV37" s="416">
        <f t="shared" si="11"/>
        <v>7</v>
      </c>
      <c r="AW37" s="385">
        <f t="shared" si="13"/>
        <v>584.13538461538451</v>
      </c>
      <c r="AX37" s="381">
        <f t="shared" si="14"/>
        <v>0</v>
      </c>
      <c r="AY37" s="381"/>
      <c r="AZ37" s="381">
        <f t="shared" si="15"/>
        <v>0</v>
      </c>
    </row>
    <row r="38" spans="1:52" s="357" customFormat="1">
      <c r="A38" s="379" t="s">
        <v>569</v>
      </c>
      <c r="B38" s="379" t="s">
        <v>944</v>
      </c>
      <c r="C38" s="371" t="str">
        <f>VLOOKUP(A38,'Luong VP'!$B$10:$D$209,3,0)</f>
        <v>Tài xế</v>
      </c>
      <c r="D38" s="388"/>
      <c r="E38" s="388">
        <f t="shared" si="12"/>
        <v>0</v>
      </c>
      <c r="F38" s="385">
        <v>26</v>
      </c>
      <c r="G38" s="385">
        <v>20</v>
      </c>
      <c r="H38" s="385">
        <v>3</v>
      </c>
      <c r="I38" s="381">
        <v>1</v>
      </c>
      <c r="J38" s="385">
        <v>0</v>
      </c>
      <c r="K38" s="381">
        <v>0</v>
      </c>
      <c r="L38" s="385">
        <v>0</v>
      </c>
      <c r="M38" s="385"/>
      <c r="N38" s="385"/>
      <c r="O38" s="385"/>
      <c r="P38" s="401"/>
      <c r="Q38" s="401"/>
      <c r="R38" s="401"/>
      <c r="S38" s="401"/>
      <c r="T38" s="401"/>
      <c r="U38" s="401"/>
      <c r="V38" s="401"/>
      <c r="W38" s="401"/>
      <c r="X38" s="401"/>
      <c r="Y38" s="401"/>
      <c r="Z38" s="401"/>
      <c r="AA38" s="401"/>
      <c r="AB38" s="401"/>
      <c r="AC38" s="401"/>
      <c r="AD38" s="401"/>
      <c r="AE38" s="401"/>
      <c r="AF38" s="401"/>
      <c r="AG38" s="401"/>
      <c r="AH38" s="401"/>
      <c r="AI38" s="401"/>
      <c r="AJ38" s="381">
        <v>0</v>
      </c>
      <c r="AK38" s="401"/>
      <c r="AL38" s="401">
        <v>0</v>
      </c>
      <c r="AM38" s="401"/>
      <c r="AN38" s="391">
        <v>0</v>
      </c>
      <c r="AO38" s="401"/>
      <c r="AP38" s="401"/>
      <c r="AQ38" s="401"/>
      <c r="AR38" s="401"/>
      <c r="AS38" s="401"/>
      <c r="AT38" s="401">
        <v>9</v>
      </c>
      <c r="AU38" s="401"/>
      <c r="AV38" s="416">
        <f t="shared" si="11"/>
        <v>59</v>
      </c>
      <c r="AW38" s="385">
        <f t="shared" si="13"/>
        <v>5162.9996153846159</v>
      </c>
      <c r="AX38" s="385">
        <f t="shared" si="14"/>
        <v>540</v>
      </c>
      <c r="AY38" s="385"/>
      <c r="AZ38" s="385"/>
    </row>
    <row r="39" spans="1:52">
      <c r="A39" s="379" t="s">
        <v>567</v>
      </c>
      <c r="B39" s="379" t="s">
        <v>568</v>
      </c>
      <c r="C39" s="371" t="str">
        <f>VLOOKUP(A39,'Luong VP'!$B$10:$D$209,3,0)</f>
        <v>Tài xế</v>
      </c>
      <c r="D39" s="1380"/>
      <c r="E39" s="1380">
        <f t="shared" si="12"/>
        <v>0</v>
      </c>
      <c r="F39" s="381">
        <v>24</v>
      </c>
      <c r="G39" s="381">
        <v>19</v>
      </c>
      <c r="H39" s="381">
        <v>5</v>
      </c>
      <c r="I39" s="381">
        <v>0</v>
      </c>
      <c r="J39" s="381">
        <v>0</v>
      </c>
      <c r="K39" s="381">
        <v>0</v>
      </c>
      <c r="L39" s="381">
        <v>0</v>
      </c>
      <c r="M39" s="381"/>
      <c r="N39" s="381"/>
      <c r="O39" s="381"/>
      <c r="P39" s="381"/>
      <c r="Q39" s="381"/>
      <c r="R39" s="381"/>
      <c r="S39" s="381"/>
      <c r="T39" s="381"/>
      <c r="U39" s="381"/>
      <c r="V39" s="381"/>
      <c r="W39" s="381"/>
      <c r="X39" s="381"/>
      <c r="Y39" s="381"/>
      <c r="Z39" s="381"/>
      <c r="AA39" s="381"/>
      <c r="AB39" s="381"/>
      <c r="AC39" s="381"/>
      <c r="AD39" s="381"/>
      <c r="AE39" s="381"/>
      <c r="AF39" s="381"/>
      <c r="AG39" s="381"/>
      <c r="AH39" s="381"/>
      <c r="AI39" s="381"/>
      <c r="AJ39" s="381">
        <v>0</v>
      </c>
      <c r="AK39" s="381"/>
      <c r="AL39" s="381">
        <v>1</v>
      </c>
      <c r="AM39" s="381"/>
      <c r="AN39" s="391">
        <v>0</v>
      </c>
      <c r="AO39" s="381"/>
      <c r="AP39" s="381"/>
      <c r="AQ39" s="381"/>
      <c r="AR39" s="381"/>
      <c r="AS39" s="381"/>
      <c r="AT39" s="383">
        <v>6</v>
      </c>
      <c r="AU39" s="417"/>
      <c r="AV39" s="416">
        <f t="shared" si="11"/>
        <v>55</v>
      </c>
      <c r="AW39" s="385">
        <f t="shared" si="13"/>
        <v>5167.9560000000029</v>
      </c>
      <c r="AX39" s="381">
        <f t="shared" si="14"/>
        <v>480</v>
      </c>
      <c r="AY39" s="381"/>
      <c r="AZ39" s="381">
        <f t="shared" si="15"/>
        <v>0</v>
      </c>
    </row>
    <row r="40" spans="1:52">
      <c r="A40" s="392" t="s">
        <v>557</v>
      </c>
      <c r="B40" s="392" t="s">
        <v>558</v>
      </c>
      <c r="C40" s="371" t="s">
        <v>53</v>
      </c>
      <c r="D40" s="1380"/>
      <c r="E40" s="1380">
        <f t="shared" si="12"/>
        <v>0</v>
      </c>
      <c r="F40" s="381">
        <v>3</v>
      </c>
      <c r="G40" s="381">
        <v>3</v>
      </c>
      <c r="H40" s="381">
        <v>0</v>
      </c>
      <c r="I40" s="381">
        <v>0</v>
      </c>
      <c r="J40" s="381">
        <v>0</v>
      </c>
      <c r="K40" s="381">
        <v>0</v>
      </c>
      <c r="L40" s="381">
        <v>0</v>
      </c>
      <c r="M40" s="381"/>
      <c r="N40" s="381"/>
      <c r="O40" s="381"/>
      <c r="P40" s="381"/>
      <c r="Q40" s="381"/>
      <c r="R40" s="381"/>
      <c r="S40" s="381"/>
      <c r="T40" s="381"/>
      <c r="U40" s="381"/>
      <c r="V40" s="381"/>
      <c r="W40" s="381"/>
      <c r="X40" s="381"/>
      <c r="Y40" s="381"/>
      <c r="Z40" s="381"/>
      <c r="AA40" s="381"/>
      <c r="AB40" s="381"/>
      <c r="AC40" s="381"/>
      <c r="AD40" s="381"/>
      <c r="AE40" s="381"/>
      <c r="AF40" s="381"/>
      <c r="AG40" s="381"/>
      <c r="AH40" s="381"/>
      <c r="AI40" s="381"/>
      <c r="AJ40" s="381">
        <v>0</v>
      </c>
      <c r="AK40" s="381"/>
      <c r="AL40" s="381">
        <v>0</v>
      </c>
      <c r="AM40" s="381"/>
      <c r="AN40" s="391">
        <v>0</v>
      </c>
      <c r="AO40" s="381"/>
      <c r="AP40" s="381"/>
      <c r="AQ40" s="381"/>
      <c r="AR40" s="381"/>
      <c r="AS40" s="381"/>
      <c r="AT40" s="383">
        <v>0</v>
      </c>
      <c r="AU40" s="417"/>
      <c r="AV40" s="416">
        <f t="shared" si="11"/>
        <v>6</v>
      </c>
      <c r="AW40" s="385">
        <f t="shared" si="13"/>
        <v>508.76307692307688</v>
      </c>
      <c r="AX40" s="381">
        <f t="shared" si="14"/>
        <v>0</v>
      </c>
      <c r="AY40" s="381"/>
      <c r="AZ40" s="381"/>
    </row>
    <row r="41" spans="1:52">
      <c r="A41" s="379" t="s">
        <v>563</v>
      </c>
      <c r="B41" s="379" t="s">
        <v>564</v>
      </c>
      <c r="C41" s="371" t="str">
        <f>VLOOKUP(A41,'Luong VP'!$B$10:$D$209,3,0)</f>
        <v>Tài xế</v>
      </c>
      <c r="D41" s="1380"/>
      <c r="E41" s="1380">
        <f t="shared" si="12"/>
        <v>0</v>
      </c>
      <c r="F41" s="381">
        <v>2</v>
      </c>
      <c r="G41" s="381">
        <v>3</v>
      </c>
      <c r="H41" s="381">
        <v>1</v>
      </c>
      <c r="I41" s="381">
        <v>0</v>
      </c>
      <c r="J41" s="381">
        <v>0</v>
      </c>
      <c r="K41" s="381">
        <v>0</v>
      </c>
      <c r="L41" s="381">
        <v>0</v>
      </c>
      <c r="M41" s="381"/>
      <c r="N41" s="381"/>
      <c r="O41" s="381"/>
      <c r="P41" s="381"/>
      <c r="Q41" s="381"/>
      <c r="R41" s="381"/>
      <c r="S41" s="381"/>
      <c r="T41" s="381"/>
      <c r="U41" s="381"/>
      <c r="V41" s="381"/>
      <c r="W41" s="381"/>
      <c r="X41" s="381"/>
      <c r="Y41" s="381"/>
      <c r="Z41" s="381"/>
      <c r="AA41" s="381"/>
      <c r="AB41" s="381"/>
      <c r="AC41" s="381"/>
      <c r="AD41" s="381"/>
      <c r="AE41" s="381"/>
      <c r="AF41" s="381"/>
      <c r="AG41" s="381"/>
      <c r="AH41" s="381"/>
      <c r="AI41" s="381"/>
      <c r="AJ41" s="381">
        <v>0</v>
      </c>
      <c r="AK41" s="381"/>
      <c r="AL41" s="381">
        <v>0</v>
      </c>
      <c r="AM41" s="381"/>
      <c r="AN41" s="391">
        <v>0</v>
      </c>
      <c r="AO41" s="381"/>
      <c r="AP41" s="381"/>
      <c r="AQ41" s="381"/>
      <c r="AR41" s="381"/>
      <c r="AS41" s="381"/>
      <c r="AT41" s="383">
        <v>0</v>
      </c>
      <c r="AU41" s="417"/>
      <c r="AV41" s="416">
        <f t="shared" si="11"/>
        <v>6</v>
      </c>
      <c r="AW41" s="385">
        <f t="shared" si="13"/>
        <v>546.44923076923112</v>
      </c>
      <c r="AX41" s="381">
        <f t="shared" si="14"/>
        <v>0</v>
      </c>
      <c r="AY41" s="381"/>
      <c r="AZ41" s="381">
        <f>AY41*$AZ$7</f>
        <v>0</v>
      </c>
    </row>
    <row r="42" spans="1:52">
      <c r="A42" s="379" t="s">
        <v>571</v>
      </c>
      <c r="B42" s="379" t="s">
        <v>572</v>
      </c>
      <c r="C42" s="371" t="str">
        <f>VLOOKUP(A42,'Luong VP'!$B$10:$D$209,3,0)</f>
        <v>Tài xế</v>
      </c>
      <c r="D42" s="1380"/>
      <c r="E42" s="1380">
        <f t="shared" si="12"/>
        <v>0</v>
      </c>
      <c r="F42" s="381">
        <v>22</v>
      </c>
      <c r="G42" s="381">
        <v>18</v>
      </c>
      <c r="H42" s="381">
        <v>4</v>
      </c>
      <c r="I42" s="381">
        <v>0</v>
      </c>
      <c r="J42" s="381">
        <v>0</v>
      </c>
      <c r="K42" s="381">
        <v>0</v>
      </c>
      <c r="L42" s="381">
        <v>0</v>
      </c>
      <c r="M42" s="381"/>
      <c r="N42" s="381"/>
      <c r="O42" s="381"/>
      <c r="P42" s="381"/>
      <c r="Q42" s="381"/>
      <c r="R42" s="381"/>
      <c r="S42" s="381"/>
      <c r="T42" s="381"/>
      <c r="U42" s="381"/>
      <c r="V42" s="381"/>
      <c r="W42" s="381"/>
      <c r="X42" s="381"/>
      <c r="Y42" s="381"/>
      <c r="Z42" s="381"/>
      <c r="AA42" s="381"/>
      <c r="AB42" s="381"/>
      <c r="AC42" s="381"/>
      <c r="AD42" s="381"/>
      <c r="AE42" s="381"/>
      <c r="AF42" s="381"/>
      <c r="AG42" s="381"/>
      <c r="AH42" s="381"/>
      <c r="AI42" s="381"/>
      <c r="AJ42" s="381">
        <v>0</v>
      </c>
      <c r="AK42" s="381"/>
      <c r="AL42" s="381">
        <v>1</v>
      </c>
      <c r="AM42" s="381"/>
      <c r="AN42" s="391">
        <v>0</v>
      </c>
      <c r="AO42" s="381"/>
      <c r="AP42" s="381"/>
      <c r="AQ42" s="381"/>
      <c r="AR42" s="381"/>
      <c r="AS42" s="381"/>
      <c r="AT42" s="383">
        <v>7</v>
      </c>
      <c r="AU42" s="417"/>
      <c r="AV42" s="416">
        <f t="shared" si="11"/>
        <v>52</v>
      </c>
      <c r="AW42" s="385">
        <f t="shared" si="13"/>
        <v>4904.1525384615397</v>
      </c>
      <c r="AX42" s="381">
        <f t="shared" si="14"/>
        <v>540</v>
      </c>
      <c r="AY42" s="381"/>
      <c r="AZ42" s="381">
        <f>AY42*$AZ$7</f>
        <v>0</v>
      </c>
    </row>
    <row r="43" spans="1:52" s="359" customFormat="1">
      <c r="A43" s="393" t="s">
        <v>518</v>
      </c>
      <c r="B43" s="393" t="s">
        <v>519</v>
      </c>
      <c r="C43" s="394" t="str">
        <f>VLOOKUP(A43,'Luong VP'!$B$10:$D$209,3,0)</f>
        <v>NV sale</v>
      </c>
      <c r="D43" s="1381"/>
      <c r="E43" s="1381"/>
      <c r="F43" s="395"/>
      <c r="G43" s="395"/>
      <c r="H43" s="395"/>
      <c r="I43" s="395"/>
      <c r="J43" s="395"/>
      <c r="K43" s="395"/>
      <c r="L43" s="395"/>
      <c r="M43" s="395"/>
      <c r="N43" s="395"/>
      <c r="O43" s="395"/>
      <c r="P43" s="395"/>
      <c r="Q43" s="395"/>
      <c r="R43" s="395"/>
      <c r="S43" s="395"/>
      <c r="T43" s="395"/>
      <c r="U43" s="395"/>
      <c r="V43" s="409"/>
      <c r="W43" s="395"/>
      <c r="X43" s="395"/>
      <c r="Y43" s="395"/>
      <c r="Z43" s="395"/>
      <c r="AA43" s="395"/>
      <c r="AB43" s="395"/>
      <c r="AC43" s="395"/>
      <c r="AD43" s="395"/>
      <c r="AE43" s="395"/>
      <c r="AF43" s="395"/>
      <c r="AG43" s="395"/>
      <c r="AH43" s="395"/>
      <c r="AI43" s="395"/>
      <c r="AJ43" s="395"/>
      <c r="AK43" s="395"/>
      <c r="AL43" s="395"/>
      <c r="AM43" s="395"/>
      <c r="AN43" s="395"/>
      <c r="AO43" s="395"/>
      <c r="AP43" s="395"/>
      <c r="AQ43" s="395"/>
      <c r="AR43" s="395"/>
      <c r="AS43" s="395"/>
      <c r="AT43" s="395"/>
      <c r="AU43" s="395"/>
      <c r="AV43" s="418">
        <f t="shared" si="11"/>
        <v>0</v>
      </c>
      <c r="AW43" s="395">
        <f t="shared" si="13"/>
        <v>0</v>
      </c>
      <c r="AX43" s="395">
        <f t="shared" si="14"/>
        <v>0</v>
      </c>
      <c r="AY43" s="395"/>
      <c r="AZ43" s="395"/>
    </row>
    <row r="44" spans="1:52" s="359" customFormat="1">
      <c r="A44" s="393" t="s">
        <v>521</v>
      </c>
      <c r="B44" s="393" t="s">
        <v>522</v>
      </c>
      <c r="C44" s="394" t="str">
        <f>VLOOKUP(A44,'Luong VP'!$B$10:$D$209,3,0)</f>
        <v>NV sale</v>
      </c>
      <c r="D44" s="1381"/>
      <c r="E44" s="1381"/>
      <c r="F44" s="395"/>
      <c r="G44" s="395"/>
      <c r="H44" s="395"/>
      <c r="I44" s="395"/>
      <c r="J44" s="395"/>
      <c r="K44" s="395"/>
      <c r="L44" s="395"/>
      <c r="M44" s="395"/>
      <c r="N44" s="395"/>
      <c r="O44" s="395"/>
      <c r="P44" s="395"/>
      <c r="Q44" s="395"/>
      <c r="R44" s="395"/>
      <c r="S44" s="395"/>
      <c r="T44" s="395"/>
      <c r="U44" s="395"/>
      <c r="V44" s="395"/>
      <c r="W44" s="395"/>
      <c r="X44" s="395"/>
      <c r="Y44" s="395"/>
      <c r="Z44" s="395"/>
      <c r="AA44" s="395"/>
      <c r="AB44" s="395"/>
      <c r="AC44" s="395"/>
      <c r="AD44" s="395"/>
      <c r="AE44" s="395"/>
      <c r="AF44" s="395"/>
      <c r="AG44" s="395"/>
      <c r="AH44" s="395"/>
      <c r="AI44" s="395"/>
      <c r="AJ44" s="395"/>
      <c r="AK44" s="395"/>
      <c r="AL44" s="395"/>
      <c r="AM44" s="395"/>
      <c r="AN44" s="395"/>
      <c r="AO44" s="395"/>
      <c r="AP44" s="395"/>
      <c r="AQ44" s="395"/>
      <c r="AR44" s="395"/>
      <c r="AS44" s="395"/>
      <c r="AT44" s="395"/>
      <c r="AU44" s="409"/>
      <c r="AV44" s="418">
        <f t="shared" si="11"/>
        <v>0</v>
      </c>
      <c r="AW44" s="395">
        <f t="shared" si="13"/>
        <v>0</v>
      </c>
      <c r="AX44" s="395">
        <f t="shared" si="14"/>
        <v>0</v>
      </c>
      <c r="AY44" s="395"/>
      <c r="AZ44" s="395"/>
    </row>
    <row r="45" spans="1:52">
      <c r="A45" s="365"/>
      <c r="B45" s="365"/>
      <c r="C45" s="396"/>
      <c r="D45" s="396"/>
      <c r="E45" s="396"/>
      <c r="F45" s="396"/>
      <c r="G45" s="396"/>
      <c r="H45" s="396"/>
      <c r="I45" s="396"/>
      <c r="J45" s="396"/>
      <c r="K45" s="396"/>
      <c r="L45" s="396"/>
      <c r="M45" s="396"/>
      <c r="N45" s="396"/>
      <c r="O45" s="396"/>
      <c r="P45" s="402"/>
      <c r="Q45" s="402"/>
      <c r="R45" s="402"/>
      <c r="S45" s="402"/>
      <c r="T45" s="402"/>
      <c r="U45" s="402"/>
      <c r="V45" s="402"/>
      <c r="W45" s="402"/>
      <c r="X45" s="402"/>
      <c r="Y45" s="402"/>
      <c r="Z45" s="402"/>
      <c r="AA45" s="402"/>
      <c r="AB45" s="402"/>
      <c r="AC45" s="402"/>
      <c r="AD45" s="402"/>
      <c r="AE45" s="402"/>
      <c r="AF45" s="402"/>
      <c r="AG45" s="402"/>
      <c r="AH45" s="402"/>
      <c r="AI45" s="402"/>
      <c r="AJ45" s="402"/>
      <c r="AK45" s="402"/>
      <c r="AL45" s="402"/>
      <c r="AM45" s="402"/>
      <c r="AN45" s="402"/>
      <c r="AO45" s="402"/>
      <c r="AP45" s="419"/>
      <c r="AQ45" s="419"/>
      <c r="AR45" s="419"/>
      <c r="AS45" s="419"/>
      <c r="AT45" s="419"/>
      <c r="AU45" s="419"/>
      <c r="AV45" s="419"/>
      <c r="AW45" s="419"/>
      <c r="AX45" s="419"/>
      <c r="AY45" s="419"/>
      <c r="AZ45" s="419"/>
    </row>
    <row r="46" spans="1:52">
      <c r="A46" s="365">
        <v>1</v>
      </c>
      <c r="B46" s="365">
        <v>2</v>
      </c>
      <c r="C46" s="396">
        <v>3</v>
      </c>
      <c r="D46" s="396">
        <v>4</v>
      </c>
      <c r="E46" s="396">
        <v>5</v>
      </c>
      <c r="F46" s="396">
        <v>6</v>
      </c>
      <c r="G46" s="396">
        <v>7</v>
      </c>
      <c r="H46" s="396">
        <v>8</v>
      </c>
      <c r="I46" s="396">
        <v>9</v>
      </c>
      <c r="J46" s="396">
        <v>10</v>
      </c>
      <c r="K46" s="396">
        <v>11</v>
      </c>
      <c r="L46" s="396">
        <v>12</v>
      </c>
      <c r="M46" s="396">
        <v>13</v>
      </c>
      <c r="N46" s="396">
        <v>14</v>
      </c>
      <c r="O46" s="396">
        <v>15</v>
      </c>
      <c r="P46" s="396">
        <v>16</v>
      </c>
      <c r="Q46" s="396">
        <v>17</v>
      </c>
      <c r="R46" s="396">
        <v>18</v>
      </c>
      <c r="S46" s="396">
        <v>19</v>
      </c>
      <c r="T46" s="396">
        <v>20</v>
      </c>
      <c r="U46" s="396">
        <v>21</v>
      </c>
      <c r="V46" s="396">
        <v>22</v>
      </c>
      <c r="W46" s="396">
        <v>23</v>
      </c>
      <c r="X46" s="396">
        <v>24</v>
      </c>
      <c r="Y46" s="396">
        <v>25</v>
      </c>
      <c r="Z46" s="396">
        <v>26</v>
      </c>
      <c r="AA46" s="396">
        <v>27</v>
      </c>
      <c r="AB46" s="396">
        <v>28</v>
      </c>
      <c r="AC46" s="396">
        <v>29</v>
      </c>
      <c r="AD46" s="396">
        <v>30</v>
      </c>
      <c r="AE46" s="396">
        <v>31</v>
      </c>
      <c r="AF46" s="396">
        <v>32</v>
      </c>
      <c r="AG46" s="396">
        <v>33</v>
      </c>
      <c r="AH46" s="396">
        <v>34</v>
      </c>
      <c r="AI46" s="396">
        <v>35</v>
      </c>
      <c r="AJ46" s="396">
        <v>36</v>
      </c>
      <c r="AK46" s="396">
        <v>37</v>
      </c>
      <c r="AL46" s="396">
        <v>38</v>
      </c>
      <c r="AM46" s="396">
        <v>39</v>
      </c>
      <c r="AN46" s="396">
        <v>40</v>
      </c>
      <c r="AO46" s="396">
        <v>41</v>
      </c>
      <c r="AP46" s="396">
        <v>42</v>
      </c>
      <c r="AQ46" s="396">
        <v>43</v>
      </c>
      <c r="AR46" s="396">
        <v>44</v>
      </c>
      <c r="AS46" s="396">
        <v>45</v>
      </c>
      <c r="AT46" s="396">
        <v>46</v>
      </c>
      <c r="AU46" s="396">
        <v>47</v>
      </c>
      <c r="AV46" s="396">
        <v>48</v>
      </c>
      <c r="AW46" s="396">
        <v>49</v>
      </c>
      <c r="AX46" s="396">
        <v>50</v>
      </c>
      <c r="AY46" s="396">
        <v>51</v>
      </c>
      <c r="AZ46" s="396">
        <v>52</v>
      </c>
    </row>
    <row r="47" spans="1:52">
      <c r="A47" s="365"/>
      <c r="B47" s="365"/>
      <c r="C47" s="396"/>
      <c r="D47" s="396"/>
      <c r="E47" s="396"/>
      <c r="F47" s="396"/>
      <c r="G47" s="396"/>
      <c r="H47" s="396"/>
      <c r="I47" s="396"/>
      <c r="J47" s="396"/>
      <c r="K47" s="396"/>
      <c r="L47" s="396"/>
      <c r="M47" s="396"/>
      <c r="N47" s="396"/>
      <c r="O47" s="396"/>
      <c r="P47" s="402"/>
      <c r="Q47" s="402"/>
      <c r="R47" s="402"/>
      <c r="S47" s="402"/>
      <c r="T47" s="402"/>
      <c r="U47" s="402"/>
      <c r="V47" s="402"/>
      <c r="W47" s="402"/>
      <c r="X47" s="402"/>
      <c r="Y47" s="402"/>
      <c r="Z47" s="402"/>
      <c r="AA47" s="402"/>
      <c r="AB47" s="402"/>
      <c r="AC47" s="402"/>
      <c r="AD47" s="402"/>
      <c r="AE47" s="402"/>
      <c r="AF47" s="402"/>
      <c r="AG47" s="402"/>
      <c r="AH47" s="402"/>
      <c r="AI47" s="402"/>
      <c r="AJ47" s="402"/>
      <c r="AK47" s="402"/>
      <c r="AL47" s="402"/>
      <c r="AM47" s="402"/>
      <c r="AN47" s="402"/>
      <c r="AO47" s="402"/>
      <c r="AP47" s="419"/>
      <c r="AQ47" s="419"/>
      <c r="AR47" s="419"/>
      <c r="AS47" s="419"/>
      <c r="AT47" s="419"/>
      <c r="AU47" s="419"/>
      <c r="AV47" s="419"/>
      <c r="AW47" s="419"/>
      <c r="AX47" s="419"/>
      <c r="AY47" s="419"/>
      <c r="AZ47" s="419"/>
    </row>
    <row r="48" spans="1:52">
      <c r="A48" s="365"/>
      <c r="B48" s="365"/>
      <c r="C48" s="396"/>
      <c r="D48" s="396"/>
      <c r="E48" s="396"/>
      <c r="F48" s="396"/>
      <c r="G48" s="396"/>
      <c r="H48" s="396"/>
      <c r="I48" s="396"/>
      <c r="J48" s="396"/>
      <c r="K48" s="396"/>
      <c r="L48" s="396"/>
      <c r="M48" s="396"/>
      <c r="N48" s="396"/>
      <c r="O48" s="396"/>
      <c r="P48" s="402"/>
      <c r="Q48" s="402"/>
      <c r="R48" s="402"/>
      <c r="S48" s="402"/>
      <c r="T48" s="402"/>
      <c r="U48" s="402"/>
      <c r="V48" s="402"/>
      <c r="W48" s="402"/>
      <c r="X48" s="402"/>
      <c r="Y48" s="402"/>
      <c r="Z48" s="402"/>
      <c r="AA48" s="402"/>
      <c r="AB48" s="402"/>
      <c r="AC48" s="402"/>
      <c r="AD48" s="402"/>
      <c r="AE48" s="402"/>
      <c r="AF48" s="402"/>
      <c r="AG48" s="402"/>
      <c r="AH48" s="402"/>
      <c r="AI48" s="402"/>
      <c r="AJ48" s="402"/>
      <c r="AK48" s="402"/>
      <c r="AL48" s="402"/>
      <c r="AM48" s="402"/>
      <c r="AN48" s="402"/>
      <c r="AO48" s="402"/>
      <c r="AP48" s="419"/>
      <c r="AQ48" s="419"/>
      <c r="AR48" s="419"/>
      <c r="AS48" s="419"/>
      <c r="AT48" s="419"/>
      <c r="AU48" s="419"/>
      <c r="AV48" s="419"/>
      <c r="AW48" s="419"/>
      <c r="AX48" s="419"/>
      <c r="AY48" s="419"/>
      <c r="AZ48" s="419"/>
    </row>
    <row r="83" ht="10.15" customHeight="1"/>
  </sheetData>
  <mergeCells count="29">
    <mergeCell ref="Z3:AD3"/>
    <mergeCell ref="AT3:AU3"/>
    <mergeCell ref="F4:J4"/>
    <mergeCell ref="K4:O4"/>
    <mergeCell ref="P4:T4"/>
    <mergeCell ref="U4:Y4"/>
    <mergeCell ref="Z4:AD4"/>
    <mergeCell ref="AE4:AI4"/>
    <mergeCell ref="AE3:AI3"/>
    <mergeCell ref="AJ3:AK3"/>
    <mergeCell ref="AL3:AM3"/>
    <mergeCell ref="AP3:AQ3"/>
    <mergeCell ref="AR3:AS3"/>
    <mergeCell ref="F3:J3"/>
    <mergeCell ref="K3:O3"/>
    <mergeCell ref="P3:T3"/>
    <mergeCell ref="U3:Y3"/>
    <mergeCell ref="A6:E6"/>
    <mergeCell ref="A7:E7"/>
    <mergeCell ref="A3:A5"/>
    <mergeCell ref="B3:B5"/>
    <mergeCell ref="C3:C5"/>
    <mergeCell ref="D3:D5"/>
    <mergeCell ref="E3:E5"/>
    <mergeCell ref="AV3:AV7"/>
    <mergeCell ref="AW3:AW7"/>
    <mergeCell ref="AX3:AX7"/>
    <mergeCell ref="AY3:AY5"/>
    <mergeCell ref="AZ3:AZ5"/>
  </mergeCells>
  <printOptions horizontalCentered="1"/>
  <pageMargins left="0" right="0" top="0.156944444444444" bottom="0" header="0" footer="0"/>
  <pageSetup paperSize="9" scale="85"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131"/>
  <sheetViews>
    <sheetView workbookViewId="0">
      <selection activeCell="A3" sqref="A3"/>
    </sheetView>
  </sheetViews>
  <sheetFormatPr defaultColWidth="9" defaultRowHeight="14.25"/>
  <cols>
    <col min="1" max="1" width="9" customWidth="1"/>
    <col min="2" max="2" width="21.85546875" customWidth="1"/>
    <col min="3" max="3" width="14.140625" customWidth="1"/>
    <col min="4" max="4" width="12" style="263" customWidth="1"/>
    <col min="5" max="5" width="12" customWidth="1"/>
    <col min="6" max="6" width="12" style="263" customWidth="1"/>
    <col min="7" max="7" width="12" customWidth="1"/>
    <col min="8" max="9" width="12" style="263" customWidth="1"/>
    <col min="10" max="12" width="12" customWidth="1"/>
    <col min="13" max="23" width="7.42578125" customWidth="1"/>
  </cols>
  <sheetData>
    <row r="2" spans="1:17">
      <c r="C2" t="s">
        <v>945</v>
      </c>
    </row>
    <row r="3" spans="1:17" ht="15.75">
      <c r="I3" s="341" t="s">
        <v>946</v>
      </c>
      <c r="K3" s="262"/>
    </row>
    <row r="4" spans="1:17" ht="14.25" hidden="1" customHeight="1">
      <c r="A4" s="1696" t="s">
        <v>947</v>
      </c>
      <c r="B4" s="1687" t="s">
        <v>948</v>
      </c>
      <c r="C4" s="1693" t="s">
        <v>949</v>
      </c>
      <c r="D4" s="300" t="s">
        <v>950</v>
      </c>
      <c r="E4" s="1687" t="s">
        <v>951</v>
      </c>
      <c r="F4" s="300" t="s">
        <v>950</v>
      </c>
      <c r="G4" s="1687" t="s">
        <v>952</v>
      </c>
      <c r="H4" s="300" t="s">
        <v>950</v>
      </c>
      <c r="I4" s="1689" t="s">
        <v>953</v>
      </c>
      <c r="J4" s="1687" t="s">
        <v>954</v>
      </c>
    </row>
    <row r="5" spans="1:17" ht="15.75" hidden="1" customHeight="1">
      <c r="A5" s="1697"/>
      <c r="B5" s="1688"/>
      <c r="C5" s="1694"/>
      <c r="D5" s="300">
        <v>80</v>
      </c>
      <c r="E5" s="1688"/>
      <c r="F5" s="300">
        <v>91</v>
      </c>
      <c r="G5" s="1688"/>
      <c r="H5" s="300">
        <v>120</v>
      </c>
      <c r="I5" s="1690"/>
      <c r="J5" s="1688"/>
    </row>
    <row r="6" spans="1:17" hidden="1">
      <c r="A6" s="301" t="e">
        <f>#REF!</f>
        <v>#REF!</v>
      </c>
      <c r="B6" s="301" t="e">
        <f>#REF!</f>
        <v>#REF!</v>
      </c>
      <c r="C6" s="302"/>
      <c r="D6" s="303">
        <f t="shared" ref="D6:D17" si="0">C6*$D$5</f>
        <v>0</v>
      </c>
      <c r="E6" s="302"/>
      <c r="F6" s="303">
        <f t="shared" ref="F6:F17" si="1">E6*$F$5</f>
        <v>0</v>
      </c>
      <c r="G6" s="302"/>
      <c r="H6" s="303">
        <f t="shared" ref="H6:H17" si="2">G6*$H$5</f>
        <v>0</v>
      </c>
      <c r="I6" s="303">
        <f>C6+E6+G6</f>
        <v>0</v>
      </c>
      <c r="J6" s="319">
        <f>H6+F6+D6</f>
        <v>0</v>
      </c>
    </row>
    <row r="7" spans="1:17" hidden="1">
      <c r="A7" s="301" t="e">
        <f>#REF!</f>
        <v>#REF!</v>
      </c>
      <c r="B7" s="301" t="e">
        <f>#REF!</f>
        <v>#REF!</v>
      </c>
      <c r="C7" s="302"/>
      <c r="D7" s="303">
        <f t="shared" si="0"/>
        <v>0</v>
      </c>
      <c r="E7" s="302">
        <v>59</v>
      </c>
      <c r="F7" s="303">
        <f t="shared" si="1"/>
        <v>5369</v>
      </c>
      <c r="G7" s="302">
        <v>8</v>
      </c>
      <c r="H7" s="303">
        <f t="shared" si="2"/>
        <v>960</v>
      </c>
      <c r="I7" s="303">
        <f t="shared" ref="I7:I17" si="3">C7+E7+G7</f>
        <v>67</v>
      </c>
      <c r="J7" s="319">
        <f t="shared" ref="J7:J17" si="4">H7+F7+D7</f>
        <v>6329</v>
      </c>
    </row>
    <row r="8" spans="1:17" s="261" customFormat="1" hidden="1">
      <c r="A8" s="225" t="e">
        <f>#REF!</f>
        <v>#REF!</v>
      </c>
      <c r="B8" s="225" t="e">
        <f>#REF!</f>
        <v>#REF!</v>
      </c>
      <c r="C8" s="302"/>
      <c r="D8" s="304">
        <f t="shared" si="0"/>
        <v>0</v>
      </c>
      <c r="E8" s="302"/>
      <c r="F8" s="304">
        <f t="shared" si="1"/>
        <v>0</v>
      </c>
      <c r="G8" s="302"/>
      <c r="H8" s="304">
        <f t="shared" si="2"/>
        <v>0</v>
      </c>
      <c r="I8" s="304">
        <f t="shared" si="3"/>
        <v>0</v>
      </c>
      <c r="J8" s="342">
        <f t="shared" si="4"/>
        <v>0</v>
      </c>
    </row>
    <row r="9" spans="1:17" s="298" customFormat="1" hidden="1">
      <c r="A9" s="305" t="e">
        <f>#REF!</f>
        <v>#REF!</v>
      </c>
      <c r="B9" s="305" t="e">
        <f>#REF!</f>
        <v>#REF!</v>
      </c>
      <c r="C9" s="306"/>
      <c r="D9" s="307">
        <f t="shared" si="0"/>
        <v>0</v>
      </c>
      <c r="E9" s="306">
        <v>50</v>
      </c>
      <c r="F9" s="307">
        <f t="shared" si="1"/>
        <v>4550</v>
      </c>
      <c r="G9" s="306">
        <v>4</v>
      </c>
      <c r="H9" s="307">
        <f t="shared" si="2"/>
        <v>480</v>
      </c>
      <c r="I9" s="307">
        <f t="shared" si="3"/>
        <v>54</v>
      </c>
      <c r="J9" s="317">
        <f t="shared" si="4"/>
        <v>5030</v>
      </c>
    </row>
    <row r="10" spans="1:17" s="298" customFormat="1" hidden="1">
      <c r="A10" s="305" t="e">
        <f>#REF!</f>
        <v>#REF!</v>
      </c>
      <c r="B10" s="305" t="e">
        <f>#REF!</f>
        <v>#REF!</v>
      </c>
      <c r="C10" s="306"/>
      <c r="D10" s="307">
        <f t="shared" si="0"/>
        <v>0</v>
      </c>
      <c r="E10" s="306">
        <v>49</v>
      </c>
      <c r="F10" s="307">
        <f t="shared" si="1"/>
        <v>4459</v>
      </c>
      <c r="G10" s="306">
        <v>8</v>
      </c>
      <c r="H10" s="307">
        <f t="shared" si="2"/>
        <v>960</v>
      </c>
      <c r="I10" s="307">
        <f t="shared" si="3"/>
        <v>57</v>
      </c>
      <c r="J10" s="317">
        <f t="shared" si="4"/>
        <v>5419</v>
      </c>
    </row>
    <row r="11" spans="1:17" s="148" customFormat="1" hidden="1">
      <c r="A11" s="191" t="e">
        <f>#REF!</f>
        <v>#REF!</v>
      </c>
      <c r="B11" s="191" t="e">
        <f>#REF!</f>
        <v>#REF!</v>
      </c>
      <c r="C11" s="308"/>
      <c r="D11" s="303">
        <f t="shared" si="0"/>
        <v>0</v>
      </c>
      <c r="E11" s="308">
        <v>50</v>
      </c>
      <c r="F11" s="303">
        <f t="shared" si="1"/>
        <v>4550</v>
      </c>
      <c r="G11" s="308">
        <v>8</v>
      </c>
      <c r="H11" s="303">
        <f t="shared" si="2"/>
        <v>960</v>
      </c>
      <c r="I11" s="303">
        <f t="shared" si="3"/>
        <v>58</v>
      </c>
      <c r="J11" s="343">
        <f t="shared" si="4"/>
        <v>5510</v>
      </c>
    </row>
    <row r="12" spans="1:17" s="148" customFormat="1" hidden="1">
      <c r="A12" s="191" t="e">
        <f>#REF!</f>
        <v>#REF!</v>
      </c>
      <c r="B12" s="191" t="e">
        <f>#REF!</f>
        <v>#REF!</v>
      </c>
      <c r="C12" s="308">
        <v>4</v>
      </c>
      <c r="D12" s="303">
        <f t="shared" si="0"/>
        <v>320</v>
      </c>
      <c r="E12" s="308">
        <v>11</v>
      </c>
      <c r="F12" s="303">
        <f t="shared" si="1"/>
        <v>1001</v>
      </c>
      <c r="G12" s="308"/>
      <c r="H12" s="303">
        <f t="shared" si="2"/>
        <v>0</v>
      </c>
      <c r="I12" s="303">
        <f t="shared" si="3"/>
        <v>15</v>
      </c>
      <c r="J12" s="343">
        <f t="shared" si="4"/>
        <v>1321</v>
      </c>
    </row>
    <row r="13" spans="1:17" s="148" customFormat="1" hidden="1">
      <c r="A13" s="191" t="e">
        <f>#REF!</f>
        <v>#REF!</v>
      </c>
      <c r="B13" s="191" t="e">
        <f>#REF!</f>
        <v>#REF!</v>
      </c>
      <c r="C13" s="308"/>
      <c r="D13" s="303">
        <f t="shared" si="0"/>
        <v>0</v>
      </c>
      <c r="E13" s="308">
        <v>48</v>
      </c>
      <c r="F13" s="303">
        <f t="shared" si="1"/>
        <v>4368</v>
      </c>
      <c r="G13" s="308">
        <v>6</v>
      </c>
      <c r="H13" s="303">
        <f t="shared" si="2"/>
        <v>720</v>
      </c>
      <c r="I13" s="303">
        <f t="shared" si="3"/>
        <v>54</v>
      </c>
      <c r="J13" s="343">
        <f t="shared" si="4"/>
        <v>5088</v>
      </c>
      <c r="L13" s="148" t="s">
        <v>117</v>
      </c>
    </row>
    <row r="14" spans="1:17" s="261" customFormat="1" hidden="1">
      <c r="A14" s="225" t="e">
        <f>#REF!</f>
        <v>#REF!</v>
      </c>
      <c r="B14" s="225" t="e">
        <f>#REF!</f>
        <v>#REF!</v>
      </c>
      <c r="C14" s="302"/>
      <c r="D14" s="304">
        <f t="shared" si="0"/>
        <v>0</v>
      </c>
      <c r="E14" s="302">
        <v>18</v>
      </c>
      <c r="F14" s="304">
        <f t="shared" si="1"/>
        <v>1638</v>
      </c>
      <c r="G14" s="302">
        <v>1</v>
      </c>
      <c r="H14" s="304">
        <f t="shared" si="2"/>
        <v>120</v>
      </c>
      <c r="I14" s="304">
        <f t="shared" si="3"/>
        <v>19</v>
      </c>
      <c r="J14" s="342">
        <f t="shared" si="4"/>
        <v>1758</v>
      </c>
    </row>
    <row r="15" spans="1:17" s="261" customFormat="1" hidden="1">
      <c r="A15" s="225" t="e">
        <f>#REF!</f>
        <v>#REF!</v>
      </c>
      <c r="B15" s="225" t="e">
        <f>#REF!</f>
        <v>#REF!</v>
      </c>
      <c r="C15" s="302">
        <v>48</v>
      </c>
      <c r="D15" s="304">
        <f t="shared" si="0"/>
        <v>3840</v>
      </c>
      <c r="E15" s="302"/>
      <c r="F15" s="304">
        <f t="shared" si="1"/>
        <v>0</v>
      </c>
      <c r="G15" s="302">
        <v>4</v>
      </c>
      <c r="H15" s="304">
        <f t="shared" si="2"/>
        <v>480</v>
      </c>
      <c r="I15" s="304">
        <f t="shared" si="3"/>
        <v>52</v>
      </c>
      <c r="J15" s="342">
        <f t="shared" si="4"/>
        <v>4320</v>
      </c>
    </row>
    <row r="16" spans="1:17" s="261" customFormat="1" hidden="1">
      <c r="A16" s="191" t="e">
        <f>#REF!</f>
        <v>#REF!</v>
      </c>
      <c r="B16" s="191" t="e">
        <f>#REF!</f>
        <v>#REF!</v>
      </c>
      <c r="C16" s="302"/>
      <c r="D16" s="303">
        <f t="shared" si="0"/>
        <v>0</v>
      </c>
      <c r="E16" s="308">
        <v>24</v>
      </c>
      <c r="F16" s="303">
        <f t="shared" si="1"/>
        <v>2184</v>
      </c>
      <c r="G16" s="302"/>
      <c r="H16" s="303">
        <f t="shared" si="2"/>
        <v>0</v>
      </c>
      <c r="I16" s="303">
        <f t="shared" si="3"/>
        <v>24</v>
      </c>
      <c r="J16" s="319">
        <f t="shared" si="4"/>
        <v>2184</v>
      </c>
      <c r="O16" s="261" t="s">
        <v>955</v>
      </c>
      <c r="Q16" s="261" t="s">
        <v>956</v>
      </c>
    </row>
    <row r="17" spans="1:12" s="261" customFormat="1" hidden="1">
      <c r="A17" s="191" t="e">
        <f>A66</f>
        <v>#REF!</v>
      </c>
      <c r="B17" s="191" t="e">
        <f>B66</f>
        <v>#REF!</v>
      </c>
      <c r="C17" s="302"/>
      <c r="D17" s="303">
        <f t="shared" si="0"/>
        <v>0</v>
      </c>
      <c r="E17" s="308">
        <v>54</v>
      </c>
      <c r="F17" s="303">
        <f t="shared" si="1"/>
        <v>4914</v>
      </c>
      <c r="G17" s="302">
        <v>5</v>
      </c>
      <c r="H17" s="303">
        <f t="shared" si="2"/>
        <v>600</v>
      </c>
      <c r="I17" s="303">
        <f t="shared" si="3"/>
        <v>59</v>
      </c>
      <c r="J17" s="319">
        <f t="shared" si="4"/>
        <v>5514</v>
      </c>
    </row>
    <row r="19" spans="1:12" ht="15.75">
      <c r="A19" s="1695" t="s">
        <v>947</v>
      </c>
      <c r="B19" s="1687" t="s">
        <v>957</v>
      </c>
      <c r="C19" s="1687" t="s">
        <v>958</v>
      </c>
      <c r="D19" s="300" t="s">
        <v>959</v>
      </c>
      <c r="E19" s="300" t="s">
        <v>960</v>
      </c>
      <c r="F19" s="300" t="s">
        <v>961</v>
      </c>
      <c r="G19" s="310"/>
      <c r="H19" s="300" t="s">
        <v>962</v>
      </c>
      <c r="I19" s="300" t="s">
        <v>963</v>
      </c>
      <c r="J19" s="300" t="s">
        <v>964</v>
      </c>
      <c r="K19" s="310"/>
      <c r="L19" s="300" t="s">
        <v>965</v>
      </c>
    </row>
    <row r="20" spans="1:12" ht="15.75">
      <c r="A20" s="1695"/>
      <c r="B20" s="1688"/>
      <c r="C20" s="1688"/>
      <c r="D20" s="300">
        <v>765000</v>
      </c>
      <c r="E20" s="300">
        <v>990000</v>
      </c>
      <c r="F20" s="311">
        <v>1080000</v>
      </c>
      <c r="G20" s="310"/>
      <c r="H20" s="300">
        <v>2000</v>
      </c>
      <c r="I20" s="300">
        <v>3000</v>
      </c>
      <c r="J20" s="311">
        <v>1700</v>
      </c>
      <c r="K20" s="310"/>
      <c r="L20" s="309"/>
    </row>
    <row r="21" spans="1:12" s="261" customFormat="1" ht="15.75">
      <c r="A21" s="312"/>
      <c r="B21" s="313"/>
      <c r="C21" s="1687" t="s">
        <v>966</v>
      </c>
      <c r="D21" s="314" t="s">
        <v>967</v>
      </c>
      <c r="E21" s="314" t="s">
        <v>968</v>
      </c>
      <c r="F21" s="314" t="s">
        <v>969</v>
      </c>
      <c r="G21" s="310"/>
      <c r="H21" s="314" t="s">
        <v>962</v>
      </c>
      <c r="I21" s="314" t="s">
        <v>963</v>
      </c>
      <c r="J21" s="314" t="s">
        <v>964</v>
      </c>
      <c r="K21" s="310"/>
      <c r="L21" s="314" t="s">
        <v>965</v>
      </c>
    </row>
    <row r="22" spans="1:12" s="261" customFormat="1" ht="15.75">
      <c r="A22" s="312"/>
      <c r="B22" s="313"/>
      <c r="C22" s="1688"/>
      <c r="D22" s="314">
        <v>495000</v>
      </c>
      <c r="E22" s="314">
        <v>585000</v>
      </c>
      <c r="F22" s="315">
        <v>675000</v>
      </c>
      <c r="G22" s="310"/>
      <c r="H22" s="314">
        <v>2000</v>
      </c>
      <c r="I22" s="314">
        <v>3000</v>
      </c>
      <c r="J22" s="314">
        <v>1700</v>
      </c>
      <c r="K22" s="310"/>
      <c r="L22" s="312"/>
    </row>
    <row r="23" spans="1:12" ht="15.75">
      <c r="A23" s="105" t="s">
        <v>518</v>
      </c>
      <c r="B23" s="105" t="s">
        <v>519</v>
      </c>
      <c r="C23" s="316">
        <v>0</v>
      </c>
      <c r="D23" s="307">
        <f>IF(C23&lt;$D$20,0,$D$20)</f>
        <v>0</v>
      </c>
      <c r="E23" s="317">
        <f t="shared" ref="E23:E28" si="5">IF(C23&lt;$D$20,0,IF(AND(C23&gt;$D$20,C23&lt;$E$20),C23-$D$20,IF(C23&lt;=$D$20,0,$E$20-$D$20)))</f>
        <v>0</v>
      </c>
      <c r="F23" s="317">
        <f t="shared" ref="F23:F28" si="6">IF(AND(C23&lt;$D$20,C23&lt;$E$20,C23&lt;$F$20),0,IF((C23-D23-E23)&gt;=($F$20-$E$20),$F$20-$E$20,C23-D23-E23))</f>
        <v>0</v>
      </c>
      <c r="G23" s="310"/>
      <c r="H23" s="303">
        <f t="shared" ref="H23:H28" si="7">IF(D23=$D$20,$H$20,0)</f>
        <v>0</v>
      </c>
      <c r="I23" s="303">
        <f t="shared" ref="I23:I28" si="8">$E23*$I$20/($E$20-$D$20)</f>
        <v>0</v>
      </c>
      <c r="J23" s="303">
        <f t="shared" ref="J23:J28" si="9">$F23*$J$20/($F$20-$E$20)</f>
        <v>0</v>
      </c>
      <c r="K23" s="310"/>
      <c r="L23" s="340">
        <f t="shared" ref="L23:L33" si="10">H23+I23+J23+K23</f>
        <v>0</v>
      </c>
    </row>
    <row r="24" spans="1:12" ht="15.75">
      <c r="A24" s="105" t="s">
        <v>970</v>
      </c>
      <c r="B24" s="105"/>
      <c r="C24" s="316"/>
      <c r="D24" s="307">
        <f t="shared" ref="D24:D32" si="11">IF(C24&lt;$D$20,0,$D$20)</f>
        <v>0</v>
      </c>
      <c r="E24" s="317">
        <f t="shared" si="5"/>
        <v>0</v>
      </c>
      <c r="F24" s="317">
        <f t="shared" si="6"/>
        <v>0</v>
      </c>
      <c r="G24" s="310"/>
      <c r="H24" s="303">
        <f t="shared" si="7"/>
        <v>0</v>
      </c>
      <c r="I24" s="303">
        <f t="shared" si="8"/>
        <v>0</v>
      </c>
      <c r="J24" s="303">
        <f t="shared" si="9"/>
        <v>0</v>
      </c>
      <c r="K24" s="310"/>
      <c r="L24" s="340">
        <f t="shared" si="10"/>
        <v>0</v>
      </c>
    </row>
    <row r="25" spans="1:12" s="261" customFormat="1" ht="15.75">
      <c r="A25" s="105" t="s">
        <v>971</v>
      </c>
      <c r="B25" s="105"/>
      <c r="C25" s="316"/>
      <c r="D25" s="307">
        <f t="shared" si="11"/>
        <v>0</v>
      </c>
      <c r="E25" s="317">
        <f t="shared" si="5"/>
        <v>0</v>
      </c>
      <c r="F25" s="317">
        <f t="shared" si="6"/>
        <v>0</v>
      </c>
      <c r="G25" s="310"/>
      <c r="H25" s="303">
        <f t="shared" si="7"/>
        <v>0</v>
      </c>
      <c r="I25" s="303">
        <f t="shared" si="8"/>
        <v>0</v>
      </c>
      <c r="J25" s="303">
        <f t="shared" si="9"/>
        <v>0</v>
      </c>
      <c r="K25" s="310"/>
      <c r="L25" s="340">
        <f t="shared" si="10"/>
        <v>0</v>
      </c>
    </row>
    <row r="26" spans="1:12" s="299" customFormat="1" ht="15.75">
      <c r="A26" s="318" t="s">
        <v>972</v>
      </c>
      <c r="B26" s="318" t="s">
        <v>973</v>
      </c>
      <c r="C26" s="316"/>
      <c r="D26" s="307">
        <f t="shared" si="11"/>
        <v>0</v>
      </c>
      <c r="E26" s="317">
        <f t="shared" si="5"/>
        <v>0</v>
      </c>
      <c r="F26" s="317">
        <f t="shared" si="6"/>
        <v>0</v>
      </c>
      <c r="G26" s="310"/>
      <c r="H26" s="303">
        <f t="shared" si="7"/>
        <v>0</v>
      </c>
      <c r="I26" s="303">
        <f t="shared" si="8"/>
        <v>0</v>
      </c>
      <c r="J26" s="303">
        <f t="shared" si="9"/>
        <v>0</v>
      </c>
      <c r="K26" s="310"/>
      <c r="L26" s="340">
        <f t="shared" si="10"/>
        <v>0</v>
      </c>
    </row>
    <row r="27" spans="1:12" ht="15.75">
      <c r="A27" s="105" t="s">
        <v>521</v>
      </c>
      <c r="B27" s="105" t="s">
        <v>522</v>
      </c>
      <c r="C27" s="316"/>
      <c r="D27" s="307">
        <f t="shared" si="11"/>
        <v>0</v>
      </c>
      <c r="E27" s="317">
        <f t="shared" si="5"/>
        <v>0</v>
      </c>
      <c r="F27" s="317">
        <f t="shared" si="6"/>
        <v>0</v>
      </c>
      <c r="G27" s="310"/>
      <c r="H27" s="303">
        <f t="shared" si="7"/>
        <v>0</v>
      </c>
      <c r="I27" s="303">
        <f t="shared" si="8"/>
        <v>0</v>
      </c>
      <c r="J27" s="303">
        <f t="shared" si="9"/>
        <v>0</v>
      </c>
      <c r="K27" s="310"/>
      <c r="L27" s="340">
        <f t="shared" si="10"/>
        <v>0</v>
      </c>
    </row>
    <row r="28" spans="1:12" ht="15.75">
      <c r="A28" s="105" t="s">
        <v>524</v>
      </c>
      <c r="B28" s="105" t="s">
        <v>525</v>
      </c>
      <c r="C28" s="316">
        <v>0</v>
      </c>
      <c r="D28" s="307">
        <f t="shared" si="11"/>
        <v>0</v>
      </c>
      <c r="E28" s="317">
        <f t="shared" si="5"/>
        <v>0</v>
      </c>
      <c r="F28" s="317">
        <f t="shared" si="6"/>
        <v>0</v>
      </c>
      <c r="G28" s="310"/>
      <c r="H28" s="303">
        <f t="shared" si="7"/>
        <v>0</v>
      </c>
      <c r="I28" s="303">
        <f t="shared" si="8"/>
        <v>0</v>
      </c>
      <c r="J28" s="303">
        <f t="shared" si="9"/>
        <v>0</v>
      </c>
      <c r="K28" s="310"/>
      <c r="L28" s="340">
        <f t="shared" si="10"/>
        <v>0</v>
      </c>
    </row>
    <row r="29" spans="1:12">
      <c r="D29" s="303">
        <f t="shared" si="11"/>
        <v>0</v>
      </c>
      <c r="E29" s="319">
        <f t="shared" ref="E29:E32" si="12">IF(AND(C29&gt;$D$20,C29&lt;$E$20),C29-$D$20,IF(C29&lt;=$D$20,0,$E$20-$D$20))</f>
        <v>0</v>
      </c>
      <c r="F29" s="319">
        <f t="shared" ref="F29:F32" si="13">IF(AND(C29&gt;$E$20,E29&lt;$F$20),C29-$E$20,IF(E29&lt;=$E$20,0,$F$20-$E$20))</f>
        <v>0</v>
      </c>
      <c r="L29" s="340">
        <f t="shared" si="10"/>
        <v>0</v>
      </c>
    </row>
    <row r="30" spans="1:12" ht="15.75" hidden="1">
      <c r="A30" s="1695" t="s">
        <v>947</v>
      </c>
      <c r="B30" s="1687" t="s">
        <v>974</v>
      </c>
      <c r="C30" s="1687" t="s">
        <v>975</v>
      </c>
      <c r="D30" s="303">
        <f t="shared" si="11"/>
        <v>765000</v>
      </c>
      <c r="E30" s="319">
        <f t="shared" si="12"/>
        <v>225000</v>
      </c>
      <c r="F30" s="319" t="e">
        <f t="shared" si="13"/>
        <v>#VALUE!</v>
      </c>
      <c r="G30" s="309" t="s">
        <v>976</v>
      </c>
      <c r="H30" s="300" t="s">
        <v>965</v>
      </c>
      <c r="I30" s="300"/>
      <c r="J30" s="300"/>
      <c r="K30" s="300"/>
      <c r="L30" s="340" t="e">
        <f t="shared" si="10"/>
        <v>#VALUE!</v>
      </c>
    </row>
    <row r="31" spans="1:12" ht="15.75" hidden="1">
      <c r="A31" s="1695"/>
      <c r="B31" s="1688"/>
      <c r="C31" s="1688"/>
      <c r="D31" s="303">
        <f t="shared" si="11"/>
        <v>0</v>
      </c>
      <c r="E31" s="319">
        <f t="shared" si="12"/>
        <v>0</v>
      </c>
      <c r="F31" s="319">
        <f t="shared" si="13"/>
        <v>0</v>
      </c>
      <c r="G31" s="309">
        <v>30</v>
      </c>
      <c r="H31" s="300"/>
      <c r="I31" s="300"/>
      <c r="J31" s="300"/>
      <c r="K31" s="300"/>
      <c r="L31" s="340">
        <f t="shared" si="10"/>
        <v>0</v>
      </c>
    </row>
    <row r="32" spans="1:12" hidden="1">
      <c r="A32" s="301" t="e">
        <f>#REF!</f>
        <v>#REF!</v>
      </c>
      <c r="B32" s="301" t="e">
        <f>#REF!</f>
        <v>#REF!</v>
      </c>
      <c r="C32" s="316">
        <v>459</v>
      </c>
      <c r="D32" s="303">
        <f t="shared" si="11"/>
        <v>0</v>
      </c>
      <c r="E32" s="319">
        <f t="shared" si="12"/>
        <v>0</v>
      </c>
      <c r="F32" s="319">
        <f t="shared" si="13"/>
        <v>0</v>
      </c>
      <c r="G32" s="320">
        <f>F32*G31</f>
        <v>0</v>
      </c>
      <c r="H32" s="303">
        <f>E32+G32</f>
        <v>0</v>
      </c>
      <c r="I32" s="303"/>
      <c r="J32" s="303"/>
      <c r="K32" s="303"/>
      <c r="L32" s="340">
        <f t="shared" si="10"/>
        <v>0</v>
      </c>
    </row>
    <row r="33" spans="1:12" ht="14.25" customHeight="1">
      <c r="L33" s="340">
        <f t="shared" si="10"/>
        <v>0</v>
      </c>
    </row>
    <row r="34" spans="1:12" ht="15.75">
      <c r="A34" s="1695" t="s">
        <v>947</v>
      </c>
      <c r="B34" s="1687" t="s">
        <v>977</v>
      </c>
      <c r="C34" s="1687" t="s">
        <v>975</v>
      </c>
      <c r="D34" s="300" t="s">
        <v>978</v>
      </c>
      <c r="E34" s="300" t="s">
        <v>979</v>
      </c>
      <c r="F34" s="310"/>
      <c r="G34" s="310"/>
      <c r="H34" s="300" t="s">
        <v>962</v>
      </c>
      <c r="I34" s="300" t="s">
        <v>963</v>
      </c>
      <c r="J34" s="310"/>
      <c r="K34" s="310"/>
      <c r="L34" s="300" t="s">
        <v>965</v>
      </c>
    </row>
    <row r="35" spans="1:12" ht="15.75">
      <c r="A35" s="1695"/>
      <c r="B35" s="1688"/>
      <c r="C35" s="1688"/>
      <c r="D35" s="300">
        <v>2295000</v>
      </c>
      <c r="E35" s="300">
        <v>2970000</v>
      </c>
      <c r="F35" s="310"/>
      <c r="G35" s="310"/>
      <c r="H35" s="300">
        <v>2000</v>
      </c>
      <c r="I35" s="300">
        <v>4000</v>
      </c>
      <c r="J35" s="310"/>
      <c r="K35" s="310"/>
      <c r="L35" s="309"/>
    </row>
    <row r="36" spans="1:12" ht="15.75">
      <c r="A36" s="105" t="s">
        <v>509</v>
      </c>
      <c r="B36" s="105" t="s">
        <v>980</v>
      </c>
      <c r="C36" s="321">
        <v>0</v>
      </c>
      <c r="D36" s="322">
        <f>IF(C36&lt;$D$35,0,$D$35)</f>
        <v>0</v>
      </c>
      <c r="E36" s="323">
        <f>IF(AND(C36&lt;$D$35,C36&lt;$E$35),0,IF((C36-D36)&gt;$E$35-$D$35,E35-D35,(C36-D36)))</f>
        <v>0</v>
      </c>
      <c r="F36" s="310"/>
      <c r="G36" s="310"/>
      <c r="H36" s="324">
        <f>D36*H35/D35</f>
        <v>0</v>
      </c>
      <c r="I36" s="324">
        <f>E36*$I$35/($E$35-$D$35)</f>
        <v>0</v>
      </c>
      <c r="J36" s="310"/>
      <c r="K36" s="310"/>
      <c r="L36" s="344">
        <f>H36+I36+J36+K36</f>
        <v>0</v>
      </c>
    </row>
    <row r="37" spans="1:12">
      <c r="A37" s="325"/>
      <c r="B37" s="326"/>
      <c r="C37" s="327"/>
      <c r="D37" s="327"/>
      <c r="E37" s="328"/>
      <c r="F37" s="328"/>
      <c r="G37" s="328"/>
      <c r="H37" s="329"/>
      <c r="I37" s="327"/>
      <c r="J37" s="328"/>
      <c r="K37" s="328"/>
      <c r="L37" s="345"/>
    </row>
    <row r="38" spans="1:12" ht="15.75">
      <c r="A38" s="1695" t="s">
        <v>947</v>
      </c>
      <c r="B38" s="1692" t="s">
        <v>981</v>
      </c>
      <c r="C38" s="1692" t="s">
        <v>975</v>
      </c>
      <c r="D38" s="330" t="s">
        <v>982</v>
      </c>
      <c r="E38" s="330" t="s">
        <v>983</v>
      </c>
      <c r="F38" s="310"/>
      <c r="G38" s="310"/>
      <c r="H38" s="330" t="s">
        <v>962</v>
      </c>
      <c r="I38" s="330" t="s">
        <v>963</v>
      </c>
      <c r="J38" s="310"/>
      <c r="K38" s="310"/>
      <c r="L38" s="330" t="s">
        <v>965</v>
      </c>
    </row>
    <row r="39" spans="1:12" ht="15.75">
      <c r="A39" s="1695"/>
      <c r="B39" s="1688"/>
      <c r="C39" s="1688"/>
      <c r="D39" s="300">
        <v>1350000</v>
      </c>
      <c r="E39" s="300">
        <v>1750000</v>
      </c>
      <c r="F39" s="310"/>
      <c r="G39" s="310"/>
      <c r="H39" s="300">
        <v>2000</v>
      </c>
      <c r="I39" s="300">
        <v>4000</v>
      </c>
      <c r="J39" s="310"/>
      <c r="K39" s="310"/>
      <c r="L39" s="309"/>
    </row>
    <row r="40" spans="1:12" ht="15.75">
      <c r="A40" s="105" t="s">
        <v>984</v>
      </c>
      <c r="B40" s="105" t="s">
        <v>985</v>
      </c>
      <c r="C40" s="321">
        <v>0</v>
      </c>
      <c r="D40" s="322">
        <f>IF(C40&lt;$D$39,0,$D$39)</f>
        <v>0</v>
      </c>
      <c r="E40" s="323">
        <f>IF(AND(C40&lt;$D$39,C40&lt;$E$39),0,IF((C40-D40)&gt;$E$39-$D$39,E39-D39,(C40-D40)))</f>
        <v>0</v>
      </c>
      <c r="F40" s="310"/>
      <c r="G40" s="310"/>
      <c r="H40" s="324">
        <f>D40*H39/D39</f>
        <v>0</v>
      </c>
      <c r="I40" s="324">
        <f>E40*I39/(E39-D39)</f>
        <v>0</v>
      </c>
      <c r="J40" s="310"/>
      <c r="K40" s="310"/>
      <c r="L40" s="344">
        <f>H40+I40+J40+K40</f>
        <v>0</v>
      </c>
    </row>
    <row r="41" spans="1:12">
      <c r="A41" s="325"/>
      <c r="B41" s="326"/>
      <c r="C41" s="331"/>
      <c r="D41" s="327"/>
      <c r="E41" s="328"/>
      <c r="F41" s="328"/>
      <c r="G41" s="328"/>
      <c r="H41" s="329"/>
      <c r="I41" s="327"/>
      <c r="J41" s="328"/>
      <c r="K41" s="328"/>
      <c r="L41" s="345"/>
    </row>
    <row r="42" spans="1:12" ht="15.75">
      <c r="A42" s="1695" t="s">
        <v>947</v>
      </c>
      <c r="B42" s="1692" t="s">
        <v>986</v>
      </c>
      <c r="C42" s="1692" t="s">
        <v>975</v>
      </c>
      <c r="D42" s="330" t="s">
        <v>987</v>
      </c>
      <c r="E42" s="330" t="s">
        <v>988</v>
      </c>
      <c r="F42" s="310"/>
      <c r="G42" s="310"/>
      <c r="H42" s="330" t="s">
        <v>962</v>
      </c>
      <c r="I42" s="330" t="s">
        <v>963</v>
      </c>
      <c r="J42" s="310"/>
      <c r="K42" s="310"/>
      <c r="L42" s="330" t="s">
        <v>965</v>
      </c>
    </row>
    <row r="43" spans="1:12" ht="15.75">
      <c r="A43" s="1695"/>
      <c r="B43" s="1688"/>
      <c r="C43" s="1688"/>
      <c r="D43" s="300">
        <v>3645000</v>
      </c>
      <c r="E43" s="300">
        <v>4725000</v>
      </c>
      <c r="F43" s="310"/>
      <c r="G43" s="310"/>
      <c r="H43" s="300">
        <v>1000</v>
      </c>
      <c r="I43" s="300">
        <v>3000</v>
      </c>
      <c r="J43" s="310"/>
      <c r="K43" s="310"/>
      <c r="L43" s="309"/>
    </row>
    <row r="44" spans="1:12" ht="15.75">
      <c r="A44" s="105" t="s">
        <v>504</v>
      </c>
      <c r="B44" s="105" t="s">
        <v>505</v>
      </c>
      <c r="C44" s="316">
        <f>C40+C36</f>
        <v>0</v>
      </c>
      <c r="D44" s="307">
        <f>IF(C44&lt;$D$43,0,$D$43)</f>
        <v>0</v>
      </c>
      <c r="E44" s="317">
        <f>IF(AND(C44&lt;$D$43,C44&lt;$E$43),0,IF((C44-D44)&gt;($E$43-$D$43),$E$43-$D$43,(C44-D44)))</f>
        <v>0</v>
      </c>
      <c r="F44" s="310"/>
      <c r="G44" s="310"/>
      <c r="H44" s="303">
        <f>D44*$H$43/$D$43</f>
        <v>0</v>
      </c>
      <c r="I44" s="303">
        <f>E44*$I$43/($E$43-$D$43)</f>
        <v>0</v>
      </c>
      <c r="J44" s="310"/>
      <c r="K44" s="310"/>
      <c r="L44" s="340">
        <f>H44+I44+J44+K44</f>
        <v>0</v>
      </c>
    </row>
    <row r="46" spans="1:12" ht="15.75" hidden="1">
      <c r="A46" s="1695" t="s">
        <v>947</v>
      </c>
      <c r="B46" s="1687" t="s">
        <v>989</v>
      </c>
      <c r="C46" s="1687" t="s">
        <v>975</v>
      </c>
      <c r="D46" s="300" t="s">
        <v>990</v>
      </c>
      <c r="E46" s="300" t="s">
        <v>991</v>
      </c>
      <c r="F46" s="300" t="s">
        <v>992</v>
      </c>
      <c r="G46" s="310"/>
      <c r="H46" s="300" t="s">
        <v>962</v>
      </c>
      <c r="I46" s="300" t="s">
        <v>963</v>
      </c>
      <c r="J46" s="300" t="s">
        <v>964</v>
      </c>
      <c r="K46" s="310"/>
      <c r="L46" s="300" t="s">
        <v>965</v>
      </c>
    </row>
    <row r="47" spans="1:12" ht="15.75" hidden="1">
      <c r="A47" s="1695"/>
      <c r="B47" s="1688"/>
      <c r="C47" s="1688"/>
      <c r="D47" s="300">
        <v>1700000</v>
      </c>
      <c r="E47" s="300">
        <v>700000</v>
      </c>
      <c r="F47" s="300">
        <v>700000</v>
      </c>
      <c r="G47" s="310"/>
      <c r="H47" s="300">
        <v>2000</v>
      </c>
      <c r="I47" s="300">
        <v>1000</v>
      </c>
      <c r="J47" s="300">
        <v>1500</v>
      </c>
      <c r="K47" s="310"/>
      <c r="L47" s="309"/>
    </row>
    <row r="48" spans="1:12" hidden="1">
      <c r="A48" s="301" t="e">
        <f>#REF!</f>
        <v>#REF!</v>
      </c>
      <c r="B48" s="301" t="e">
        <f>#REF!</f>
        <v>#REF!</v>
      </c>
      <c r="C48" s="332">
        <f>SUM(D52:E102)</f>
        <v>3267074</v>
      </c>
      <c r="D48" s="303">
        <f>IF((C48-$D$47)&lt;0,C48,D47)</f>
        <v>1700000</v>
      </c>
      <c r="E48" s="319">
        <f>IF((C48-D48)&gt;E47,E47,(C48-D48))</f>
        <v>700000</v>
      </c>
      <c r="F48" s="319">
        <f>IF((C48-D48-E48)&gt;$F$47,$F$47,(C48-D48-E48))</f>
        <v>700000</v>
      </c>
      <c r="G48" s="333"/>
      <c r="H48" s="303">
        <f t="shared" ref="H48:J48" si="14">D48*H47/D47</f>
        <v>2000</v>
      </c>
      <c r="I48" s="303">
        <f t="shared" si="14"/>
        <v>1000</v>
      </c>
      <c r="J48" s="303">
        <f t="shared" si="14"/>
        <v>1500</v>
      </c>
      <c r="K48" s="346"/>
      <c r="L48" s="340">
        <f>H48+I48+J48+K48</f>
        <v>4500</v>
      </c>
    </row>
    <row r="49" spans="1:10" hidden="1"/>
    <row r="50" spans="1:10" s="262" customFormat="1" ht="14.25" hidden="1" customHeight="1">
      <c r="A50" s="1687" t="s">
        <v>947</v>
      </c>
      <c r="B50" s="1687" t="s">
        <v>993</v>
      </c>
      <c r="C50" s="1687" t="s">
        <v>975</v>
      </c>
      <c r="D50" s="1689" t="s">
        <v>994</v>
      </c>
      <c r="E50" s="1687" t="s">
        <v>995</v>
      </c>
      <c r="F50" s="334" t="s">
        <v>996</v>
      </c>
      <c r="G50" s="335" t="s">
        <v>997</v>
      </c>
      <c r="H50" s="1689" t="s">
        <v>965</v>
      </c>
      <c r="I50" s="1691" t="s">
        <v>998</v>
      </c>
      <c r="J50" s="347" t="s">
        <v>999</v>
      </c>
    </row>
    <row r="51" spans="1:10" s="262" customFormat="1" ht="14.25" hidden="1" customHeight="1">
      <c r="A51" s="1688"/>
      <c r="B51" s="1688"/>
      <c r="C51" s="1688"/>
      <c r="D51" s="1690"/>
      <c r="E51" s="1688"/>
      <c r="F51" s="336">
        <v>1.2E-2</v>
      </c>
      <c r="G51" s="337">
        <v>3.3E-3</v>
      </c>
      <c r="H51" s="1690"/>
      <c r="I51" s="1691"/>
      <c r="J51" s="348">
        <v>22.5</v>
      </c>
    </row>
    <row r="52" spans="1:10" ht="14.25" hidden="1" customHeight="1">
      <c r="A52" s="338" t="e">
        <f>#REF!</f>
        <v>#REF!</v>
      </c>
      <c r="B52" s="338" t="e">
        <f>#REF!</f>
        <v>#REF!</v>
      </c>
      <c r="C52" s="339"/>
      <c r="D52" s="316"/>
      <c r="E52" s="316"/>
      <c r="F52" s="303">
        <f t="shared" ref="F52:F102" si="15">D52*$F$51</f>
        <v>0</v>
      </c>
      <c r="G52" s="340">
        <f t="shared" ref="G52:G102" si="16">E52*$G$51</f>
        <v>0</v>
      </c>
      <c r="H52" s="303">
        <f>G52+F52</f>
        <v>0</v>
      </c>
      <c r="I52" s="349"/>
      <c r="J52" s="303">
        <f>I52*$J$51</f>
        <v>0</v>
      </c>
    </row>
    <row r="53" spans="1:10" ht="14.25" hidden="1" customHeight="1">
      <c r="A53" s="338" t="e">
        <f>#REF!</f>
        <v>#REF!</v>
      </c>
      <c r="B53" s="338" t="e">
        <f>#REF!</f>
        <v>#REF!</v>
      </c>
      <c r="C53" s="339"/>
      <c r="D53" s="316">
        <v>164314</v>
      </c>
      <c r="E53" s="316"/>
      <c r="F53" s="303">
        <f t="shared" si="15"/>
        <v>1971.768</v>
      </c>
      <c r="G53" s="340">
        <f t="shared" si="16"/>
        <v>0</v>
      </c>
      <c r="H53" s="303">
        <f t="shared" ref="H53:H102" si="17">G53+F53</f>
        <v>1971.768</v>
      </c>
      <c r="I53" s="349"/>
      <c r="J53" s="303">
        <f>I53*$J$51/1000</f>
        <v>0</v>
      </c>
    </row>
    <row r="54" spans="1:10" hidden="1">
      <c r="A54" s="338" t="e">
        <f>#REF!</f>
        <v>#REF!</v>
      </c>
      <c r="B54" s="338" t="e">
        <f>#REF!</f>
        <v>#REF!</v>
      </c>
      <c r="C54" s="339"/>
      <c r="D54" s="316"/>
      <c r="E54" s="316"/>
      <c r="F54" s="303">
        <f t="shared" si="15"/>
        <v>0</v>
      </c>
      <c r="G54" s="340">
        <f t="shared" si="16"/>
        <v>0</v>
      </c>
      <c r="H54" s="303">
        <f t="shared" si="17"/>
        <v>0</v>
      </c>
      <c r="I54" s="349"/>
      <c r="J54" s="303">
        <f t="shared" ref="J54:J104" si="18">I54*$J$51/1000</f>
        <v>0</v>
      </c>
    </row>
    <row r="55" spans="1:10" hidden="1">
      <c r="A55" s="338" t="e">
        <f>#REF!</f>
        <v>#REF!</v>
      </c>
      <c r="B55" s="338" t="e">
        <f>#REF!</f>
        <v>#REF!</v>
      </c>
      <c r="C55" s="339"/>
      <c r="D55" s="316">
        <v>139311</v>
      </c>
      <c r="E55" s="316"/>
      <c r="F55" s="303">
        <f t="shared" si="15"/>
        <v>1671.732</v>
      </c>
      <c r="G55" s="340">
        <f t="shared" si="16"/>
        <v>0</v>
      </c>
      <c r="H55" s="303">
        <f t="shared" si="17"/>
        <v>1671.732</v>
      </c>
      <c r="I55" s="349"/>
      <c r="J55" s="303">
        <f t="shared" si="18"/>
        <v>0</v>
      </c>
    </row>
    <row r="56" spans="1:10" hidden="1">
      <c r="A56" s="338" t="e">
        <f>#REF!</f>
        <v>#REF!</v>
      </c>
      <c r="B56" s="338" t="e">
        <f>#REF!</f>
        <v>#REF!</v>
      </c>
      <c r="C56" s="339"/>
      <c r="D56" s="316">
        <v>182261</v>
      </c>
      <c r="E56" s="316"/>
      <c r="F56" s="303">
        <f t="shared" si="15"/>
        <v>2187.1320000000001</v>
      </c>
      <c r="G56" s="340">
        <f t="shared" si="16"/>
        <v>0</v>
      </c>
      <c r="H56" s="303">
        <f t="shared" si="17"/>
        <v>2187.1320000000001</v>
      </c>
      <c r="I56" s="349"/>
      <c r="J56" s="303">
        <f t="shared" si="18"/>
        <v>0</v>
      </c>
    </row>
    <row r="57" spans="1:10" hidden="1">
      <c r="A57" s="338" t="e">
        <f>#REF!</f>
        <v>#REF!</v>
      </c>
      <c r="B57" s="338" t="e">
        <f>#REF!</f>
        <v>#REF!</v>
      </c>
      <c r="C57" s="339"/>
      <c r="D57" s="316">
        <v>172291</v>
      </c>
      <c r="E57" s="316"/>
      <c r="F57" s="303">
        <f t="shared" si="15"/>
        <v>2067.4920000000002</v>
      </c>
      <c r="G57" s="340">
        <f t="shared" si="16"/>
        <v>0</v>
      </c>
      <c r="H57" s="303">
        <f t="shared" si="17"/>
        <v>2067.4920000000002</v>
      </c>
      <c r="I57" s="349"/>
      <c r="J57" s="303">
        <f t="shared" si="18"/>
        <v>0</v>
      </c>
    </row>
    <row r="58" spans="1:10" hidden="1">
      <c r="A58" s="338" t="e">
        <f>#REF!</f>
        <v>#REF!</v>
      </c>
      <c r="B58" s="338" t="e">
        <f>#REF!</f>
        <v>#REF!</v>
      </c>
      <c r="C58" s="339"/>
      <c r="D58" s="316">
        <v>147378</v>
      </c>
      <c r="E58" s="316"/>
      <c r="F58" s="303">
        <f t="shared" si="15"/>
        <v>1768.5360000000001</v>
      </c>
      <c r="G58" s="340">
        <f t="shared" si="16"/>
        <v>0</v>
      </c>
      <c r="H58" s="303">
        <f t="shared" si="17"/>
        <v>1768.5360000000001</v>
      </c>
      <c r="I58" s="349"/>
      <c r="J58" s="303">
        <f t="shared" si="18"/>
        <v>0</v>
      </c>
    </row>
    <row r="59" spans="1:10" hidden="1">
      <c r="A59" s="338" t="e">
        <f>#REF!</f>
        <v>#REF!</v>
      </c>
      <c r="B59" s="338" t="e">
        <f>#REF!</f>
        <v>#REF!</v>
      </c>
      <c r="C59" s="339"/>
      <c r="D59" s="316"/>
      <c r="E59" s="316"/>
      <c r="F59" s="303">
        <f t="shared" si="15"/>
        <v>0</v>
      </c>
      <c r="G59" s="340">
        <f t="shared" si="16"/>
        <v>0</v>
      </c>
      <c r="H59" s="303">
        <f t="shared" si="17"/>
        <v>0</v>
      </c>
      <c r="I59" s="349"/>
      <c r="J59" s="303">
        <f t="shared" si="18"/>
        <v>0</v>
      </c>
    </row>
    <row r="60" spans="1:10" hidden="1">
      <c r="A60" s="338" t="e">
        <f>#REF!</f>
        <v>#REF!</v>
      </c>
      <c r="B60" s="338" t="e">
        <f>#REF!</f>
        <v>#REF!</v>
      </c>
      <c r="C60" s="339"/>
      <c r="D60" s="316">
        <v>152054</v>
      </c>
      <c r="E60" s="316"/>
      <c r="F60" s="303">
        <f t="shared" si="15"/>
        <v>1824.6480000000001</v>
      </c>
      <c r="G60" s="340">
        <f t="shared" si="16"/>
        <v>0</v>
      </c>
      <c r="H60" s="303">
        <f t="shared" si="17"/>
        <v>1824.6480000000001</v>
      </c>
      <c r="I60" s="349"/>
      <c r="J60" s="303">
        <f t="shared" si="18"/>
        <v>0</v>
      </c>
    </row>
    <row r="61" spans="1:10" hidden="1">
      <c r="A61" s="338" t="e">
        <f>#REF!</f>
        <v>#REF!</v>
      </c>
      <c r="B61" s="338" t="e">
        <f>#REF!</f>
        <v>#REF!</v>
      </c>
      <c r="C61" s="339"/>
      <c r="D61" s="316">
        <v>135692</v>
      </c>
      <c r="E61" s="316"/>
      <c r="F61" s="303">
        <f t="shared" si="15"/>
        <v>1628.3040000000001</v>
      </c>
      <c r="G61" s="340">
        <f t="shared" si="16"/>
        <v>0</v>
      </c>
      <c r="H61" s="303">
        <f t="shared" si="17"/>
        <v>1628.3040000000001</v>
      </c>
      <c r="I61" s="349"/>
      <c r="J61" s="303">
        <f t="shared" si="18"/>
        <v>0</v>
      </c>
    </row>
    <row r="62" spans="1:10" hidden="1">
      <c r="A62" s="338" t="e">
        <f>#REF!</f>
        <v>#REF!</v>
      </c>
      <c r="B62" s="338" t="e">
        <f>#REF!</f>
        <v>#REF!</v>
      </c>
      <c r="C62" s="339"/>
      <c r="D62" s="316">
        <v>171739</v>
      </c>
      <c r="E62" s="316"/>
      <c r="F62" s="303">
        <f t="shared" si="15"/>
        <v>2060.8679999999999</v>
      </c>
      <c r="G62" s="340">
        <f t="shared" si="16"/>
        <v>0</v>
      </c>
      <c r="H62" s="303">
        <f t="shared" si="17"/>
        <v>2060.8679999999999</v>
      </c>
      <c r="I62" s="349"/>
      <c r="J62" s="303">
        <f t="shared" si="18"/>
        <v>0</v>
      </c>
    </row>
    <row r="63" spans="1:10" hidden="1">
      <c r="A63" s="338" t="e">
        <f>#REF!</f>
        <v>#REF!</v>
      </c>
      <c r="B63" s="338" t="e">
        <f>#REF!</f>
        <v>#REF!</v>
      </c>
      <c r="C63" s="339"/>
      <c r="D63" s="316">
        <v>133525</v>
      </c>
      <c r="E63" s="316"/>
      <c r="F63" s="303">
        <f t="shared" si="15"/>
        <v>1602.3</v>
      </c>
      <c r="G63" s="340">
        <f t="shared" si="16"/>
        <v>0</v>
      </c>
      <c r="H63" s="303">
        <f t="shared" si="17"/>
        <v>1602.3</v>
      </c>
      <c r="I63" s="349"/>
      <c r="J63" s="303">
        <f t="shared" si="18"/>
        <v>0</v>
      </c>
    </row>
    <row r="64" spans="1:10" hidden="1">
      <c r="A64" s="305" t="e">
        <f>#REF!</f>
        <v>#REF!</v>
      </c>
      <c r="B64" s="305" t="e">
        <f>#REF!</f>
        <v>#REF!</v>
      </c>
      <c r="C64" s="307"/>
      <c r="D64" s="316">
        <v>143629</v>
      </c>
      <c r="E64" s="316"/>
      <c r="F64" s="303">
        <f t="shared" si="15"/>
        <v>1723.548</v>
      </c>
      <c r="G64" s="340">
        <f t="shared" si="16"/>
        <v>0</v>
      </c>
      <c r="H64" s="303">
        <f t="shared" si="17"/>
        <v>1723.548</v>
      </c>
      <c r="I64" s="349"/>
      <c r="J64" s="303">
        <f t="shared" si="18"/>
        <v>0</v>
      </c>
    </row>
    <row r="65" spans="1:10" hidden="1">
      <c r="A65" s="305" t="e">
        <f>#REF!</f>
        <v>#REF!</v>
      </c>
      <c r="B65" s="305" t="e">
        <f>#REF!</f>
        <v>#REF!</v>
      </c>
      <c r="C65" s="307"/>
      <c r="D65" s="316">
        <v>132502</v>
      </c>
      <c r="E65" s="316"/>
      <c r="F65" s="303">
        <f t="shared" si="15"/>
        <v>1590.0240000000001</v>
      </c>
      <c r="G65" s="340">
        <f t="shared" si="16"/>
        <v>0</v>
      </c>
      <c r="H65" s="303">
        <f t="shared" si="17"/>
        <v>1590.0240000000001</v>
      </c>
      <c r="I65" s="349"/>
      <c r="J65" s="303">
        <f t="shared" si="18"/>
        <v>0</v>
      </c>
    </row>
    <row r="66" spans="1:10" hidden="1">
      <c r="A66" s="305" t="e">
        <f>#REF!</f>
        <v>#REF!</v>
      </c>
      <c r="B66" s="305" t="e">
        <f>#REF!</f>
        <v>#REF!</v>
      </c>
      <c r="C66" s="307"/>
      <c r="D66" s="316"/>
      <c r="E66" s="316"/>
      <c r="F66" s="303">
        <f t="shared" si="15"/>
        <v>0</v>
      </c>
      <c r="G66" s="340">
        <f t="shared" si="16"/>
        <v>0</v>
      </c>
      <c r="H66" s="303">
        <f t="shared" si="17"/>
        <v>0</v>
      </c>
      <c r="I66" s="349"/>
      <c r="J66" s="303">
        <f t="shared" si="18"/>
        <v>0</v>
      </c>
    </row>
    <row r="67" spans="1:10" hidden="1">
      <c r="A67" s="305" t="e">
        <f>#REF!</f>
        <v>#REF!</v>
      </c>
      <c r="B67" s="305" t="e">
        <f>#REF!</f>
        <v>#REF!</v>
      </c>
      <c r="C67" s="307"/>
      <c r="D67" s="316"/>
      <c r="E67" s="316"/>
      <c r="F67" s="303">
        <f t="shared" si="15"/>
        <v>0</v>
      </c>
      <c r="G67" s="340">
        <f t="shared" si="16"/>
        <v>0</v>
      </c>
      <c r="H67" s="303">
        <f t="shared" si="17"/>
        <v>0</v>
      </c>
      <c r="I67" s="349"/>
      <c r="J67" s="303">
        <f t="shared" si="18"/>
        <v>0</v>
      </c>
    </row>
    <row r="68" spans="1:10" hidden="1">
      <c r="A68" s="305" t="e">
        <f>#REF!</f>
        <v>#REF!</v>
      </c>
      <c r="B68" s="305" t="e">
        <f>#REF!</f>
        <v>#REF!</v>
      </c>
      <c r="C68" s="307"/>
      <c r="D68" s="316">
        <v>138471</v>
      </c>
      <c r="E68" s="316"/>
      <c r="F68" s="303">
        <f t="shared" si="15"/>
        <v>1661.652</v>
      </c>
      <c r="G68" s="340">
        <f t="shared" si="16"/>
        <v>0</v>
      </c>
      <c r="H68" s="303">
        <f t="shared" si="17"/>
        <v>1661.652</v>
      </c>
      <c r="I68" s="349"/>
      <c r="J68" s="303">
        <f t="shared" si="18"/>
        <v>0</v>
      </c>
    </row>
    <row r="69" spans="1:10" hidden="1">
      <c r="A69" s="305" t="e">
        <f>#REF!</f>
        <v>#REF!</v>
      </c>
      <c r="B69" s="305" t="e">
        <f>#REF!</f>
        <v>#REF!</v>
      </c>
      <c r="C69" s="307"/>
      <c r="D69" s="316">
        <v>152354</v>
      </c>
      <c r="E69" s="316"/>
      <c r="F69" s="303">
        <f t="shared" si="15"/>
        <v>1828.248</v>
      </c>
      <c r="G69" s="340">
        <f t="shared" si="16"/>
        <v>0</v>
      </c>
      <c r="H69" s="303">
        <f t="shared" si="17"/>
        <v>1828.248</v>
      </c>
      <c r="I69" s="349"/>
      <c r="J69" s="303">
        <f t="shared" si="18"/>
        <v>0</v>
      </c>
    </row>
    <row r="70" spans="1:10" hidden="1">
      <c r="A70" s="305" t="e">
        <f>#REF!</f>
        <v>#REF!</v>
      </c>
      <c r="B70" s="305" t="e">
        <f>#REF!</f>
        <v>#REF!</v>
      </c>
      <c r="C70" s="307"/>
      <c r="D70" s="316">
        <v>156842</v>
      </c>
      <c r="E70" s="316"/>
      <c r="F70" s="303">
        <f t="shared" si="15"/>
        <v>1882.104</v>
      </c>
      <c r="G70" s="340">
        <f t="shared" si="16"/>
        <v>0</v>
      </c>
      <c r="H70" s="303">
        <f t="shared" si="17"/>
        <v>1882.104</v>
      </c>
      <c r="I70" s="349"/>
      <c r="J70" s="303">
        <f t="shared" si="18"/>
        <v>0</v>
      </c>
    </row>
    <row r="71" spans="1:10" hidden="1">
      <c r="A71" s="305" t="e">
        <f>#REF!</f>
        <v>#REF!</v>
      </c>
      <c r="B71" s="305" t="e">
        <f>#REF!</f>
        <v>#REF!</v>
      </c>
      <c r="C71" s="307"/>
      <c r="D71" s="316">
        <v>127598</v>
      </c>
      <c r="E71" s="316"/>
      <c r="F71" s="303">
        <f t="shared" si="15"/>
        <v>1531.1759999999999</v>
      </c>
      <c r="G71" s="340">
        <f t="shared" si="16"/>
        <v>0</v>
      </c>
      <c r="H71" s="303">
        <f t="shared" si="17"/>
        <v>1531.1759999999999</v>
      </c>
      <c r="I71" s="349"/>
      <c r="J71" s="303">
        <f t="shared" si="18"/>
        <v>0</v>
      </c>
    </row>
    <row r="72" spans="1:10" hidden="1">
      <c r="A72" s="305" t="e">
        <f>#REF!</f>
        <v>#REF!</v>
      </c>
      <c r="B72" s="305" t="e">
        <f>#REF!</f>
        <v>#REF!</v>
      </c>
      <c r="C72" s="307"/>
      <c r="D72" s="316">
        <v>120239</v>
      </c>
      <c r="E72" s="316"/>
      <c r="F72" s="303">
        <f t="shared" si="15"/>
        <v>1442.8679999999999</v>
      </c>
      <c r="G72" s="340">
        <f t="shared" si="16"/>
        <v>0</v>
      </c>
      <c r="H72" s="303">
        <f t="shared" si="17"/>
        <v>1442.8679999999999</v>
      </c>
      <c r="I72" s="349"/>
      <c r="J72" s="303">
        <f t="shared" si="18"/>
        <v>0</v>
      </c>
    </row>
    <row r="73" spans="1:10" hidden="1">
      <c r="A73" s="305" t="e">
        <f>#REF!</f>
        <v>#REF!</v>
      </c>
      <c r="B73" s="305" t="e">
        <f>#REF!</f>
        <v>#REF!</v>
      </c>
      <c r="C73" s="307"/>
      <c r="D73" s="316">
        <v>133704</v>
      </c>
      <c r="E73" s="316"/>
      <c r="F73" s="303">
        <f t="shared" si="15"/>
        <v>1604.4480000000001</v>
      </c>
      <c r="G73" s="340">
        <f t="shared" si="16"/>
        <v>0</v>
      </c>
      <c r="H73" s="303">
        <f t="shared" si="17"/>
        <v>1604.4480000000001</v>
      </c>
      <c r="I73" s="349"/>
      <c r="J73" s="303">
        <f t="shared" si="18"/>
        <v>0</v>
      </c>
    </row>
    <row r="74" spans="1:10" hidden="1">
      <c r="A74" s="305" t="e">
        <f>#REF!</f>
        <v>#REF!</v>
      </c>
      <c r="B74" s="305" t="e">
        <f>#REF!</f>
        <v>#REF!</v>
      </c>
      <c r="C74" s="307"/>
      <c r="D74" s="316">
        <v>5211</v>
      </c>
      <c r="E74" s="316"/>
      <c r="F74" s="303">
        <f t="shared" si="15"/>
        <v>62.532000000000004</v>
      </c>
      <c r="G74" s="340">
        <f t="shared" si="16"/>
        <v>0</v>
      </c>
      <c r="H74" s="303">
        <f t="shared" si="17"/>
        <v>62.532000000000004</v>
      </c>
      <c r="I74" s="349"/>
      <c r="J74" s="303">
        <f t="shared" si="18"/>
        <v>0</v>
      </c>
    </row>
    <row r="75" spans="1:10" hidden="1">
      <c r="A75" s="305" t="e">
        <f>#REF!</f>
        <v>#REF!</v>
      </c>
      <c r="B75" s="305" t="e">
        <f>#REF!</f>
        <v>#REF!</v>
      </c>
      <c r="C75" s="307"/>
      <c r="D75" s="316">
        <v>31614</v>
      </c>
      <c r="E75" s="316"/>
      <c r="F75" s="303">
        <f t="shared" si="15"/>
        <v>379.36799999999999</v>
      </c>
      <c r="G75" s="340">
        <f t="shared" si="16"/>
        <v>0</v>
      </c>
      <c r="H75" s="303">
        <f t="shared" si="17"/>
        <v>379.36799999999999</v>
      </c>
      <c r="I75" s="349"/>
      <c r="J75" s="303">
        <f t="shared" si="18"/>
        <v>0</v>
      </c>
    </row>
    <row r="76" spans="1:10" hidden="1">
      <c r="A76" s="305" t="e">
        <f>#REF!</f>
        <v>#REF!</v>
      </c>
      <c r="B76" s="305" t="e">
        <f>#REF!</f>
        <v>#REF!</v>
      </c>
      <c r="C76" s="307"/>
      <c r="D76" s="316"/>
      <c r="E76" s="316"/>
      <c r="F76" s="303">
        <f t="shared" si="15"/>
        <v>0</v>
      </c>
      <c r="G76" s="340">
        <f t="shared" si="16"/>
        <v>0</v>
      </c>
      <c r="H76" s="303">
        <f t="shared" si="17"/>
        <v>0</v>
      </c>
      <c r="I76" s="349"/>
      <c r="J76" s="303">
        <f t="shared" si="18"/>
        <v>0</v>
      </c>
    </row>
    <row r="77" spans="1:10" hidden="1">
      <c r="A77" s="305" t="e">
        <f>#REF!</f>
        <v>#REF!</v>
      </c>
      <c r="B77" s="305" t="e">
        <f>#REF!</f>
        <v>#REF!</v>
      </c>
      <c r="C77" s="307"/>
      <c r="D77" s="316">
        <v>143686</v>
      </c>
      <c r="E77" s="316"/>
      <c r="F77" s="303">
        <f t="shared" si="15"/>
        <v>1724.232</v>
      </c>
      <c r="G77" s="340">
        <f t="shared" si="16"/>
        <v>0</v>
      </c>
      <c r="H77" s="303">
        <f t="shared" si="17"/>
        <v>1724.232</v>
      </c>
      <c r="I77" s="349"/>
      <c r="J77" s="303">
        <f t="shared" si="18"/>
        <v>0</v>
      </c>
    </row>
    <row r="78" spans="1:10" hidden="1">
      <c r="A78" s="305" t="e">
        <f>#REF!</f>
        <v>#REF!</v>
      </c>
      <c r="B78" s="305" t="e">
        <f>#REF!</f>
        <v>#REF!</v>
      </c>
      <c r="C78" s="307"/>
      <c r="D78" s="316">
        <v>132160</v>
      </c>
      <c r="E78" s="316"/>
      <c r="F78" s="303">
        <f t="shared" si="15"/>
        <v>1585.92</v>
      </c>
      <c r="G78" s="340">
        <f t="shared" si="16"/>
        <v>0</v>
      </c>
      <c r="H78" s="303">
        <f t="shared" si="17"/>
        <v>1585.92</v>
      </c>
      <c r="I78" s="349"/>
      <c r="J78" s="303">
        <f t="shared" si="18"/>
        <v>0</v>
      </c>
    </row>
    <row r="79" spans="1:10" hidden="1">
      <c r="A79" s="305" t="e">
        <f>#REF!</f>
        <v>#REF!</v>
      </c>
      <c r="B79" s="305" t="e">
        <f>#REF!</f>
        <v>#REF!</v>
      </c>
      <c r="C79" s="307"/>
      <c r="D79" s="316">
        <v>159970</v>
      </c>
      <c r="E79" s="316"/>
      <c r="F79" s="303">
        <f t="shared" si="15"/>
        <v>1919.64</v>
      </c>
      <c r="G79" s="340">
        <f t="shared" si="16"/>
        <v>0</v>
      </c>
      <c r="H79" s="303">
        <f t="shared" si="17"/>
        <v>1919.64</v>
      </c>
      <c r="I79" s="349"/>
      <c r="J79" s="303">
        <f t="shared" si="18"/>
        <v>0</v>
      </c>
    </row>
    <row r="80" spans="1:10" hidden="1">
      <c r="A80" s="305" t="e">
        <f>#REF!</f>
        <v>#REF!</v>
      </c>
      <c r="B80" s="305" t="e">
        <f>#REF!</f>
        <v>#REF!</v>
      </c>
      <c r="C80" s="307"/>
      <c r="D80" s="316">
        <v>147966</v>
      </c>
      <c r="E80" s="316"/>
      <c r="F80" s="303">
        <f t="shared" si="15"/>
        <v>1775.5920000000001</v>
      </c>
      <c r="G80" s="340">
        <f t="shared" si="16"/>
        <v>0</v>
      </c>
      <c r="H80" s="303">
        <f t="shared" si="17"/>
        <v>1775.5920000000001</v>
      </c>
      <c r="I80" s="349"/>
      <c r="J80" s="303">
        <f t="shared" si="18"/>
        <v>0</v>
      </c>
    </row>
    <row r="81" spans="1:10" hidden="1">
      <c r="A81" s="305" t="e">
        <f>#REF!</f>
        <v>#REF!</v>
      </c>
      <c r="B81" s="305" t="e">
        <f>#REF!</f>
        <v>#REF!</v>
      </c>
      <c r="C81" s="307"/>
      <c r="D81" s="316">
        <v>139317</v>
      </c>
      <c r="E81" s="316"/>
      <c r="F81" s="303">
        <f t="shared" si="15"/>
        <v>1671.8040000000001</v>
      </c>
      <c r="G81" s="340">
        <f t="shared" si="16"/>
        <v>0</v>
      </c>
      <c r="H81" s="303">
        <f t="shared" si="17"/>
        <v>1671.8040000000001</v>
      </c>
      <c r="I81" s="349"/>
      <c r="J81" s="303">
        <f t="shared" si="18"/>
        <v>0</v>
      </c>
    </row>
    <row r="82" spans="1:10" hidden="1">
      <c r="A82" s="350" t="e">
        <f>#REF!</f>
        <v>#REF!</v>
      </c>
      <c r="B82" s="350" t="e">
        <f>#REF!</f>
        <v>#REF!</v>
      </c>
      <c r="C82" s="351"/>
      <c r="D82" s="316"/>
      <c r="E82" s="316"/>
      <c r="F82" s="303">
        <f t="shared" si="15"/>
        <v>0</v>
      </c>
      <c r="G82" s="340">
        <f t="shared" si="16"/>
        <v>0</v>
      </c>
      <c r="H82" s="303">
        <f t="shared" si="17"/>
        <v>0</v>
      </c>
      <c r="I82" s="349"/>
      <c r="J82" s="303">
        <f t="shared" si="18"/>
        <v>0</v>
      </c>
    </row>
    <row r="83" spans="1:10" hidden="1">
      <c r="A83" s="350" t="e">
        <f>#REF!</f>
        <v>#REF!</v>
      </c>
      <c r="B83" s="350" t="e">
        <f>#REF!</f>
        <v>#REF!</v>
      </c>
      <c r="C83" s="351"/>
      <c r="D83" s="316"/>
      <c r="E83" s="316"/>
      <c r="F83" s="303">
        <f t="shared" si="15"/>
        <v>0</v>
      </c>
      <c r="G83" s="340">
        <f t="shared" si="16"/>
        <v>0</v>
      </c>
      <c r="H83" s="303">
        <f t="shared" si="17"/>
        <v>0</v>
      </c>
      <c r="I83" s="349"/>
      <c r="J83" s="303">
        <f t="shared" si="18"/>
        <v>0</v>
      </c>
    </row>
    <row r="84" spans="1:10" hidden="1">
      <c r="A84" s="350" t="e">
        <f>#REF!</f>
        <v>#REF!</v>
      </c>
      <c r="B84" s="350" t="e">
        <f>#REF!</f>
        <v>#REF!</v>
      </c>
      <c r="C84" s="351"/>
      <c r="D84" s="316"/>
      <c r="E84" s="316"/>
      <c r="F84" s="303">
        <f t="shared" si="15"/>
        <v>0</v>
      </c>
      <c r="G84" s="340">
        <f t="shared" si="16"/>
        <v>0</v>
      </c>
      <c r="H84" s="303">
        <f t="shared" si="17"/>
        <v>0</v>
      </c>
      <c r="I84" s="349"/>
      <c r="J84" s="303">
        <f t="shared" si="18"/>
        <v>0</v>
      </c>
    </row>
    <row r="85" spans="1:10" hidden="1">
      <c r="A85" s="350" t="e">
        <f>#REF!</f>
        <v>#REF!</v>
      </c>
      <c r="B85" s="350" t="e">
        <f>#REF!</f>
        <v>#REF!</v>
      </c>
      <c r="C85" s="351"/>
      <c r="D85" s="316"/>
      <c r="E85" s="316"/>
      <c r="F85" s="303">
        <f t="shared" si="15"/>
        <v>0</v>
      </c>
      <c r="G85" s="340">
        <f t="shared" si="16"/>
        <v>0</v>
      </c>
      <c r="H85" s="303">
        <f t="shared" si="17"/>
        <v>0</v>
      </c>
      <c r="I85" s="349"/>
      <c r="J85" s="303">
        <f t="shared" si="18"/>
        <v>0</v>
      </c>
    </row>
    <row r="86" spans="1:10" hidden="1">
      <c r="A86" s="350" t="e">
        <f>#REF!</f>
        <v>#REF!</v>
      </c>
      <c r="B86" s="350" t="e">
        <f>#REF!</f>
        <v>#REF!</v>
      </c>
      <c r="C86" s="351"/>
      <c r="D86" s="316"/>
      <c r="E86" s="316"/>
      <c r="F86" s="303">
        <f t="shared" si="15"/>
        <v>0</v>
      </c>
      <c r="G86" s="340">
        <f t="shared" si="16"/>
        <v>0</v>
      </c>
      <c r="H86" s="303">
        <f t="shared" si="17"/>
        <v>0</v>
      </c>
      <c r="I86" s="349"/>
      <c r="J86" s="303">
        <f t="shared" si="18"/>
        <v>0</v>
      </c>
    </row>
    <row r="87" spans="1:10" hidden="1">
      <c r="A87" s="350" t="e">
        <f>#REF!</f>
        <v>#REF!</v>
      </c>
      <c r="B87" s="350" t="e">
        <f>#REF!</f>
        <v>#REF!</v>
      </c>
      <c r="C87" s="351"/>
      <c r="D87" s="316"/>
      <c r="E87" s="316"/>
      <c r="F87" s="303">
        <f t="shared" si="15"/>
        <v>0</v>
      </c>
      <c r="G87" s="340">
        <f t="shared" si="16"/>
        <v>0</v>
      </c>
      <c r="H87" s="303">
        <f t="shared" si="17"/>
        <v>0</v>
      </c>
      <c r="I87" s="349"/>
      <c r="J87" s="303">
        <f t="shared" si="18"/>
        <v>0</v>
      </c>
    </row>
    <row r="88" spans="1:10" hidden="1">
      <c r="A88" s="350" t="e">
        <f>#REF!</f>
        <v>#REF!</v>
      </c>
      <c r="B88" s="350" t="e">
        <f>#REF!</f>
        <v>#REF!</v>
      </c>
      <c r="C88" s="351"/>
      <c r="D88" s="316"/>
      <c r="E88" s="316"/>
      <c r="F88" s="303">
        <f t="shared" si="15"/>
        <v>0</v>
      </c>
      <c r="G88" s="340">
        <f t="shared" si="16"/>
        <v>0</v>
      </c>
      <c r="H88" s="303">
        <f t="shared" si="17"/>
        <v>0</v>
      </c>
      <c r="I88" s="349"/>
      <c r="J88" s="354">
        <f>I88</f>
        <v>0</v>
      </c>
    </row>
    <row r="89" spans="1:10" hidden="1">
      <c r="A89" s="350" t="e">
        <f>#REF!</f>
        <v>#REF!</v>
      </c>
      <c r="B89" s="350" t="e">
        <f>#REF!</f>
        <v>#REF!</v>
      </c>
      <c r="C89" s="351"/>
      <c r="D89" s="316"/>
      <c r="E89" s="316"/>
      <c r="F89" s="303">
        <f t="shared" si="15"/>
        <v>0</v>
      </c>
      <c r="G89" s="340">
        <f t="shared" si="16"/>
        <v>0</v>
      </c>
      <c r="H89" s="303">
        <f t="shared" si="17"/>
        <v>0</v>
      </c>
      <c r="I89" s="349"/>
      <c r="J89" s="303">
        <f t="shared" si="18"/>
        <v>0</v>
      </c>
    </row>
    <row r="90" spans="1:10" hidden="1">
      <c r="A90" s="350" t="e">
        <f>#REF!</f>
        <v>#REF!</v>
      </c>
      <c r="B90" s="350" t="e">
        <f>#REF!</f>
        <v>#REF!</v>
      </c>
      <c r="C90" s="351"/>
      <c r="D90" s="316"/>
      <c r="E90" s="316"/>
      <c r="F90" s="303">
        <f t="shared" si="15"/>
        <v>0</v>
      </c>
      <c r="G90" s="340">
        <f t="shared" si="16"/>
        <v>0</v>
      </c>
      <c r="H90" s="303">
        <f t="shared" si="17"/>
        <v>0</v>
      </c>
      <c r="I90" s="349"/>
      <c r="J90" s="303">
        <f t="shared" si="18"/>
        <v>0</v>
      </c>
    </row>
    <row r="91" spans="1:10" hidden="1">
      <c r="A91" s="350" t="e">
        <f>#REF!</f>
        <v>#REF!</v>
      </c>
      <c r="B91" s="350" t="e">
        <f>#REF!</f>
        <v>#REF!</v>
      </c>
      <c r="C91" s="351"/>
      <c r="D91" s="316">
        <v>3246</v>
      </c>
      <c r="E91" s="316"/>
      <c r="F91" s="303">
        <f t="shared" si="15"/>
        <v>38.951999999999998</v>
      </c>
      <c r="G91" s="340">
        <f t="shared" si="16"/>
        <v>0</v>
      </c>
      <c r="H91" s="303">
        <f t="shared" si="17"/>
        <v>38.951999999999998</v>
      </c>
      <c r="I91" s="349"/>
      <c r="J91" s="303">
        <f t="shared" si="18"/>
        <v>0</v>
      </c>
    </row>
    <row r="92" spans="1:10" hidden="1">
      <c r="A92" s="350" t="e">
        <f>#REF!</f>
        <v>#REF!</v>
      </c>
      <c r="B92" s="350" t="e">
        <f>#REF!</f>
        <v>#REF!</v>
      </c>
      <c r="C92" s="351"/>
      <c r="D92" s="316"/>
      <c r="E92" s="316"/>
      <c r="F92" s="303">
        <f t="shared" si="15"/>
        <v>0</v>
      </c>
      <c r="G92" s="340">
        <f t="shared" si="16"/>
        <v>0</v>
      </c>
      <c r="H92" s="303">
        <f t="shared" si="17"/>
        <v>0</v>
      </c>
      <c r="I92" s="349"/>
      <c r="J92" s="303">
        <f t="shared" si="18"/>
        <v>0</v>
      </c>
    </row>
    <row r="93" spans="1:10" hidden="1">
      <c r="A93" s="301" t="e">
        <f>#REF!</f>
        <v>#REF!</v>
      </c>
      <c r="B93" s="301" t="e">
        <f>#REF!</f>
        <v>#REF!</v>
      </c>
      <c r="C93" s="352"/>
      <c r="D93" s="316"/>
      <c r="E93" s="316"/>
      <c r="F93" s="303">
        <f t="shared" si="15"/>
        <v>0</v>
      </c>
      <c r="G93" s="340">
        <f t="shared" si="16"/>
        <v>0</v>
      </c>
      <c r="H93" s="303">
        <f t="shared" si="17"/>
        <v>0</v>
      </c>
      <c r="I93" s="349"/>
      <c r="J93" s="303">
        <f t="shared" si="18"/>
        <v>0</v>
      </c>
    </row>
    <row r="94" spans="1:10" hidden="1">
      <c r="A94" s="301" t="e">
        <f>#REF!</f>
        <v>#REF!</v>
      </c>
      <c r="B94" s="301" t="e">
        <f>#REF!</f>
        <v>#REF!</v>
      </c>
      <c r="C94" s="352"/>
      <c r="D94" s="316"/>
      <c r="E94" s="316"/>
      <c r="F94" s="303">
        <f t="shared" si="15"/>
        <v>0</v>
      </c>
      <c r="G94" s="340">
        <f t="shared" si="16"/>
        <v>0</v>
      </c>
      <c r="H94" s="303">
        <f t="shared" si="17"/>
        <v>0</v>
      </c>
      <c r="I94" s="349"/>
      <c r="J94" s="303">
        <f t="shared" si="18"/>
        <v>0</v>
      </c>
    </row>
    <row r="95" spans="1:10" hidden="1">
      <c r="A95" s="301" t="e">
        <f>#REF!</f>
        <v>#REF!</v>
      </c>
      <c r="B95" s="301" t="e">
        <f>#REF!</f>
        <v>#REF!</v>
      </c>
      <c r="C95" s="352"/>
      <c r="D95" s="316"/>
      <c r="E95" s="316"/>
      <c r="F95" s="303">
        <f t="shared" si="15"/>
        <v>0</v>
      </c>
      <c r="G95" s="340">
        <f t="shared" si="16"/>
        <v>0</v>
      </c>
      <c r="H95" s="303">
        <f t="shared" si="17"/>
        <v>0</v>
      </c>
      <c r="I95" s="349"/>
      <c r="J95" s="303">
        <f t="shared" si="18"/>
        <v>0</v>
      </c>
    </row>
    <row r="96" spans="1:10" hidden="1">
      <c r="A96" s="301" t="e">
        <f>#REF!</f>
        <v>#REF!</v>
      </c>
      <c r="B96" s="301" t="e">
        <f>#REF!</f>
        <v>#REF!</v>
      </c>
      <c r="C96" s="352"/>
      <c r="D96" s="316"/>
      <c r="E96" s="316"/>
      <c r="F96" s="303">
        <f t="shared" si="15"/>
        <v>0</v>
      </c>
      <c r="G96" s="340">
        <f t="shared" si="16"/>
        <v>0</v>
      </c>
      <c r="H96" s="303">
        <f t="shared" si="17"/>
        <v>0</v>
      </c>
      <c r="I96" s="349"/>
      <c r="J96" s="303">
        <f t="shared" si="18"/>
        <v>0</v>
      </c>
    </row>
    <row r="97" spans="1:10" hidden="1">
      <c r="A97" s="301" t="e">
        <f>#REF!</f>
        <v>#REF!</v>
      </c>
      <c r="B97" s="301" t="e">
        <f>#REF!</f>
        <v>#REF!</v>
      </c>
      <c r="C97" s="352"/>
      <c r="D97" s="316"/>
      <c r="E97" s="316"/>
      <c r="F97" s="303">
        <f t="shared" si="15"/>
        <v>0</v>
      </c>
      <c r="G97" s="340">
        <f t="shared" si="16"/>
        <v>0</v>
      </c>
      <c r="H97" s="303">
        <f t="shared" si="17"/>
        <v>0</v>
      </c>
      <c r="I97" s="349"/>
      <c r="J97" s="303">
        <f t="shared" si="18"/>
        <v>0</v>
      </c>
    </row>
    <row r="98" spans="1:10" hidden="1">
      <c r="A98" s="301" t="e">
        <f>#REF!</f>
        <v>#REF!</v>
      </c>
      <c r="B98" s="301" t="e">
        <f>#REF!</f>
        <v>#REF!</v>
      </c>
      <c r="C98" s="352"/>
      <c r="D98" s="316"/>
      <c r="E98" s="316"/>
      <c r="F98" s="303">
        <f t="shared" si="15"/>
        <v>0</v>
      </c>
      <c r="G98" s="340">
        <f t="shared" si="16"/>
        <v>0</v>
      </c>
      <c r="H98" s="303">
        <f t="shared" si="17"/>
        <v>0</v>
      </c>
      <c r="I98" s="349"/>
      <c r="J98" s="303">
        <f t="shared" si="18"/>
        <v>0</v>
      </c>
    </row>
    <row r="99" spans="1:10" hidden="1">
      <c r="A99" s="301" t="e">
        <f>#REF!</f>
        <v>#REF!</v>
      </c>
      <c r="B99" s="301" t="e">
        <f>#REF!</f>
        <v>#REF!</v>
      </c>
      <c r="C99" s="352"/>
      <c r="D99" s="316"/>
      <c r="E99" s="316"/>
      <c r="F99" s="303">
        <f t="shared" si="15"/>
        <v>0</v>
      </c>
      <c r="G99" s="340">
        <f t="shared" si="16"/>
        <v>0</v>
      </c>
      <c r="H99" s="303">
        <f t="shared" si="17"/>
        <v>0</v>
      </c>
      <c r="I99" s="349"/>
      <c r="J99" s="303">
        <f t="shared" si="18"/>
        <v>0</v>
      </c>
    </row>
    <row r="100" spans="1:10" hidden="1">
      <c r="A100" s="301" t="e">
        <f>#REF!</f>
        <v>#REF!</v>
      </c>
      <c r="B100" s="301" t="e">
        <f>#REF!</f>
        <v>#REF!</v>
      </c>
      <c r="C100" s="352"/>
      <c r="D100" s="316"/>
      <c r="E100" s="316"/>
      <c r="F100" s="303">
        <f t="shared" si="15"/>
        <v>0</v>
      </c>
      <c r="G100" s="340">
        <f t="shared" si="16"/>
        <v>0</v>
      </c>
      <c r="H100" s="303">
        <f t="shared" si="17"/>
        <v>0</v>
      </c>
      <c r="I100" s="349"/>
      <c r="J100" s="303">
        <f t="shared" si="18"/>
        <v>0</v>
      </c>
    </row>
    <row r="101" spans="1:10" hidden="1">
      <c r="A101" s="301" t="e">
        <f>#REF!</f>
        <v>#REF!</v>
      </c>
      <c r="B101" s="301" t="e">
        <f>#REF!</f>
        <v>#REF!</v>
      </c>
      <c r="C101" s="352"/>
      <c r="D101" s="316"/>
      <c r="E101" s="316"/>
      <c r="F101" s="303">
        <f t="shared" si="15"/>
        <v>0</v>
      </c>
      <c r="G101" s="340">
        <f t="shared" si="16"/>
        <v>0</v>
      </c>
      <c r="H101" s="303">
        <f t="shared" si="17"/>
        <v>0</v>
      </c>
      <c r="I101" s="349"/>
      <c r="J101" s="303">
        <f t="shared" si="18"/>
        <v>0</v>
      </c>
    </row>
    <row r="102" spans="1:10" hidden="1">
      <c r="A102" s="301" t="e">
        <f>#REF!</f>
        <v>#REF!</v>
      </c>
      <c r="B102" s="301" t="e">
        <f>#REF!</f>
        <v>#REF!</v>
      </c>
      <c r="C102" s="352"/>
      <c r="D102" s="316"/>
      <c r="E102" s="316"/>
      <c r="F102" s="303">
        <f t="shared" si="15"/>
        <v>0</v>
      </c>
      <c r="G102" s="340">
        <f t="shared" si="16"/>
        <v>0</v>
      </c>
      <c r="H102" s="303">
        <f t="shared" si="17"/>
        <v>0</v>
      </c>
      <c r="I102" s="349"/>
      <c r="J102" s="303">
        <f t="shared" si="18"/>
        <v>0</v>
      </c>
    </row>
    <row r="103" spans="1:10" hidden="1">
      <c r="J103" s="303"/>
    </row>
    <row r="104" spans="1:10" hidden="1">
      <c r="A104">
        <v>1</v>
      </c>
      <c r="B104">
        <v>2</v>
      </c>
      <c r="C104">
        <v>3</v>
      </c>
      <c r="D104">
        <v>4</v>
      </c>
      <c r="E104">
        <v>5</v>
      </c>
      <c r="F104">
        <v>6</v>
      </c>
      <c r="G104">
        <v>7</v>
      </c>
      <c r="H104">
        <v>8</v>
      </c>
      <c r="I104">
        <v>9</v>
      </c>
      <c r="J104" s="303">
        <f t="shared" si="18"/>
        <v>0.20250000000000001</v>
      </c>
    </row>
    <row r="105" spans="1:10" ht="15.75" hidden="1">
      <c r="I105" s="263" t="s">
        <v>1000</v>
      </c>
      <c r="J105" s="355">
        <f>SUM(J52:J104)</f>
        <v>0.20250000000000001</v>
      </c>
    </row>
    <row r="106" spans="1:10" ht="14.25" customHeight="1">
      <c r="E106" s="353"/>
    </row>
    <row r="110" spans="1:10">
      <c r="D110"/>
      <c r="F110"/>
      <c r="H110"/>
      <c r="I110"/>
    </row>
    <row r="111" spans="1:10">
      <c r="D111"/>
      <c r="F111"/>
      <c r="H111"/>
      <c r="I111"/>
    </row>
    <row r="112" spans="1:10">
      <c r="D112"/>
      <c r="F112"/>
      <c r="H112"/>
      <c r="I112"/>
    </row>
    <row r="113" spans="4:9">
      <c r="D113"/>
      <c r="F113"/>
      <c r="H113"/>
      <c r="I113"/>
    </row>
    <row r="114" spans="4:9">
      <c r="D114"/>
      <c r="F114"/>
      <c r="H114"/>
      <c r="I114"/>
    </row>
    <row r="115" spans="4:9">
      <c r="D115"/>
      <c r="F115"/>
      <c r="H115"/>
      <c r="I115"/>
    </row>
    <row r="116" spans="4:9">
      <c r="D116"/>
      <c r="F116"/>
      <c r="H116"/>
      <c r="I116"/>
    </row>
    <row r="117" spans="4:9">
      <c r="D117"/>
      <c r="F117"/>
      <c r="H117"/>
      <c r="I117"/>
    </row>
    <row r="118" spans="4:9">
      <c r="D118"/>
      <c r="F118"/>
      <c r="H118"/>
      <c r="I118"/>
    </row>
    <row r="119" spans="4:9">
      <c r="D119"/>
      <c r="F119"/>
      <c r="H119"/>
      <c r="I119"/>
    </row>
    <row r="120" spans="4:9">
      <c r="D120"/>
      <c r="F120"/>
      <c r="H120"/>
      <c r="I120"/>
    </row>
    <row r="121" spans="4:9">
      <c r="D121"/>
      <c r="F121"/>
      <c r="H121"/>
      <c r="I121"/>
    </row>
    <row r="122" spans="4:9" ht="14.25" customHeight="1">
      <c r="D122"/>
      <c r="F122"/>
      <c r="H122"/>
      <c r="I122"/>
    </row>
    <row r="123" spans="4:9" ht="14.25" customHeight="1">
      <c r="D123"/>
      <c r="F123"/>
      <c r="H123"/>
      <c r="I123"/>
    </row>
    <row r="124" spans="4:9">
      <c r="D124"/>
      <c r="F124"/>
      <c r="H124"/>
      <c r="I124"/>
    </row>
    <row r="125" spans="4:9">
      <c r="D125"/>
      <c r="F125"/>
      <c r="H125"/>
      <c r="I125"/>
    </row>
    <row r="126" spans="4:9">
      <c r="D126"/>
      <c r="F126"/>
      <c r="H126"/>
      <c r="I126"/>
    </row>
    <row r="127" spans="4:9">
      <c r="D127"/>
      <c r="F127"/>
      <c r="H127"/>
      <c r="I127"/>
    </row>
    <row r="128" spans="4:9">
      <c r="D128"/>
      <c r="F128"/>
      <c r="H128"/>
      <c r="I128"/>
    </row>
    <row r="129" spans="4:9">
      <c r="D129"/>
      <c r="F129"/>
      <c r="H129"/>
      <c r="I129"/>
    </row>
    <row r="130" spans="4:9">
      <c r="D130"/>
      <c r="F130"/>
      <c r="H130"/>
      <c r="I130"/>
    </row>
    <row r="131" spans="4:9">
      <c r="D131"/>
      <c r="F131"/>
      <c r="H131"/>
      <c r="I131"/>
    </row>
  </sheetData>
  <mergeCells count="33">
    <mergeCell ref="A42:A43"/>
    <mergeCell ref="A46:A47"/>
    <mergeCell ref="A50:A51"/>
    <mergeCell ref="B4:B5"/>
    <mergeCell ref="B19:B20"/>
    <mergeCell ref="B30:B31"/>
    <mergeCell ref="B34:B35"/>
    <mergeCell ref="B38:B39"/>
    <mergeCell ref="B42:B43"/>
    <mergeCell ref="B46:B47"/>
    <mergeCell ref="B50:B51"/>
    <mergeCell ref="A4:A5"/>
    <mergeCell ref="A19:A20"/>
    <mergeCell ref="A30:A31"/>
    <mergeCell ref="A34:A35"/>
    <mergeCell ref="A38:A39"/>
    <mergeCell ref="C4:C5"/>
    <mergeCell ref="C19:C20"/>
    <mergeCell ref="C21:C22"/>
    <mergeCell ref="C30:C31"/>
    <mergeCell ref="C34:C35"/>
    <mergeCell ref="C38:C39"/>
    <mergeCell ref="C42:C43"/>
    <mergeCell ref="C46:C47"/>
    <mergeCell ref="C50:C51"/>
    <mergeCell ref="D50:D51"/>
    <mergeCell ref="J4:J5"/>
    <mergeCell ref="E4:E5"/>
    <mergeCell ref="E50:E51"/>
    <mergeCell ref="G4:G5"/>
    <mergeCell ref="H50:H51"/>
    <mergeCell ref="I4:I5"/>
    <mergeCell ref="I50:I51"/>
  </mergeCells>
  <pageMargins left="0" right="0" top="0" bottom="0" header="0" footer="0"/>
  <pageSetup paperSize="9" scale="61"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THANG B.LUONG</vt:lpstr>
      <vt:lpstr>Luong VP</vt:lpstr>
      <vt:lpstr>Sheet1</vt:lpstr>
      <vt:lpstr>The luongvp</vt:lpstr>
      <vt:lpstr>Cham cong</vt:lpstr>
      <vt:lpstr>KPI T07-19</vt:lpstr>
      <vt:lpstr>DS</vt:lpstr>
      <vt:lpstr>T08-19</vt:lpstr>
      <vt:lpstr>DT-DS</vt:lpstr>
      <vt:lpstr>TH ngay phep</vt:lpstr>
      <vt:lpstr>phep</vt:lpstr>
      <vt:lpstr>Phép năm</vt:lpstr>
      <vt:lpstr>PHEP 2019</vt:lpstr>
      <vt:lpstr>Sheet2</vt:lpstr>
      <vt:lpstr>'T08-19'!Print_Area</vt:lpstr>
      <vt:lpstr>'Luong VP'!Print_Titles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Ngoc Hung</dc:creator>
  <cp:lastModifiedBy>Luxury</cp:lastModifiedBy>
  <cp:lastPrinted>2019-09-10T02:14:49Z</cp:lastPrinted>
  <dcterms:created xsi:type="dcterms:W3CDTF">2006-07-24T08:00:00Z</dcterms:created>
  <dcterms:modified xsi:type="dcterms:W3CDTF">2019-10-01T07:54:49Z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1033-10.2.0.5871</vt:lpwstr>
  </property>
</Properties>
</file>