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HONG ANH\LUONG\"/>
    </mc:Choice>
  </mc:AlternateContent>
  <bookViews>
    <workbookView xWindow="0" yWindow="0" windowWidth="19200" windowHeight="11490" tabRatio="858" activeTab="6"/>
  </bookViews>
  <sheets>
    <sheet name="Đóng gói trong giờ" sheetId="17" r:id="rId1"/>
    <sheet name="Đóng gói ngoài giờ" sheetId="20" r:id="rId2"/>
    <sheet name="Bốc hàng trong giờ new" sheetId="27" state="hidden" r:id="rId3"/>
    <sheet name="Bốc hàng ngoài giờ new" sheetId="29" state="hidden" r:id="rId4"/>
    <sheet name="Tổng hợp trong giờ" sheetId="18" r:id="rId5"/>
    <sheet name="Tổng hợp ngoài giờ" sheetId="19" r:id="rId6"/>
    <sheet name=" Bang luong" sheetId="14" r:id="rId7"/>
    <sheet name="Thẻ lương" sheetId="9" r:id="rId8"/>
    <sheet name="CHẤM CÔNG TRONG THÁNG" sheetId="25" r:id="rId9"/>
    <sheet name="Mã NV" sheetId="3" r:id="rId10"/>
    <sheet name="ung luong" sheetId="26" r:id="rId11"/>
    <sheet name="Định mức" sheetId="22" r:id="rId12"/>
    <sheet name="thang luong" sheetId="23" state="hidden" r:id="rId13"/>
    <sheet name="Sheet2" sheetId="31" state="hidden" r:id="rId14"/>
    <sheet name="Sheet3" sheetId="32" state="hidden" r:id="rId15"/>
  </sheets>
  <definedNames>
    <definedName name="_xlnm._FilterDatabase" localSheetId="3" hidden="1">'Bốc hàng ngoài giờ new'!$A$12:$J$12</definedName>
    <definedName name="_xlnm._FilterDatabase" localSheetId="2" hidden="1">'Bốc hàng trong giờ new'!$C$12:$J$12</definedName>
    <definedName name="_xlnm._FilterDatabase" localSheetId="1" hidden="1">'Đóng gói ngoài giờ'!$A$11:$BR$80</definedName>
    <definedName name="_xlnm._FilterDatabase" localSheetId="0" hidden="1">'Đóng gói trong giờ'!$A$11:$BU$78</definedName>
    <definedName name="_xlnm._FilterDatabase" localSheetId="7" hidden="1">'Thẻ lương'!$G$1:$G$72</definedName>
    <definedName name="_xlnm._FilterDatabase" localSheetId="5" hidden="1">'Tổng hợp ngoài giờ'!$A$14:$B$36</definedName>
    <definedName name="_xlnm._FilterDatabase" localSheetId="4" hidden="1">'Tổng hợp trong giờ'!$A$14:$B$34</definedName>
    <definedName name="_xlnm.Criteria" localSheetId="1">'Đóng gói ngoài giờ'!$C$12:$C$34</definedName>
    <definedName name="_xlnm.Criteria" localSheetId="0">'Đóng gói trong giờ'!$C$12:$C$78</definedName>
    <definedName name="_xlnm.Criteria" localSheetId="5">'Tổng hợp ngoài giờ'!#REF!</definedName>
    <definedName name="_xlnm.Criteria" localSheetId="4">'Tổng hợp trong giờ'!#REF!</definedName>
    <definedName name="MANV">'Mã NV'!$B$2:$B$44</definedName>
    <definedName name="nhanvien">'Mã NV'!$B$1:$D$44</definedName>
    <definedName name="_xlnm.Print_Area" localSheetId="7">'Thẻ lương'!$A$1:$H$65</definedName>
    <definedName name="_xlnm.Print_Titles" localSheetId="8">'CHẤM CÔNG TRONG THÁNG'!$4:$4</definedName>
    <definedName name="_xlnm.Print_Titles" localSheetId="10">'ung luong'!$2:$2</definedName>
    <definedName name="XE">'Mã NV'!$F$2:$F$16</definedName>
  </definedNames>
  <calcPr calcId="162913" concurrentCalc="0"/>
</workbook>
</file>

<file path=xl/calcChain.xml><?xml version="1.0" encoding="utf-8"?>
<calcChain xmlns="http://schemas.openxmlformats.org/spreadsheetml/2006/main">
  <c r="BH41" i="19" l="1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BB15" i="19"/>
  <c r="BF15" i="19"/>
  <c r="BG15" i="19"/>
  <c r="BH15" i="19"/>
  <c r="BI15" i="19"/>
  <c r="BJ15" i="19"/>
  <c r="BK15" i="19"/>
  <c r="BL15" i="19"/>
  <c r="BM15" i="19"/>
  <c r="BN15" i="19"/>
  <c r="BO15" i="19"/>
  <c r="BP15" i="19"/>
  <c r="BQ15" i="19"/>
  <c r="BR15" i="19"/>
  <c r="BS15" i="19"/>
  <c r="BT15" i="19"/>
  <c r="BW15" i="19"/>
  <c r="BX15" i="18"/>
  <c r="BY15" i="18"/>
  <c r="CB15" i="18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BB16" i="19"/>
  <c r="BF16" i="19"/>
  <c r="BG16" i="19"/>
  <c r="BH16" i="19"/>
  <c r="BI16" i="19"/>
  <c r="BJ16" i="19"/>
  <c r="BK16" i="19"/>
  <c r="BL16" i="19"/>
  <c r="BM16" i="19"/>
  <c r="BN16" i="19"/>
  <c r="BO16" i="19"/>
  <c r="BP16" i="19"/>
  <c r="BQ16" i="19"/>
  <c r="BR16" i="19"/>
  <c r="BS16" i="19"/>
  <c r="BT16" i="19"/>
  <c r="BW16" i="19"/>
  <c r="BX16" i="18"/>
  <c r="BY16" i="18"/>
  <c r="CB16" i="18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BB17" i="19"/>
  <c r="BF17" i="19"/>
  <c r="BG17" i="19"/>
  <c r="BH17" i="19"/>
  <c r="BI17" i="19"/>
  <c r="BJ17" i="19"/>
  <c r="BK17" i="19"/>
  <c r="BL17" i="19"/>
  <c r="BM17" i="19"/>
  <c r="BN17" i="19"/>
  <c r="BO17" i="19"/>
  <c r="BP17" i="19"/>
  <c r="BQ17" i="19"/>
  <c r="BR17" i="19"/>
  <c r="BS17" i="19"/>
  <c r="BT17" i="19"/>
  <c r="BW17" i="19"/>
  <c r="BX17" i="18"/>
  <c r="BY17" i="18"/>
  <c r="CB17" i="18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W18" i="19"/>
  <c r="BX18" i="18"/>
  <c r="BY18" i="18"/>
  <c r="CB18" i="18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W19" i="19"/>
  <c r="BX19" i="18"/>
  <c r="BY19" i="18"/>
  <c r="CB19" i="18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BB20" i="19"/>
  <c r="BF20" i="19"/>
  <c r="BG20" i="19"/>
  <c r="BH20" i="19"/>
  <c r="BI20" i="19"/>
  <c r="BJ20" i="19"/>
  <c r="BK20" i="19"/>
  <c r="BL20" i="19"/>
  <c r="BM20" i="19"/>
  <c r="BN20" i="19"/>
  <c r="BO20" i="19"/>
  <c r="BP20" i="19"/>
  <c r="BQ20" i="19"/>
  <c r="BR20" i="19"/>
  <c r="BS20" i="19"/>
  <c r="BT20" i="19"/>
  <c r="BW20" i="19"/>
  <c r="BX20" i="18"/>
  <c r="BY20" i="18"/>
  <c r="CB20" i="18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BB21" i="19"/>
  <c r="BF21" i="19"/>
  <c r="BG21" i="19"/>
  <c r="BH21" i="19"/>
  <c r="BI21" i="19"/>
  <c r="BJ21" i="19"/>
  <c r="BK21" i="19"/>
  <c r="BL21" i="19"/>
  <c r="BM21" i="19"/>
  <c r="BN21" i="19"/>
  <c r="BO21" i="19"/>
  <c r="BP21" i="19"/>
  <c r="BQ21" i="19"/>
  <c r="BR21" i="19"/>
  <c r="BS21" i="19"/>
  <c r="BT21" i="19"/>
  <c r="BW21" i="19"/>
  <c r="BX21" i="18"/>
  <c r="BY21" i="18"/>
  <c r="CB21" i="18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BB22" i="19"/>
  <c r="BF22" i="19"/>
  <c r="BG22" i="19"/>
  <c r="BH22" i="19"/>
  <c r="BI22" i="19"/>
  <c r="BJ22" i="19"/>
  <c r="BK22" i="19"/>
  <c r="BL22" i="19"/>
  <c r="BM22" i="19"/>
  <c r="BN22" i="19"/>
  <c r="BO22" i="19"/>
  <c r="BP22" i="19"/>
  <c r="BQ22" i="19"/>
  <c r="BR22" i="19"/>
  <c r="BS22" i="19"/>
  <c r="BT22" i="19"/>
  <c r="BW22" i="19"/>
  <c r="BX22" i="18"/>
  <c r="BY22" i="18"/>
  <c r="CB22" i="18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AD23" i="19"/>
  <c r="AE23" i="19"/>
  <c r="AF23" i="19"/>
  <c r="AG23" i="19"/>
  <c r="AH23" i="19"/>
  <c r="AI23" i="19"/>
  <c r="AJ23" i="19"/>
  <c r="AK23" i="19"/>
  <c r="AL23" i="19"/>
  <c r="AM23" i="19"/>
  <c r="AN23" i="19"/>
  <c r="AO23" i="19"/>
  <c r="AP23" i="19"/>
  <c r="AQ23" i="19"/>
  <c r="AR23" i="19"/>
  <c r="AS23" i="19"/>
  <c r="AT23" i="19"/>
  <c r="AU23" i="19"/>
  <c r="AV23" i="19"/>
  <c r="AW23" i="19"/>
  <c r="AX23" i="19"/>
  <c r="AY23" i="19"/>
  <c r="AZ23" i="19"/>
  <c r="BA23" i="19"/>
  <c r="BB23" i="19"/>
  <c r="BF23" i="19"/>
  <c r="BG23" i="19"/>
  <c r="BH23" i="19"/>
  <c r="BI23" i="19"/>
  <c r="BJ23" i="19"/>
  <c r="BK23" i="19"/>
  <c r="BL23" i="19"/>
  <c r="BM23" i="19"/>
  <c r="BN23" i="19"/>
  <c r="BO23" i="19"/>
  <c r="BP23" i="19"/>
  <c r="BQ23" i="19"/>
  <c r="BR23" i="19"/>
  <c r="BS23" i="19"/>
  <c r="BT23" i="19"/>
  <c r="BW23" i="19"/>
  <c r="BX23" i="18"/>
  <c r="BY23" i="18"/>
  <c r="CB23" i="18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AI25" i="19"/>
  <c r="AJ25" i="19"/>
  <c r="AK25" i="19"/>
  <c r="AL25" i="19"/>
  <c r="AM25" i="19"/>
  <c r="AN25" i="19"/>
  <c r="AO25" i="19"/>
  <c r="AP25" i="19"/>
  <c r="AQ25" i="19"/>
  <c r="AR25" i="19"/>
  <c r="AS25" i="19"/>
  <c r="AT25" i="19"/>
  <c r="AU25" i="19"/>
  <c r="AV25" i="19"/>
  <c r="AW25" i="19"/>
  <c r="AX25" i="19"/>
  <c r="AY25" i="19"/>
  <c r="AZ25" i="19"/>
  <c r="BA25" i="19"/>
  <c r="BB25" i="19"/>
  <c r="BF25" i="19"/>
  <c r="BG25" i="19"/>
  <c r="BH25" i="19"/>
  <c r="BI25" i="19"/>
  <c r="BJ25" i="19"/>
  <c r="BK25" i="19"/>
  <c r="BL25" i="19"/>
  <c r="BM25" i="19"/>
  <c r="BN25" i="19"/>
  <c r="BO25" i="19"/>
  <c r="BP25" i="19"/>
  <c r="BQ25" i="19"/>
  <c r="BR25" i="19"/>
  <c r="BS25" i="19"/>
  <c r="BT25" i="19"/>
  <c r="BW25" i="19"/>
  <c r="BX24" i="18"/>
  <c r="BY24" i="18"/>
  <c r="CB24" i="18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AD26" i="19"/>
  <c r="AE26" i="19"/>
  <c r="AF26" i="19"/>
  <c r="AG26" i="19"/>
  <c r="AH26" i="19"/>
  <c r="AI26" i="19"/>
  <c r="AJ26" i="19"/>
  <c r="AK26" i="19"/>
  <c r="AL26" i="19"/>
  <c r="AM26" i="19"/>
  <c r="AN26" i="19"/>
  <c r="AO26" i="19"/>
  <c r="AP26" i="19"/>
  <c r="AQ26" i="19"/>
  <c r="AR26" i="19"/>
  <c r="AS26" i="19"/>
  <c r="AT26" i="19"/>
  <c r="AU26" i="19"/>
  <c r="AV26" i="19"/>
  <c r="AW26" i="19"/>
  <c r="AX26" i="19"/>
  <c r="AY26" i="19"/>
  <c r="AZ26" i="19"/>
  <c r="BA26" i="19"/>
  <c r="BB26" i="19"/>
  <c r="BF26" i="19"/>
  <c r="BG26" i="19"/>
  <c r="BH26" i="19"/>
  <c r="BI26" i="19"/>
  <c r="BJ26" i="19"/>
  <c r="BK26" i="19"/>
  <c r="BL26" i="19"/>
  <c r="BM26" i="19"/>
  <c r="BN26" i="19"/>
  <c r="BO26" i="19"/>
  <c r="BP26" i="19"/>
  <c r="BQ26" i="19"/>
  <c r="BR26" i="19"/>
  <c r="BS26" i="19"/>
  <c r="BT26" i="19"/>
  <c r="BW26" i="19"/>
  <c r="BX25" i="18"/>
  <c r="BY25" i="18"/>
  <c r="CB25" i="18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D27" i="19"/>
  <c r="AE27" i="19"/>
  <c r="AF27" i="19"/>
  <c r="AG27" i="19"/>
  <c r="AH27" i="19"/>
  <c r="AI27" i="19"/>
  <c r="AJ27" i="19"/>
  <c r="AK27" i="19"/>
  <c r="AL27" i="19"/>
  <c r="AM27" i="19"/>
  <c r="AN27" i="19"/>
  <c r="AO27" i="19"/>
  <c r="AP27" i="19"/>
  <c r="AQ27" i="19"/>
  <c r="AR27" i="19"/>
  <c r="AS27" i="19"/>
  <c r="AT27" i="19"/>
  <c r="AU27" i="19"/>
  <c r="AV27" i="19"/>
  <c r="AW27" i="19"/>
  <c r="AX27" i="19"/>
  <c r="AY27" i="19"/>
  <c r="AZ27" i="19"/>
  <c r="BA27" i="19"/>
  <c r="BB27" i="19"/>
  <c r="BF27" i="19"/>
  <c r="BG27" i="19"/>
  <c r="BH27" i="19"/>
  <c r="BI27" i="19"/>
  <c r="BJ27" i="19"/>
  <c r="BK27" i="19"/>
  <c r="BL27" i="19"/>
  <c r="BM27" i="19"/>
  <c r="BN27" i="19"/>
  <c r="BO27" i="19"/>
  <c r="BP27" i="19"/>
  <c r="BQ27" i="19"/>
  <c r="BR27" i="19"/>
  <c r="BS27" i="19"/>
  <c r="BT27" i="19"/>
  <c r="BW27" i="19"/>
  <c r="BX26" i="18"/>
  <c r="BY26" i="18"/>
  <c r="CB26" i="18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D28" i="19"/>
  <c r="AE28" i="19"/>
  <c r="AF28" i="19"/>
  <c r="AG28" i="19"/>
  <c r="AH28" i="19"/>
  <c r="AI28" i="19"/>
  <c r="AJ28" i="19"/>
  <c r="AK28" i="19"/>
  <c r="AL28" i="19"/>
  <c r="AM28" i="19"/>
  <c r="AN28" i="19"/>
  <c r="AO28" i="19"/>
  <c r="AP28" i="19"/>
  <c r="AQ28" i="19"/>
  <c r="AR28" i="19"/>
  <c r="AS28" i="19"/>
  <c r="AT28" i="19"/>
  <c r="AU28" i="19"/>
  <c r="AV28" i="19"/>
  <c r="AW28" i="19"/>
  <c r="AX28" i="19"/>
  <c r="AY28" i="19"/>
  <c r="AZ28" i="19"/>
  <c r="BA28" i="19"/>
  <c r="BB28" i="19"/>
  <c r="BF28" i="19"/>
  <c r="BG28" i="19"/>
  <c r="BH28" i="19"/>
  <c r="BI28" i="19"/>
  <c r="BJ28" i="19"/>
  <c r="BK28" i="19"/>
  <c r="BL28" i="19"/>
  <c r="BM28" i="19"/>
  <c r="BN28" i="19"/>
  <c r="BO28" i="19"/>
  <c r="BP28" i="19"/>
  <c r="BQ28" i="19"/>
  <c r="BR28" i="19"/>
  <c r="BS28" i="19"/>
  <c r="BT28" i="19"/>
  <c r="BW28" i="19"/>
  <c r="BX27" i="18"/>
  <c r="BY27" i="18"/>
  <c r="CB27" i="18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D29" i="19"/>
  <c r="AE29" i="19"/>
  <c r="AF29" i="19"/>
  <c r="AG29" i="19"/>
  <c r="AH29" i="19"/>
  <c r="AI29" i="19"/>
  <c r="AJ29" i="19"/>
  <c r="AK29" i="19"/>
  <c r="AL29" i="19"/>
  <c r="AM29" i="19"/>
  <c r="AN29" i="19"/>
  <c r="AO29" i="19"/>
  <c r="AP29" i="19"/>
  <c r="AQ29" i="19"/>
  <c r="AR29" i="19"/>
  <c r="AS29" i="19"/>
  <c r="AT29" i="19"/>
  <c r="AU29" i="19"/>
  <c r="AV29" i="19"/>
  <c r="AW29" i="19"/>
  <c r="AX29" i="19"/>
  <c r="AY29" i="19"/>
  <c r="AZ29" i="19"/>
  <c r="BA29" i="19"/>
  <c r="BB29" i="19"/>
  <c r="BF29" i="19"/>
  <c r="BG29" i="19"/>
  <c r="BH29" i="19"/>
  <c r="BI29" i="19"/>
  <c r="BJ29" i="19"/>
  <c r="BK29" i="19"/>
  <c r="BL29" i="19"/>
  <c r="BM29" i="19"/>
  <c r="BN29" i="19"/>
  <c r="BO29" i="19"/>
  <c r="BP29" i="19"/>
  <c r="BQ29" i="19"/>
  <c r="BR29" i="19"/>
  <c r="BS29" i="19"/>
  <c r="BT29" i="19"/>
  <c r="BW29" i="19"/>
  <c r="BX28" i="18"/>
  <c r="BY28" i="18"/>
  <c r="CB28" i="18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D30" i="19"/>
  <c r="AE30" i="19"/>
  <c r="AF30" i="19"/>
  <c r="AG30" i="19"/>
  <c r="AH30" i="19"/>
  <c r="AI30" i="19"/>
  <c r="AJ30" i="19"/>
  <c r="AK30" i="19"/>
  <c r="AL30" i="19"/>
  <c r="AM30" i="19"/>
  <c r="AN30" i="19"/>
  <c r="AO30" i="19"/>
  <c r="AP30" i="19"/>
  <c r="AQ30" i="19"/>
  <c r="AR30" i="19"/>
  <c r="AS30" i="19"/>
  <c r="AT30" i="19"/>
  <c r="AU30" i="19"/>
  <c r="AV30" i="19"/>
  <c r="AW30" i="19"/>
  <c r="AX30" i="19"/>
  <c r="AY30" i="19"/>
  <c r="AZ30" i="19"/>
  <c r="BA30" i="19"/>
  <c r="BB30" i="19"/>
  <c r="BF30" i="19"/>
  <c r="BG30" i="19"/>
  <c r="BH30" i="19"/>
  <c r="BI30" i="19"/>
  <c r="BJ30" i="19"/>
  <c r="BK30" i="19"/>
  <c r="BL30" i="19"/>
  <c r="BM30" i="19"/>
  <c r="BN30" i="19"/>
  <c r="BO30" i="19"/>
  <c r="BP30" i="19"/>
  <c r="BQ30" i="19"/>
  <c r="BR30" i="19"/>
  <c r="BS30" i="19"/>
  <c r="BT30" i="19"/>
  <c r="BW30" i="19"/>
  <c r="BX29" i="18"/>
  <c r="BY29" i="18"/>
  <c r="CB29" i="18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AD31" i="19"/>
  <c r="AE31" i="19"/>
  <c r="AF31" i="19"/>
  <c r="AG31" i="19"/>
  <c r="AH31" i="19"/>
  <c r="AI31" i="19"/>
  <c r="AJ31" i="19"/>
  <c r="AK31" i="19"/>
  <c r="AL31" i="19"/>
  <c r="AM31" i="19"/>
  <c r="AN31" i="19"/>
  <c r="AO31" i="19"/>
  <c r="AP31" i="19"/>
  <c r="AQ31" i="19"/>
  <c r="AR31" i="19"/>
  <c r="AS31" i="19"/>
  <c r="AT31" i="19"/>
  <c r="AU31" i="19"/>
  <c r="AV31" i="19"/>
  <c r="AW31" i="19"/>
  <c r="AX31" i="19"/>
  <c r="AY31" i="19"/>
  <c r="AZ31" i="19"/>
  <c r="BA31" i="19"/>
  <c r="BB31" i="19"/>
  <c r="BF31" i="19"/>
  <c r="BG31" i="19"/>
  <c r="BH31" i="19"/>
  <c r="BI31" i="19"/>
  <c r="BJ31" i="19"/>
  <c r="BK31" i="19"/>
  <c r="BL31" i="19"/>
  <c r="BM31" i="19"/>
  <c r="BN31" i="19"/>
  <c r="BO31" i="19"/>
  <c r="BP31" i="19"/>
  <c r="BQ31" i="19"/>
  <c r="BR31" i="19"/>
  <c r="BS31" i="19"/>
  <c r="BT31" i="19"/>
  <c r="BW31" i="19"/>
  <c r="BX30" i="18"/>
  <c r="BY30" i="18"/>
  <c r="CB30" i="18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AI32" i="19"/>
  <c r="AJ32" i="19"/>
  <c r="AK32" i="19"/>
  <c r="AL32" i="19"/>
  <c r="AM32" i="19"/>
  <c r="AN32" i="19"/>
  <c r="AO32" i="19"/>
  <c r="AP32" i="19"/>
  <c r="AQ32" i="19"/>
  <c r="AR32" i="19"/>
  <c r="AS32" i="19"/>
  <c r="AT32" i="19"/>
  <c r="AU32" i="19"/>
  <c r="AV32" i="19"/>
  <c r="AW32" i="19"/>
  <c r="AX32" i="19"/>
  <c r="AY32" i="19"/>
  <c r="AZ32" i="19"/>
  <c r="BA32" i="19"/>
  <c r="BB32" i="19"/>
  <c r="BF32" i="19"/>
  <c r="BG32" i="19"/>
  <c r="BH32" i="19"/>
  <c r="BI32" i="19"/>
  <c r="BJ32" i="19"/>
  <c r="BK32" i="19"/>
  <c r="BL32" i="19"/>
  <c r="BM32" i="19"/>
  <c r="BN32" i="19"/>
  <c r="BO32" i="19"/>
  <c r="BP32" i="19"/>
  <c r="BQ32" i="19"/>
  <c r="BR32" i="19"/>
  <c r="BS32" i="19"/>
  <c r="BT32" i="19"/>
  <c r="BW32" i="19"/>
  <c r="BX31" i="18"/>
  <c r="BY31" i="18"/>
  <c r="CB31" i="18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AI33" i="19"/>
  <c r="AJ33" i="19"/>
  <c r="AK33" i="19"/>
  <c r="AL33" i="19"/>
  <c r="AM33" i="19"/>
  <c r="AN33" i="19"/>
  <c r="AO33" i="19"/>
  <c r="AP33" i="19"/>
  <c r="AQ33" i="19"/>
  <c r="AR33" i="19"/>
  <c r="AS33" i="19"/>
  <c r="AT33" i="19"/>
  <c r="AU33" i="19"/>
  <c r="AV33" i="19"/>
  <c r="AW33" i="19"/>
  <c r="AX33" i="19"/>
  <c r="AY33" i="19"/>
  <c r="AZ33" i="19"/>
  <c r="BA33" i="19"/>
  <c r="BB33" i="19"/>
  <c r="BF33" i="19"/>
  <c r="BG33" i="19"/>
  <c r="BH33" i="19"/>
  <c r="BI33" i="19"/>
  <c r="BJ33" i="19"/>
  <c r="BK33" i="19"/>
  <c r="BL33" i="19"/>
  <c r="BM33" i="19"/>
  <c r="BN33" i="19"/>
  <c r="BO33" i="19"/>
  <c r="BP33" i="19"/>
  <c r="BQ33" i="19"/>
  <c r="BR33" i="19"/>
  <c r="BS33" i="19"/>
  <c r="BT33" i="19"/>
  <c r="BW33" i="19"/>
  <c r="BX32" i="18"/>
  <c r="BY32" i="18"/>
  <c r="CB32" i="18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AI34" i="19"/>
  <c r="AJ34" i="19"/>
  <c r="AK34" i="19"/>
  <c r="AL34" i="19"/>
  <c r="AM34" i="19"/>
  <c r="AN34" i="19"/>
  <c r="AO34" i="19"/>
  <c r="AP34" i="19"/>
  <c r="AQ34" i="19"/>
  <c r="AR34" i="19"/>
  <c r="AS34" i="19"/>
  <c r="AT34" i="19"/>
  <c r="AU34" i="19"/>
  <c r="AV34" i="19"/>
  <c r="AW34" i="19"/>
  <c r="AX34" i="19"/>
  <c r="AY34" i="19"/>
  <c r="AZ34" i="19"/>
  <c r="BA34" i="19"/>
  <c r="BB34" i="19"/>
  <c r="BF34" i="19"/>
  <c r="BG34" i="19"/>
  <c r="BH34" i="19"/>
  <c r="BI34" i="19"/>
  <c r="BJ34" i="19"/>
  <c r="BK34" i="19"/>
  <c r="BL34" i="19"/>
  <c r="BM34" i="19"/>
  <c r="BN34" i="19"/>
  <c r="BO34" i="19"/>
  <c r="BP34" i="19"/>
  <c r="BQ34" i="19"/>
  <c r="BR34" i="19"/>
  <c r="BS34" i="19"/>
  <c r="BT34" i="19"/>
  <c r="BW34" i="19"/>
  <c r="BX33" i="18"/>
  <c r="BY33" i="18"/>
  <c r="CB33" i="18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AD35" i="19"/>
  <c r="AE35" i="19"/>
  <c r="AF35" i="19"/>
  <c r="AG35" i="19"/>
  <c r="AH35" i="19"/>
  <c r="AI35" i="19"/>
  <c r="AJ35" i="19"/>
  <c r="AK35" i="19"/>
  <c r="AL35" i="19"/>
  <c r="AM35" i="19"/>
  <c r="AN35" i="19"/>
  <c r="AO35" i="19"/>
  <c r="AP35" i="19"/>
  <c r="AQ35" i="19"/>
  <c r="AR35" i="19"/>
  <c r="AS35" i="19"/>
  <c r="AT35" i="19"/>
  <c r="AU35" i="19"/>
  <c r="AV35" i="19"/>
  <c r="AW35" i="19"/>
  <c r="AX35" i="19"/>
  <c r="AY35" i="19"/>
  <c r="AZ35" i="19"/>
  <c r="BA35" i="19"/>
  <c r="BB35" i="19"/>
  <c r="BF35" i="19"/>
  <c r="BG35" i="19"/>
  <c r="BH35" i="19"/>
  <c r="BI35" i="19"/>
  <c r="BJ35" i="19"/>
  <c r="BK35" i="19"/>
  <c r="BL35" i="19"/>
  <c r="BM35" i="19"/>
  <c r="BN35" i="19"/>
  <c r="BO35" i="19"/>
  <c r="BP35" i="19"/>
  <c r="BQ35" i="19"/>
  <c r="BR35" i="19"/>
  <c r="BS35" i="19"/>
  <c r="BT35" i="19"/>
  <c r="BW35" i="19"/>
  <c r="BX34" i="18"/>
  <c r="BY34" i="18"/>
  <c r="CB34" i="18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AD36" i="19"/>
  <c r="AE36" i="19"/>
  <c r="AF36" i="19"/>
  <c r="AG36" i="19"/>
  <c r="AH36" i="19"/>
  <c r="AI36" i="19"/>
  <c r="AJ36" i="19"/>
  <c r="AK36" i="19"/>
  <c r="AL36" i="19"/>
  <c r="AM36" i="19"/>
  <c r="AN36" i="19"/>
  <c r="AO36" i="19"/>
  <c r="AP36" i="19"/>
  <c r="AQ36" i="19"/>
  <c r="AR36" i="19"/>
  <c r="AS36" i="19"/>
  <c r="AT36" i="19"/>
  <c r="AU36" i="19"/>
  <c r="AV36" i="19"/>
  <c r="AW36" i="19"/>
  <c r="AX36" i="19"/>
  <c r="AY36" i="19"/>
  <c r="AZ36" i="19"/>
  <c r="BA36" i="19"/>
  <c r="BB36" i="19"/>
  <c r="BF36" i="19"/>
  <c r="BG36" i="19"/>
  <c r="BH36" i="19"/>
  <c r="BI36" i="19"/>
  <c r="BJ36" i="19"/>
  <c r="BK36" i="19"/>
  <c r="BL36" i="19"/>
  <c r="BM36" i="19"/>
  <c r="BN36" i="19"/>
  <c r="BO36" i="19"/>
  <c r="BP36" i="19"/>
  <c r="BQ36" i="19"/>
  <c r="BR36" i="19"/>
  <c r="BS36" i="19"/>
  <c r="BT36" i="19"/>
  <c r="BW36" i="19"/>
  <c r="BX35" i="18"/>
  <c r="BY35" i="18"/>
  <c r="CB35" i="18"/>
  <c r="CB36" i="18"/>
  <c r="BY36" i="18"/>
  <c r="X34" i="14"/>
  <c r="Y34" i="14"/>
  <c r="BG36" i="18"/>
  <c r="BG13" i="19"/>
  <c r="X13" i="14"/>
  <c r="Y13" i="14"/>
  <c r="AG13" i="14"/>
  <c r="X14" i="14"/>
  <c r="Y14" i="14"/>
  <c r="AG14" i="14"/>
  <c r="X15" i="14"/>
  <c r="Y15" i="14"/>
  <c r="AG15" i="14"/>
  <c r="X16" i="14"/>
  <c r="Y16" i="14"/>
  <c r="AG16" i="14"/>
  <c r="X17" i="14"/>
  <c r="Y17" i="14"/>
  <c r="AG17" i="14"/>
  <c r="X18" i="14"/>
  <c r="Y18" i="14"/>
  <c r="AG18" i="14"/>
  <c r="X19" i="14"/>
  <c r="Y19" i="14"/>
  <c r="AG19" i="14"/>
  <c r="X20" i="14"/>
  <c r="Y20" i="14"/>
  <c r="AG20" i="14"/>
  <c r="X21" i="14"/>
  <c r="Y21" i="14"/>
  <c r="AG21" i="14"/>
  <c r="X22" i="14"/>
  <c r="Y22" i="14"/>
  <c r="AG22" i="14"/>
  <c r="X23" i="14"/>
  <c r="Y23" i="14"/>
  <c r="AG23" i="14"/>
  <c r="X24" i="14"/>
  <c r="Y24" i="14"/>
  <c r="AG24" i="14"/>
  <c r="X25" i="14"/>
  <c r="Y25" i="14"/>
  <c r="AG25" i="14"/>
  <c r="X26" i="14"/>
  <c r="Y26" i="14"/>
  <c r="AG26" i="14"/>
  <c r="X27" i="14"/>
  <c r="Y27" i="14"/>
  <c r="AG27" i="14"/>
  <c r="X28" i="14"/>
  <c r="Y28" i="14"/>
  <c r="AG28" i="14"/>
  <c r="X29" i="14"/>
  <c r="Y29" i="14"/>
  <c r="AG29" i="14"/>
  <c r="X30" i="14"/>
  <c r="Y30" i="14"/>
  <c r="AG30" i="14"/>
  <c r="X31" i="14"/>
  <c r="Y31" i="14"/>
  <c r="AG31" i="14"/>
  <c r="X32" i="14"/>
  <c r="Y32" i="14"/>
  <c r="AG32" i="14"/>
  <c r="X33" i="14"/>
  <c r="Y33" i="14"/>
  <c r="AG33" i="14"/>
  <c r="AG34" i="14"/>
  <c r="AG35" i="14"/>
  <c r="V9" i="9"/>
  <c r="V10" i="9"/>
  <c r="V11" i="9"/>
  <c r="V12" i="9"/>
  <c r="V13" i="9"/>
  <c r="V14" i="9"/>
  <c r="V15" i="9"/>
  <c r="BG37" i="19"/>
  <c r="BG40" i="19"/>
  <c r="BG39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D24" i="19"/>
  <c r="AE24" i="19"/>
  <c r="AF24" i="19"/>
  <c r="AG24" i="19"/>
  <c r="AH24" i="19"/>
  <c r="AI24" i="19"/>
  <c r="AJ24" i="19"/>
  <c r="AK24" i="19"/>
  <c r="AL24" i="19"/>
  <c r="AM24" i="19"/>
  <c r="AN24" i="19"/>
  <c r="AO24" i="19"/>
  <c r="AP24" i="19"/>
  <c r="AQ24" i="19"/>
  <c r="AR24" i="19"/>
  <c r="AS24" i="19"/>
  <c r="AT24" i="19"/>
  <c r="AU24" i="19"/>
  <c r="AV24" i="19"/>
  <c r="AW24" i="19"/>
  <c r="AX24" i="19"/>
  <c r="AY24" i="19"/>
  <c r="AZ24" i="19"/>
  <c r="BA24" i="19"/>
  <c r="BB24" i="19"/>
  <c r="BF24" i="19"/>
  <c r="BG24" i="19"/>
  <c r="BH24" i="19"/>
  <c r="BI24" i="19"/>
  <c r="BJ24" i="19"/>
  <c r="BK24" i="19"/>
  <c r="BL24" i="19"/>
  <c r="BM24" i="19"/>
  <c r="BN24" i="19"/>
  <c r="BO24" i="19"/>
  <c r="BP24" i="19"/>
  <c r="BQ24" i="19"/>
  <c r="BR24" i="19"/>
  <c r="BS24" i="19"/>
  <c r="BT24" i="19"/>
  <c r="BW24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AI37" i="19"/>
  <c r="AJ37" i="19"/>
  <c r="AK37" i="19"/>
  <c r="AL37" i="19"/>
  <c r="AM37" i="19"/>
  <c r="AN37" i="19"/>
  <c r="AO37" i="19"/>
  <c r="AP37" i="19"/>
  <c r="AQ37" i="19"/>
  <c r="AR37" i="19"/>
  <c r="AS37" i="19"/>
  <c r="AT37" i="19"/>
  <c r="AU37" i="19"/>
  <c r="AV37" i="19"/>
  <c r="AW37" i="19"/>
  <c r="AX37" i="19"/>
  <c r="AY37" i="19"/>
  <c r="AZ37" i="19"/>
  <c r="BA37" i="19"/>
  <c r="BB37" i="19"/>
  <c r="BF37" i="19"/>
  <c r="BH37" i="19"/>
  <c r="BI37" i="19"/>
  <c r="BJ37" i="19"/>
  <c r="BK37" i="19"/>
  <c r="BL37" i="19"/>
  <c r="BM37" i="19"/>
  <c r="BN37" i="19"/>
  <c r="BO37" i="19"/>
  <c r="BP37" i="19"/>
  <c r="BQ37" i="19"/>
  <c r="BR37" i="19"/>
  <c r="BS37" i="19"/>
  <c r="BT37" i="19"/>
  <c r="BW37" i="19"/>
  <c r="BW38" i="19"/>
  <c r="AK34" i="14"/>
  <c r="B81" i="20"/>
  <c r="K13" i="14"/>
  <c r="N13" i="14"/>
  <c r="L13" i="14"/>
  <c r="M13" i="14"/>
  <c r="O13" i="14"/>
  <c r="P13" i="14"/>
  <c r="Q13" i="14"/>
  <c r="W13" i="14"/>
  <c r="B13" i="14"/>
  <c r="Z13" i="14"/>
  <c r="AC13" i="14"/>
  <c r="AD13" i="14"/>
  <c r="AE13" i="14"/>
  <c r="AF13" i="14"/>
  <c r="K14" i="14"/>
  <c r="N14" i="14"/>
  <c r="L14" i="14"/>
  <c r="M14" i="14"/>
  <c r="O14" i="14"/>
  <c r="P14" i="14"/>
  <c r="Q14" i="14"/>
  <c r="W14" i="14"/>
  <c r="B14" i="14"/>
  <c r="Z14" i="14"/>
  <c r="AC14" i="14"/>
  <c r="AD14" i="14"/>
  <c r="AE14" i="14"/>
  <c r="AF14" i="14"/>
  <c r="K15" i="14"/>
  <c r="N15" i="14"/>
  <c r="L15" i="14"/>
  <c r="M15" i="14"/>
  <c r="O15" i="14"/>
  <c r="P15" i="14"/>
  <c r="Q15" i="14"/>
  <c r="W15" i="14"/>
  <c r="B15" i="14"/>
  <c r="Z15" i="14"/>
  <c r="AC15" i="14"/>
  <c r="AD15" i="14"/>
  <c r="AE15" i="14"/>
  <c r="AF15" i="14"/>
  <c r="K16" i="14"/>
  <c r="N16" i="14"/>
  <c r="L16" i="14"/>
  <c r="M16" i="14"/>
  <c r="O16" i="14"/>
  <c r="P16" i="14"/>
  <c r="Q16" i="14"/>
  <c r="W16" i="14"/>
  <c r="B16" i="14"/>
  <c r="Z16" i="14"/>
  <c r="AC16" i="14"/>
  <c r="AD16" i="14"/>
  <c r="AE16" i="14"/>
  <c r="AF16" i="14"/>
  <c r="K17" i="14"/>
  <c r="N17" i="14"/>
  <c r="L17" i="14"/>
  <c r="M17" i="14"/>
  <c r="O17" i="14"/>
  <c r="P17" i="14"/>
  <c r="Q17" i="14"/>
  <c r="W17" i="14"/>
  <c r="B17" i="14"/>
  <c r="Z17" i="14"/>
  <c r="AC17" i="14"/>
  <c r="AD17" i="14"/>
  <c r="AE17" i="14"/>
  <c r="AF17" i="14"/>
  <c r="K18" i="14"/>
  <c r="N18" i="14"/>
  <c r="L18" i="14"/>
  <c r="M18" i="14"/>
  <c r="O18" i="14"/>
  <c r="P18" i="14"/>
  <c r="Q18" i="14"/>
  <c r="W18" i="14"/>
  <c r="B18" i="14"/>
  <c r="Z18" i="14"/>
  <c r="AC18" i="14"/>
  <c r="AD18" i="14"/>
  <c r="AE18" i="14"/>
  <c r="AF18" i="14"/>
  <c r="AI12" i="25"/>
  <c r="AH12" i="25"/>
  <c r="K19" i="14"/>
  <c r="N19" i="14"/>
  <c r="AJ12" i="25"/>
  <c r="L19" i="14"/>
  <c r="AK12" i="25"/>
  <c r="M19" i="14"/>
  <c r="O19" i="14"/>
  <c r="P19" i="14"/>
  <c r="Q19" i="14"/>
  <c r="W19" i="14"/>
  <c r="B19" i="14"/>
  <c r="Z19" i="14"/>
  <c r="AC19" i="14"/>
  <c r="AD19" i="14"/>
  <c r="AE19" i="14"/>
  <c r="AF19" i="14"/>
  <c r="K20" i="14"/>
  <c r="N20" i="14"/>
  <c r="L20" i="14"/>
  <c r="M20" i="14"/>
  <c r="O20" i="14"/>
  <c r="P20" i="14"/>
  <c r="Q20" i="14"/>
  <c r="W20" i="14"/>
  <c r="B20" i="14"/>
  <c r="Z20" i="14"/>
  <c r="AC20" i="14"/>
  <c r="AD20" i="14"/>
  <c r="AE20" i="14"/>
  <c r="AF20" i="14"/>
  <c r="K21" i="14"/>
  <c r="N21" i="14"/>
  <c r="L21" i="14"/>
  <c r="M21" i="14"/>
  <c r="O21" i="14"/>
  <c r="P21" i="14"/>
  <c r="Q21" i="14"/>
  <c r="W21" i="14"/>
  <c r="B21" i="14"/>
  <c r="Z21" i="14"/>
  <c r="AC21" i="14"/>
  <c r="AD21" i="14"/>
  <c r="AE21" i="14"/>
  <c r="AF21" i="14"/>
  <c r="K22" i="14"/>
  <c r="N22" i="14"/>
  <c r="L22" i="14"/>
  <c r="M22" i="14"/>
  <c r="O22" i="14"/>
  <c r="P22" i="14"/>
  <c r="Q22" i="14"/>
  <c r="W22" i="14"/>
  <c r="B22" i="14"/>
  <c r="Z22" i="14"/>
  <c r="AC22" i="14"/>
  <c r="AD22" i="14"/>
  <c r="AE22" i="14"/>
  <c r="AF22" i="14"/>
  <c r="K23" i="14"/>
  <c r="N23" i="14"/>
  <c r="L23" i="14"/>
  <c r="M23" i="14"/>
  <c r="O23" i="14"/>
  <c r="P23" i="14"/>
  <c r="Q23" i="14"/>
  <c r="W23" i="14"/>
  <c r="B23" i="14"/>
  <c r="Z23" i="14"/>
  <c r="AC23" i="14"/>
  <c r="AD23" i="14"/>
  <c r="AE23" i="14"/>
  <c r="AF23" i="14"/>
  <c r="K24" i="14"/>
  <c r="N24" i="14"/>
  <c r="L24" i="14"/>
  <c r="M24" i="14"/>
  <c r="O24" i="14"/>
  <c r="P24" i="14"/>
  <c r="Q24" i="14"/>
  <c r="W24" i="14"/>
  <c r="B24" i="14"/>
  <c r="Z24" i="14"/>
  <c r="AC24" i="14"/>
  <c r="AD24" i="14"/>
  <c r="AE24" i="14"/>
  <c r="AF24" i="14"/>
  <c r="K25" i="14"/>
  <c r="N25" i="14"/>
  <c r="L25" i="14"/>
  <c r="M25" i="14"/>
  <c r="O25" i="14"/>
  <c r="P25" i="14"/>
  <c r="Q25" i="14"/>
  <c r="W25" i="14"/>
  <c r="B25" i="14"/>
  <c r="Z25" i="14"/>
  <c r="AC25" i="14"/>
  <c r="AD25" i="14"/>
  <c r="AE25" i="14"/>
  <c r="AF25" i="14"/>
  <c r="K26" i="14"/>
  <c r="N26" i="14"/>
  <c r="L26" i="14"/>
  <c r="M26" i="14"/>
  <c r="O26" i="14"/>
  <c r="P26" i="14"/>
  <c r="Q26" i="14"/>
  <c r="W26" i="14"/>
  <c r="B26" i="14"/>
  <c r="Z26" i="14"/>
  <c r="AC26" i="14"/>
  <c r="AD26" i="14"/>
  <c r="AE26" i="14"/>
  <c r="AF26" i="14"/>
  <c r="K27" i="14"/>
  <c r="N27" i="14"/>
  <c r="L27" i="14"/>
  <c r="M27" i="14"/>
  <c r="O27" i="14"/>
  <c r="P27" i="14"/>
  <c r="Q27" i="14"/>
  <c r="W27" i="14"/>
  <c r="B27" i="14"/>
  <c r="Z27" i="14"/>
  <c r="AC27" i="14"/>
  <c r="AD27" i="14"/>
  <c r="AE27" i="14"/>
  <c r="AF27" i="14"/>
  <c r="K28" i="14"/>
  <c r="N28" i="14"/>
  <c r="L28" i="14"/>
  <c r="M28" i="14"/>
  <c r="O28" i="14"/>
  <c r="P28" i="14"/>
  <c r="Q28" i="14"/>
  <c r="W28" i="14"/>
  <c r="B28" i="14"/>
  <c r="Z28" i="14"/>
  <c r="AC28" i="14"/>
  <c r="AD28" i="14"/>
  <c r="AE28" i="14"/>
  <c r="AF28" i="14"/>
  <c r="K29" i="14"/>
  <c r="N29" i="14"/>
  <c r="L29" i="14"/>
  <c r="M29" i="14"/>
  <c r="O29" i="14"/>
  <c r="P29" i="14"/>
  <c r="Q29" i="14"/>
  <c r="W29" i="14"/>
  <c r="B29" i="14"/>
  <c r="Z29" i="14"/>
  <c r="AC29" i="14"/>
  <c r="AD29" i="14"/>
  <c r="AE29" i="14"/>
  <c r="AF29" i="14"/>
  <c r="K30" i="14"/>
  <c r="N30" i="14"/>
  <c r="L30" i="14"/>
  <c r="M30" i="14"/>
  <c r="O30" i="14"/>
  <c r="P30" i="14"/>
  <c r="Q30" i="14"/>
  <c r="W30" i="14"/>
  <c r="B30" i="14"/>
  <c r="Z30" i="14"/>
  <c r="AC30" i="14"/>
  <c r="AD30" i="14"/>
  <c r="AE30" i="14"/>
  <c r="AF30" i="14"/>
  <c r="K31" i="14"/>
  <c r="N31" i="14"/>
  <c r="L31" i="14"/>
  <c r="M31" i="14"/>
  <c r="O31" i="14"/>
  <c r="P31" i="14"/>
  <c r="Q31" i="14"/>
  <c r="W31" i="14"/>
  <c r="B31" i="14"/>
  <c r="Z31" i="14"/>
  <c r="AC31" i="14"/>
  <c r="AD31" i="14"/>
  <c r="AE31" i="14"/>
  <c r="AF31" i="14"/>
  <c r="K32" i="14"/>
  <c r="N32" i="14"/>
  <c r="L32" i="14"/>
  <c r="M32" i="14"/>
  <c r="O32" i="14"/>
  <c r="P32" i="14"/>
  <c r="Q32" i="14"/>
  <c r="W32" i="14"/>
  <c r="B32" i="14"/>
  <c r="Z32" i="14"/>
  <c r="AC32" i="14"/>
  <c r="AD32" i="14"/>
  <c r="AE32" i="14"/>
  <c r="AF32" i="14"/>
  <c r="K33" i="14"/>
  <c r="N33" i="14"/>
  <c r="L33" i="14"/>
  <c r="M33" i="14"/>
  <c r="O33" i="14"/>
  <c r="P33" i="14"/>
  <c r="Q33" i="14"/>
  <c r="W33" i="14"/>
  <c r="B33" i="14"/>
  <c r="Z33" i="14"/>
  <c r="AC33" i="14"/>
  <c r="AD33" i="14"/>
  <c r="AE33" i="14"/>
  <c r="AF33" i="14"/>
  <c r="C13" i="14"/>
  <c r="BZ15" i="18"/>
  <c r="CA15" i="18"/>
  <c r="C14" i="14"/>
  <c r="BZ16" i="18"/>
  <c r="CA16" i="18"/>
  <c r="C15" i="14"/>
  <c r="BZ17" i="18"/>
  <c r="CA17" i="18"/>
  <c r="C16" i="14"/>
  <c r="BZ18" i="18"/>
  <c r="CA18" i="18"/>
  <c r="C17" i="14"/>
  <c r="BZ19" i="18"/>
  <c r="CA19" i="18"/>
  <c r="C18" i="14"/>
  <c r="BZ20" i="18"/>
  <c r="CA20" i="18"/>
  <c r="C19" i="14"/>
  <c r="BZ21" i="18"/>
  <c r="CA21" i="18"/>
  <c r="C20" i="14"/>
  <c r="BZ22" i="18"/>
  <c r="CA22" i="18"/>
  <c r="C21" i="14"/>
  <c r="BZ23" i="18"/>
  <c r="CA23" i="18"/>
  <c r="C22" i="14"/>
  <c r="BZ24" i="18"/>
  <c r="CA24" i="18"/>
  <c r="C23" i="14"/>
  <c r="BZ25" i="18"/>
  <c r="CA25" i="18"/>
  <c r="C24" i="14"/>
  <c r="BZ26" i="18"/>
  <c r="CA26" i="18"/>
  <c r="C25" i="14"/>
  <c r="BZ27" i="18"/>
  <c r="CA27" i="18"/>
  <c r="C26" i="14"/>
  <c r="BZ28" i="18"/>
  <c r="CA28" i="18"/>
  <c r="C27" i="14"/>
  <c r="BZ29" i="18"/>
  <c r="CA29" i="18"/>
  <c r="C28" i="14"/>
  <c r="BZ30" i="18"/>
  <c r="CA30" i="18"/>
  <c r="C29" i="14"/>
  <c r="BZ31" i="18"/>
  <c r="CA31" i="18"/>
  <c r="C30" i="14"/>
  <c r="BZ32" i="18"/>
  <c r="CA32" i="18"/>
  <c r="C31" i="14"/>
  <c r="BZ33" i="18"/>
  <c r="CA33" i="18"/>
  <c r="C32" i="14"/>
  <c r="BZ34" i="18"/>
  <c r="CA34" i="18"/>
  <c r="C33" i="14"/>
  <c r="BZ35" i="18"/>
  <c r="CA35" i="18"/>
  <c r="C34" i="14"/>
  <c r="K34" i="14"/>
  <c r="BZ36" i="18"/>
  <c r="CA36" i="18"/>
  <c r="N34" i="14"/>
  <c r="L34" i="14"/>
  <c r="M34" i="14"/>
  <c r="O34" i="14"/>
  <c r="P34" i="14"/>
  <c r="Q34" i="14"/>
  <c r="W34" i="14"/>
  <c r="B34" i="14"/>
  <c r="Z34" i="14"/>
  <c r="AC34" i="14"/>
  <c r="AD34" i="14"/>
  <c r="AE34" i="14"/>
  <c r="AF34" i="14"/>
  <c r="I34" i="14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F15" i="18"/>
  <c r="BG15" i="18"/>
  <c r="BH15" i="18"/>
  <c r="BI15" i="18"/>
  <c r="BJ15" i="18"/>
  <c r="BK15" i="18"/>
  <c r="BL15" i="18"/>
  <c r="BM15" i="18"/>
  <c r="BN15" i="18"/>
  <c r="BO15" i="18"/>
  <c r="BP15" i="18"/>
  <c r="BQ15" i="18"/>
  <c r="BR15" i="18"/>
  <c r="BS15" i="18"/>
  <c r="BT15" i="18"/>
  <c r="BW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F16" i="18"/>
  <c r="BG16" i="18"/>
  <c r="BH16" i="18"/>
  <c r="BI16" i="18"/>
  <c r="BJ16" i="18"/>
  <c r="BK16" i="18"/>
  <c r="BL16" i="18"/>
  <c r="BM16" i="18"/>
  <c r="BN16" i="18"/>
  <c r="BO16" i="18"/>
  <c r="BP16" i="18"/>
  <c r="BQ16" i="18"/>
  <c r="BR16" i="18"/>
  <c r="BS16" i="18"/>
  <c r="BT16" i="18"/>
  <c r="BW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F17" i="18"/>
  <c r="BG17" i="18"/>
  <c r="BH17" i="18"/>
  <c r="BI17" i="18"/>
  <c r="BJ17" i="18"/>
  <c r="BK17" i="18"/>
  <c r="BL17" i="18"/>
  <c r="BM17" i="18"/>
  <c r="BN17" i="18"/>
  <c r="BO17" i="18"/>
  <c r="BP17" i="18"/>
  <c r="BQ17" i="18"/>
  <c r="BR17" i="18"/>
  <c r="BS17" i="18"/>
  <c r="BT17" i="18"/>
  <c r="BW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F18" i="18"/>
  <c r="BG18" i="18"/>
  <c r="BH18" i="18"/>
  <c r="BI18" i="18"/>
  <c r="BJ18" i="18"/>
  <c r="BK18" i="18"/>
  <c r="BL18" i="18"/>
  <c r="BM18" i="18"/>
  <c r="BN18" i="18"/>
  <c r="BO18" i="18"/>
  <c r="BP18" i="18"/>
  <c r="BQ18" i="18"/>
  <c r="BR18" i="18"/>
  <c r="BS18" i="18"/>
  <c r="BT18" i="18"/>
  <c r="BW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F19" i="18"/>
  <c r="BG19" i="18"/>
  <c r="BH19" i="18"/>
  <c r="BI19" i="18"/>
  <c r="BJ19" i="18"/>
  <c r="BK19" i="18"/>
  <c r="BL19" i="18"/>
  <c r="BM19" i="18"/>
  <c r="BN19" i="18"/>
  <c r="BO19" i="18"/>
  <c r="BP19" i="18"/>
  <c r="BQ19" i="18"/>
  <c r="BR19" i="18"/>
  <c r="BS19" i="18"/>
  <c r="BT19" i="18"/>
  <c r="BW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W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W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W22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W23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F24" i="18"/>
  <c r="BG24" i="18"/>
  <c r="BH24" i="18"/>
  <c r="BI24" i="18"/>
  <c r="BJ24" i="18"/>
  <c r="BK24" i="18"/>
  <c r="BL24" i="18"/>
  <c r="BM24" i="18"/>
  <c r="BN24" i="18"/>
  <c r="BO24" i="18"/>
  <c r="BP24" i="18"/>
  <c r="BQ24" i="18"/>
  <c r="BR24" i="18"/>
  <c r="BS24" i="18"/>
  <c r="BT24" i="18"/>
  <c r="BW24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F25" i="18"/>
  <c r="BG25" i="18"/>
  <c r="BH25" i="18"/>
  <c r="BI25" i="18"/>
  <c r="BJ25" i="18"/>
  <c r="BK25" i="18"/>
  <c r="BL25" i="18"/>
  <c r="BM25" i="18"/>
  <c r="BN25" i="18"/>
  <c r="BO25" i="18"/>
  <c r="BP25" i="18"/>
  <c r="BQ25" i="18"/>
  <c r="BR25" i="18"/>
  <c r="BS25" i="18"/>
  <c r="BT25" i="18"/>
  <c r="BW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F26" i="18"/>
  <c r="BG26" i="18"/>
  <c r="BH26" i="18"/>
  <c r="BI26" i="18"/>
  <c r="BJ26" i="18"/>
  <c r="BK26" i="18"/>
  <c r="BL26" i="18"/>
  <c r="BM26" i="18"/>
  <c r="BN26" i="18"/>
  <c r="BO26" i="18"/>
  <c r="BP26" i="18"/>
  <c r="BQ26" i="18"/>
  <c r="BR26" i="18"/>
  <c r="BS26" i="18"/>
  <c r="BT26" i="18"/>
  <c r="BW26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W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F28" i="18"/>
  <c r="BG28" i="18"/>
  <c r="BH28" i="18"/>
  <c r="BI28" i="18"/>
  <c r="BJ28" i="18"/>
  <c r="BK28" i="18"/>
  <c r="BL28" i="18"/>
  <c r="BM28" i="18"/>
  <c r="BN28" i="18"/>
  <c r="BO28" i="18"/>
  <c r="BP28" i="18"/>
  <c r="BQ28" i="18"/>
  <c r="BR28" i="18"/>
  <c r="BS28" i="18"/>
  <c r="BT28" i="18"/>
  <c r="BW28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F29" i="18"/>
  <c r="BG29" i="18"/>
  <c r="BH29" i="18"/>
  <c r="BI29" i="18"/>
  <c r="BJ29" i="18"/>
  <c r="BK29" i="18"/>
  <c r="BL29" i="18"/>
  <c r="BM29" i="18"/>
  <c r="BN29" i="18"/>
  <c r="BO29" i="18"/>
  <c r="BP29" i="18"/>
  <c r="BQ29" i="18"/>
  <c r="BR29" i="18"/>
  <c r="BS29" i="18"/>
  <c r="BT29" i="18"/>
  <c r="BW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F30" i="18"/>
  <c r="BG30" i="18"/>
  <c r="BH30" i="18"/>
  <c r="BI30" i="18"/>
  <c r="BJ30" i="18"/>
  <c r="BK30" i="18"/>
  <c r="BL30" i="18"/>
  <c r="BM30" i="18"/>
  <c r="BN30" i="18"/>
  <c r="BO30" i="18"/>
  <c r="BP30" i="18"/>
  <c r="BQ30" i="18"/>
  <c r="BR30" i="18"/>
  <c r="BS30" i="18"/>
  <c r="BT30" i="18"/>
  <c r="BW30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F31" i="18"/>
  <c r="BG31" i="18"/>
  <c r="BH31" i="18"/>
  <c r="BI31" i="18"/>
  <c r="BJ31" i="18"/>
  <c r="BK31" i="18"/>
  <c r="BL31" i="18"/>
  <c r="BM31" i="18"/>
  <c r="BN31" i="18"/>
  <c r="BO31" i="18"/>
  <c r="BP31" i="18"/>
  <c r="BQ31" i="18"/>
  <c r="BR31" i="18"/>
  <c r="BS31" i="18"/>
  <c r="BT31" i="18"/>
  <c r="BW31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F32" i="18"/>
  <c r="BG32" i="18"/>
  <c r="BH32" i="18"/>
  <c r="BI32" i="18"/>
  <c r="BJ32" i="18"/>
  <c r="BK32" i="18"/>
  <c r="BL32" i="18"/>
  <c r="BM32" i="18"/>
  <c r="BN32" i="18"/>
  <c r="BO32" i="18"/>
  <c r="BP32" i="18"/>
  <c r="BQ32" i="18"/>
  <c r="BR32" i="18"/>
  <c r="BS32" i="18"/>
  <c r="BT32" i="18"/>
  <c r="BW32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F33" i="18"/>
  <c r="BG33" i="18"/>
  <c r="BH33" i="18"/>
  <c r="BI33" i="18"/>
  <c r="BJ33" i="18"/>
  <c r="BK33" i="18"/>
  <c r="BL33" i="18"/>
  <c r="BM33" i="18"/>
  <c r="BN33" i="18"/>
  <c r="BO33" i="18"/>
  <c r="BP33" i="18"/>
  <c r="BQ33" i="18"/>
  <c r="BR33" i="18"/>
  <c r="BS33" i="18"/>
  <c r="BT33" i="18"/>
  <c r="BW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F34" i="18"/>
  <c r="BG34" i="18"/>
  <c r="BH34" i="18"/>
  <c r="BI34" i="18"/>
  <c r="BJ34" i="18"/>
  <c r="BK34" i="18"/>
  <c r="BL34" i="18"/>
  <c r="BM34" i="18"/>
  <c r="BN34" i="18"/>
  <c r="BO34" i="18"/>
  <c r="BP34" i="18"/>
  <c r="BQ34" i="18"/>
  <c r="BR34" i="18"/>
  <c r="BS34" i="18"/>
  <c r="BT34" i="18"/>
  <c r="BW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F35" i="18"/>
  <c r="BG35" i="18"/>
  <c r="BH35" i="18"/>
  <c r="BI35" i="18"/>
  <c r="BJ35" i="18"/>
  <c r="BK35" i="18"/>
  <c r="BL35" i="18"/>
  <c r="BM35" i="18"/>
  <c r="BN35" i="18"/>
  <c r="BO35" i="18"/>
  <c r="BP35" i="18"/>
  <c r="BQ35" i="18"/>
  <c r="BR35" i="18"/>
  <c r="BS35" i="18"/>
  <c r="BT35" i="18"/>
  <c r="BW35" i="18"/>
  <c r="BR27" i="25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13" i="14"/>
  <c r="BV15" i="18"/>
  <c r="AI15" i="14"/>
  <c r="AI14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13" i="14"/>
  <c r="AA35" i="14"/>
  <c r="AB35" i="14"/>
  <c r="AC35" i="14"/>
  <c r="AD35" i="14"/>
  <c r="AE35" i="14"/>
  <c r="AF35" i="14"/>
  <c r="Z35" i="14"/>
  <c r="Y35" i="14"/>
  <c r="F66" i="17"/>
  <c r="F60" i="17"/>
  <c r="F64" i="17"/>
  <c r="F75" i="17"/>
  <c r="F77" i="17"/>
  <c r="AZ10" i="20"/>
  <c r="AT10" i="20"/>
  <c r="F49" i="17"/>
  <c r="F46" i="17"/>
  <c r="F47" i="17"/>
  <c r="F51" i="17"/>
  <c r="F55" i="17"/>
  <c r="F33" i="17"/>
  <c r="F48" i="17"/>
  <c r="F53" i="17"/>
  <c r="F34" i="17"/>
  <c r="F44" i="17"/>
  <c r="F36" i="17"/>
  <c r="F50" i="17"/>
  <c r="F39" i="17"/>
  <c r="F43" i="17"/>
  <c r="F37" i="17"/>
  <c r="F41" i="17"/>
  <c r="D10" i="17"/>
  <c r="F29" i="17"/>
  <c r="F14" i="17"/>
  <c r="F17" i="17"/>
  <c r="F19" i="17"/>
  <c r="F26" i="17"/>
  <c r="F23" i="17"/>
  <c r="F32" i="17"/>
  <c r="F12" i="17"/>
  <c r="F25" i="17"/>
  <c r="F13" i="17"/>
  <c r="F22" i="17"/>
  <c r="F15" i="17"/>
  <c r="F27" i="17"/>
  <c r="F16" i="17"/>
  <c r="F20" i="17"/>
  <c r="F31" i="17"/>
  <c r="R5" i="9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3" i="17"/>
  <c r="B48" i="17"/>
  <c r="B44" i="17"/>
  <c r="B36" i="17"/>
  <c r="B34" i="17"/>
  <c r="AS4" i="25"/>
  <c r="B30" i="17"/>
  <c r="F10" i="17"/>
  <c r="BC19" i="18"/>
  <c r="BC30" i="18"/>
  <c r="BC36" i="18"/>
  <c r="BE15" i="18"/>
  <c r="BE16" i="18"/>
  <c r="BE17" i="18"/>
  <c r="BE18" i="18"/>
  <c r="BE19" i="18"/>
  <c r="BE20" i="18"/>
  <c r="BE21" i="18"/>
  <c r="BE22" i="18"/>
  <c r="BE23" i="18"/>
  <c r="BE24" i="18"/>
  <c r="BE25" i="18"/>
  <c r="BE26" i="18"/>
  <c r="BE27" i="18"/>
  <c r="BE28" i="18"/>
  <c r="BE29" i="18"/>
  <c r="BE30" i="18"/>
  <c r="BE31" i="18"/>
  <c r="BE32" i="18"/>
  <c r="BE33" i="18"/>
  <c r="BE34" i="18"/>
  <c r="BE35" i="18"/>
  <c r="BE36" i="18"/>
  <c r="BF36" i="18"/>
  <c r="BH36" i="18"/>
  <c r="BI36" i="18"/>
  <c r="BJ36" i="18"/>
  <c r="BK36" i="18"/>
  <c r="BL36" i="18"/>
  <c r="BM36" i="18"/>
  <c r="BN36" i="18"/>
  <c r="BO36" i="18"/>
  <c r="BP36" i="18"/>
  <c r="BQ36" i="18"/>
  <c r="BR36" i="18"/>
  <c r="BS36" i="18"/>
  <c r="BE10" i="17"/>
  <c r="E36" i="18"/>
  <c r="F36" i="18"/>
  <c r="C8" i="9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D36" i="18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14" i="26"/>
  <c r="AC10" i="17"/>
  <c r="BT36" i="18"/>
  <c r="D13" i="18"/>
  <c r="H13" i="18"/>
  <c r="J13" i="18"/>
  <c r="K13" i="18"/>
  <c r="L13" i="18"/>
  <c r="M13" i="18"/>
  <c r="N13" i="18"/>
  <c r="Q13" i="18"/>
  <c r="R13" i="18"/>
  <c r="S13" i="18"/>
  <c r="T13" i="18"/>
  <c r="U13" i="18"/>
  <c r="V13" i="18"/>
  <c r="W13" i="18"/>
  <c r="Z13" i="18"/>
  <c r="AA13" i="18"/>
  <c r="AC13" i="18"/>
  <c r="AD13" i="18"/>
  <c r="AH13" i="18"/>
  <c r="AI13" i="18"/>
  <c r="AJ13" i="18"/>
  <c r="AK13" i="18"/>
  <c r="AN13" i="18"/>
  <c r="AO13" i="18"/>
  <c r="AP13" i="18"/>
  <c r="AQ13" i="18"/>
  <c r="AR13" i="18"/>
  <c r="AS13" i="18"/>
  <c r="AT13" i="18"/>
  <c r="AV13" i="18"/>
  <c r="AY13" i="18"/>
  <c r="AZ13" i="18"/>
  <c r="BB13" i="18"/>
  <c r="BF13" i="18"/>
  <c r="BG13" i="18"/>
  <c r="BH13" i="18"/>
  <c r="BI13" i="18"/>
  <c r="BJ13" i="18"/>
  <c r="BK13" i="18"/>
  <c r="BL13" i="18"/>
  <c r="BM13" i="18"/>
  <c r="BN13" i="18"/>
  <c r="BO13" i="18"/>
  <c r="BP13" i="18"/>
  <c r="BP9" i="18"/>
  <c r="BQ9" i="18"/>
  <c r="BQ13" i="18"/>
  <c r="BR13" i="18"/>
  <c r="BS13" i="18"/>
  <c r="BT13" i="18"/>
  <c r="BC15" i="19"/>
  <c r="AI6" i="25"/>
  <c r="AH6" i="25"/>
  <c r="AJ6" i="25"/>
  <c r="AK6" i="25"/>
  <c r="D3" i="26"/>
  <c r="B3" i="26"/>
  <c r="BC16" i="19"/>
  <c r="AI7" i="25"/>
  <c r="AH7" i="25"/>
  <c r="AJ7" i="25"/>
  <c r="AK7" i="25"/>
  <c r="D4" i="26"/>
  <c r="B4" i="26"/>
  <c r="BC17" i="19"/>
  <c r="AI8" i="25"/>
  <c r="AH8" i="25"/>
  <c r="AJ8" i="25"/>
  <c r="AK8" i="25"/>
  <c r="BS8" i="25"/>
  <c r="D5" i="26"/>
  <c r="B5" i="26"/>
  <c r="BC18" i="19"/>
  <c r="AI9" i="25"/>
  <c r="AH9" i="25"/>
  <c r="AJ9" i="25"/>
  <c r="AK9" i="25"/>
  <c r="D6" i="26"/>
  <c r="B6" i="26"/>
  <c r="BC19" i="19"/>
  <c r="AI10" i="25"/>
  <c r="AH10" i="25"/>
  <c r="AJ10" i="25"/>
  <c r="AK10" i="25"/>
  <c r="D7" i="26"/>
  <c r="B7" i="26"/>
  <c r="BC20" i="19"/>
  <c r="AI11" i="25"/>
  <c r="AH11" i="25"/>
  <c r="AJ11" i="25"/>
  <c r="AK11" i="25"/>
  <c r="BS11" i="25"/>
  <c r="D8" i="26"/>
  <c r="B8" i="26"/>
  <c r="BC21" i="19"/>
  <c r="D9" i="26"/>
  <c r="B9" i="26"/>
  <c r="BC22" i="19"/>
  <c r="AI13" i="25"/>
  <c r="AH13" i="25"/>
  <c r="AJ13" i="25"/>
  <c r="AK13" i="25"/>
  <c r="D10" i="26"/>
  <c r="B10" i="26"/>
  <c r="BC23" i="19"/>
  <c r="AI14" i="25"/>
  <c r="AH14" i="25"/>
  <c r="AJ14" i="25"/>
  <c r="AK14" i="25"/>
  <c r="D11" i="26"/>
  <c r="B11" i="26"/>
  <c r="BC24" i="19"/>
  <c r="BC25" i="19"/>
  <c r="AI15" i="25"/>
  <c r="AH15" i="25"/>
  <c r="AJ15" i="25"/>
  <c r="AK15" i="25"/>
  <c r="D12" i="26"/>
  <c r="B12" i="26"/>
  <c r="BC26" i="19"/>
  <c r="AI16" i="25"/>
  <c r="AH16" i="25"/>
  <c r="AJ16" i="25"/>
  <c r="AK16" i="25"/>
  <c r="BS16" i="25"/>
  <c r="D13" i="26"/>
  <c r="B13" i="26"/>
  <c r="BC27" i="19"/>
  <c r="AI17" i="25"/>
  <c r="AH17" i="25"/>
  <c r="AJ17" i="25"/>
  <c r="AK17" i="25"/>
  <c r="D14" i="26"/>
  <c r="BC28" i="19"/>
  <c r="AI18" i="25"/>
  <c r="AH18" i="25"/>
  <c r="AJ18" i="25"/>
  <c r="AK18" i="25"/>
  <c r="D15" i="26"/>
  <c r="B15" i="26"/>
  <c r="BC29" i="19"/>
  <c r="AI19" i="25"/>
  <c r="AH19" i="25"/>
  <c r="AJ19" i="25"/>
  <c r="AK19" i="25"/>
  <c r="D16" i="26"/>
  <c r="B16" i="26"/>
  <c r="BC30" i="19"/>
  <c r="AI20" i="25"/>
  <c r="AH20" i="25"/>
  <c r="AJ20" i="25"/>
  <c r="AK20" i="25"/>
  <c r="BS20" i="25"/>
  <c r="D17" i="26"/>
  <c r="B17" i="26"/>
  <c r="AI21" i="25"/>
  <c r="AH21" i="25"/>
  <c r="AJ21" i="25"/>
  <c r="AK21" i="25"/>
  <c r="BS21" i="25"/>
  <c r="D18" i="26"/>
  <c r="B18" i="26"/>
  <c r="BC32" i="19"/>
  <c r="AI22" i="25"/>
  <c r="AH22" i="25"/>
  <c r="AJ22" i="25"/>
  <c r="AK22" i="25"/>
  <c r="D19" i="26"/>
  <c r="B19" i="26"/>
  <c r="BC33" i="19"/>
  <c r="AI23" i="25"/>
  <c r="AH23" i="25"/>
  <c r="AJ23" i="25"/>
  <c r="AK23" i="25"/>
  <c r="D20" i="26"/>
  <c r="B20" i="26"/>
  <c r="BC34" i="19"/>
  <c r="AI24" i="25"/>
  <c r="AH24" i="25"/>
  <c r="AJ24" i="25"/>
  <c r="AK24" i="25"/>
  <c r="D21" i="26"/>
  <c r="B21" i="26"/>
  <c r="BC35" i="19"/>
  <c r="AI25" i="25"/>
  <c r="AH25" i="25"/>
  <c r="AJ25" i="25"/>
  <c r="AK25" i="25"/>
  <c r="BS25" i="25"/>
  <c r="D22" i="26"/>
  <c r="B22" i="26"/>
  <c r="BC36" i="19"/>
  <c r="M56" i="9"/>
  <c r="AI26" i="25"/>
  <c r="AH26" i="25"/>
  <c r="AJ26" i="25"/>
  <c r="AK26" i="25"/>
  <c r="D23" i="26"/>
  <c r="B23" i="26"/>
  <c r="AI27" i="25"/>
  <c r="AH27" i="25"/>
  <c r="AJ27" i="25"/>
  <c r="AK27" i="25"/>
  <c r="D24" i="26"/>
  <c r="B24" i="26"/>
  <c r="D5" i="9"/>
  <c r="D11" i="9"/>
  <c r="D9" i="9"/>
  <c r="D12" i="9"/>
  <c r="D13" i="9"/>
  <c r="D14" i="9"/>
  <c r="D15" i="9"/>
  <c r="D18" i="9"/>
  <c r="D19" i="9"/>
  <c r="D20" i="9"/>
  <c r="D21" i="9"/>
  <c r="D22" i="9"/>
  <c r="D23" i="9"/>
  <c r="D24" i="9"/>
  <c r="D27" i="9"/>
  <c r="D28" i="9"/>
  <c r="D30" i="9"/>
  <c r="D31" i="9"/>
  <c r="D35" i="9"/>
  <c r="D36" i="9"/>
  <c r="D37" i="9"/>
  <c r="D38" i="9"/>
  <c r="D41" i="9"/>
  <c r="D42" i="9"/>
  <c r="D43" i="9"/>
  <c r="D44" i="9"/>
  <c r="D45" i="9"/>
  <c r="D46" i="9"/>
  <c r="D47" i="9"/>
  <c r="D49" i="9"/>
  <c r="D52" i="9"/>
  <c r="D53" i="9"/>
  <c r="D55" i="9"/>
  <c r="F56" i="9"/>
  <c r="G63" i="9"/>
  <c r="BD13" i="19"/>
  <c r="BF13" i="19"/>
  <c r="BH13" i="19"/>
  <c r="BI13" i="19"/>
  <c r="BJ13" i="19"/>
  <c r="BK13" i="19"/>
  <c r="BL13" i="19"/>
  <c r="BM13" i="19"/>
  <c r="BN13" i="19"/>
  <c r="BO13" i="19"/>
  <c r="BP13" i="19"/>
  <c r="BQ13" i="19"/>
  <c r="BR13" i="19"/>
  <c r="BS13" i="19"/>
  <c r="BT13" i="19"/>
  <c r="BC45" i="18"/>
  <c r="H45" i="18"/>
  <c r="I45" i="18"/>
  <c r="J45" i="18"/>
  <c r="K45" i="18"/>
  <c r="L45" i="18"/>
  <c r="M45" i="18"/>
  <c r="N45" i="18"/>
  <c r="O45" i="18"/>
  <c r="P45" i="18"/>
  <c r="AM45" i="18"/>
  <c r="AN45" i="18"/>
  <c r="AO45" i="18"/>
  <c r="AP45" i="18"/>
  <c r="BF45" i="18"/>
  <c r="BS45" i="18"/>
  <c r="BT45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B43" i="18"/>
  <c r="AZ43" i="18"/>
  <c r="AY43" i="18"/>
  <c r="AV43" i="18"/>
  <c r="AT43" i="18"/>
  <c r="AS43" i="18"/>
  <c r="AR43" i="18"/>
  <c r="AQ43" i="18"/>
  <c r="AP43" i="18"/>
  <c r="AO43" i="18"/>
  <c r="AN43" i="18"/>
  <c r="AK43" i="18"/>
  <c r="AJ43" i="18"/>
  <c r="AI43" i="18"/>
  <c r="AH43" i="18"/>
  <c r="AD43" i="18"/>
  <c r="AC43" i="18"/>
  <c r="AA43" i="18"/>
  <c r="Z43" i="18"/>
  <c r="W43" i="18"/>
  <c r="V43" i="18"/>
  <c r="U43" i="18"/>
  <c r="T43" i="18"/>
  <c r="S43" i="18"/>
  <c r="R43" i="18"/>
  <c r="Q43" i="18"/>
  <c r="N43" i="18"/>
  <c r="M43" i="18"/>
  <c r="L43" i="18"/>
  <c r="K43" i="18"/>
  <c r="J43" i="18"/>
  <c r="H43" i="18"/>
  <c r="D43" i="18"/>
  <c r="BZ45" i="18"/>
  <c r="CA45" i="18"/>
  <c r="BE45" i="18"/>
  <c r="BE19" i="19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U10" i="20"/>
  <c r="AV10" i="20"/>
  <c r="AW10" i="20"/>
  <c r="AX10" i="20"/>
  <c r="AY10" i="20"/>
  <c r="BA10" i="20"/>
  <c r="BB10" i="20"/>
  <c r="D10" i="20"/>
  <c r="E10" i="17"/>
  <c r="J29" i="22"/>
  <c r="F28" i="9"/>
  <c r="M44" i="22"/>
  <c r="B55" i="17"/>
  <c r="B54" i="17"/>
  <c r="B52" i="17"/>
  <c r="B51" i="17"/>
  <c r="B50" i="17"/>
  <c r="B49" i="17"/>
  <c r="B47" i="17"/>
  <c r="B46" i="17"/>
  <c r="B45" i="17"/>
  <c r="B43" i="17"/>
  <c r="B42" i="17"/>
  <c r="B41" i="17"/>
  <c r="B40" i="17"/>
  <c r="B39" i="17"/>
  <c r="B38" i="17"/>
  <c r="B37" i="17"/>
  <c r="B35" i="17"/>
  <c r="B33" i="17"/>
  <c r="M32" i="22"/>
  <c r="L32" i="22"/>
  <c r="G29" i="22"/>
  <c r="H29" i="22"/>
  <c r="N32" i="22"/>
  <c r="L30" i="22"/>
  <c r="L31" i="22"/>
  <c r="L29" i="22"/>
  <c r="N28" i="22"/>
  <c r="K30" i="9"/>
  <c r="K31" i="9"/>
  <c r="K32" i="9"/>
  <c r="K33" i="9"/>
  <c r="K34" i="9"/>
  <c r="K51" i="9"/>
  <c r="K56" i="9"/>
  <c r="E13" i="14"/>
  <c r="F13" i="14"/>
  <c r="E33" i="14"/>
  <c r="F33" i="14"/>
  <c r="E34" i="14"/>
  <c r="F34" i="14"/>
  <c r="E32" i="14"/>
  <c r="F32" i="14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J118" i="29"/>
  <c r="J119" i="29"/>
  <c r="J120" i="29"/>
  <c r="J121" i="29"/>
  <c r="J122" i="29"/>
  <c r="J123" i="29"/>
  <c r="J124" i="29"/>
  <c r="J125" i="29"/>
  <c r="J126" i="29"/>
  <c r="J127" i="29"/>
  <c r="J128" i="29"/>
  <c r="J129" i="29"/>
  <c r="J130" i="29"/>
  <c r="J131" i="29"/>
  <c r="J132" i="29"/>
  <c r="J133" i="29"/>
  <c r="J134" i="29"/>
  <c r="J135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48" i="29"/>
  <c r="J149" i="29"/>
  <c r="J150" i="29"/>
  <c r="J151" i="29"/>
  <c r="J152" i="29"/>
  <c r="J153" i="29"/>
  <c r="J154" i="29"/>
  <c r="J155" i="29"/>
  <c r="J156" i="29"/>
  <c r="J157" i="29"/>
  <c r="J158" i="29"/>
  <c r="J159" i="29"/>
  <c r="J160" i="29"/>
  <c r="J161" i="29"/>
  <c r="J162" i="29"/>
  <c r="J163" i="29"/>
  <c r="J164" i="29"/>
  <c r="J165" i="29"/>
  <c r="J166" i="29"/>
  <c r="J167" i="29"/>
  <c r="J168" i="29"/>
  <c r="J169" i="29"/>
  <c r="J170" i="29"/>
  <c r="J171" i="29"/>
  <c r="J172" i="29"/>
  <c r="J173" i="29"/>
  <c r="J174" i="29"/>
  <c r="J175" i="29"/>
  <c r="J176" i="29"/>
  <c r="J177" i="29"/>
  <c r="J178" i="29"/>
  <c r="J179" i="29"/>
  <c r="J180" i="29"/>
  <c r="J181" i="29"/>
  <c r="J182" i="29"/>
  <c r="J183" i="29"/>
  <c r="J184" i="29"/>
  <c r="J185" i="29"/>
  <c r="J186" i="29"/>
  <c r="J187" i="29"/>
  <c r="J188" i="29"/>
  <c r="J189" i="29"/>
  <c r="J190" i="29"/>
  <c r="J191" i="29"/>
  <c r="J192" i="29"/>
  <c r="J193" i="29"/>
  <c r="J194" i="29"/>
  <c r="J195" i="29"/>
  <c r="J196" i="29"/>
  <c r="J197" i="29"/>
  <c r="J198" i="29"/>
  <c r="J199" i="29"/>
  <c r="J200" i="29"/>
  <c r="J201" i="29"/>
  <c r="J202" i="29"/>
  <c r="J203" i="29"/>
  <c r="J204" i="29"/>
  <c r="J205" i="29"/>
  <c r="J206" i="29"/>
  <c r="J207" i="29"/>
  <c r="J208" i="29"/>
  <c r="J209" i="29"/>
  <c r="J210" i="29"/>
  <c r="J211" i="29"/>
  <c r="J212" i="29"/>
  <c r="J213" i="29"/>
  <c r="J214" i="29"/>
  <c r="J215" i="29"/>
  <c r="J216" i="29"/>
  <c r="J217" i="29"/>
  <c r="J218" i="29"/>
  <c r="J219" i="29"/>
  <c r="J220" i="29"/>
  <c r="J221" i="29"/>
  <c r="J222" i="29"/>
  <c r="J223" i="29"/>
  <c r="J224" i="29"/>
  <c r="J225" i="29"/>
  <c r="J226" i="29"/>
  <c r="J227" i="29"/>
  <c r="J228" i="29"/>
  <c r="J229" i="29"/>
  <c r="J230" i="29"/>
  <c r="J231" i="29"/>
  <c r="J232" i="29"/>
  <c r="J233" i="29"/>
  <c r="J234" i="29"/>
  <c r="J235" i="29"/>
  <c r="J236" i="29"/>
  <c r="J237" i="29"/>
  <c r="J238" i="29"/>
  <c r="J239" i="29"/>
  <c r="J240" i="29"/>
  <c r="J241" i="29"/>
  <c r="J242" i="29"/>
  <c r="J243" i="29"/>
  <c r="J244" i="29"/>
  <c r="J245" i="29"/>
  <c r="J246" i="29"/>
  <c r="J247" i="29"/>
  <c r="J248" i="29"/>
  <c r="J249" i="29"/>
  <c r="J250" i="29"/>
  <c r="J251" i="29"/>
  <c r="J252" i="29"/>
  <c r="J253" i="29"/>
  <c r="J254" i="29"/>
  <c r="J255" i="29"/>
  <c r="J256" i="29"/>
  <c r="J257" i="29"/>
  <c r="J258" i="29"/>
  <c r="J259" i="29"/>
  <c r="J260" i="29"/>
  <c r="J261" i="29"/>
  <c r="J262" i="29"/>
  <c r="J263" i="29"/>
  <c r="J264" i="29"/>
  <c r="J265" i="29"/>
  <c r="J266" i="29"/>
  <c r="J267" i="29"/>
  <c r="J268" i="29"/>
  <c r="J269" i="29"/>
  <c r="J270" i="29"/>
  <c r="J271" i="29"/>
  <c r="J272" i="29"/>
  <c r="J273" i="29"/>
  <c r="J274" i="29"/>
  <c r="J275" i="29"/>
  <c r="J276" i="29"/>
  <c r="J277" i="29"/>
  <c r="J278" i="29"/>
  <c r="J279" i="29"/>
  <c r="J280" i="29"/>
  <c r="J281" i="29"/>
  <c r="J282" i="29"/>
  <c r="J283" i="29"/>
  <c r="J284" i="29"/>
  <c r="J285" i="29"/>
  <c r="J286" i="29"/>
  <c r="J287" i="29"/>
  <c r="J288" i="29"/>
  <c r="J289" i="29"/>
  <c r="J290" i="29"/>
  <c r="J291" i="29"/>
  <c r="J292" i="29"/>
  <c r="J293" i="29"/>
  <c r="J294" i="29"/>
  <c r="J295" i="29"/>
  <c r="J296" i="29"/>
  <c r="J297" i="29"/>
  <c r="J298" i="29"/>
  <c r="J299" i="29"/>
  <c r="J300" i="29"/>
  <c r="J301" i="29"/>
  <c r="J302" i="29"/>
  <c r="J303" i="29"/>
  <c r="J304" i="29"/>
  <c r="J305" i="29"/>
  <c r="J306" i="29"/>
  <c r="J307" i="29"/>
  <c r="J308" i="29"/>
  <c r="J309" i="29"/>
  <c r="J310" i="29"/>
  <c r="J311" i="29"/>
  <c r="J312" i="29"/>
  <c r="J313" i="29"/>
  <c r="J314" i="29"/>
  <c r="J315" i="29"/>
  <c r="J316" i="29"/>
  <c r="J317" i="29"/>
  <c r="J318" i="29"/>
  <c r="J319" i="29"/>
  <c r="J320" i="29"/>
  <c r="J321" i="29"/>
  <c r="J322" i="29"/>
  <c r="J323" i="29"/>
  <c r="J324" i="29"/>
  <c r="J325" i="29"/>
  <c r="J326" i="29"/>
  <c r="J327" i="29"/>
  <c r="J328" i="29"/>
  <c r="J329" i="29"/>
  <c r="J330" i="29"/>
  <c r="J331" i="29"/>
  <c r="J332" i="29"/>
  <c r="J333" i="29"/>
  <c r="J334" i="29"/>
  <c r="J335" i="29"/>
  <c r="J336" i="29"/>
  <c r="J337" i="29"/>
  <c r="J338" i="29"/>
  <c r="J339" i="29"/>
  <c r="J340" i="29"/>
  <c r="J341" i="29"/>
  <c r="J342" i="29"/>
  <c r="J343" i="29"/>
  <c r="J344" i="29"/>
  <c r="J345" i="29"/>
  <c r="J346" i="29"/>
  <c r="J347" i="29"/>
  <c r="J348" i="29"/>
  <c r="J349" i="29"/>
  <c r="J350" i="29"/>
  <c r="J351" i="29"/>
  <c r="J352" i="29"/>
  <c r="J353" i="29"/>
  <c r="J354" i="29"/>
  <c r="J355" i="29"/>
  <c r="J356" i="29"/>
  <c r="J357" i="29"/>
  <c r="J358" i="29"/>
  <c r="J359" i="29"/>
  <c r="J360" i="29"/>
  <c r="J361" i="29"/>
  <c r="J362" i="29"/>
  <c r="J363" i="29"/>
  <c r="J364" i="29"/>
  <c r="J365" i="29"/>
  <c r="J366" i="29"/>
  <c r="J367" i="29"/>
  <c r="J368" i="29"/>
  <c r="J369" i="29"/>
  <c r="J370" i="29"/>
  <c r="J371" i="29"/>
  <c r="J372" i="29"/>
  <c r="J373" i="29"/>
  <c r="J374" i="29"/>
  <c r="J375" i="29"/>
  <c r="J376" i="29"/>
  <c r="J377" i="29"/>
  <c r="J378" i="29"/>
  <c r="J379" i="29"/>
  <c r="J380" i="29"/>
  <c r="J381" i="29"/>
  <c r="J382" i="29"/>
  <c r="J383" i="29"/>
  <c r="J384" i="29"/>
  <c r="J385" i="29"/>
  <c r="J386" i="29"/>
  <c r="J387" i="29"/>
  <c r="J388" i="29"/>
  <c r="J389" i="29"/>
  <c r="J390" i="29"/>
  <c r="J391" i="29"/>
  <c r="J392" i="29"/>
  <c r="J393" i="29"/>
  <c r="J394" i="29"/>
  <c r="J395" i="29"/>
  <c r="J396" i="29"/>
  <c r="J397" i="29"/>
  <c r="J398" i="29"/>
  <c r="J399" i="29"/>
  <c r="J400" i="29"/>
  <c r="J401" i="29"/>
  <c r="J402" i="29"/>
  <c r="J403" i="29"/>
  <c r="J404" i="29"/>
  <c r="J405" i="29"/>
  <c r="J406" i="29"/>
  <c r="J407" i="29"/>
  <c r="J408" i="29"/>
  <c r="J409" i="29"/>
  <c r="J410" i="29"/>
  <c r="J411" i="29"/>
  <c r="J412" i="29"/>
  <c r="J413" i="29"/>
  <c r="J414" i="29"/>
  <c r="J415" i="29"/>
  <c r="J416" i="29"/>
  <c r="J417" i="29"/>
  <c r="J418" i="29"/>
  <c r="J419" i="29"/>
  <c r="J420" i="29"/>
  <c r="J421" i="29"/>
  <c r="J422" i="29"/>
  <c r="J423" i="29"/>
  <c r="J424" i="29"/>
  <c r="J425" i="29"/>
  <c r="J426" i="29"/>
  <c r="J427" i="29"/>
  <c r="J428" i="29"/>
  <c r="J429" i="29"/>
  <c r="J430" i="29"/>
  <c r="J431" i="29"/>
  <c r="J432" i="29"/>
  <c r="J433" i="29"/>
  <c r="J434" i="29"/>
  <c r="J435" i="29"/>
  <c r="J436" i="29"/>
  <c r="J437" i="29"/>
  <c r="J438" i="29"/>
  <c r="J439" i="29"/>
  <c r="J440" i="29"/>
  <c r="J441" i="29"/>
  <c r="J442" i="29"/>
  <c r="J443" i="29"/>
  <c r="J444" i="29"/>
  <c r="J445" i="29"/>
  <c r="J446" i="29"/>
  <c r="J447" i="29"/>
  <c r="J448" i="29"/>
  <c r="J449" i="29"/>
  <c r="J450" i="29"/>
  <c r="J451" i="29"/>
  <c r="J452" i="29"/>
  <c r="J453" i="29"/>
  <c r="J454" i="29"/>
  <c r="J455" i="29"/>
  <c r="J456" i="29"/>
  <c r="J457" i="29"/>
  <c r="J458" i="29"/>
  <c r="J459" i="29"/>
  <c r="J460" i="29"/>
  <c r="J461" i="29"/>
  <c r="J462" i="29"/>
  <c r="J463" i="29"/>
  <c r="J464" i="29"/>
  <c r="J465" i="29"/>
  <c r="J466" i="29"/>
  <c r="J467" i="29"/>
  <c r="J468" i="29"/>
  <c r="J469" i="29"/>
  <c r="J470" i="29"/>
  <c r="J471" i="29"/>
  <c r="J472" i="29"/>
  <c r="J473" i="29"/>
  <c r="J474" i="29"/>
  <c r="J475" i="29"/>
  <c r="J476" i="29"/>
  <c r="J477" i="29"/>
  <c r="J478" i="29"/>
  <c r="J479" i="29"/>
  <c r="J480" i="29"/>
  <c r="J481" i="29"/>
  <c r="J482" i="29"/>
  <c r="J483" i="29"/>
  <c r="J484" i="29"/>
  <c r="J485" i="29"/>
  <c r="J486" i="29"/>
  <c r="J487" i="29"/>
  <c r="J488" i="29"/>
  <c r="J489" i="29"/>
  <c r="J490" i="29"/>
  <c r="J491" i="29"/>
  <c r="J492" i="29"/>
  <c r="J493" i="29"/>
  <c r="J494" i="29"/>
  <c r="J495" i="29"/>
  <c r="J496" i="29"/>
  <c r="J497" i="29"/>
  <c r="J498" i="29"/>
  <c r="J499" i="29"/>
  <c r="J500" i="29"/>
  <c r="J501" i="29"/>
  <c r="J502" i="29"/>
  <c r="J503" i="29"/>
  <c r="J504" i="29"/>
  <c r="J505" i="29"/>
  <c r="J506" i="29"/>
  <c r="J507" i="29"/>
  <c r="J508" i="29"/>
  <c r="J509" i="29"/>
  <c r="J510" i="29"/>
  <c r="J511" i="29"/>
  <c r="J512" i="29"/>
  <c r="J513" i="29"/>
  <c r="J514" i="29"/>
  <c r="J515" i="29"/>
  <c r="J516" i="29"/>
  <c r="J517" i="29"/>
  <c r="J518" i="29"/>
  <c r="J519" i="29"/>
  <c r="J520" i="29"/>
  <c r="J521" i="29"/>
  <c r="J522" i="29"/>
  <c r="J523" i="29"/>
  <c r="J524" i="29"/>
  <c r="J525" i="29"/>
  <c r="J526" i="29"/>
  <c r="J527" i="29"/>
  <c r="J528" i="29"/>
  <c r="J529" i="29"/>
  <c r="J530" i="29"/>
  <c r="J531" i="29"/>
  <c r="J532" i="29"/>
  <c r="J533" i="29"/>
  <c r="J534" i="29"/>
  <c r="J535" i="29"/>
  <c r="J536" i="29"/>
  <c r="J537" i="29"/>
  <c r="J538" i="29"/>
  <c r="J539" i="29"/>
  <c r="J540" i="29"/>
  <c r="J541" i="29"/>
  <c r="J542" i="29"/>
  <c r="J543" i="29"/>
  <c r="J544" i="29"/>
  <c r="J545" i="29"/>
  <c r="J546" i="29"/>
  <c r="J547" i="29"/>
  <c r="J548" i="29"/>
  <c r="J549" i="29"/>
  <c r="J550" i="29"/>
  <c r="J551" i="29"/>
  <c r="J552" i="29"/>
  <c r="J553" i="29"/>
  <c r="J554" i="29"/>
  <c r="J555" i="29"/>
  <c r="J556" i="29"/>
  <c r="J557" i="29"/>
  <c r="J558" i="29"/>
  <c r="J559" i="29"/>
  <c r="J560" i="29"/>
  <c r="J561" i="29"/>
  <c r="J562" i="29"/>
  <c r="J563" i="29"/>
  <c r="J564" i="29"/>
  <c r="J565" i="29"/>
  <c r="J566" i="29"/>
  <c r="J567" i="29"/>
  <c r="J568" i="29"/>
  <c r="J569" i="29"/>
  <c r="J570" i="29"/>
  <c r="J571" i="29"/>
  <c r="J572" i="29"/>
  <c r="J573" i="29"/>
  <c r="J574" i="29"/>
  <c r="J575" i="29"/>
  <c r="J576" i="29"/>
  <c r="J577" i="29"/>
  <c r="J578" i="29"/>
  <c r="J579" i="29"/>
  <c r="J580" i="29"/>
  <c r="J581" i="29"/>
  <c r="J582" i="29"/>
  <c r="J583" i="29"/>
  <c r="J584" i="29"/>
  <c r="J585" i="29"/>
  <c r="J586" i="29"/>
  <c r="J587" i="29"/>
  <c r="J588" i="29"/>
  <c r="J589" i="29"/>
  <c r="J590" i="29"/>
  <c r="J591" i="29"/>
  <c r="J592" i="29"/>
  <c r="J593" i="29"/>
  <c r="J594" i="29"/>
  <c r="J595" i="29"/>
  <c r="J596" i="29"/>
  <c r="J597" i="29"/>
  <c r="J598" i="29"/>
  <c r="J599" i="29"/>
  <c r="J600" i="29"/>
  <c r="J601" i="29"/>
  <c r="J602" i="29"/>
  <c r="J603" i="29"/>
  <c r="J604" i="29"/>
  <c r="J605" i="29"/>
  <c r="J606" i="29"/>
  <c r="J607" i="29"/>
  <c r="J608" i="29"/>
  <c r="J609" i="29"/>
  <c r="J610" i="29"/>
  <c r="J611" i="29"/>
  <c r="J612" i="29"/>
  <c r="J613" i="29"/>
  <c r="J614" i="29"/>
  <c r="J615" i="29"/>
  <c r="J616" i="29"/>
  <c r="J617" i="29"/>
  <c r="J618" i="29"/>
  <c r="J619" i="29"/>
  <c r="J620" i="29"/>
  <c r="J621" i="29"/>
  <c r="J622" i="29"/>
  <c r="J623" i="29"/>
  <c r="J624" i="29"/>
  <c r="J625" i="29"/>
  <c r="J626" i="29"/>
  <c r="J627" i="29"/>
  <c r="J628" i="29"/>
  <c r="J629" i="29"/>
  <c r="J630" i="29"/>
  <c r="J631" i="29"/>
  <c r="J632" i="29"/>
  <c r="J633" i="29"/>
  <c r="J634" i="29"/>
  <c r="J635" i="29"/>
  <c r="J636" i="29"/>
  <c r="J637" i="29"/>
  <c r="J638" i="29"/>
  <c r="J639" i="29"/>
  <c r="J640" i="29"/>
  <c r="J641" i="29"/>
  <c r="J642" i="29"/>
  <c r="J643" i="29"/>
  <c r="J644" i="29"/>
  <c r="J645" i="29"/>
  <c r="J646" i="29"/>
  <c r="J647" i="29"/>
  <c r="J648" i="29"/>
  <c r="J649" i="29"/>
  <c r="J650" i="29"/>
  <c r="J651" i="29"/>
  <c r="J652" i="29"/>
  <c r="J653" i="29"/>
  <c r="J654" i="29"/>
  <c r="J655" i="29"/>
  <c r="J656" i="29"/>
  <c r="J657" i="29"/>
  <c r="J658" i="29"/>
  <c r="J659" i="29"/>
  <c r="J660" i="29"/>
  <c r="J661" i="29"/>
  <c r="J662" i="29"/>
  <c r="J663" i="29"/>
  <c r="J664" i="29"/>
  <c r="J665" i="29"/>
  <c r="J666" i="29"/>
  <c r="J667" i="29"/>
  <c r="J668" i="29"/>
  <c r="J669" i="29"/>
  <c r="J670" i="29"/>
  <c r="J671" i="29"/>
  <c r="J672" i="29"/>
  <c r="J673" i="29"/>
  <c r="J674" i="29"/>
  <c r="J675" i="29"/>
  <c r="J676" i="29"/>
  <c r="J677" i="29"/>
  <c r="J678" i="29"/>
  <c r="J679" i="29"/>
  <c r="J680" i="29"/>
  <c r="J681" i="29"/>
  <c r="J682" i="29"/>
  <c r="J683" i="29"/>
  <c r="J684" i="29"/>
  <c r="J685" i="29"/>
  <c r="J686" i="29"/>
  <c r="J687" i="29"/>
  <c r="J688" i="29"/>
  <c r="J689" i="29"/>
  <c r="J690" i="29"/>
  <c r="J691" i="29"/>
  <c r="J692" i="29"/>
  <c r="J693" i="29"/>
  <c r="J694" i="29"/>
  <c r="J695" i="29"/>
  <c r="J696" i="29"/>
  <c r="J697" i="29"/>
  <c r="J698" i="29"/>
  <c r="J699" i="29"/>
  <c r="J700" i="29"/>
  <c r="J701" i="29"/>
  <c r="J702" i="29"/>
  <c r="J703" i="29"/>
  <c r="J704" i="29"/>
  <c r="J705" i="29"/>
  <c r="J706" i="29"/>
  <c r="J707" i="29"/>
  <c r="J708" i="29"/>
  <c r="J709" i="29"/>
  <c r="J710" i="29"/>
  <c r="J711" i="29"/>
  <c r="J712" i="29"/>
  <c r="J713" i="29"/>
  <c r="J714" i="29"/>
  <c r="J715" i="29"/>
  <c r="J716" i="29"/>
  <c r="J717" i="29"/>
  <c r="J718" i="29"/>
  <c r="J719" i="29"/>
  <c r="J720" i="29"/>
  <c r="J721" i="29"/>
  <c r="J722" i="29"/>
  <c r="J723" i="29"/>
  <c r="J724" i="29"/>
  <c r="J725" i="29"/>
  <c r="J726" i="29"/>
  <c r="J727" i="29"/>
  <c r="J728" i="29"/>
  <c r="J729" i="29"/>
  <c r="J730" i="29"/>
  <c r="J731" i="29"/>
  <c r="J732" i="29"/>
  <c r="J733" i="29"/>
  <c r="J734" i="29"/>
  <c r="J735" i="29"/>
  <c r="J736" i="29"/>
  <c r="J737" i="29"/>
  <c r="J738" i="29"/>
  <c r="J739" i="29"/>
  <c r="J740" i="29"/>
  <c r="J741" i="29"/>
  <c r="J742" i="29"/>
  <c r="J743" i="29"/>
  <c r="J744" i="29"/>
  <c r="J745" i="29"/>
  <c r="J746" i="29"/>
  <c r="J747" i="29"/>
  <c r="J748" i="29"/>
  <c r="J749" i="29"/>
  <c r="BC37" i="19"/>
  <c r="BE37" i="19"/>
  <c r="B37" i="19"/>
  <c r="BE36" i="19"/>
  <c r="H670" i="27"/>
  <c r="H671" i="27"/>
  <c r="H672" i="27"/>
  <c r="H673" i="27"/>
  <c r="H674" i="27"/>
  <c r="H675" i="27"/>
  <c r="H676" i="27"/>
  <c r="H677" i="27"/>
  <c r="H678" i="27"/>
  <c r="H679" i="27"/>
  <c r="H680" i="27"/>
  <c r="H681" i="27"/>
  <c r="H682" i="27"/>
  <c r="H683" i="27"/>
  <c r="H684" i="27"/>
  <c r="H685" i="27"/>
  <c r="H686" i="27"/>
  <c r="H687" i="27"/>
  <c r="H688" i="27"/>
  <c r="H689" i="27"/>
  <c r="H690" i="27"/>
  <c r="H691" i="27"/>
  <c r="H692" i="27"/>
  <c r="H693" i="27"/>
  <c r="H694" i="27"/>
  <c r="H695" i="27"/>
  <c r="H2000" i="27"/>
  <c r="J2000" i="27"/>
  <c r="H2001" i="27"/>
  <c r="J2001" i="27"/>
  <c r="H2002" i="27"/>
  <c r="J2002" i="27"/>
  <c r="H2003" i="27"/>
  <c r="J2003" i="27"/>
  <c r="H2004" i="27"/>
  <c r="J2004" i="27"/>
  <c r="H2005" i="27"/>
  <c r="J2005" i="27"/>
  <c r="H2006" i="27"/>
  <c r="H2007" i="27"/>
  <c r="J2007" i="27"/>
  <c r="H2008" i="27"/>
  <c r="H2009" i="27"/>
  <c r="J2009" i="27"/>
  <c r="H2010" i="27"/>
  <c r="J2010" i="27"/>
  <c r="H2011" i="27"/>
  <c r="J2011" i="27"/>
  <c r="H2012" i="27"/>
  <c r="J2012" i="27"/>
  <c r="H2013" i="27"/>
  <c r="J2013" i="27"/>
  <c r="H2014" i="27"/>
  <c r="H2015" i="27"/>
  <c r="J2015" i="27"/>
  <c r="H2016" i="27"/>
  <c r="J2016" i="27"/>
  <c r="H2017" i="27"/>
  <c r="J2017" i="27"/>
  <c r="H2018" i="27"/>
  <c r="J2018" i="27"/>
  <c r="H2019" i="27"/>
  <c r="J2019" i="27"/>
  <c r="H2020" i="27"/>
  <c r="J2020" i="27"/>
  <c r="H2021" i="27"/>
  <c r="J2021" i="27"/>
  <c r="H2022" i="27"/>
  <c r="H2023" i="27"/>
  <c r="J2023" i="27"/>
  <c r="H2024" i="27"/>
  <c r="J2024" i="27"/>
  <c r="H2025" i="27"/>
  <c r="J2025" i="27"/>
  <c r="H2026" i="27"/>
  <c r="J2026" i="27"/>
  <c r="H2027" i="27"/>
  <c r="J2027" i="27"/>
  <c r="H2028" i="27"/>
  <c r="J2028" i="27"/>
  <c r="H2029" i="27"/>
  <c r="J2029" i="27"/>
  <c r="H2030" i="27"/>
  <c r="J2030" i="27"/>
  <c r="H2031" i="27"/>
  <c r="J2031" i="27"/>
  <c r="H2032" i="27"/>
  <c r="J2032" i="27"/>
  <c r="H2033" i="27"/>
  <c r="J2033" i="27"/>
  <c r="H2034" i="27"/>
  <c r="J2034" i="27"/>
  <c r="H2035" i="27"/>
  <c r="J2035" i="27"/>
  <c r="H2036" i="27"/>
  <c r="J2036" i="27"/>
  <c r="H2037" i="27"/>
  <c r="J2037" i="27"/>
  <c r="H2038" i="27"/>
  <c r="J2038" i="27"/>
  <c r="H2039" i="27"/>
  <c r="J2039" i="27"/>
  <c r="H2040" i="27"/>
  <c r="H2041" i="27"/>
  <c r="J2041" i="27"/>
  <c r="H2042" i="27"/>
  <c r="J2042" i="27"/>
  <c r="H2043" i="27"/>
  <c r="J2043" i="27"/>
  <c r="H2044" i="27"/>
  <c r="J2044" i="27"/>
  <c r="H2045" i="27"/>
  <c r="J2045" i="27"/>
  <c r="H2046" i="27"/>
  <c r="J2046" i="27"/>
  <c r="H2047" i="27"/>
  <c r="J2047" i="27"/>
  <c r="H2048" i="27"/>
  <c r="H2049" i="27"/>
  <c r="J2049" i="27"/>
  <c r="H2050" i="27"/>
  <c r="J2050" i="27"/>
  <c r="H2051" i="27"/>
  <c r="J2051" i="27"/>
  <c r="H2052" i="27"/>
  <c r="J2052" i="27"/>
  <c r="H2053" i="27"/>
  <c r="J2053" i="27"/>
  <c r="H2054" i="27"/>
  <c r="J2054" i="27"/>
  <c r="J2006" i="27"/>
  <c r="J2008" i="27"/>
  <c r="J2014" i="27"/>
  <c r="J2022" i="27"/>
  <c r="J2040" i="27"/>
  <c r="J2048" i="27"/>
  <c r="B36" i="18"/>
  <c r="B35" i="18"/>
  <c r="B27" i="25"/>
  <c r="B26" i="25"/>
  <c r="BE35" i="19"/>
  <c r="B35" i="19"/>
  <c r="B34" i="18"/>
  <c r="B25" i="25"/>
  <c r="B31" i="17"/>
  <c r="B32" i="17"/>
  <c r="K6" i="9"/>
  <c r="M6" i="9"/>
  <c r="K7" i="9"/>
  <c r="K8" i="9"/>
  <c r="K9" i="9"/>
  <c r="K10" i="9"/>
  <c r="K11" i="9"/>
  <c r="M11" i="9"/>
  <c r="L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M26" i="9"/>
  <c r="K27" i="9"/>
  <c r="K29" i="9"/>
  <c r="K35" i="9"/>
  <c r="K36" i="9"/>
  <c r="K37" i="9"/>
  <c r="M37" i="9"/>
  <c r="L37" i="9"/>
  <c r="K38" i="9"/>
  <c r="K39" i="9"/>
  <c r="K40" i="9"/>
  <c r="K42" i="9"/>
  <c r="K43" i="9"/>
  <c r="K44" i="9"/>
  <c r="M44" i="9"/>
  <c r="L44" i="9"/>
  <c r="K45" i="9"/>
  <c r="K46" i="9"/>
  <c r="M46" i="9"/>
  <c r="L46" i="9"/>
  <c r="K47" i="9"/>
  <c r="K48" i="9"/>
  <c r="K49" i="9"/>
  <c r="K50" i="9"/>
  <c r="K52" i="9"/>
  <c r="K53" i="9"/>
  <c r="K54" i="9"/>
  <c r="K55" i="9"/>
  <c r="K5" i="9"/>
  <c r="B23" i="25"/>
  <c r="B24" i="25"/>
  <c r="B18" i="25"/>
  <c r="R61" i="9"/>
  <c r="R58" i="9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AZ10" i="17"/>
  <c r="BA10" i="17"/>
  <c r="BB10" i="17"/>
  <c r="BC10" i="17"/>
  <c r="BD10" i="17"/>
  <c r="BF10" i="17"/>
  <c r="BG10" i="17"/>
  <c r="BH10" i="17"/>
  <c r="BI10" i="17"/>
  <c r="BJ10" i="17"/>
  <c r="BK10" i="17"/>
  <c r="BL10" i="17"/>
  <c r="BM10" i="17"/>
  <c r="BN10" i="17"/>
  <c r="BO10" i="17"/>
  <c r="BP10" i="17"/>
  <c r="BQ10" i="17"/>
  <c r="BR10" i="17"/>
  <c r="B36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25" i="18"/>
  <c r="B26" i="18"/>
  <c r="B27" i="18"/>
  <c r="B28" i="18"/>
  <c r="B29" i="18"/>
  <c r="B30" i="18"/>
  <c r="B31" i="18"/>
  <c r="B32" i="18"/>
  <c r="B33" i="18"/>
  <c r="E30" i="14"/>
  <c r="F30" i="14"/>
  <c r="E31" i="14"/>
  <c r="F31" i="14"/>
  <c r="B28" i="20"/>
  <c r="B29" i="20"/>
  <c r="B30" i="20"/>
  <c r="B31" i="20"/>
  <c r="B32" i="20"/>
  <c r="B33" i="20"/>
  <c r="B34" i="20"/>
  <c r="B25" i="17"/>
  <c r="B26" i="17"/>
  <c r="B27" i="17"/>
  <c r="B28" i="17"/>
  <c r="B29" i="17"/>
  <c r="B17" i="25"/>
  <c r="E28" i="14"/>
  <c r="F28" i="14"/>
  <c r="E29" i="14"/>
  <c r="F29" i="14"/>
  <c r="BE16" i="19"/>
  <c r="BE17" i="19"/>
  <c r="BE18" i="19"/>
  <c r="BE20" i="19"/>
  <c r="BE21" i="19"/>
  <c r="BE22" i="19"/>
  <c r="BE23" i="19"/>
  <c r="BE24" i="19"/>
  <c r="BE25" i="19"/>
  <c r="BE26" i="19"/>
  <c r="BE27" i="19"/>
  <c r="BE28" i="19"/>
  <c r="BE29" i="19"/>
  <c r="BE30" i="19"/>
  <c r="BE32" i="19"/>
  <c r="BE33" i="19"/>
  <c r="BE34" i="19"/>
  <c r="BC10" i="20"/>
  <c r="E27" i="14"/>
  <c r="F27" i="14"/>
  <c r="L36" i="22"/>
  <c r="L37" i="22"/>
  <c r="M37" i="22"/>
  <c r="N37" i="22"/>
  <c r="O37" i="22"/>
  <c r="AL4" i="25"/>
  <c r="AM4" i="25"/>
  <c r="AN4" i="25"/>
  <c r="AO4" i="25"/>
  <c r="AP4" i="25"/>
  <c r="AQ4" i="25"/>
  <c r="AY4" i="25"/>
  <c r="BS9" i="25"/>
  <c r="AR4" i="25"/>
  <c r="AT4" i="25"/>
  <c r="AU4" i="25"/>
  <c r="BS10" i="25"/>
  <c r="AV4" i="25"/>
  <c r="AW4" i="25"/>
  <c r="AX4" i="25"/>
  <c r="AZ4" i="25"/>
  <c r="BA4" i="25"/>
  <c r="BB4" i="25"/>
  <c r="BC4" i="25"/>
  <c r="BD4" i="25"/>
  <c r="BE4" i="25"/>
  <c r="BF4" i="25"/>
  <c r="BS23" i="25"/>
  <c r="BG4" i="25"/>
  <c r="BH4" i="25"/>
  <c r="BI4" i="25"/>
  <c r="BJ4" i="25"/>
  <c r="BK4" i="25"/>
  <c r="BL4" i="25"/>
  <c r="BM4" i="25"/>
  <c r="BN4" i="25"/>
  <c r="BO4" i="25"/>
  <c r="BP4" i="25"/>
  <c r="F52" i="22"/>
  <c r="G52" i="22"/>
  <c r="I52" i="22"/>
  <c r="J52" i="22"/>
  <c r="G8" i="22"/>
  <c r="I8" i="22"/>
  <c r="AQ2" i="25"/>
  <c r="Y9" i="14"/>
  <c r="V6" i="9"/>
  <c r="B3" i="9"/>
  <c r="E2" i="9"/>
  <c r="R22" i="9"/>
  <c r="X22" i="9"/>
  <c r="X5" i="9"/>
  <c r="M10" i="9"/>
  <c r="M13" i="9"/>
  <c r="M18" i="9"/>
  <c r="M20" i="9"/>
  <c r="M25" i="9"/>
  <c r="M38" i="9"/>
  <c r="M47" i="9"/>
  <c r="M50" i="9"/>
  <c r="B13" i="17"/>
  <c r="B14" i="17"/>
  <c r="B15" i="17"/>
  <c r="B16" i="17"/>
  <c r="B17" i="17"/>
  <c r="B18" i="17"/>
  <c r="B19" i="17"/>
  <c r="B20" i="17"/>
  <c r="B21" i="17"/>
  <c r="B22" i="17"/>
  <c r="B23" i="17"/>
  <c r="B24" i="17"/>
  <c r="B12" i="17"/>
  <c r="B7" i="25"/>
  <c r="B8" i="25"/>
  <c r="B9" i="25"/>
  <c r="B10" i="25"/>
  <c r="B11" i="25"/>
  <c r="B12" i="25"/>
  <c r="B13" i="25"/>
  <c r="B14" i="25"/>
  <c r="B15" i="25"/>
  <c r="B16" i="25"/>
  <c r="B19" i="25"/>
  <c r="B20" i="25"/>
  <c r="B21" i="25"/>
  <c r="B22" i="25"/>
  <c r="B6" i="25"/>
  <c r="B15" i="19"/>
  <c r="B15" i="18"/>
  <c r="B16" i="18"/>
  <c r="B17" i="18"/>
  <c r="B18" i="18"/>
  <c r="B19" i="18"/>
  <c r="B20" i="18"/>
  <c r="B21" i="18"/>
  <c r="B22" i="18"/>
  <c r="B23" i="18"/>
  <c r="B24" i="18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AM2" i="25"/>
  <c r="AN2" i="25"/>
  <c r="AO2" i="25"/>
  <c r="AP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AL2" i="25"/>
  <c r="L77" i="22"/>
  <c r="AB27" i="9"/>
  <c r="V27" i="9"/>
  <c r="AB14" i="9"/>
  <c r="Y6" i="9"/>
  <c r="AB6" i="9"/>
  <c r="S7" i="9"/>
  <c r="D57" i="9"/>
  <c r="F57" i="9"/>
  <c r="N56" i="9"/>
  <c r="L57" i="9"/>
  <c r="N57" i="9"/>
  <c r="BE15" i="19"/>
  <c r="L9" i="9"/>
  <c r="L12" i="9"/>
  <c r="L13" i="9"/>
  <c r="L14" i="9"/>
  <c r="L15" i="9"/>
  <c r="L18" i="9"/>
  <c r="L19" i="9"/>
  <c r="L20" i="9"/>
  <c r="L21" i="9"/>
  <c r="L22" i="9"/>
  <c r="L23" i="9"/>
  <c r="L35" i="9"/>
  <c r="L36" i="9"/>
  <c r="L38" i="9"/>
  <c r="L47" i="9"/>
  <c r="L49" i="9"/>
  <c r="L52" i="9"/>
  <c r="L53" i="9"/>
  <c r="L55" i="9"/>
  <c r="L70" i="22"/>
  <c r="L71" i="22"/>
  <c r="L72" i="22"/>
  <c r="L73" i="22"/>
  <c r="L74" i="22"/>
  <c r="L75" i="22"/>
  <c r="L76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69" i="22"/>
  <c r="V23" i="9"/>
  <c r="S24" i="9"/>
  <c r="Y23" i="9"/>
  <c r="AB24" i="9"/>
  <c r="L5" i="9"/>
  <c r="M2" i="9"/>
  <c r="J3" i="9"/>
  <c r="E14" i="14"/>
  <c r="F14" i="14"/>
  <c r="E15" i="14"/>
  <c r="F15" i="14"/>
  <c r="E16" i="14"/>
  <c r="F16" i="14"/>
  <c r="E17" i="14"/>
  <c r="F17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C77" i="23"/>
  <c r="C78" i="23"/>
  <c r="D76" i="23"/>
  <c r="D77" i="23"/>
  <c r="D78" i="23"/>
  <c r="C73" i="23"/>
  <c r="I22" i="14"/>
  <c r="D72" i="23"/>
  <c r="D73" i="23"/>
  <c r="D74" i="23"/>
  <c r="C69" i="23"/>
  <c r="C70" i="23"/>
  <c r="D68" i="23"/>
  <c r="E68" i="23"/>
  <c r="C65" i="23"/>
  <c r="C66" i="23"/>
  <c r="D64" i="23"/>
  <c r="D65" i="23"/>
  <c r="D66" i="23"/>
  <c r="C61" i="23"/>
  <c r="C62" i="23"/>
  <c r="D60" i="23"/>
  <c r="C57" i="23"/>
  <c r="C58" i="23"/>
  <c r="D56" i="23"/>
  <c r="D57" i="23"/>
  <c r="D58" i="23"/>
  <c r="C48" i="23"/>
  <c r="C49" i="23"/>
  <c r="D47" i="23"/>
  <c r="E47" i="23"/>
  <c r="F47" i="23"/>
  <c r="C44" i="23"/>
  <c r="C45" i="23"/>
  <c r="D43" i="23"/>
  <c r="E43" i="23"/>
  <c r="C40" i="23"/>
  <c r="C41" i="23"/>
  <c r="D39" i="23"/>
  <c r="E39" i="23"/>
  <c r="E40" i="23"/>
  <c r="E41" i="23"/>
  <c r="D40" i="23"/>
  <c r="D41" i="23"/>
  <c r="C36" i="23"/>
  <c r="C37" i="23"/>
  <c r="D35" i="23"/>
  <c r="D36" i="23"/>
  <c r="D37" i="23"/>
  <c r="C32" i="23"/>
  <c r="C33" i="23"/>
  <c r="D31" i="23"/>
  <c r="E31" i="23"/>
  <c r="C23" i="23"/>
  <c r="C24" i="23"/>
  <c r="D22" i="23"/>
  <c r="D23" i="23"/>
  <c r="D24" i="23"/>
  <c r="C19" i="23"/>
  <c r="C20" i="23"/>
  <c r="D18" i="23"/>
  <c r="E18" i="23"/>
  <c r="F18" i="23"/>
  <c r="D19" i="23"/>
  <c r="D20" i="23"/>
  <c r="C15" i="23"/>
  <c r="C16" i="23"/>
  <c r="D14" i="23"/>
  <c r="D15" i="23"/>
  <c r="D16" i="23"/>
  <c r="I19" i="14"/>
  <c r="AC137" i="22"/>
  <c r="AC136" i="22"/>
  <c r="AC135" i="22"/>
  <c r="AC134" i="22"/>
  <c r="AC133" i="22"/>
  <c r="AC132" i="22"/>
  <c r="AC131" i="22"/>
  <c r="AC130" i="22"/>
  <c r="AC129" i="22"/>
  <c r="AC128" i="22"/>
  <c r="G118" i="22"/>
  <c r="I118" i="22"/>
  <c r="J118" i="22"/>
  <c r="G117" i="22"/>
  <c r="I117" i="22"/>
  <c r="J117" i="22"/>
  <c r="G116" i="22"/>
  <c r="I116" i="22"/>
  <c r="J116" i="22"/>
  <c r="G115" i="22"/>
  <c r="I115" i="22"/>
  <c r="J115" i="22"/>
  <c r="G114" i="22"/>
  <c r="I114" i="22"/>
  <c r="J114" i="22"/>
  <c r="G113" i="22"/>
  <c r="I113" i="22"/>
  <c r="J113" i="22"/>
  <c r="G112" i="22"/>
  <c r="I112" i="22"/>
  <c r="J112" i="22"/>
  <c r="G111" i="22"/>
  <c r="I111" i="22"/>
  <c r="J111" i="22"/>
  <c r="G110" i="22"/>
  <c r="I110" i="22"/>
  <c r="J110" i="22"/>
  <c r="G109" i="22"/>
  <c r="I109" i="22"/>
  <c r="J109" i="22"/>
  <c r="G108" i="22"/>
  <c r="I108" i="22"/>
  <c r="J108" i="22"/>
  <c r="G107" i="22"/>
  <c r="I107" i="22"/>
  <c r="J107" i="22"/>
  <c r="G106" i="22"/>
  <c r="I106" i="22"/>
  <c r="J106" i="22"/>
  <c r="G105" i="22"/>
  <c r="I105" i="22"/>
  <c r="J105" i="22"/>
  <c r="G104" i="22"/>
  <c r="I104" i="22"/>
  <c r="J104" i="22"/>
  <c r="G103" i="22"/>
  <c r="I103" i="22"/>
  <c r="J103" i="22"/>
  <c r="G102" i="22"/>
  <c r="I102" i="22"/>
  <c r="J102" i="22"/>
  <c r="G101" i="22"/>
  <c r="I101" i="22"/>
  <c r="J101" i="22"/>
  <c r="G100" i="22"/>
  <c r="I100" i="22"/>
  <c r="J100" i="22"/>
  <c r="G99" i="22"/>
  <c r="I99" i="22"/>
  <c r="J99" i="22"/>
  <c r="G98" i="22"/>
  <c r="I98" i="22"/>
  <c r="J98" i="22"/>
  <c r="G97" i="22"/>
  <c r="I97" i="22"/>
  <c r="J97" i="22"/>
  <c r="G96" i="22"/>
  <c r="I96" i="22"/>
  <c r="J96" i="22"/>
  <c r="G95" i="22"/>
  <c r="I95" i="22"/>
  <c r="J95" i="22"/>
  <c r="G94" i="22"/>
  <c r="I94" i="22"/>
  <c r="J94" i="22"/>
  <c r="G93" i="22"/>
  <c r="I93" i="22"/>
  <c r="J93" i="22"/>
  <c r="G92" i="22"/>
  <c r="I92" i="22"/>
  <c r="J92" i="22"/>
  <c r="G91" i="22"/>
  <c r="I91" i="22"/>
  <c r="J91" i="22"/>
  <c r="G90" i="22"/>
  <c r="I90" i="22"/>
  <c r="J90" i="22"/>
  <c r="G89" i="22"/>
  <c r="I89" i="22"/>
  <c r="J89" i="22"/>
  <c r="G88" i="22"/>
  <c r="I88" i="22"/>
  <c r="J88" i="22"/>
  <c r="G87" i="22"/>
  <c r="I87" i="22"/>
  <c r="J87" i="22"/>
  <c r="G86" i="22"/>
  <c r="I86" i="22"/>
  <c r="J86" i="22"/>
  <c r="G85" i="22"/>
  <c r="I85" i="22"/>
  <c r="J85" i="22"/>
  <c r="G84" i="22"/>
  <c r="I84" i="22"/>
  <c r="J84" i="22"/>
  <c r="G83" i="22"/>
  <c r="I83" i="22"/>
  <c r="J83" i="22"/>
  <c r="G82" i="22"/>
  <c r="I82" i="22"/>
  <c r="J82" i="22"/>
  <c r="G81" i="22"/>
  <c r="I81" i="22"/>
  <c r="J81" i="22"/>
  <c r="G80" i="22"/>
  <c r="I80" i="22"/>
  <c r="J80" i="22"/>
  <c r="G79" i="22"/>
  <c r="I79" i="22"/>
  <c r="J79" i="22"/>
  <c r="G78" i="22"/>
  <c r="I78" i="22"/>
  <c r="J78" i="22"/>
  <c r="G77" i="22"/>
  <c r="I77" i="22"/>
  <c r="J77" i="22"/>
  <c r="G76" i="22"/>
  <c r="I76" i="22"/>
  <c r="J76" i="22"/>
  <c r="G75" i="22"/>
  <c r="I75" i="22"/>
  <c r="J75" i="22"/>
  <c r="G74" i="22"/>
  <c r="I74" i="22"/>
  <c r="J74" i="22"/>
  <c r="G73" i="22"/>
  <c r="I73" i="22"/>
  <c r="J73" i="22"/>
  <c r="G72" i="22"/>
  <c r="I72" i="22"/>
  <c r="J72" i="22"/>
  <c r="G71" i="22"/>
  <c r="I71" i="22"/>
  <c r="J71" i="22"/>
  <c r="G70" i="22"/>
  <c r="I70" i="22"/>
  <c r="J70" i="22"/>
  <c r="G69" i="22"/>
  <c r="I69" i="22"/>
  <c r="J69" i="22"/>
  <c r="G56" i="22"/>
  <c r="H56" i="22"/>
  <c r="G55" i="22"/>
  <c r="I55" i="22"/>
  <c r="J54" i="22"/>
  <c r="N53" i="9"/>
  <c r="G54" i="22"/>
  <c r="J53" i="22"/>
  <c r="AY13" i="19"/>
  <c r="G53" i="22"/>
  <c r="G51" i="22"/>
  <c r="I51" i="22"/>
  <c r="L50" i="9"/>
  <c r="G50" i="22"/>
  <c r="H50" i="22"/>
  <c r="G49" i="22"/>
  <c r="H49" i="22"/>
  <c r="J48" i="22"/>
  <c r="N47" i="9"/>
  <c r="G48" i="22"/>
  <c r="G47" i="22"/>
  <c r="H47" i="22"/>
  <c r="G46" i="22"/>
  <c r="H46" i="22"/>
  <c r="G45" i="22"/>
  <c r="H45" i="22"/>
  <c r="G44" i="22"/>
  <c r="H44" i="22"/>
  <c r="G43" i="22"/>
  <c r="H43" i="22"/>
  <c r="G42" i="22"/>
  <c r="H42" i="22"/>
  <c r="G41" i="22"/>
  <c r="I41" i="22"/>
  <c r="L40" i="9"/>
  <c r="G40" i="22"/>
  <c r="I40" i="22"/>
  <c r="G39" i="22"/>
  <c r="H39" i="22"/>
  <c r="G38" i="22"/>
  <c r="G37" i="22"/>
  <c r="H37" i="22"/>
  <c r="G36" i="22"/>
  <c r="H36" i="22"/>
  <c r="G35" i="22"/>
  <c r="G34" i="22"/>
  <c r="I34" i="22"/>
  <c r="J34" i="22"/>
  <c r="N28" i="9"/>
  <c r="G33" i="22"/>
  <c r="G32" i="22"/>
  <c r="H32" i="22"/>
  <c r="G31" i="22"/>
  <c r="H31" i="22"/>
  <c r="G30" i="22"/>
  <c r="H30" i="22"/>
  <c r="G28" i="22"/>
  <c r="H28" i="22"/>
  <c r="G27" i="22"/>
  <c r="I27" i="22"/>
  <c r="L25" i="9"/>
  <c r="G26" i="22"/>
  <c r="I26" i="22"/>
  <c r="G25" i="22"/>
  <c r="H25" i="22"/>
  <c r="G24" i="22"/>
  <c r="H24" i="22"/>
  <c r="G23" i="22"/>
  <c r="H23" i="22"/>
  <c r="G22" i="22"/>
  <c r="H22" i="22"/>
  <c r="G21" i="22"/>
  <c r="H21" i="22"/>
  <c r="G20" i="22"/>
  <c r="H20" i="22"/>
  <c r="G19" i="22"/>
  <c r="H19" i="22"/>
  <c r="G18" i="22"/>
  <c r="H18" i="22"/>
  <c r="G17" i="22"/>
  <c r="I17" i="22"/>
  <c r="L16" i="9"/>
  <c r="G16" i="22"/>
  <c r="G15" i="22"/>
  <c r="H15" i="22"/>
  <c r="G14" i="22"/>
  <c r="H14" i="22"/>
  <c r="G13" i="22"/>
  <c r="H13" i="22"/>
  <c r="G12" i="22"/>
  <c r="H12" i="22"/>
  <c r="G11" i="22"/>
  <c r="G10" i="22"/>
  <c r="H10" i="22"/>
  <c r="G9" i="22"/>
  <c r="I9" i="22"/>
  <c r="G7" i="22"/>
  <c r="I7" i="22"/>
  <c r="H7" i="22"/>
  <c r="G6" i="22"/>
  <c r="H6" i="22"/>
  <c r="J6" i="22"/>
  <c r="N5" i="9"/>
  <c r="J10" i="22"/>
  <c r="N9" i="9"/>
  <c r="J12" i="22"/>
  <c r="J13" i="22"/>
  <c r="J14" i="22"/>
  <c r="N13" i="9"/>
  <c r="J15" i="22"/>
  <c r="J16" i="22"/>
  <c r="N15" i="9"/>
  <c r="H16" i="22"/>
  <c r="J19" i="22"/>
  <c r="N18" i="9"/>
  <c r="J20" i="22"/>
  <c r="F19" i="9"/>
  <c r="J21" i="22"/>
  <c r="N19" i="9"/>
  <c r="J22" i="22"/>
  <c r="N20" i="9"/>
  <c r="J23" i="22"/>
  <c r="J24" i="22"/>
  <c r="V13" i="19"/>
  <c r="J25" i="22"/>
  <c r="N23" i="9"/>
  <c r="H27" i="22"/>
  <c r="J28" i="22"/>
  <c r="F27" i="9"/>
  <c r="J31" i="22"/>
  <c r="J32" i="22"/>
  <c r="AD13" i="19"/>
  <c r="AE5" i="19"/>
  <c r="J36" i="22"/>
  <c r="N35" i="9"/>
  <c r="J37" i="22"/>
  <c r="N36" i="9"/>
  <c r="J38" i="22"/>
  <c r="N37" i="9"/>
  <c r="H38" i="22"/>
  <c r="J39" i="22"/>
  <c r="N38" i="9"/>
  <c r="H40" i="22"/>
  <c r="J50" i="22"/>
  <c r="N49" i="9"/>
  <c r="J56" i="22"/>
  <c r="N55" i="9"/>
  <c r="L24" i="9"/>
  <c r="J7" i="22"/>
  <c r="L42" i="9"/>
  <c r="J45" i="22"/>
  <c r="F44" i="9"/>
  <c r="H51" i="22"/>
  <c r="J47" i="22"/>
  <c r="N52" i="9"/>
  <c r="M49" i="9"/>
  <c r="M41" i="9"/>
  <c r="M28" i="9"/>
  <c r="M23" i="9"/>
  <c r="M7" i="9"/>
  <c r="M16" i="9"/>
  <c r="M8" i="9"/>
  <c r="M54" i="9"/>
  <c r="M17" i="9"/>
  <c r="M15" i="9"/>
  <c r="M48" i="9"/>
  <c r="M42" i="9"/>
  <c r="M9" i="9"/>
  <c r="M24" i="9"/>
  <c r="M21" i="9"/>
  <c r="M14" i="9"/>
  <c r="M29" i="9"/>
  <c r="M43" i="9"/>
  <c r="M55" i="9"/>
  <c r="M53" i="9"/>
  <c r="M22" i="9"/>
  <c r="M27" i="9"/>
  <c r="M36" i="9"/>
  <c r="M40" i="9"/>
  <c r="M12" i="9"/>
  <c r="M52" i="9"/>
  <c r="M5" i="9"/>
  <c r="M39" i="9"/>
  <c r="M19" i="9"/>
  <c r="M45" i="9"/>
  <c r="M35" i="9"/>
  <c r="O63" i="9"/>
  <c r="I25" i="14"/>
  <c r="V26" i="9"/>
  <c r="E14" i="23"/>
  <c r="E15" i="23"/>
  <c r="E16" i="23"/>
  <c r="L41" i="9"/>
  <c r="J42" i="22"/>
  <c r="F41" i="9"/>
  <c r="J43" i="22"/>
  <c r="AO13" i="19"/>
  <c r="J26" i="22"/>
  <c r="X13" i="19"/>
  <c r="E19" i="23"/>
  <c r="E20" i="23"/>
  <c r="V24" i="9"/>
  <c r="AB26" i="9"/>
  <c r="J44" i="22"/>
  <c r="F43" i="9"/>
  <c r="L43" i="9"/>
  <c r="L45" i="9"/>
  <c r="J46" i="22"/>
  <c r="N45" i="9"/>
  <c r="L33" i="22"/>
  <c r="M33" i="22"/>
  <c r="O32" i="22"/>
  <c r="L28" i="22"/>
  <c r="K41" i="9"/>
  <c r="K28" i="9"/>
  <c r="G18" i="23"/>
  <c r="F19" i="23"/>
  <c r="F20" i="23"/>
  <c r="I17" i="14"/>
  <c r="I29" i="14"/>
  <c r="I18" i="14"/>
  <c r="BD22" i="19"/>
  <c r="I32" i="14"/>
  <c r="I28" i="14"/>
  <c r="I23" i="14"/>
  <c r="I31" i="14"/>
  <c r="E76" i="23"/>
  <c r="F76" i="23"/>
  <c r="G76" i="23"/>
  <c r="H76" i="23"/>
  <c r="I30" i="14"/>
  <c r="I13" i="14"/>
  <c r="H9" i="22"/>
  <c r="I16" i="14"/>
  <c r="I20" i="14"/>
  <c r="I24" i="14"/>
  <c r="I26" i="14"/>
  <c r="I15" i="14"/>
  <c r="C24" i="9"/>
  <c r="C12" i="9"/>
  <c r="J40" i="22"/>
  <c r="N39" i="9"/>
  <c r="L39" i="9"/>
  <c r="E56" i="23"/>
  <c r="E57" i="23"/>
  <c r="E58" i="23"/>
  <c r="F14" i="23"/>
  <c r="H34" i="22"/>
  <c r="N22" i="9"/>
  <c r="O22" i="9"/>
  <c r="D32" i="23"/>
  <c r="D33" i="23"/>
  <c r="R64" i="9"/>
  <c r="K57" i="9"/>
  <c r="N30" i="22"/>
  <c r="E77" i="23"/>
  <c r="E78" i="23"/>
  <c r="I33" i="14"/>
  <c r="I27" i="14"/>
  <c r="I14" i="14"/>
  <c r="BS26" i="25"/>
  <c r="O29" i="22"/>
  <c r="M29" i="22"/>
  <c r="H52" i="22"/>
  <c r="C74" i="23"/>
  <c r="AB12" i="9"/>
  <c r="G77" i="23"/>
  <c r="G78" i="23"/>
  <c r="G19" i="23"/>
  <c r="G20" i="23"/>
  <c r="H18" i="23"/>
  <c r="E32" i="23"/>
  <c r="E33" i="23"/>
  <c r="F31" i="23"/>
  <c r="G31" i="23"/>
  <c r="H31" i="23"/>
  <c r="F43" i="23"/>
  <c r="G43" i="23"/>
  <c r="E44" i="23"/>
  <c r="E45" i="23"/>
  <c r="E69" i="23"/>
  <c r="E70" i="23"/>
  <c r="F68" i="23"/>
  <c r="L7" i="9"/>
  <c r="J8" i="22"/>
  <c r="N7" i="9"/>
  <c r="N24" i="9"/>
  <c r="O24" i="9"/>
  <c r="I30" i="22"/>
  <c r="AB13" i="18"/>
  <c r="E64" i="23"/>
  <c r="H26" i="22"/>
  <c r="H8" i="22"/>
  <c r="BD23" i="19"/>
  <c r="E72" i="23"/>
  <c r="D44" i="23"/>
  <c r="D45" i="23"/>
  <c r="E22" i="23"/>
  <c r="F22" i="23"/>
  <c r="H17" i="22"/>
  <c r="AA13" i="19"/>
  <c r="H55" i="22"/>
  <c r="F77" i="23"/>
  <c r="F78" i="23"/>
  <c r="H41" i="22"/>
  <c r="I21" i="14"/>
  <c r="D69" i="23"/>
  <c r="D70" i="23"/>
  <c r="BS6" i="25"/>
  <c r="E48" i="23"/>
  <c r="E49" i="23"/>
  <c r="I18" i="22"/>
  <c r="D17" i="9"/>
  <c r="BS7" i="25"/>
  <c r="C13" i="9"/>
  <c r="C33" i="9"/>
  <c r="C29" i="9"/>
  <c r="C21" i="9"/>
  <c r="C54" i="9"/>
  <c r="C52" i="9"/>
  <c r="C50" i="9"/>
  <c r="C48" i="9"/>
  <c r="C46" i="9"/>
  <c r="C42" i="9"/>
  <c r="C40" i="9"/>
  <c r="C38" i="9"/>
  <c r="C36" i="9"/>
  <c r="C34" i="9"/>
  <c r="C32" i="9"/>
  <c r="C30" i="9"/>
  <c r="C26" i="9"/>
  <c r="C20" i="9"/>
  <c r="C18" i="9"/>
  <c r="C16" i="9"/>
  <c r="C10" i="9"/>
  <c r="C6" i="9"/>
  <c r="C9" i="9"/>
  <c r="C11" i="9"/>
  <c r="C7" i="9"/>
  <c r="G47" i="23"/>
  <c r="F48" i="23"/>
  <c r="F49" i="23"/>
  <c r="F45" i="9"/>
  <c r="AR13" i="19"/>
  <c r="F51" i="9"/>
  <c r="AX13" i="19"/>
  <c r="E23" i="23"/>
  <c r="E24" i="23"/>
  <c r="I49" i="22"/>
  <c r="F30" i="9"/>
  <c r="AC13" i="19"/>
  <c r="G13" i="18"/>
  <c r="D8" i="9"/>
  <c r="G43" i="18"/>
  <c r="J9" i="22"/>
  <c r="L8" i="9"/>
  <c r="I11" i="22"/>
  <c r="H11" i="22"/>
  <c r="I33" i="22"/>
  <c r="H33" i="22"/>
  <c r="AX13" i="18"/>
  <c r="D51" i="9"/>
  <c r="AX43" i="18"/>
  <c r="F39" i="9"/>
  <c r="AL13" i="19"/>
  <c r="N43" i="9"/>
  <c r="AF13" i="19"/>
  <c r="F33" i="9"/>
  <c r="N41" i="9"/>
  <c r="O41" i="9"/>
  <c r="J17" i="22"/>
  <c r="E13" i="19"/>
  <c r="N6" i="9"/>
  <c r="F6" i="9"/>
  <c r="F5" i="9"/>
  <c r="D13" i="19"/>
  <c r="D33" i="9"/>
  <c r="AF43" i="18"/>
  <c r="L28" i="9"/>
  <c r="O28" i="9"/>
  <c r="AF13" i="18"/>
  <c r="BA43" i="18"/>
  <c r="BA13" i="18"/>
  <c r="D54" i="9"/>
  <c r="L54" i="9"/>
  <c r="J55" i="22"/>
  <c r="AH13" i="19"/>
  <c r="F35" i="9"/>
  <c r="D26" i="9"/>
  <c r="Y43" i="18"/>
  <c r="Y13" i="18"/>
  <c r="J27" i="22"/>
  <c r="H35" i="22"/>
  <c r="I35" i="22"/>
  <c r="AM13" i="18"/>
  <c r="D40" i="9"/>
  <c r="J41" i="22"/>
  <c r="AM43" i="18"/>
  <c r="M13" i="19"/>
  <c r="F14" i="9"/>
  <c r="N14" i="9"/>
  <c r="O14" i="9"/>
  <c r="F12" i="9"/>
  <c r="K13" i="19"/>
  <c r="N12" i="9"/>
  <c r="O12" i="9"/>
  <c r="O13" i="18"/>
  <c r="D16" i="9"/>
  <c r="O43" i="18"/>
  <c r="Z13" i="19"/>
  <c r="F52" i="9"/>
  <c r="F23" i="9"/>
  <c r="F38" i="9"/>
  <c r="AK13" i="19"/>
  <c r="F24" i="9"/>
  <c r="W13" i="19"/>
  <c r="U13" i="19"/>
  <c r="F22" i="9"/>
  <c r="F20" i="9"/>
  <c r="S13" i="19"/>
  <c r="F11" i="9"/>
  <c r="N11" i="9"/>
  <c r="O11" i="9"/>
  <c r="H13" i="19"/>
  <c r="F9" i="9"/>
  <c r="E35" i="23"/>
  <c r="D48" i="23"/>
  <c r="D49" i="23"/>
  <c r="R13" i="19"/>
  <c r="F25" i="9"/>
  <c r="AS13" i="19"/>
  <c r="N46" i="9"/>
  <c r="F49" i="9"/>
  <c r="AV13" i="19"/>
  <c r="F36" i="9"/>
  <c r="AI13" i="19"/>
  <c r="F15" i="9"/>
  <c r="N13" i="19"/>
  <c r="D6" i="9"/>
  <c r="E43" i="18"/>
  <c r="E13" i="18"/>
  <c r="L6" i="9"/>
  <c r="AL13" i="18"/>
  <c r="D39" i="9"/>
  <c r="AL43" i="18"/>
  <c r="AW43" i="18"/>
  <c r="D50" i="9"/>
  <c r="AW13" i="18"/>
  <c r="D61" i="23"/>
  <c r="D62" i="23"/>
  <c r="E60" i="23"/>
  <c r="J13" i="19"/>
  <c r="AB43" i="18"/>
  <c r="N21" i="9"/>
  <c r="O21" i="9"/>
  <c r="J51" i="22"/>
  <c r="F55" i="9"/>
  <c r="BB13" i="19"/>
  <c r="AJ13" i="19"/>
  <c r="F37" i="9"/>
  <c r="T13" i="19"/>
  <c r="F21" i="9"/>
  <c r="Q13" i="19"/>
  <c r="F18" i="9"/>
  <c r="L13" i="19"/>
  <c r="F13" i="9"/>
  <c r="F13" i="18"/>
  <c r="D7" i="9"/>
  <c r="F43" i="18"/>
  <c r="X13" i="18"/>
  <c r="X43" i="18"/>
  <c r="D25" i="9"/>
  <c r="F47" i="9"/>
  <c r="AT13" i="19"/>
  <c r="F53" i="9"/>
  <c r="AZ13" i="19"/>
  <c r="F39" i="23"/>
  <c r="L26" i="9"/>
  <c r="N44" i="22"/>
  <c r="N45" i="22"/>
  <c r="M45" i="22"/>
  <c r="N46" i="22"/>
  <c r="N47" i="22"/>
  <c r="F31" i="9"/>
  <c r="BD36" i="19"/>
  <c r="BD15" i="18"/>
  <c r="BD19" i="18"/>
  <c r="BD15" i="19"/>
  <c r="BD19" i="19"/>
  <c r="BD20" i="19"/>
  <c r="BD27" i="19"/>
  <c r="BD34" i="19"/>
  <c r="BD35" i="19"/>
  <c r="BD30" i="18"/>
  <c r="BD18" i="19"/>
  <c r="BD25" i="19"/>
  <c r="BD26" i="19"/>
  <c r="BD28" i="19"/>
  <c r="BD29" i="19"/>
  <c r="BD30" i="19"/>
  <c r="BD32" i="19"/>
  <c r="BD33" i="19"/>
  <c r="BD37" i="19"/>
  <c r="BD24" i="19"/>
  <c r="BD17" i="19"/>
  <c r="BD16" i="19"/>
  <c r="BD21" i="19"/>
  <c r="BD45" i="18"/>
  <c r="BD44" i="18"/>
  <c r="C55" i="9"/>
  <c r="C53" i="9"/>
  <c r="C51" i="9"/>
  <c r="C47" i="9"/>
  <c r="C45" i="9"/>
  <c r="C43" i="9"/>
  <c r="C41" i="9"/>
  <c r="C39" i="9"/>
  <c r="C37" i="9"/>
  <c r="C35" i="9"/>
  <c r="C27" i="9"/>
  <c r="C25" i="9"/>
  <c r="C23" i="9"/>
  <c r="C19" i="9"/>
  <c r="C17" i="9"/>
  <c r="C15" i="9"/>
  <c r="BD34" i="18"/>
  <c r="BD26" i="18"/>
  <c r="BD22" i="18"/>
  <c r="BD18" i="18"/>
  <c r="BD33" i="18"/>
  <c r="BD29" i="18"/>
  <c r="BD25" i="18"/>
  <c r="BD21" i="18"/>
  <c r="BD17" i="18"/>
  <c r="BD36" i="18"/>
  <c r="BD32" i="18"/>
  <c r="BD28" i="18"/>
  <c r="BD24" i="18"/>
  <c r="BD20" i="18"/>
  <c r="BD16" i="18"/>
  <c r="D25" i="26"/>
  <c r="BD35" i="18"/>
  <c r="BD31" i="18"/>
  <c r="BD27" i="18"/>
  <c r="BD23" i="18"/>
  <c r="C44" i="9"/>
  <c r="C31" i="9"/>
  <c r="C14" i="9"/>
  <c r="C22" i="9"/>
  <c r="C5" i="9"/>
  <c r="C28" i="9"/>
  <c r="C49" i="9"/>
  <c r="BS19" i="25"/>
  <c r="BS17" i="25"/>
  <c r="BS14" i="25"/>
  <c r="BS27" i="25"/>
  <c r="BS24" i="25"/>
  <c r="BS22" i="25"/>
  <c r="BS15" i="25"/>
  <c r="BS13" i="25"/>
  <c r="BS12" i="25"/>
  <c r="BS18" i="25"/>
  <c r="BE38" i="19"/>
  <c r="BC38" i="19"/>
  <c r="N44" i="9"/>
  <c r="O44" i="9"/>
  <c r="AQ13" i="19"/>
  <c r="F46" i="9"/>
  <c r="F42" i="9"/>
  <c r="N42" i="9"/>
  <c r="O42" i="9"/>
  <c r="AP13" i="19"/>
  <c r="AN13" i="19"/>
  <c r="BQ37" i="18"/>
  <c r="BR37" i="18"/>
  <c r="BF37" i="18"/>
  <c r="BJ37" i="18"/>
  <c r="BM37" i="18"/>
  <c r="BR13" i="25"/>
  <c r="BQ13" i="25"/>
  <c r="BR26" i="25"/>
  <c r="BQ26" i="25"/>
  <c r="BR18" i="25"/>
  <c r="BQ18" i="25"/>
  <c r="BR17" i="25"/>
  <c r="BQ17" i="25"/>
  <c r="BR25" i="25"/>
  <c r="BQ25" i="25"/>
  <c r="BR11" i="25"/>
  <c r="BQ11" i="25"/>
  <c r="BR8" i="25"/>
  <c r="BQ8" i="25"/>
  <c r="BR14" i="25"/>
  <c r="BQ14" i="25"/>
  <c r="BR20" i="25"/>
  <c r="BQ20" i="25"/>
  <c r="BR16" i="25"/>
  <c r="BQ16" i="25"/>
  <c r="BR22" i="25"/>
  <c r="BQ22" i="25"/>
  <c r="BR6" i="25"/>
  <c r="BQ6" i="25"/>
  <c r="BR10" i="25"/>
  <c r="BQ10" i="25"/>
  <c r="BR7" i="25"/>
  <c r="BQ7" i="25"/>
  <c r="BR12" i="25"/>
  <c r="BQ12" i="25"/>
  <c r="BR19" i="25"/>
  <c r="BQ19" i="25"/>
  <c r="BR21" i="25"/>
  <c r="BQ21" i="25"/>
  <c r="BQ27" i="25"/>
  <c r="BR24" i="25"/>
  <c r="BQ24" i="25"/>
  <c r="BR15" i="25"/>
  <c r="BQ15" i="25"/>
  <c r="BR23" i="25"/>
  <c r="BQ23" i="25"/>
  <c r="BR9" i="25"/>
  <c r="BQ9" i="25"/>
  <c r="V7" i="9"/>
  <c r="E3" i="9"/>
  <c r="M3" i="9"/>
  <c r="BU15" i="18"/>
  <c r="BV31" i="18"/>
  <c r="BV27" i="18"/>
  <c r="BV23" i="18"/>
  <c r="BU19" i="18"/>
  <c r="BV22" i="18"/>
  <c r="BU18" i="18"/>
  <c r="BV20" i="18"/>
  <c r="BV30" i="18"/>
  <c r="BV18" i="18"/>
  <c r="BU29" i="18"/>
  <c r="BV21" i="18"/>
  <c r="BV17" i="18"/>
  <c r="BU34" i="18"/>
  <c r="BU30" i="18"/>
  <c r="BV26" i="18"/>
  <c r="BU22" i="18"/>
  <c r="BU26" i="18"/>
  <c r="BV34" i="18"/>
  <c r="BI37" i="18"/>
  <c r="BV19" i="18"/>
  <c r="BN37" i="18"/>
  <c r="BU23" i="18"/>
  <c r="BU35" i="18"/>
  <c r="BU27" i="18"/>
  <c r="BU31" i="18"/>
  <c r="BE37" i="18"/>
  <c r="BL37" i="18"/>
  <c r="BC37" i="18"/>
  <c r="BO37" i="18"/>
  <c r="BU36" i="18"/>
  <c r="BV32" i="18"/>
  <c r="BU28" i="18"/>
  <c r="BV24" i="18"/>
  <c r="BU20" i="18"/>
  <c r="BG37" i="18"/>
  <c r="BP37" i="18"/>
  <c r="BU33" i="18"/>
  <c r="BV29" i="18"/>
  <c r="BU25" i="18"/>
  <c r="BU21" i="18"/>
  <c r="BU17" i="18"/>
  <c r="BU45" i="18"/>
  <c r="BT37" i="18"/>
  <c r="BS37" i="18"/>
  <c r="BK37" i="18"/>
  <c r="BU32" i="18"/>
  <c r="BV36" i="18"/>
  <c r="D37" i="18"/>
  <c r="BA37" i="18"/>
  <c r="AU37" i="18"/>
  <c r="AS37" i="18"/>
  <c r="AQ37" i="18"/>
  <c r="AO37" i="18"/>
  <c r="AM37" i="18"/>
  <c r="AK37" i="18"/>
  <c r="AI37" i="18"/>
  <c r="AG37" i="18"/>
  <c r="AE37" i="18"/>
  <c r="AC37" i="18"/>
  <c r="AA37" i="18"/>
  <c r="Y37" i="18"/>
  <c r="W37" i="18"/>
  <c r="U37" i="18"/>
  <c r="S37" i="18"/>
  <c r="Q37" i="18"/>
  <c r="O37" i="18"/>
  <c r="M37" i="18"/>
  <c r="K37" i="18"/>
  <c r="I37" i="18"/>
  <c r="G37" i="18"/>
  <c r="E37" i="18"/>
  <c r="BH37" i="18"/>
  <c r="BV28" i="18"/>
  <c r="BV25" i="18"/>
  <c r="BU16" i="18"/>
  <c r="AY37" i="18"/>
  <c r="AW37" i="18"/>
  <c r="BV45" i="18"/>
  <c r="BV33" i="18"/>
  <c r="BU24" i="18"/>
  <c r="BV16" i="18"/>
  <c r="BB37" i="18"/>
  <c r="AZ37" i="18"/>
  <c r="AX37" i="18"/>
  <c r="AV37" i="18"/>
  <c r="AT37" i="18"/>
  <c r="AR37" i="18"/>
  <c r="AP37" i="18"/>
  <c r="AN37" i="18"/>
  <c r="AL37" i="18"/>
  <c r="AJ37" i="18"/>
  <c r="AH37" i="18"/>
  <c r="AF37" i="18"/>
  <c r="AD37" i="18"/>
  <c r="AB37" i="18"/>
  <c r="Z37" i="18"/>
  <c r="X37" i="18"/>
  <c r="V37" i="18"/>
  <c r="T37" i="18"/>
  <c r="R37" i="18"/>
  <c r="P37" i="18"/>
  <c r="N37" i="18"/>
  <c r="L37" i="18"/>
  <c r="J37" i="18"/>
  <c r="H37" i="18"/>
  <c r="F37" i="18"/>
  <c r="E17" i="9"/>
  <c r="E23" i="9"/>
  <c r="E41" i="9"/>
  <c r="E11" i="9"/>
  <c r="E7" i="9"/>
  <c r="E45" i="9"/>
  <c r="E29" i="9"/>
  <c r="E25" i="9"/>
  <c r="E13" i="9"/>
  <c r="E5" i="9"/>
  <c r="E53" i="9"/>
  <c r="E49" i="9"/>
  <c r="E37" i="9"/>
  <c r="E33" i="9"/>
  <c r="E21" i="9"/>
  <c r="E9" i="9"/>
  <c r="E50" i="9"/>
  <c r="E42" i="9"/>
  <c r="E34" i="9"/>
  <c r="E26" i="9"/>
  <c r="M57" i="9"/>
  <c r="E54" i="9"/>
  <c r="E46" i="9"/>
  <c r="E38" i="9"/>
  <c r="E30" i="9"/>
  <c r="E10" i="9"/>
  <c r="E22" i="9"/>
  <c r="E18" i="9"/>
  <c r="E14" i="9"/>
  <c r="E6" i="9"/>
  <c r="E52" i="9"/>
  <c r="E48" i="9"/>
  <c r="E44" i="9"/>
  <c r="E40" i="9"/>
  <c r="E36" i="9"/>
  <c r="E32" i="9"/>
  <c r="E28" i="9"/>
  <c r="E24" i="9"/>
  <c r="E20" i="9"/>
  <c r="E16" i="9"/>
  <c r="E12" i="9"/>
  <c r="Y24" i="9"/>
  <c r="O53" i="9"/>
  <c r="O18" i="9"/>
  <c r="O19" i="9"/>
  <c r="O47" i="9"/>
  <c r="E55" i="9"/>
  <c r="E51" i="9"/>
  <c r="E47" i="9"/>
  <c r="E43" i="9"/>
  <c r="E39" i="9"/>
  <c r="E35" i="9"/>
  <c r="E31" i="9"/>
  <c r="E27" i="9"/>
  <c r="E19" i="9"/>
  <c r="E15" i="9"/>
  <c r="O15" i="9"/>
  <c r="O52" i="9"/>
  <c r="O36" i="9"/>
  <c r="O9" i="9"/>
  <c r="O56" i="9"/>
  <c r="O13" i="9"/>
  <c r="O43" i="9"/>
  <c r="O38" i="9"/>
  <c r="V28" i="9"/>
  <c r="AB23" i="9"/>
  <c r="O37" i="9"/>
  <c r="O55" i="9"/>
  <c r="O49" i="9"/>
  <c r="AB7" i="9"/>
  <c r="Y7" i="9"/>
  <c r="O35" i="9"/>
  <c r="O5" i="9"/>
  <c r="O46" i="9"/>
  <c r="O45" i="9"/>
  <c r="O23" i="9"/>
  <c r="O20" i="9"/>
  <c r="AB28" i="9"/>
  <c r="AP38" i="19"/>
  <c r="BV17" i="19"/>
  <c r="AZ38" i="19"/>
  <c r="AJ38" i="19"/>
  <c r="AF38" i="19"/>
  <c r="P38" i="19"/>
  <c r="D38" i="19"/>
  <c r="BQ38" i="19"/>
  <c r="BV19" i="19"/>
  <c r="BU18" i="19"/>
  <c r="AT38" i="19"/>
  <c r="J38" i="19"/>
  <c r="BU25" i="19"/>
  <c r="BV22" i="19"/>
  <c r="BV20" i="19"/>
  <c r="BU19" i="19"/>
  <c r="BV18" i="19"/>
  <c r="BU17" i="19"/>
  <c r="BL38" i="19"/>
  <c r="BV16" i="19"/>
  <c r="BU15" i="19"/>
  <c r="AL38" i="19"/>
  <c r="BU29" i="19"/>
  <c r="BU27" i="19"/>
  <c r="M38" i="19"/>
  <c r="BT38" i="19"/>
  <c r="AO38" i="19"/>
  <c r="BU21" i="19"/>
  <c r="AW38" i="19"/>
  <c r="X38" i="19"/>
  <c r="L38" i="19"/>
  <c r="BV31" i="19"/>
  <c r="BU28" i="19"/>
  <c r="Y38" i="19"/>
  <c r="BJ38" i="19"/>
  <c r="AU38" i="19"/>
  <c r="BP38" i="19"/>
  <c r="AB38" i="19"/>
  <c r="BV15" i="19"/>
  <c r="BU26" i="19"/>
  <c r="BA38" i="19"/>
  <c r="AY38" i="19"/>
  <c r="BU20" i="19"/>
  <c r="AC38" i="19"/>
  <c r="Q38" i="19"/>
  <c r="E38" i="19"/>
  <c r="BV25" i="19"/>
  <c r="T38" i="19"/>
  <c r="H38" i="19"/>
  <c r="BU16" i="19"/>
  <c r="BB38" i="19"/>
  <c r="AX38" i="19"/>
  <c r="AH38" i="19"/>
  <c r="AD38" i="19"/>
  <c r="Z38" i="19"/>
  <c r="V38" i="19"/>
  <c r="R38" i="19"/>
  <c r="N38" i="19"/>
  <c r="F38" i="19"/>
  <c r="BV27" i="19"/>
  <c r="BU32" i="19"/>
  <c r="AM38" i="19"/>
  <c r="BO38" i="19"/>
  <c r="BG38" i="19"/>
  <c r="BV23" i="19"/>
  <c r="BS38" i="19"/>
  <c r="BK38" i="19"/>
  <c r="BR38" i="19"/>
  <c r="BU37" i="19"/>
  <c r="BV21" i="19"/>
  <c r="E8" i="9"/>
  <c r="AS38" i="19"/>
  <c r="AK38" i="19"/>
  <c r="AG38" i="19"/>
  <c r="U38" i="19"/>
  <c r="I38" i="19"/>
  <c r="BM38" i="19"/>
  <c r="BI38" i="19"/>
  <c r="BU35" i="19"/>
  <c r="K38" i="19"/>
  <c r="G38" i="19"/>
  <c r="BU31" i="19"/>
  <c r="BU22" i="19"/>
  <c r="BV26" i="19"/>
  <c r="BU23" i="19"/>
  <c r="AV38" i="19"/>
  <c r="AR38" i="19"/>
  <c r="AN38" i="19"/>
  <c r="BH38" i="19"/>
  <c r="BV34" i="19"/>
  <c r="BV35" i="19"/>
  <c r="BN38" i="19"/>
  <c r="BU24" i="19"/>
  <c r="BV24" i="19"/>
  <c r="BF38" i="19"/>
  <c r="BU36" i="19"/>
  <c r="BV36" i="19"/>
  <c r="BU34" i="19"/>
  <c r="BV33" i="19"/>
  <c r="BU33" i="19"/>
  <c r="BV32" i="19"/>
  <c r="BU30" i="19"/>
  <c r="BV30" i="19"/>
  <c r="AA38" i="19"/>
  <c r="W38" i="19"/>
  <c r="O38" i="19"/>
  <c r="AQ38" i="19"/>
  <c r="AI38" i="19"/>
  <c r="AE38" i="19"/>
  <c r="S38" i="19"/>
  <c r="BV29" i="19"/>
  <c r="BV28" i="19"/>
  <c r="G62" i="9"/>
  <c r="O39" i="9"/>
  <c r="G32" i="23"/>
  <c r="G33" i="23"/>
  <c r="F32" i="23"/>
  <c r="F33" i="23"/>
  <c r="F56" i="23"/>
  <c r="F57" i="23"/>
  <c r="F58" i="23"/>
  <c r="G12" i="9"/>
  <c r="F44" i="23"/>
  <c r="F45" i="23"/>
  <c r="G24" i="9"/>
  <c r="O57" i="9"/>
  <c r="F7" i="9"/>
  <c r="O61" i="9"/>
  <c r="G61" i="9"/>
  <c r="F13" i="19"/>
  <c r="F15" i="23"/>
  <c r="F16" i="23"/>
  <c r="G14" i="23"/>
  <c r="E56" i="9"/>
  <c r="C56" i="9"/>
  <c r="G56" i="9"/>
  <c r="O7" i="9"/>
  <c r="F72" i="23"/>
  <c r="E73" i="23"/>
  <c r="E74" i="23"/>
  <c r="L17" i="9"/>
  <c r="J18" i="22"/>
  <c r="G56" i="23"/>
  <c r="O6" i="9"/>
  <c r="I18" i="23"/>
  <c r="I19" i="23"/>
  <c r="I20" i="23"/>
  <c r="H19" i="23"/>
  <c r="H20" i="23"/>
  <c r="E65" i="23"/>
  <c r="E66" i="23"/>
  <c r="F64" i="23"/>
  <c r="P43" i="18"/>
  <c r="F23" i="23"/>
  <c r="F24" i="23"/>
  <c r="G22" i="23"/>
  <c r="D29" i="9"/>
  <c r="J30" i="22"/>
  <c r="G68" i="23"/>
  <c r="F69" i="23"/>
  <c r="F70" i="23"/>
  <c r="P13" i="18"/>
  <c r="I76" i="23"/>
  <c r="I77" i="23"/>
  <c r="I78" i="23"/>
  <c r="H77" i="23"/>
  <c r="H78" i="23"/>
  <c r="G60" i="9"/>
  <c r="G43" i="9"/>
  <c r="G6" i="9"/>
  <c r="G30" i="9"/>
  <c r="G9" i="9"/>
  <c r="O60" i="9"/>
  <c r="G53" i="9"/>
  <c r="G45" i="9"/>
  <c r="G15" i="9"/>
  <c r="G20" i="9"/>
  <c r="G52" i="9"/>
  <c r="G33" i="9"/>
  <c r="G13" i="9"/>
  <c r="G18" i="9"/>
  <c r="G23" i="9"/>
  <c r="G38" i="9"/>
  <c r="G21" i="9"/>
  <c r="G36" i="9"/>
  <c r="G46" i="9"/>
  <c r="G11" i="9"/>
  <c r="G7" i="9"/>
  <c r="G19" i="9"/>
  <c r="G27" i="9"/>
  <c r="G31" i="9"/>
  <c r="G44" i="9"/>
  <c r="G41" i="9"/>
  <c r="G35" i="9"/>
  <c r="G51" i="9"/>
  <c r="G39" i="9"/>
  <c r="G47" i="9"/>
  <c r="G14" i="9"/>
  <c r="G37" i="9"/>
  <c r="G55" i="9"/>
  <c r="G25" i="9"/>
  <c r="O62" i="9"/>
  <c r="F40" i="23"/>
  <c r="F41" i="23"/>
  <c r="G39" i="23"/>
  <c r="F16" i="9"/>
  <c r="O13" i="19"/>
  <c r="N16" i="9"/>
  <c r="O16" i="9"/>
  <c r="AU13" i="18"/>
  <c r="D48" i="9"/>
  <c r="AU43" i="18"/>
  <c r="L48" i="9"/>
  <c r="J49" i="22"/>
  <c r="BD37" i="18"/>
  <c r="BD14" i="19"/>
  <c r="BD38" i="19"/>
  <c r="F60" i="23"/>
  <c r="E61" i="23"/>
  <c r="E62" i="23"/>
  <c r="E36" i="23"/>
  <c r="E37" i="23"/>
  <c r="F35" i="23"/>
  <c r="D34" i="9"/>
  <c r="AG43" i="18"/>
  <c r="AG13" i="18"/>
  <c r="L29" i="9"/>
  <c r="J35" i="22"/>
  <c r="BA13" i="19"/>
  <c r="F54" i="9"/>
  <c r="G54" i="9"/>
  <c r="N54" i="9"/>
  <c r="O54" i="9"/>
  <c r="D10" i="9"/>
  <c r="I43" i="18"/>
  <c r="I13" i="18"/>
  <c r="L10" i="9"/>
  <c r="J11" i="22"/>
  <c r="I31" i="23"/>
  <c r="I32" i="23"/>
  <c r="I33" i="23"/>
  <c r="H32" i="23"/>
  <c r="H33" i="23"/>
  <c r="G16" i="9"/>
  <c r="AW13" i="19"/>
  <c r="F50" i="9"/>
  <c r="G50" i="9"/>
  <c r="N50" i="9"/>
  <c r="O50" i="9"/>
  <c r="F40" i="9"/>
  <c r="G40" i="9"/>
  <c r="AM13" i="19"/>
  <c r="N40" i="9"/>
  <c r="O40" i="9"/>
  <c r="BD14" i="18"/>
  <c r="F26" i="9"/>
  <c r="G26" i="9"/>
  <c r="Y13" i="19"/>
  <c r="N25" i="9"/>
  <c r="O25" i="9"/>
  <c r="AE13" i="18"/>
  <c r="D32" i="9"/>
  <c r="AE43" i="18"/>
  <c r="L27" i="9"/>
  <c r="J33" i="22"/>
  <c r="F8" i="9"/>
  <c r="G8" i="9"/>
  <c r="G13" i="19"/>
  <c r="N8" i="9"/>
  <c r="O8" i="9"/>
  <c r="H47" i="23"/>
  <c r="G48" i="23"/>
  <c r="G49" i="23"/>
  <c r="H43" i="23"/>
  <c r="G44" i="23"/>
  <c r="G45" i="23"/>
  <c r="G22" i="9"/>
  <c r="G5" i="9"/>
  <c r="G28" i="9"/>
  <c r="G49" i="9"/>
  <c r="C57" i="9"/>
  <c r="AB11" i="9"/>
  <c r="O59" i="9"/>
  <c r="G42" i="9"/>
  <c r="AB13" i="9"/>
  <c r="AB10" i="9"/>
  <c r="G59" i="9"/>
  <c r="BZ37" i="18"/>
  <c r="CA37" i="18"/>
  <c r="BU37" i="18"/>
  <c r="O58" i="9"/>
  <c r="E57" i="9"/>
  <c r="BU38" i="19"/>
  <c r="H14" i="23"/>
  <c r="G15" i="23"/>
  <c r="G16" i="23"/>
  <c r="H56" i="23"/>
  <c r="G57" i="23"/>
  <c r="G58" i="23"/>
  <c r="G64" i="23"/>
  <c r="F65" i="23"/>
  <c r="F66" i="23"/>
  <c r="N17" i="9"/>
  <c r="O17" i="9"/>
  <c r="P13" i="19"/>
  <c r="F17" i="9"/>
  <c r="G17" i="9"/>
  <c r="H68" i="23"/>
  <c r="G69" i="23"/>
  <c r="G70" i="23"/>
  <c r="N26" i="9"/>
  <c r="O26" i="9"/>
  <c r="AB13" i="19"/>
  <c r="F29" i="9"/>
  <c r="G29" i="9"/>
  <c r="F73" i="23"/>
  <c r="F74" i="23"/>
  <c r="G72" i="23"/>
  <c r="H22" i="23"/>
  <c r="G23" i="23"/>
  <c r="G24" i="23"/>
  <c r="I47" i="23"/>
  <c r="I48" i="23"/>
  <c r="I49" i="23"/>
  <c r="H48" i="23"/>
  <c r="H49" i="23"/>
  <c r="F32" i="9"/>
  <c r="G32" i="9"/>
  <c r="AE13" i="19"/>
  <c r="N27" i="9"/>
  <c r="O27" i="9"/>
  <c r="BW45" i="18"/>
  <c r="BY45" i="18"/>
  <c r="CB45" i="18"/>
  <c r="BW36" i="18"/>
  <c r="F48" i="9"/>
  <c r="G48" i="9"/>
  <c r="AU13" i="19"/>
  <c r="N48" i="9"/>
  <c r="O48" i="9"/>
  <c r="G40" i="23"/>
  <c r="G41" i="23"/>
  <c r="H39" i="23"/>
  <c r="H44" i="23"/>
  <c r="H45" i="23"/>
  <c r="I43" i="23"/>
  <c r="I44" i="23"/>
  <c r="I45" i="23"/>
  <c r="F10" i="9"/>
  <c r="G10" i="9"/>
  <c r="I13" i="19"/>
  <c r="N10" i="9"/>
  <c r="O10" i="9"/>
  <c r="F34" i="9"/>
  <c r="G34" i="9"/>
  <c r="AG13" i="19"/>
  <c r="N29" i="9"/>
  <c r="O29" i="9"/>
  <c r="G60" i="23"/>
  <c r="F61" i="23"/>
  <c r="F62" i="23"/>
  <c r="G35" i="23"/>
  <c r="F36" i="23"/>
  <c r="F37" i="23"/>
  <c r="G57" i="9"/>
  <c r="O64" i="9"/>
  <c r="H15" i="23"/>
  <c r="H16" i="23"/>
  <c r="I14" i="23"/>
  <c r="I15" i="23"/>
  <c r="I16" i="23"/>
  <c r="G73" i="23"/>
  <c r="G74" i="23"/>
  <c r="H72" i="23"/>
  <c r="H23" i="23"/>
  <c r="H24" i="23"/>
  <c r="I22" i="23"/>
  <c r="I23" i="23"/>
  <c r="I24" i="23"/>
  <c r="H64" i="23"/>
  <c r="G65" i="23"/>
  <c r="G66" i="23"/>
  <c r="I68" i="23"/>
  <c r="I69" i="23"/>
  <c r="I70" i="23"/>
  <c r="H69" i="23"/>
  <c r="H70" i="23"/>
  <c r="I56" i="23"/>
  <c r="I57" i="23"/>
  <c r="I58" i="23"/>
  <c r="H57" i="23"/>
  <c r="H58" i="23"/>
  <c r="G58" i="9"/>
  <c r="G64" i="9"/>
  <c r="G36" i="23"/>
  <c r="G37" i="23"/>
  <c r="H35" i="23"/>
  <c r="BW37" i="18"/>
  <c r="BW40" i="18"/>
  <c r="G61" i="23"/>
  <c r="G62" i="23"/>
  <c r="H60" i="23"/>
  <c r="BX36" i="18"/>
  <c r="AB9" i="9"/>
  <c r="AB15" i="9"/>
  <c r="I39" i="23"/>
  <c r="I40" i="23"/>
  <c r="I41" i="23"/>
  <c r="H40" i="23"/>
  <c r="H41" i="23"/>
  <c r="I64" i="23"/>
  <c r="I65" i="23"/>
  <c r="I66" i="23"/>
  <c r="H65" i="23"/>
  <c r="H66" i="23"/>
  <c r="H73" i="23"/>
  <c r="H74" i="23"/>
  <c r="I72" i="23"/>
  <c r="I73" i="23"/>
  <c r="I74" i="23"/>
  <c r="I35" i="23"/>
  <c r="I36" i="23"/>
  <c r="I37" i="23"/>
  <c r="H36" i="23"/>
  <c r="H37" i="23"/>
  <c r="I60" i="23"/>
  <c r="I61" i="23"/>
  <c r="I62" i="23"/>
  <c r="H61" i="23"/>
  <c r="H62" i="23"/>
  <c r="BX37" i="18"/>
  <c r="CB37" i="18"/>
  <c r="BY37" i="18"/>
  <c r="BV35" i="18"/>
  <c r="BV40" i="18"/>
  <c r="BV37" i="18"/>
  <c r="BV37" i="19"/>
  <c r="BV38" i="19"/>
</calcChain>
</file>

<file path=xl/comments1.xml><?xml version="1.0" encoding="utf-8"?>
<comments xmlns="http://schemas.openxmlformats.org/spreadsheetml/2006/main">
  <authors>
    <author>84909116095</author>
  </authors>
  <commentList>
    <comment ref="AM59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TMB 25kg</t>
        </r>
      </text>
    </comment>
  </commentList>
</comments>
</file>

<file path=xl/comments2.xml><?xml version="1.0" encoding="utf-8"?>
<comments xmlns="http://schemas.openxmlformats.org/spreadsheetml/2006/main">
  <authors>
    <author>Asus</author>
    <author>Luxury</author>
  </authors>
  <commentList>
    <comment ref="AB6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HƯỞNG LƯƠNG PHÉP DO K SẮP XẾP ĐƯỢC CV</t>
        </r>
      </text>
    </comment>
    <comment ref="V12" authorId="1" shapeId="0">
      <text>
        <r>
          <rPr>
            <b/>
            <sz val="9"/>
            <color indexed="81"/>
            <rFont val="Tahoma"/>
          </rPr>
          <t>Luxury:</t>
        </r>
        <r>
          <rPr>
            <sz val="9"/>
            <color indexed="81"/>
            <rFont val="Tahoma"/>
          </rPr>
          <t xml:space="preserve">
Chuyển qua CN vệ sinh do vi phạm quy định nhà máy</t>
        </r>
      </text>
    </comment>
    <comment ref="AC25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2 NGÀY NGHỈ HỞNG LƯƠNG PHÉP</t>
        </r>
      </text>
    </comment>
  </commentList>
</comments>
</file>

<file path=xl/comments3.xml><?xml version="1.0" encoding="utf-8"?>
<comments xmlns="http://schemas.openxmlformats.org/spreadsheetml/2006/main">
  <authors>
    <author>Luxury</author>
  </authors>
  <commentList>
    <comment ref="A13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Luxury</author>
  </authors>
  <commentList>
    <comment ref="J29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tạm, áp dụng từ Tháng 05/2019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Luxury:</t>
        </r>
        <r>
          <rPr>
            <sz val="9"/>
            <color indexed="81"/>
            <rFont val="Tahoma"/>
            <family val="2"/>
          </rPr>
          <t xml:space="preserve">
đơn giá áp dụng từ tháng 8/2019
</t>
        </r>
      </text>
    </comment>
  </commentList>
</comments>
</file>

<file path=xl/sharedStrings.xml><?xml version="1.0" encoding="utf-8"?>
<sst xmlns="http://schemas.openxmlformats.org/spreadsheetml/2006/main" count="2114" uniqueCount="443">
  <si>
    <t>Mã NV</t>
  </si>
  <si>
    <t>Tên NV</t>
  </si>
  <si>
    <t>Ngày</t>
  </si>
  <si>
    <t>DS0001</t>
  </si>
  <si>
    <t>DS0002</t>
  </si>
  <si>
    <t>DS0003</t>
  </si>
  <si>
    <t>DS0004</t>
  </si>
  <si>
    <t>DS0006</t>
  </si>
  <si>
    <t>DS0009</t>
  </si>
  <si>
    <t>DS0010</t>
  </si>
  <si>
    <t>DS0012</t>
  </si>
  <si>
    <t>DS0013</t>
  </si>
  <si>
    <t>DS0014</t>
  </si>
  <si>
    <t>DS0015</t>
  </si>
  <si>
    <t>DS0017</t>
  </si>
  <si>
    <t>DS0019</t>
  </si>
  <si>
    <t>DS0020</t>
  </si>
  <si>
    <t>DS0021</t>
  </si>
  <si>
    <t>DS0022</t>
  </si>
  <si>
    <t>DS0023</t>
  </si>
  <si>
    <t>DS0024</t>
  </si>
  <si>
    <t>DS0025</t>
  </si>
  <si>
    <t>DS0026</t>
  </si>
  <si>
    <t>DS0028</t>
  </si>
  <si>
    <t>DS0029</t>
  </si>
  <si>
    <t xml:space="preserve">DS0032 </t>
  </si>
  <si>
    <t>DSDCT</t>
  </si>
  <si>
    <t>DSDCT 04</t>
  </si>
  <si>
    <t>PB0001</t>
  </si>
  <si>
    <t>PB0002</t>
  </si>
  <si>
    <t>PB0019</t>
  </si>
  <si>
    <t>PB0020</t>
  </si>
  <si>
    <t>PB0021</t>
  </si>
  <si>
    <t>PB0003</t>
  </si>
  <si>
    <t>PB0004</t>
  </si>
  <si>
    <t>PB0005</t>
  </si>
  <si>
    <t>PB0006</t>
  </si>
  <si>
    <t>PB0017</t>
  </si>
  <si>
    <t>PB0012</t>
  </si>
  <si>
    <t>DA0001</t>
  </si>
  <si>
    <t>DA0002</t>
  </si>
  <si>
    <t>DA0003</t>
  </si>
  <si>
    <t>DA0004</t>
  </si>
  <si>
    <t>DA0005</t>
  </si>
  <si>
    <t>DA0007</t>
  </si>
  <si>
    <t>NH0002</t>
  </si>
  <si>
    <t>MD0001</t>
  </si>
  <si>
    <t>DS0016</t>
  </si>
  <si>
    <t>NH0024A</t>
  </si>
  <si>
    <t>NH0005</t>
  </si>
  <si>
    <t>NH0007</t>
  </si>
  <si>
    <t>Đất sạch 5dm3</t>
  </si>
  <si>
    <t>Đất sạch 20dm3</t>
  </si>
  <si>
    <t>Đất sạch 50dm3</t>
  </si>
  <si>
    <t>Đất sạch lẻ</t>
  </si>
  <si>
    <t>Promix 20dm3</t>
  </si>
  <si>
    <t>Đất trộn m3</t>
  </si>
  <si>
    <t>Đất mai</t>
  </si>
  <si>
    <t>Đất rau 5dm3</t>
  </si>
  <si>
    <t>Đất rau 10dm3</t>
  </si>
  <si>
    <t>Đất rau 20dm3</t>
  </si>
  <si>
    <t>Đất rau m3</t>
  </si>
  <si>
    <t>Đất xuất khẩu trồng cây 40lit</t>
  </si>
  <si>
    <t xml:space="preserve">Đất 20dm -Hà Nội </t>
  </si>
  <si>
    <t>Đất Việt 20dm</t>
  </si>
  <si>
    <t>Đất Việt 50dm</t>
  </si>
  <si>
    <t>Potting 'soil - Vàng</t>
  </si>
  <si>
    <t>Posting Soil - Bao trắng xuất khẩu</t>
  </si>
  <si>
    <t>Comport 'vegetal - Bao đỏ</t>
  </si>
  <si>
    <t>Đất Việt lẻ</t>
  </si>
  <si>
    <t>Black 'coneentrate -xanh dương</t>
  </si>
  <si>
    <t>Đất công Trình (m3)</t>
  </si>
  <si>
    <t>Đất công Trình (50dm3)</t>
  </si>
  <si>
    <t>Đất công trình 50 dm3 - đóng hàng 40 dm</t>
  </si>
  <si>
    <t>Đất Công Trình 50 dm3</t>
  </si>
  <si>
    <t>Đất Công Trình 40 dm3</t>
  </si>
  <si>
    <t>Phân bò 3dm</t>
  </si>
  <si>
    <t>Phân  bò 10dm3</t>
  </si>
  <si>
    <t xml:space="preserve">Phân bò </t>
  </si>
  <si>
    <t>Phân bò 16kg</t>
  </si>
  <si>
    <t>Phân bò tươi ( 20 dm3)</t>
  </si>
  <si>
    <t>NPK (16.16.8013S) 3 màu</t>
  </si>
  <si>
    <t>NPK (20 - 20 - 15) 3 màu</t>
  </si>
  <si>
    <t>Phân đùn:4.2.2(T - O) - 0.5kg</t>
  </si>
  <si>
    <t>Phân đùn:4.2.2(T - O) - 1kg</t>
  </si>
  <si>
    <t>Phân hữu cơ T-O )25kg)</t>
  </si>
  <si>
    <t>HCVS T-MB (40kg)</t>
  </si>
  <si>
    <t>Đá  Scoria 2-5mm</t>
  </si>
  <si>
    <t>Đá  Scoria 4-8mm</t>
  </si>
  <si>
    <t>Đá  Scoria 5-10mm</t>
  </si>
  <si>
    <t>Đá  Scoria 10-20mm</t>
  </si>
  <si>
    <t>Đá  Scoria 20-50mm</t>
  </si>
  <si>
    <t>Đá  Scoria 50-70mm</t>
  </si>
  <si>
    <t>Khay trồng  rau mầm 40 x40x1,2</t>
  </si>
  <si>
    <t>Mụn Dừa</t>
  </si>
  <si>
    <t>Giá thể trồng lan</t>
  </si>
  <si>
    <t>Thảm sơ dừa</t>
  </si>
  <si>
    <t>HR4</t>
  </si>
  <si>
    <t>HR2</t>
  </si>
  <si>
    <t>Tro Trấu</t>
  </si>
  <si>
    <t>Tro trộn</t>
  </si>
  <si>
    <t>NV01</t>
  </si>
  <si>
    <t>NV02</t>
  </si>
  <si>
    <t>NV03</t>
  </si>
  <si>
    <t>NV04</t>
  </si>
  <si>
    <t>NV05</t>
  </si>
  <si>
    <t>NV06</t>
  </si>
  <si>
    <t>NV07</t>
  </si>
  <si>
    <t>NV08</t>
  </si>
  <si>
    <t>NV09</t>
  </si>
  <si>
    <t>NV10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</si>
  <si>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</si>
  <si>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</si>
  <si>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</si>
  <si>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</si>
  <si>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</si>
  <si>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</si>
  <si>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</si>
  <si>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</si>
  <si>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</si>
  <si>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NV21</t>
  </si>
  <si>
    <t>NV24</t>
  </si>
  <si>
    <t>Chức vụ</t>
  </si>
  <si>
    <t>Công nhân</t>
  </si>
  <si>
    <t>Lương cơ bản</t>
  </si>
  <si>
    <t>Phụ cấp</t>
  </si>
  <si>
    <t>Ăn trưa</t>
  </si>
  <si>
    <t>Nhà ở</t>
  </si>
  <si>
    <t>Xăng xe</t>
  </si>
  <si>
    <t>Nặng nhọc, độc hại</t>
  </si>
  <si>
    <t>Thâm niên</t>
  </si>
  <si>
    <t>Trách nhiệm</t>
  </si>
  <si>
    <t>BHXH</t>
  </si>
  <si>
    <t>BHYT</t>
  </si>
  <si>
    <t>BHTN</t>
  </si>
  <si>
    <t>Các khoản trích người lao động</t>
  </si>
  <si>
    <t>Thực lãnh</t>
  </si>
  <si>
    <t>TÊN SẢN PHẨM</t>
  </si>
  <si>
    <t>MÃ SẢN PHẨM</t>
  </si>
  <si>
    <t>Posting Soil - Bao trắng XK</t>
  </si>
  <si>
    <t>Đất XK trồng cây 40lit</t>
  </si>
  <si>
    <t>THÀNH TIỀN</t>
  </si>
  <si>
    <t>TỔNG CỘNG SẢN PHẨM</t>
  </si>
  <si>
    <t>BẢNG CHẤM CÔNG ĐÓNG BAO</t>
  </si>
  <si>
    <t>Công ty TNHH CNSH SÀI GÒN XANH</t>
  </si>
  <si>
    <t>Địa chỉ: 127 Nguyễn Trọng Tuyển - P.15 - Q.Phú Nhuận - Tp HCM</t>
  </si>
  <si>
    <t>Điện thoại: (08)-39971869 - 38442457 - Fax: 08-39971869</t>
  </si>
  <si>
    <t>MST: 0302519810</t>
  </si>
  <si>
    <t>BẢNG CHẤM CÔNG BỐC HÀNG</t>
  </si>
  <si>
    <t>Mã NV:</t>
  </si>
  <si>
    <t>Họ tên:</t>
  </si>
  <si>
    <t>Chức vụ:</t>
  </si>
  <si>
    <t>Mã SP</t>
  </si>
  <si>
    <t>Tên SP</t>
  </si>
  <si>
    <t>Đơn giá</t>
  </si>
  <si>
    <t>Thành tiền</t>
  </si>
  <si>
    <t>CỘNG LƯƠNG SP</t>
  </si>
  <si>
    <t>Trừ BHXH,BHYT,TCTT</t>
  </si>
  <si>
    <t>Cộng</t>
  </si>
  <si>
    <t>THỰC LÃNH</t>
  </si>
  <si>
    <t>CÔNG VIỆC KHÁC</t>
  </si>
  <si>
    <t>Làm vườn rau</t>
  </si>
  <si>
    <t>Việc linh tinh khác</t>
  </si>
  <si>
    <t>Lượm rác, đá (xử lý sơ bộ)</t>
  </si>
  <si>
    <t>Dọn vệ sinh</t>
  </si>
  <si>
    <t>Trồng cây</t>
  </si>
  <si>
    <t>Tưới bãi NVL, tưới đường, Tưới cây</t>
  </si>
  <si>
    <t>Bơm nước</t>
  </si>
  <si>
    <t>Xổ tro, phân bò</t>
  </si>
  <si>
    <t>kéo mở, đậy bạt</t>
  </si>
  <si>
    <t>Đóng date, dán nhãn</t>
  </si>
  <si>
    <t>làm kho</t>
  </si>
  <si>
    <t>Làm cỏ</t>
  </si>
  <si>
    <t>Sửa chữa +phụ sửa xe+ sửa máy khác</t>
  </si>
  <si>
    <t>Làm điện</t>
  </si>
  <si>
    <t>ĐƠN GIÁ</t>
  </si>
  <si>
    <t>Nguyễn Văn Chiến</t>
  </si>
  <si>
    <t>Võ Văn Giàu</t>
  </si>
  <si>
    <t>Lê Phi Trung</t>
  </si>
  <si>
    <t>Lâm Văn Thương</t>
  </si>
  <si>
    <t>Võ Văn Có</t>
  </si>
  <si>
    <t>Lê Minh Nghĩa</t>
  </si>
  <si>
    <t>Trần Văn Tây</t>
  </si>
  <si>
    <t>Huỳnh Huy Phụng</t>
  </si>
  <si>
    <t>Võ Quang Tuấn</t>
  </si>
  <si>
    <t>Danh Vươl</t>
  </si>
  <si>
    <t>TỔNG HỢP BỐC HÀNG</t>
  </si>
  <si>
    <t>TỔNG HỢP CÔNG ĐÓNG BAO</t>
  </si>
  <si>
    <t>TỔNG HỢP CÔNG VIỆC KHÁC</t>
  </si>
  <si>
    <t>ĐỊNH MỨC LƯƠNG CÔNG NHÂN SẢN XUẤT</t>
  </si>
  <si>
    <t>ĐƠN GIÁ ĐÓNG SẢN PHẨM THEO KHỐI LƯỢNG HOÀN THÀNH</t>
  </si>
  <si>
    <t>% dùng cho tăng ca:</t>
  </si>
  <si>
    <t>Mã</t>
  </si>
  <si>
    <t>Thành phẩm</t>
  </si>
  <si>
    <t>Nhóm</t>
  </si>
  <si>
    <t>Đơn vị tính</t>
  </si>
  <si>
    <t>số bao/nhóm/ngày</t>
  </si>
  <si>
    <t>Định mức 1 nhân sự đóng / ngày 7.3h(bao)</t>
  </si>
  <si>
    <t>Định mức 1 nhân sự đóng /h(bao)</t>
  </si>
  <si>
    <t>ĐƠN GIÁ TĂNG CA</t>
  </si>
  <si>
    <t>TỈ LỆ</t>
  </si>
  <si>
    <t>MỨC LƯƠNG</t>
  </si>
  <si>
    <t>NGÀY CÔNG</t>
  </si>
  <si>
    <t>THỜI GIAN (GiỜ)</t>
  </si>
  <si>
    <t>ĐƠN GIÁ BỐC VÁC SẢN PHẨM THEO KHỐI LƯỢNG HOÀN THÀNH</t>
  </si>
  <si>
    <t>Định mức 1 nhân sự bốc vác / ngày 6.5h(bao)</t>
  </si>
  <si>
    <t>Định mức 1 nhân sự bốc vác /h(bao)</t>
  </si>
  <si>
    <t>Tên</t>
  </si>
  <si>
    <t>Quy cách</t>
  </si>
  <si>
    <t>TB (kg)</t>
  </si>
  <si>
    <t>Mụn dừa</t>
  </si>
  <si>
    <t>Bao</t>
  </si>
  <si>
    <t>Đất sạch 5dm3</t>
  </si>
  <si>
    <t>20 gói/ bao</t>
  </si>
  <si>
    <t>Bao xanh</t>
  </si>
  <si>
    <t>Đất rau 5dm3</t>
  </si>
  <si>
    <t>Đất rau 10dm3</t>
  </si>
  <si>
    <t>10 gói/ bao</t>
  </si>
  <si>
    <t>Đất sạch 20dm3</t>
  </si>
  <si>
    <t>Đất sạch 50dm3</t>
  </si>
  <si>
    <t>Bò 3</t>
  </si>
  <si>
    <t>30 gói/ bao</t>
  </si>
  <si>
    <t>Bò 10</t>
  </si>
  <si>
    <t>Bò tươi 20dm3</t>
  </si>
  <si>
    <t>Bò bao cám 50dm3</t>
  </si>
  <si>
    <t>TO 0.5</t>
  </si>
  <si>
    <t>50 gói/ bao</t>
  </si>
  <si>
    <t>TO 1kg</t>
  </si>
  <si>
    <t>25 gói/ bao</t>
  </si>
  <si>
    <t>NPK 16-16-8</t>
  </si>
  <si>
    <t>80 gói 200g/ thùng</t>
  </si>
  <si>
    <t>Thùng</t>
  </si>
  <si>
    <t>NPK 20-20-15</t>
  </si>
  <si>
    <t>30 gói 1kg/ thùng</t>
  </si>
  <si>
    <t xml:space="preserve">Giá thể </t>
  </si>
  <si>
    <t>20 gói 200g/ bao</t>
  </si>
  <si>
    <t xml:space="preserve"> </t>
  </si>
  <si>
    <t>THÀNH TIỀN TRONG GIỜ</t>
  </si>
  <si>
    <t>THÀNH TIỀN NGOÀI GIỜ</t>
  </si>
  <si>
    <t>Đất công trình 50 dm3- đóng hàng 40 dm</t>
  </si>
  <si>
    <t>Phân bò (bao cám 50dm3)</t>
  </si>
  <si>
    <t>Đất mai 20dm3</t>
  </si>
  <si>
    <t>TỔNG LƯƠNG</t>
  </si>
  <si>
    <t>LƯƠNG ĐỊNH MỨC</t>
  </si>
  <si>
    <t>CÔNG TY TNHH CNSH SÀI GÒN XANH</t>
  </si>
  <si>
    <t>HỆ THỐNG THANG LƯƠNG, BẢNG LƯƠNG</t>
  </si>
  <si>
    <t>I/ MỨC LƯƠNG TỐI THIỂU:</t>
  </si>
  <si>
    <t>Mức lương tối thiểu mà doanh nghiệp đang áp dụng:</t>
  </si>
  <si>
    <t>đồng/tháng</t>
  </si>
  <si>
    <t>II/ HỆ THỐNG THANG LƯƠNG:</t>
  </si>
  <si>
    <t>ĐVT:  đồng</t>
  </si>
  <si>
    <t>1- BẢNG LƯƠNG CHỨC VỤ QUẢN LÝ DOANH NGHIỆP</t>
  </si>
  <si>
    <t>CHỨC DANH CÔNG VIỆC</t>
  </si>
  <si>
    <t>MÃ SỐ</t>
  </si>
  <si>
    <t>BẬC/ HỆ SỐ/ MỨC LƯƠNG</t>
  </si>
  <si>
    <t xml:space="preserve">01- TỔNG GIÁM ĐỐC </t>
  </si>
  <si>
    <t>Hệ số</t>
  </si>
  <si>
    <t>Mức lương tháng</t>
  </si>
  <si>
    <t>C.01</t>
  </si>
  <si>
    <t>Mức lương ngày</t>
  </si>
  <si>
    <t>02- PHÓ TỔNG GIÁM ĐỐC/ GĐ ĐIỀU HÀNH</t>
  </si>
  <si>
    <t>C.02</t>
  </si>
  <si>
    <t>03- KẾ TOÁN TRƯỞNG/ Q.GIÁM ĐỐC / TRƯỞNG BAN</t>
  </si>
  <si>
    <t>C.03</t>
  </si>
  <si>
    <t>2- BẢNG LƯƠNG VIÊN CHỨC CHUYÊN MÔN, THỪA HÀNH, PHỤC VỤ</t>
  </si>
  <si>
    <t>01- CHUYÊN GIA CAO CẤP/ NGHỆ NHÂN</t>
  </si>
  <si>
    <t>D.01</t>
  </si>
  <si>
    <t>02- TRƯỞNG BỘ PHẬN, KẾ TOÁN TỔNG HỢP, CHUYÊN VIÊN</t>
  </si>
  <si>
    <t>D.02</t>
  </si>
  <si>
    <t>03- KẾ TOÁN VIÊN, NV HCNS, THỦ QUỸ, NV KỸ THUẬT ...</t>
  </si>
  <si>
    <t>D.03</t>
  </si>
  <si>
    <t>04- NV KINH DOANH/ SALE ADMIN</t>
  </si>
  <si>
    <t>D.04</t>
  </si>
  <si>
    <t>05- VĂN THƯ, LỄ TÂN</t>
  </si>
  <si>
    <t>D.05</t>
  </si>
  <si>
    <t>3- BẢNG LƯƠNG NHÂN VIÊN TRỰC TIẾP SẢN XUẤT KINH DOANH VÀ PHỤC VỤ</t>
  </si>
  <si>
    <t>01- TỔ TRƯỞNG, NV KHO, GIÁM SÁT NHÀ MÁY</t>
  </si>
  <si>
    <t>B.01</t>
  </si>
  <si>
    <t>02- TÀI XẾ XE CƠ GIỚI, CÔNG NHÂN KT</t>
  </si>
  <si>
    <t>B.02</t>
  </si>
  <si>
    <t>03- TÀI XẾ PHUC VU KINH DOANH</t>
  </si>
  <si>
    <t>B.03</t>
  </si>
  <si>
    <t>04- PHỤ XE CÓ TAY NGHỀ (Lái xe được)</t>
  </si>
  <si>
    <t>B.04</t>
  </si>
  <si>
    <t>05- TẠP VỤ, BẢO VỆ; CÔNG NHÂN SX</t>
  </si>
  <si>
    <t>B.05</t>
  </si>
  <si>
    <t>06- BỐC XẾP, PHỤ XE KINH DOANH</t>
  </si>
  <si>
    <t>B.06</t>
  </si>
  <si>
    <t>Ngạch lương</t>
  </si>
  <si>
    <t>Hệ số lương</t>
  </si>
  <si>
    <t>Ngày làm việc</t>
  </si>
  <si>
    <t>NGÀY LÀM VIỆC TRONG THÁNG</t>
  </si>
  <si>
    <t>Ngày công</t>
  </si>
  <si>
    <t>Nghỉ hưởng lương</t>
  </si>
  <si>
    <t>Giờ tăng ca trong tháng</t>
  </si>
  <si>
    <t>Giờ tăng ca</t>
  </si>
  <si>
    <t>Họ và Tên</t>
  </si>
  <si>
    <t>CN</t>
  </si>
  <si>
    <t>Ngày LV</t>
  </si>
  <si>
    <t>Lễ tết</t>
  </si>
  <si>
    <t>Phép</t>
  </si>
  <si>
    <t>Ngày thường</t>
  </si>
  <si>
    <t>KẾ HOẠCH SẢN XUẤT</t>
  </si>
  <si>
    <t>GIÁM ĐỐC NHÀ MÁY</t>
  </si>
  <si>
    <t>Người lập</t>
  </si>
  <si>
    <t>Phép năm</t>
  </si>
  <si>
    <t>Lương định mức</t>
  </si>
  <si>
    <t>Lương đóng BHXH</t>
  </si>
  <si>
    <t>Ngày vào làm</t>
  </si>
  <si>
    <t>Hệ số thâm niên</t>
  </si>
  <si>
    <t>Số tháng thâm niên</t>
  </si>
  <si>
    <t>Thành tiền lương cơ bản</t>
  </si>
  <si>
    <t>Tổng phụ cấp</t>
  </si>
  <si>
    <t>Lương vượt định mức</t>
  </si>
  <si>
    <t>Tổng thu nhập</t>
  </si>
  <si>
    <t>Trừ tạm ứng</t>
  </si>
  <si>
    <t>Đóng bao ngoài giờ</t>
  </si>
  <si>
    <t>Công việc khác</t>
  </si>
  <si>
    <t>Tổng công việc khác</t>
  </si>
  <si>
    <t>Trừ tiền ứng trước</t>
  </si>
  <si>
    <t>Đất XK 40lit</t>
  </si>
  <si>
    <t>Posting Soil trắng XK</t>
  </si>
  <si>
    <t>Comport 'vegetal đỏ</t>
  </si>
  <si>
    <t>Black 'coneentrate xanh</t>
  </si>
  <si>
    <t>Hàng rào 4</t>
  </si>
  <si>
    <t>Hàng rào 2</t>
  </si>
  <si>
    <t xml:space="preserve">Khay trồng  rau </t>
  </si>
  <si>
    <t>Phân T-O 25kg</t>
  </si>
  <si>
    <t>Phân đùn (T - O) 0.5kg</t>
  </si>
  <si>
    <t>Phân đùn (T - O) 1kg</t>
  </si>
  <si>
    <t>NPK (20 - 20 - 15)</t>
  </si>
  <si>
    <t>NPK (16.16.8013S)</t>
  </si>
  <si>
    <t>Phân bò tươi 20 dm3</t>
  </si>
  <si>
    <t>Đóng bao trong giờ</t>
  </si>
  <si>
    <t>Ký tên</t>
  </si>
  <si>
    <t>NGÀY LÀM VIỆC</t>
  </si>
  <si>
    <t>ĐẠT</t>
  </si>
  <si>
    <t>Tổng lương</t>
  </si>
  <si>
    <t>Tro Loại 1</t>
  </si>
  <si>
    <t>TROH01</t>
  </si>
  <si>
    <t>TROH02</t>
  </si>
  <si>
    <t>Chạy máy đùn T-O</t>
  </si>
  <si>
    <t>Gói</t>
  </si>
  <si>
    <t>Cái</t>
  </si>
  <si>
    <t>ĐƠN GIÁ M3</t>
  </si>
  <si>
    <t>ĐƠN GIÁ TĂNG CA M3</t>
  </si>
  <si>
    <t>Ngày công:</t>
  </si>
  <si>
    <t>Cộng tiền cơm</t>
  </si>
  <si>
    <t>CƠM</t>
  </si>
  <si>
    <t>MÃ NV</t>
  </si>
  <si>
    <t>Ứng Lương</t>
  </si>
  <si>
    <t>Tổng cộng</t>
  </si>
  <si>
    <t>Ký nhận</t>
  </si>
  <si>
    <t>Xe 51C-79320</t>
  </si>
  <si>
    <t>xe ben 5 tấn</t>
  </si>
  <si>
    <t>Xe 51C- 84553</t>
  </si>
  <si>
    <t>Xe 51C-60324</t>
  </si>
  <si>
    <t>xe KD 1,7 tấn</t>
  </si>
  <si>
    <t>Xe 51C-83149</t>
  </si>
  <si>
    <t>Xe 51C- 72917</t>
  </si>
  <si>
    <t>Xe 51D-08092</t>
  </si>
  <si>
    <t>xe KD 8 tấn</t>
  </si>
  <si>
    <t>Xe 51D-20670</t>
  </si>
  <si>
    <t>Xe 51D- 20822</t>
  </si>
  <si>
    <t>Xe 51C 79024</t>
  </si>
  <si>
    <t>Số CGH</t>
  </si>
  <si>
    <t>Xe</t>
  </si>
  <si>
    <t>Số M3/Xe</t>
  </si>
  <si>
    <t>Số CN</t>
  </si>
  <si>
    <t>Mã CN</t>
  </si>
  <si>
    <t>Tên CN</t>
  </si>
  <si>
    <t>Số M3/CN</t>
  </si>
  <si>
    <t>Số xe</t>
  </si>
  <si>
    <t>Loại</t>
  </si>
  <si>
    <t>Mã mới</t>
  </si>
  <si>
    <t>Mã Test</t>
  </si>
  <si>
    <t>Số M3</t>
  </si>
  <si>
    <t>Bốc vác</t>
  </si>
  <si>
    <t>Cộng thời gian làm công việc khác</t>
  </si>
  <si>
    <t>Tiền phép năm, lễ tết</t>
  </si>
  <si>
    <t>Cộng tiền lễ tết, phép năm</t>
  </si>
  <si>
    <t>LÊ THANH HUY</t>
  </si>
  <si>
    <t>Cao Thị Minh Thoa</t>
  </si>
  <si>
    <t>STT</t>
  </si>
  <si>
    <t>Xe 51D-22297</t>
  </si>
  <si>
    <t>Xe 51D-22307</t>
  </si>
  <si>
    <t>Cộng tiền thưởng Lễ, Tết</t>
  </si>
  <si>
    <t>Lê Văn Bi</t>
  </si>
  <si>
    <t>Tạ Chí Thuận</t>
  </si>
  <si>
    <t>NV32</t>
  </si>
  <si>
    <t>TỔNG</t>
  </si>
  <si>
    <t>Lê Hiệp</t>
  </si>
  <si>
    <t>Đất công trình đóng hàng 40 dm</t>
  </si>
  <si>
    <t>Trần Anh Dũ</t>
  </si>
  <si>
    <t>THẺ LƯƠNG THÁNG 5/2018</t>
  </si>
  <si>
    <t>Ngô Văn Thanh</t>
  </si>
  <si>
    <t>Lê Phi Thành</t>
  </si>
  <si>
    <t>Chỉ dừa 50 dm</t>
  </si>
  <si>
    <t>NH0025A</t>
  </si>
  <si>
    <t>Chỉ dừa 50dm</t>
  </si>
  <si>
    <t>sản phẩm mới</t>
  </si>
  <si>
    <t>Chỉ sơ dừa</t>
  </si>
  <si>
    <t>Thưởng lễ, tết</t>
  </si>
  <si>
    <t>Thạch Ngọc Tiến</t>
  </si>
  <si>
    <t>Nguyễn Tuấn Vinh</t>
  </si>
  <si>
    <t>Trần Thanh Nguyên</t>
  </si>
  <si>
    <t>Lê Nhật Trường Giang</t>
  </si>
  <si>
    <t>NV26</t>
  </si>
  <si>
    <t>NV27</t>
  </si>
  <si>
    <t>NV31</t>
  </si>
  <si>
    <t>NV34</t>
  </si>
  <si>
    <t>Đội trưởng</t>
  </si>
  <si>
    <t>NV36</t>
  </si>
  <si>
    <t>Thạch Ngọc Thắng</t>
  </si>
  <si>
    <t xml:space="preserve">CỘNG </t>
  </si>
  <si>
    <t>Tổng Giám đốc</t>
  </si>
  <si>
    <t>Q.Giám đốc NM</t>
  </si>
  <si>
    <t>Q.TCKT</t>
  </si>
  <si>
    <t>NGUYỄN VĂN THẢO</t>
  </si>
  <si>
    <t>Lê Thanh Huy</t>
  </si>
  <si>
    <t>NGUYỄN VĂN BẢY</t>
  </si>
  <si>
    <t>QGĐ. TCKT</t>
  </si>
  <si>
    <t>QGĐ. HCNS</t>
  </si>
  <si>
    <t>NGUYỄN ĐỖ QUỲNH PHƯƠNG</t>
  </si>
  <si>
    <t>Dương Tấn Đạt</t>
  </si>
  <si>
    <t>Nguyễn Thanh Hùng</t>
  </si>
  <si>
    <t>Nguyễn Chí Thạch</t>
  </si>
  <si>
    <t>Đặng Văn Luân</t>
  </si>
  <si>
    <t>Phan Thanh Minh</t>
  </si>
  <si>
    <t>Lê Văn Triệu</t>
  </si>
  <si>
    <t>Tiền thưởng Lễ, Tết</t>
  </si>
  <si>
    <t>BẢNG CHẤM CÔNG NGOÀI GIỜ THÁNG 08/2019</t>
  </si>
  <si>
    <t>Làm ngoài (Việc linh tinh khác)</t>
  </si>
  <si>
    <t>BẢNG CHẤM CÔNG TRONG GIỜ THÁNG 09/2019</t>
  </si>
  <si>
    <t>DANH SÁCH ỨNG LƯƠNG T09/19</t>
  </si>
  <si>
    <t>NGUYỄN THỊ HỒNG ÁNH</t>
  </si>
  <si>
    <t>26.09-&gt;03.10</t>
  </si>
  <si>
    <t>04.10-&gt;14.10</t>
  </si>
  <si>
    <t>15.10-&gt;25.10</t>
  </si>
  <si>
    <t>P</t>
  </si>
  <si>
    <t>BẢNG THANH TOÁN TIỀN LƯƠNG THÁNG 10</t>
  </si>
  <si>
    <t>THẺ LƯƠNG THÁNG 10/2019</t>
  </si>
  <si>
    <t>15.10-&gt;25.11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</si>
</sst>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#,##0.0;[Red]#,##0.0"/>
    <numFmt numFmtId="167" formatCode="_-* #,##0\ _₫_-;\-* #,##0\ _₫_-;_-* &quot;-&quot;??\ _₫_-;_-@_-"/>
    <numFmt numFmtId="168" formatCode="_(* #,##0.0000_);_(* \(#,##0.0000\);_(* &quot;-&quot;??_);_(@_)"/>
    <numFmt numFmtId="169" formatCode="_-* #,##0.0\ _₫_-;\-* #,##0.0\ _₫_-;_-* &quot;-&quot;??\ _₫_-;_-@_-"/>
    <numFmt numFmtId="170" formatCode="_(* #,##0.0_);_(* \(#,##0.0\);_(* &quot;-&quot;??_);_(@_)"/>
    <numFmt numFmtId="171" formatCode="#,##0;[Red]#,##0"/>
    <numFmt numFmtId="172" formatCode="#,##0.000"/>
    <numFmt numFmtId="173" formatCode="#,##0.00;[Red]#,##0.00"/>
    <numFmt numFmtId="174" formatCode="0.0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VNI-Times"/>
    </font>
    <font>
      <sz val="1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b/>
      <sz val="10"/>
      <name val="Times New Roman"/>
      <family val="1"/>
    </font>
    <font>
      <b/>
      <sz val="10"/>
      <name val="Times New Roman"/>
      <family val="1"/>
      <charset val="163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  <charset val="163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22"/>
      <name val="Times New Roman"/>
      <family val="1"/>
    </font>
    <font>
      <b/>
      <sz val="12"/>
      <color theme="1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  <charset val="163"/>
    </font>
    <font>
      <sz val="13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VNI-Aptima"/>
    </font>
    <font>
      <sz val="13"/>
      <name val="Times New Roman"/>
      <family val="1"/>
    </font>
    <font>
      <sz val="10"/>
      <name val="Tahoma"/>
      <family val="2"/>
    </font>
    <font>
      <b/>
      <sz val="1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i/>
      <sz val="12"/>
      <color theme="1"/>
      <name val="Times New Roman"/>
      <family val="1"/>
    </font>
    <font>
      <sz val="8"/>
      <name val="Times New Roman"/>
      <family val="1"/>
    </font>
    <font>
      <sz val="9"/>
      <color indexed="81"/>
      <name val="Tahoma"/>
    </font>
    <font>
      <b/>
      <sz val="9"/>
      <color indexed="81"/>
      <name val="Tahoma"/>
    </font>
    <font>
      <b/>
      <sz val="7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3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" fillId="0" borderId="0"/>
    <xf numFmtId="164" fontId="30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2" fillId="0" borderId="0"/>
    <xf numFmtId="0" fontId="48" fillId="0" borderId="0"/>
    <xf numFmtId="44" fontId="2" fillId="0" borderId="0" applyFont="0" applyFill="0" applyBorder="0" applyAlignment="0" applyProtection="0"/>
  </cellStyleXfs>
  <cellXfs count="568">
    <xf numFmtId="0" fontId="0" fillId="0" borderId="0" xfId="0"/>
    <xf numFmtId="14" fontId="0" fillId="0" borderId="0" xfId="0" applyNumberFormat="1"/>
    <xf numFmtId="0" fontId="0" fillId="0" borderId="1" xfId="0" applyBorder="1"/>
    <xf numFmtId="165" fontId="0" fillId="0" borderId="0" xfId="1" applyNumberFormat="1" applyFont="1"/>
    <xf numFmtId="165" fontId="0" fillId="0" borderId="1" xfId="1" applyNumberFormat="1" applyFont="1" applyBorder="1"/>
    <xf numFmtId="9" fontId="3" fillId="2" borderId="1" xfId="0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2" borderId="1" xfId="0" applyFont="1" applyFill="1" applyBorder="1" applyAlignment="1"/>
    <xf numFmtId="0" fontId="0" fillId="0" borderId="0" xfId="0" applyFill="1"/>
    <xf numFmtId="165" fontId="3" fillId="2" borderId="1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43" fontId="0" fillId="0" borderId="0" xfId="0" applyNumberFormat="1"/>
    <xf numFmtId="9" fontId="0" fillId="0" borderId="1" xfId="2" applyFont="1" applyBorder="1"/>
    <xf numFmtId="165" fontId="3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/>
    <xf numFmtId="0" fontId="0" fillId="4" borderId="1" xfId="0" applyFill="1" applyBorder="1"/>
    <xf numFmtId="0" fontId="0" fillId="5" borderId="0" xfId="0" applyFill="1"/>
    <xf numFmtId="0" fontId="3" fillId="5" borderId="4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165" fontId="0" fillId="5" borderId="1" xfId="1" applyNumberFormat="1" applyFont="1" applyFill="1" applyBorder="1"/>
    <xf numFmtId="0" fontId="0" fillId="5" borderId="1" xfId="0" applyFill="1" applyBorder="1"/>
    <xf numFmtId="165" fontId="3" fillId="4" borderId="1" xfId="1" applyNumberFormat="1" applyFont="1" applyFill="1" applyBorder="1" applyAlignment="1">
      <alignment wrapText="1"/>
    </xf>
    <xf numFmtId="165" fontId="3" fillId="5" borderId="1" xfId="1" applyNumberFormat="1" applyFont="1" applyFill="1" applyBorder="1" applyAlignment="1">
      <alignment wrapText="1"/>
    </xf>
    <xf numFmtId="165" fontId="3" fillId="3" borderId="1" xfId="1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6" fillId="0" borderId="0" xfId="3" applyFont="1"/>
    <xf numFmtId="0" fontId="6" fillId="8" borderId="0" xfId="3" applyFont="1" applyFill="1"/>
    <xf numFmtId="167" fontId="6" fillId="0" borderId="0" xfId="3" applyNumberFormat="1" applyFont="1"/>
    <xf numFmtId="0" fontId="11" fillId="0" borderId="0" xfId="3" applyFont="1"/>
    <xf numFmtId="0" fontId="12" fillId="0" borderId="0" xfId="3" applyFont="1"/>
    <xf numFmtId="165" fontId="6" fillId="0" borderId="0" xfId="5" applyNumberFormat="1" applyFont="1"/>
    <xf numFmtId="0" fontId="14" fillId="2" borderId="1" xfId="3" applyFont="1" applyFill="1" applyBorder="1" applyAlignment="1">
      <alignment horizontal="center" vertical="center" wrapText="1"/>
    </xf>
    <xf numFmtId="0" fontId="6" fillId="0" borderId="1" xfId="3" applyFont="1" applyBorder="1"/>
    <xf numFmtId="43" fontId="6" fillId="0" borderId="1" xfId="5" applyNumberFormat="1" applyFont="1" applyBorder="1"/>
    <xf numFmtId="43" fontId="6" fillId="8" borderId="1" xfId="5" applyNumberFormat="1" applyFont="1" applyFill="1" applyBorder="1"/>
    <xf numFmtId="0" fontId="6" fillId="0" borderId="0" xfId="3" applyFont="1" applyFill="1" applyBorder="1"/>
    <xf numFmtId="167" fontId="6" fillId="0" borderId="0" xfId="3" applyNumberFormat="1" applyFont="1" applyFill="1" applyBorder="1"/>
    <xf numFmtId="0" fontId="6" fillId="2" borderId="1" xfId="3" applyFont="1" applyFill="1" applyBorder="1"/>
    <xf numFmtId="9" fontId="6" fillId="2" borderId="1" xfId="3" applyNumberFormat="1" applyFont="1" applyFill="1" applyBorder="1"/>
    <xf numFmtId="9" fontId="6" fillId="2" borderId="1" xfId="2" applyFont="1" applyFill="1" applyBorder="1"/>
    <xf numFmtId="167" fontId="6" fillId="2" borderId="1" xfId="2" applyNumberFormat="1" applyFont="1" applyFill="1" applyBorder="1"/>
    <xf numFmtId="167" fontId="6" fillId="0" borderId="1" xfId="1" applyNumberFormat="1" applyFont="1" applyFill="1" applyBorder="1"/>
    <xf numFmtId="0" fontId="6" fillId="0" borderId="1" xfId="3" applyFont="1" applyFill="1" applyBorder="1"/>
    <xf numFmtId="167" fontId="6" fillId="0" borderId="1" xfId="3" applyNumberFormat="1" applyFont="1" applyFill="1" applyBorder="1"/>
    <xf numFmtId="0" fontId="15" fillId="0" borderId="0" xfId="3" applyFont="1"/>
    <xf numFmtId="167" fontId="14" fillId="2" borderId="1" xfId="3" applyNumberFormat="1" applyFont="1" applyFill="1" applyBorder="1" applyAlignment="1">
      <alignment horizontal="center" vertical="center" wrapText="1"/>
    </xf>
    <xf numFmtId="167" fontId="6" fillId="0" borderId="1" xfId="1" applyNumberFormat="1" applyFont="1" applyBorder="1"/>
    <xf numFmtId="43" fontId="6" fillId="0" borderId="0" xfId="3" applyNumberFormat="1" applyFont="1"/>
    <xf numFmtId="0" fontId="14" fillId="2" borderId="1" xfId="3" applyFont="1" applyFill="1" applyBorder="1"/>
    <xf numFmtId="43" fontId="6" fillId="0" borderId="1" xfId="1" applyFont="1" applyBorder="1" applyAlignment="1">
      <alignment horizontal="right"/>
    </xf>
    <xf numFmtId="0" fontId="14" fillId="0" borderId="1" xfId="3" applyFont="1" applyFill="1" applyBorder="1" applyAlignment="1">
      <alignment horizontal="center" vertical="center" wrapText="1"/>
    </xf>
    <xf numFmtId="167" fontId="14" fillId="0" borderId="1" xfId="3" applyNumberFormat="1" applyFont="1" applyFill="1" applyBorder="1" applyAlignment="1">
      <alignment horizontal="center" vertical="center" wrapText="1"/>
    </xf>
    <xf numFmtId="165" fontId="14" fillId="0" borderId="1" xfId="5" applyNumberFormat="1" applyFont="1" applyFill="1" applyBorder="1" applyAlignment="1">
      <alignment horizontal="center" vertical="center" wrapText="1"/>
    </xf>
    <xf numFmtId="43" fontId="6" fillId="0" borderId="1" xfId="5" applyNumberFormat="1" applyFont="1" applyFill="1" applyBorder="1"/>
    <xf numFmtId="9" fontId="13" fillId="0" borderId="0" xfId="2" applyFont="1" applyFill="1" applyAlignment="1">
      <alignment wrapText="1"/>
    </xf>
    <xf numFmtId="9" fontId="13" fillId="0" borderId="0" xfId="2" applyFont="1" applyFill="1"/>
    <xf numFmtId="167" fontId="6" fillId="0" borderId="0" xfId="1" applyNumberFormat="1" applyFont="1" applyFill="1" applyBorder="1"/>
    <xf numFmtId="169" fontId="6" fillId="0" borderId="1" xfId="3" applyNumberFormat="1" applyFont="1" applyFill="1" applyBorder="1"/>
    <xf numFmtId="9" fontId="6" fillId="0" borderId="0" xfId="2" applyFont="1" applyFill="1" applyBorder="1"/>
    <xf numFmtId="2" fontId="6" fillId="0" borderId="1" xfId="3" applyNumberFormat="1" applyFont="1" applyBorder="1"/>
    <xf numFmtId="0" fontId="3" fillId="8" borderId="1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10" fillId="0" borderId="0" xfId="0" applyFont="1" applyAlignment="1"/>
    <xf numFmtId="0" fontId="14" fillId="0" borderId="0" xfId="0" applyFont="1" applyAlignment="1"/>
    <xf numFmtId="0" fontId="6" fillId="0" borderId="0" xfId="0" applyFont="1"/>
    <xf numFmtId="0" fontId="16" fillId="0" borderId="0" xfId="0" applyFont="1"/>
    <xf numFmtId="0" fontId="17" fillId="0" borderId="0" xfId="0" applyFont="1"/>
    <xf numFmtId="165" fontId="14" fillId="0" borderId="0" xfId="1" applyNumberFormat="1" applyFont="1" applyBorder="1"/>
    <xf numFmtId="0" fontId="14" fillId="0" borderId="0" xfId="0" applyFont="1"/>
    <xf numFmtId="0" fontId="18" fillId="0" borderId="0" xfId="0" applyFont="1"/>
    <xf numFmtId="0" fontId="14" fillId="7" borderId="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6" fillId="9" borderId="1" xfId="0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6" fillId="0" borderId="1" xfId="0" applyFont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right"/>
    </xf>
    <xf numFmtId="167" fontId="6" fillId="0" borderId="1" xfId="0" applyNumberFormat="1" applyFont="1" applyBorder="1" applyAlignment="1">
      <alignment horizontal="right"/>
    </xf>
    <xf numFmtId="0" fontId="6" fillId="9" borderId="1" xfId="0" applyFont="1" applyFill="1" applyBorder="1"/>
    <xf numFmtId="0" fontId="14" fillId="9" borderId="1" xfId="0" applyFont="1" applyFill="1" applyBorder="1" applyAlignment="1"/>
    <xf numFmtId="0" fontId="14" fillId="9" borderId="1" xfId="0" applyFont="1" applyFill="1" applyBorder="1" applyAlignment="1">
      <alignment wrapText="1"/>
    </xf>
    <xf numFmtId="165" fontId="6" fillId="0" borderId="0" xfId="0" applyNumberFormat="1" applyFont="1"/>
    <xf numFmtId="0" fontId="21" fillId="0" borderId="0" xfId="0" applyFont="1"/>
    <xf numFmtId="0" fontId="22" fillId="0" borderId="0" xfId="0" applyFont="1"/>
    <xf numFmtId="0" fontId="21" fillId="6" borderId="0" xfId="0" applyFont="1" applyFill="1"/>
    <xf numFmtId="0" fontId="28" fillId="0" borderId="0" xfId="0" applyFont="1"/>
    <xf numFmtId="170" fontId="0" fillId="0" borderId="1" xfId="1" applyNumberFormat="1" applyFont="1" applyBorder="1"/>
    <xf numFmtId="172" fontId="3" fillId="4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165" fontId="6" fillId="0" borderId="1" xfId="1" applyNumberFormat="1" applyFont="1" applyBorder="1"/>
    <xf numFmtId="43" fontId="6" fillId="0" borderId="1" xfId="3" applyNumberFormat="1" applyFont="1" applyBorder="1"/>
    <xf numFmtId="165" fontId="3" fillId="8" borderId="1" xfId="1" applyNumberFormat="1" applyFont="1" applyFill="1" applyBorder="1" applyAlignment="1">
      <alignment wrapText="1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165" fontId="0" fillId="0" borderId="0" xfId="0" applyNumberFormat="1"/>
    <xf numFmtId="0" fontId="32" fillId="0" borderId="0" xfId="0" applyFont="1"/>
    <xf numFmtId="0" fontId="4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21" fillId="0" borderId="0" xfId="0" applyFont="1" applyAlignment="1"/>
    <xf numFmtId="0" fontId="29" fillId="14" borderId="1" xfId="0" applyFont="1" applyFill="1" applyBorder="1" applyAlignment="1">
      <alignment horizontal="center"/>
    </xf>
    <xf numFmtId="0" fontId="3" fillId="0" borderId="0" xfId="0" applyFont="1" applyFill="1"/>
    <xf numFmtId="0" fontId="3" fillId="13" borderId="4" xfId="0" applyFont="1" applyFill="1" applyBorder="1" applyAlignment="1">
      <alignment horizontal="center" vertical="center" wrapText="1"/>
    </xf>
    <xf numFmtId="165" fontId="3" fillId="13" borderId="1" xfId="1" applyNumberFormat="1" applyFont="1" applyFill="1" applyBorder="1" applyAlignment="1">
      <alignment wrapText="1"/>
    </xf>
    <xf numFmtId="0" fontId="3" fillId="13" borderId="3" xfId="0" applyFont="1" applyFill="1" applyBorder="1" applyAlignment="1">
      <alignment vertical="center" wrapText="1"/>
    </xf>
    <xf numFmtId="168" fontId="21" fillId="0" borderId="0" xfId="1" applyNumberFormat="1" applyFont="1" applyAlignment="1">
      <alignment horizontal="center"/>
    </xf>
    <xf numFmtId="168" fontId="29" fillId="14" borderId="1" xfId="1" applyNumberFormat="1" applyFont="1" applyFill="1" applyBorder="1" applyAlignment="1">
      <alignment horizontal="center"/>
    </xf>
    <xf numFmtId="168" fontId="21" fillId="0" borderId="0" xfId="1" applyNumberFormat="1" applyFont="1" applyAlignment="1"/>
    <xf numFmtId="43" fontId="21" fillId="0" borderId="0" xfId="1" applyNumberFormat="1" applyFont="1" applyAlignment="1"/>
    <xf numFmtId="14" fontId="29" fillId="14" borderId="1" xfId="0" applyNumberFormat="1" applyFont="1" applyFill="1" applyBorder="1" applyAlignment="1">
      <alignment horizontal="center"/>
    </xf>
    <xf numFmtId="43" fontId="0" fillId="0" borderId="1" xfId="1" applyFont="1" applyFill="1" applyBorder="1"/>
    <xf numFmtId="170" fontId="0" fillId="0" borderId="1" xfId="1" applyNumberFormat="1" applyFont="1" applyFill="1" applyBorder="1"/>
    <xf numFmtId="0" fontId="13" fillId="0" borderId="0" xfId="0" applyFont="1"/>
    <xf numFmtId="0" fontId="17" fillId="0" borderId="1" xfId="3" applyFont="1" applyFill="1" applyBorder="1" applyAlignment="1" applyProtection="1">
      <alignment horizontal="center" vertical="center" wrapText="1"/>
    </xf>
    <xf numFmtId="0" fontId="13" fillId="0" borderId="1" xfId="3" applyFont="1" applyFill="1" applyBorder="1" applyAlignment="1" applyProtection="1">
      <alignment vertical="center" wrapText="1"/>
    </xf>
    <xf numFmtId="0" fontId="13" fillId="0" borderId="1" xfId="0" applyFont="1" applyBorder="1"/>
    <xf numFmtId="0" fontId="33" fillId="0" borderId="0" xfId="0" applyFont="1"/>
    <xf numFmtId="43" fontId="3" fillId="13" borderId="3" xfId="1" applyFont="1" applyFill="1" applyBorder="1" applyAlignment="1">
      <alignment vertical="center" wrapText="1"/>
    </xf>
    <xf numFmtId="0" fontId="24" fillId="15" borderId="1" xfId="3" applyFont="1" applyFill="1" applyBorder="1" applyAlignment="1" applyProtection="1">
      <alignment vertical="center" wrapText="1"/>
    </xf>
    <xf numFmtId="170" fontId="23" fillId="15" borderId="1" xfId="1" applyNumberFormat="1" applyFont="1" applyFill="1" applyBorder="1"/>
    <xf numFmtId="0" fontId="21" fillId="15" borderId="1" xfId="0" applyFont="1" applyFill="1" applyBorder="1" applyAlignment="1">
      <alignment horizontal="center"/>
    </xf>
    <xf numFmtId="0" fontId="21" fillId="15" borderId="0" xfId="0" applyFont="1" applyFill="1"/>
    <xf numFmtId="0" fontId="32" fillId="0" borderId="0" xfId="0" applyFont="1" applyAlignment="1">
      <alignment horizontal="center"/>
    </xf>
    <xf numFmtId="166" fontId="36" fillId="0" borderId="0" xfId="0" applyNumberFormat="1" applyFont="1"/>
    <xf numFmtId="14" fontId="36" fillId="0" borderId="0" xfId="0" applyNumberFormat="1" applyFont="1"/>
    <xf numFmtId="173" fontId="36" fillId="0" borderId="0" xfId="0" applyNumberFormat="1" applyFont="1"/>
    <xf numFmtId="166" fontId="36" fillId="5" borderId="0" xfId="0" applyNumberFormat="1" applyFont="1" applyFill="1"/>
    <xf numFmtId="171" fontId="36" fillId="0" borderId="0" xfId="0" applyNumberFormat="1" applyFont="1"/>
    <xf numFmtId="173" fontId="37" fillId="3" borderId="1" xfId="1" applyNumberFormat="1" applyFont="1" applyFill="1" applyBorder="1" applyAlignment="1">
      <alignment horizontal="center" vertical="center" wrapText="1"/>
    </xf>
    <xf numFmtId="166" fontId="37" fillId="0" borderId="0" xfId="0" applyNumberFormat="1" applyFont="1" applyFill="1" applyAlignment="1">
      <alignment wrapText="1"/>
    </xf>
    <xf numFmtId="173" fontId="37" fillId="3" borderId="1" xfId="1" applyNumberFormat="1" applyFont="1" applyFill="1" applyBorder="1" applyAlignment="1">
      <alignment vertical="center"/>
    </xf>
    <xf numFmtId="166" fontId="36" fillId="4" borderId="1" xfId="0" applyNumberFormat="1" applyFont="1" applyFill="1" applyBorder="1"/>
    <xf numFmtId="166" fontId="36" fillId="0" borderId="0" xfId="0" applyNumberFormat="1" applyFont="1" applyFill="1"/>
    <xf numFmtId="173" fontId="37" fillId="3" borderId="1" xfId="1" applyNumberFormat="1" applyFont="1" applyFill="1" applyBorder="1" applyAlignment="1">
      <alignment vertical="center" wrapText="1"/>
    </xf>
    <xf numFmtId="166" fontId="37" fillId="2" borderId="1" xfId="0" applyNumberFormat="1" applyFont="1" applyFill="1" applyBorder="1" applyAlignment="1">
      <alignment vertical="center"/>
    </xf>
    <xf numFmtId="14" fontId="37" fillId="2" borderId="1" xfId="0" applyNumberFormat="1" applyFont="1" applyFill="1" applyBorder="1" applyAlignment="1">
      <alignment vertical="center"/>
    </xf>
    <xf numFmtId="172" fontId="37" fillId="4" borderId="1" xfId="0" applyNumberFormat="1" applyFont="1" applyFill="1" applyBorder="1" applyAlignment="1">
      <alignment wrapText="1"/>
    </xf>
    <xf numFmtId="166" fontId="36" fillId="16" borderId="0" xfId="0" applyNumberFormat="1" applyFont="1" applyFill="1"/>
    <xf numFmtId="166" fontId="36" fillId="6" borderId="1" xfId="0" applyNumberFormat="1" applyFont="1" applyFill="1" applyBorder="1" applyAlignment="1">
      <alignment vertical="center"/>
    </xf>
    <xf numFmtId="168" fontId="32" fillId="0" borderId="0" xfId="1" applyNumberFormat="1" applyFont="1" applyAlignment="1">
      <alignment horizontal="center"/>
    </xf>
    <xf numFmtId="0" fontId="28" fillId="14" borderId="1" xfId="0" applyFont="1" applyFill="1" applyBorder="1" applyAlignment="1">
      <alignment horizontal="center"/>
    </xf>
    <xf numFmtId="168" fontId="28" fillId="14" borderId="1" xfId="1" applyNumberFormat="1" applyFont="1" applyFill="1" applyBorder="1" applyAlignment="1">
      <alignment horizontal="center"/>
    </xf>
    <xf numFmtId="14" fontId="32" fillId="0" borderId="0" xfId="0" applyNumberFormat="1" applyFont="1" applyAlignment="1">
      <alignment horizontal="center"/>
    </xf>
    <xf numFmtId="43" fontId="32" fillId="0" borderId="0" xfId="1" applyNumberFormat="1" applyFont="1" applyAlignment="1"/>
    <xf numFmtId="0" fontId="38" fillId="0" borderId="1" xfId="0" applyFont="1" applyFill="1" applyBorder="1" applyAlignment="1">
      <alignment horizontal="center"/>
    </xf>
    <xf numFmtId="0" fontId="39" fillId="0" borderId="1" xfId="0" applyFont="1" applyBorder="1" applyAlignment="1"/>
    <xf numFmtId="0" fontId="38" fillId="0" borderId="1" xfId="0" applyFont="1" applyBorder="1" applyAlignment="1">
      <alignment horizontal="center"/>
    </xf>
    <xf numFmtId="0" fontId="40" fillId="6" borderId="1" xfId="3" applyFont="1" applyFill="1" applyBorder="1" applyAlignment="1" applyProtection="1">
      <alignment vertical="center" wrapText="1"/>
    </xf>
    <xf numFmtId="0" fontId="21" fillId="0" borderId="0" xfId="0" applyFont="1" applyAlignment="1">
      <alignment horizontal="left"/>
    </xf>
    <xf numFmtId="0" fontId="29" fillId="14" borderId="1" xfId="0" applyFont="1" applyFill="1" applyBorder="1" applyAlignment="1">
      <alignment horizontal="left"/>
    </xf>
    <xf numFmtId="0" fontId="32" fillId="0" borderId="0" xfId="0" applyNumberFormat="1" applyFont="1" applyAlignment="1">
      <alignment horizontal="center"/>
    </xf>
    <xf numFmtId="0" fontId="28" fillId="14" borderId="1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0" xfId="0" applyNumberFormat="1" applyFont="1" applyAlignment="1">
      <alignment horizontal="left"/>
    </xf>
    <xf numFmtId="0" fontId="32" fillId="6" borderId="0" xfId="0" applyNumberFormat="1" applyFont="1" applyFill="1" applyAlignment="1">
      <alignment horizontal="left"/>
    </xf>
    <xf numFmtId="0" fontId="32" fillId="0" borderId="0" xfId="0" applyNumberFormat="1" applyFont="1" applyAlignment="1"/>
    <xf numFmtId="14" fontId="28" fillId="14" borderId="1" xfId="0" applyNumberFormat="1" applyFont="1" applyFill="1" applyBorder="1" applyAlignment="1">
      <alignment horizontal="center"/>
    </xf>
    <xf numFmtId="174" fontId="32" fillId="0" borderId="0" xfId="1" applyNumberFormat="1" applyFont="1" applyAlignment="1">
      <alignment horizontal="center"/>
    </xf>
    <xf numFmtId="174" fontId="28" fillId="14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43" fontId="0" fillId="0" borderId="1" xfId="1" applyFont="1" applyBorder="1"/>
    <xf numFmtId="170" fontId="24" fillId="15" borderId="1" xfId="1" applyNumberFormat="1" applyFont="1" applyFill="1" applyBorder="1" applyAlignment="1"/>
    <xf numFmtId="170" fontId="24" fillId="15" borderId="1" xfId="1" applyNumberFormat="1" applyFont="1" applyFill="1" applyBorder="1" applyAlignment="1">
      <alignment horizontal="center"/>
    </xf>
    <xf numFmtId="170" fontId="23" fillId="11" borderId="1" xfId="1" applyNumberFormat="1" applyFont="1" applyFill="1" applyBorder="1" applyAlignment="1"/>
    <xf numFmtId="170" fontId="23" fillId="11" borderId="1" xfId="1" applyNumberFormat="1" applyFont="1" applyFill="1" applyBorder="1" applyAlignment="1">
      <alignment horizontal="center"/>
    </xf>
    <xf numFmtId="0" fontId="21" fillId="7" borderId="0" xfId="0" applyFont="1" applyFill="1" applyAlignment="1">
      <alignment horizontal="left"/>
    </xf>
    <xf numFmtId="0" fontId="31" fillId="0" borderId="0" xfId="0" applyFont="1" applyAlignment="1">
      <alignment horizontal="center"/>
    </xf>
    <xf numFmtId="0" fontId="37" fillId="0" borderId="0" xfId="0" applyFont="1" applyFill="1" applyBorder="1" applyAlignment="1"/>
    <xf numFmtId="0" fontId="36" fillId="0" borderId="0" xfId="0" applyFont="1" applyFill="1"/>
    <xf numFmtId="0" fontId="36" fillId="0" borderId="0" xfId="0" applyFont="1" applyFill="1" applyBorder="1"/>
    <xf numFmtId="165" fontId="36" fillId="0" borderId="0" xfId="1" applyNumberFormat="1" applyFont="1" applyFill="1"/>
    <xf numFmtId="0" fontId="36" fillId="0" borderId="1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wrapText="1"/>
    </xf>
    <xf numFmtId="165" fontId="36" fillId="0" borderId="0" xfId="1" applyNumberFormat="1" applyFont="1" applyFill="1" applyBorder="1" applyAlignment="1">
      <alignment wrapText="1"/>
    </xf>
    <xf numFmtId="0" fontId="36" fillId="0" borderId="0" xfId="0" applyFont="1" applyFill="1" applyAlignment="1">
      <alignment wrapText="1"/>
    </xf>
    <xf numFmtId="165" fontId="37" fillId="0" borderId="0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/>
    </xf>
    <xf numFmtId="165" fontId="3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/>
    <xf numFmtId="165" fontId="36" fillId="0" borderId="0" xfId="1" applyNumberFormat="1" applyFont="1" applyFill="1" applyBorder="1"/>
    <xf numFmtId="0" fontId="36" fillId="0" borderId="0" xfId="0" applyFont="1" applyFill="1" applyBorder="1" applyAlignment="1">
      <alignment horizontal="left"/>
    </xf>
    <xf numFmtId="0" fontId="36" fillId="0" borderId="1" xfId="0" applyFont="1" applyFill="1" applyBorder="1"/>
    <xf numFmtId="165" fontId="36" fillId="0" borderId="0" xfId="1" applyNumberFormat="1" applyFont="1" applyFill="1" applyBorder="1" applyAlignment="1">
      <alignment horizontal="center" vertical="center" wrapText="1"/>
    </xf>
    <xf numFmtId="165" fontId="37" fillId="0" borderId="0" xfId="1" applyNumberFormat="1" applyFont="1" applyFill="1"/>
    <xf numFmtId="43" fontId="36" fillId="0" borderId="0" xfId="1" applyFont="1" applyFill="1" applyBorder="1"/>
    <xf numFmtId="0" fontId="36" fillId="0" borderId="5" xfId="0" applyFont="1" applyFill="1" applyBorder="1" applyAlignment="1">
      <alignment wrapText="1"/>
    </xf>
    <xf numFmtId="0" fontId="36" fillId="0" borderId="6" xfId="0" applyFont="1" applyFill="1" applyBorder="1" applyAlignment="1">
      <alignment wrapText="1"/>
    </xf>
    <xf numFmtId="165" fontId="36" fillId="0" borderId="1" xfId="1" applyNumberFormat="1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Fill="1" applyBorder="1" applyAlignment="1">
      <alignment horizontal="left"/>
    </xf>
    <xf numFmtId="165" fontId="37" fillId="0" borderId="1" xfId="1" applyNumberFormat="1" applyFont="1" applyFill="1" applyBorder="1"/>
    <xf numFmtId="0" fontId="37" fillId="0" borderId="1" xfId="0" applyFont="1" applyFill="1" applyBorder="1" applyAlignment="1">
      <alignment horizontal="left"/>
    </xf>
    <xf numFmtId="0" fontId="37" fillId="0" borderId="0" xfId="0" applyFont="1" applyFill="1" applyBorder="1" applyAlignment="1">
      <alignment horizontal="center"/>
    </xf>
    <xf numFmtId="165" fontId="36" fillId="0" borderId="0" xfId="0" applyNumberFormat="1" applyFont="1" applyFill="1"/>
    <xf numFmtId="165" fontId="37" fillId="0" borderId="0" xfId="1" applyNumberFormat="1" applyFont="1" applyFill="1" applyBorder="1"/>
    <xf numFmtId="165" fontId="36" fillId="0" borderId="0" xfId="1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left"/>
    </xf>
    <xf numFmtId="14" fontId="36" fillId="6" borderId="1" xfId="0" applyNumberFormat="1" applyFont="1" applyFill="1" applyBorder="1" applyAlignment="1">
      <alignment vertical="center"/>
    </xf>
    <xf numFmtId="0" fontId="8" fillId="0" borderId="1" xfId="0" applyFont="1" applyBorder="1" applyAlignment="1"/>
    <xf numFmtId="165" fontId="35" fillId="0" borderId="1" xfId="0" applyNumberFormat="1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41" fillId="0" borderId="0" xfId="0" applyFont="1"/>
    <xf numFmtId="0" fontId="35" fillId="0" borderId="1" xfId="0" applyFont="1" applyBorder="1"/>
    <xf numFmtId="0" fontId="41" fillId="0" borderId="1" xfId="0" applyFont="1" applyBorder="1"/>
    <xf numFmtId="0" fontId="40" fillId="6" borderId="4" xfId="3" applyFont="1" applyFill="1" applyBorder="1" applyAlignment="1" applyProtection="1">
      <alignment vertical="center" wrapText="1"/>
    </xf>
    <xf numFmtId="0" fontId="42" fillId="0" borderId="1" xfId="0" applyFont="1" applyBorder="1"/>
    <xf numFmtId="0" fontId="32" fillId="0" borderId="0" xfId="0" applyFont="1" applyAlignment="1">
      <alignment horizontal="center"/>
    </xf>
    <xf numFmtId="165" fontId="43" fillId="3" borderId="1" xfId="1" applyNumberFormat="1" applyFont="1" applyFill="1" applyBorder="1" applyAlignment="1">
      <alignment horizontal="center" vertical="center" wrapText="1"/>
    </xf>
    <xf numFmtId="165" fontId="43" fillId="3" borderId="1" xfId="1" applyNumberFormat="1" applyFont="1" applyFill="1" applyBorder="1"/>
    <xf numFmtId="172" fontId="43" fillId="3" borderId="1" xfId="1" applyNumberFormat="1" applyFont="1" applyFill="1" applyBorder="1" applyAlignment="1">
      <alignment wrapText="1"/>
    </xf>
    <xf numFmtId="0" fontId="43" fillId="2" borderId="1" xfId="0" applyFont="1" applyFill="1" applyBorder="1" applyAlignment="1"/>
    <xf numFmtId="14" fontId="43" fillId="2" borderId="1" xfId="0" applyNumberFormat="1" applyFont="1" applyFill="1" applyBorder="1" applyAlignment="1"/>
    <xf numFmtId="0" fontId="0" fillId="7" borderId="0" xfId="0" applyFill="1"/>
    <xf numFmtId="0" fontId="45" fillId="0" borderId="1" xfId="0" applyFont="1" applyBorder="1" applyAlignment="1">
      <alignment horizontal="center"/>
    </xf>
    <xf numFmtId="0" fontId="36" fillId="0" borderId="1" xfId="0" applyFont="1" applyBorder="1"/>
    <xf numFmtId="166" fontId="36" fillId="17" borderId="0" xfId="0" applyNumberFormat="1" applyFont="1" applyFill="1"/>
    <xf numFmtId="14" fontId="44" fillId="0" borderId="0" xfId="0" applyNumberFormat="1" applyFont="1"/>
    <xf numFmtId="165" fontId="36" fillId="0" borderId="1" xfId="1" applyNumberFormat="1" applyFont="1" applyFill="1" applyBorder="1" applyAlignment="1">
      <alignment horizontal="left" vertical="center" wrapText="1"/>
    </xf>
    <xf numFmtId="165" fontId="0" fillId="0" borderId="1" xfId="1" applyNumberFormat="1" applyFont="1" applyFill="1" applyBorder="1"/>
    <xf numFmtId="0" fontId="47" fillId="0" borderId="0" xfId="0" applyFont="1" applyFill="1" applyBorder="1"/>
    <xf numFmtId="0" fontId="47" fillId="0" borderId="0" xfId="0" applyFont="1" applyFill="1"/>
    <xf numFmtId="0" fontId="47" fillId="0" borderId="1" xfId="0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/>
    </xf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/>
    <xf numFmtId="165" fontId="47" fillId="0" borderId="1" xfId="1" applyNumberFormat="1" applyFont="1" applyFill="1" applyBorder="1" applyAlignment="1">
      <alignment wrapText="1"/>
    </xf>
    <xf numFmtId="165" fontId="47" fillId="0" borderId="0" xfId="1" applyNumberFormat="1" applyFont="1" applyFill="1" applyBorder="1" applyAlignment="1">
      <alignment horizontal="left" vertical="center"/>
    </xf>
    <xf numFmtId="165" fontId="47" fillId="0" borderId="0" xfId="1" applyNumberFormat="1" applyFont="1" applyFill="1" applyBorder="1"/>
    <xf numFmtId="170" fontId="47" fillId="0" borderId="1" xfId="1" applyNumberFormat="1" applyFont="1" applyFill="1" applyBorder="1"/>
    <xf numFmtId="165" fontId="46" fillId="0" borderId="1" xfId="1" applyNumberFormat="1" applyFont="1" applyFill="1" applyBorder="1"/>
    <xf numFmtId="0" fontId="47" fillId="0" borderId="0" xfId="0" applyFont="1" applyFill="1" applyAlignment="1">
      <alignment horizontal="left"/>
    </xf>
    <xf numFmtId="165" fontId="47" fillId="0" borderId="0" xfId="1" applyNumberFormat="1" applyFont="1" applyFill="1"/>
    <xf numFmtId="0" fontId="46" fillId="0" borderId="0" xfId="0" applyFont="1" applyFill="1" applyAlignment="1">
      <alignment horizontal="left"/>
    </xf>
    <xf numFmtId="165" fontId="46" fillId="0" borderId="0" xfId="1" applyNumberFormat="1" applyFont="1" applyFill="1"/>
    <xf numFmtId="43" fontId="0" fillId="0" borderId="1" xfId="1" applyNumberFormat="1" applyFont="1" applyBorder="1"/>
    <xf numFmtId="170" fontId="23" fillId="6" borderId="1" xfId="1" applyNumberFormat="1" applyFont="1" applyFill="1" applyBorder="1"/>
    <xf numFmtId="165" fontId="4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wrapText="1"/>
    </xf>
    <xf numFmtId="165" fontId="47" fillId="0" borderId="1" xfId="1" applyNumberFormat="1" applyFont="1" applyFill="1" applyBorder="1" applyAlignment="1"/>
    <xf numFmtId="0" fontId="0" fillId="0" borderId="1" xfId="0" applyFont="1" applyBorder="1"/>
    <xf numFmtId="0" fontId="32" fillId="0" borderId="0" xfId="0" applyFont="1" applyAlignment="1">
      <alignment horizontal="center"/>
    </xf>
    <xf numFmtId="43" fontId="32" fillId="0" borderId="0" xfId="1" applyFont="1" applyAlignment="1"/>
    <xf numFmtId="43" fontId="28" fillId="14" borderId="1" xfId="1" applyFont="1" applyFill="1" applyBorder="1" applyAlignment="1">
      <alignment horizontal="center"/>
    </xf>
    <xf numFmtId="43" fontId="32" fillId="0" borderId="0" xfId="1" applyFont="1" applyAlignment="1">
      <alignment horizontal="center"/>
    </xf>
    <xf numFmtId="0" fontId="32" fillId="0" borderId="0" xfId="0" applyFont="1" applyAlignment="1">
      <alignment horizontal="center"/>
    </xf>
    <xf numFmtId="165" fontId="47" fillId="0" borderId="1" xfId="1" applyNumberFormat="1" applyFont="1" applyFill="1" applyBorder="1" applyAlignment="1">
      <alignment horizontal="left" vertical="center" wrapText="1"/>
    </xf>
    <xf numFmtId="2" fontId="0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6" fillId="7" borderId="1" xfId="3" applyFont="1" applyFill="1" applyBorder="1"/>
    <xf numFmtId="167" fontId="6" fillId="7" borderId="1" xfId="1" applyNumberFormat="1" applyFont="1" applyFill="1" applyBorder="1"/>
    <xf numFmtId="43" fontId="6" fillId="7" borderId="1" xfId="5" applyNumberFormat="1" applyFont="1" applyFill="1" applyBorder="1"/>
    <xf numFmtId="0" fontId="32" fillId="0" borderId="0" xfId="0" applyFont="1" applyAlignment="1">
      <alignment horizontal="center"/>
    </xf>
    <xf numFmtId="165" fontId="36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/>
    <xf numFmtId="9" fontId="0" fillId="0" borderId="1" xfId="2" applyFont="1" applyFill="1" applyBorder="1"/>
    <xf numFmtId="165" fontId="0" fillId="0" borderId="1" xfId="0" applyNumberFormat="1" applyFill="1" applyBorder="1"/>
    <xf numFmtId="0" fontId="44" fillId="0" borderId="1" xfId="0" applyFont="1" applyFill="1" applyBorder="1"/>
    <xf numFmtId="165" fontId="3" fillId="7" borderId="1" xfId="1" applyNumberFormat="1" applyFont="1" applyFill="1" applyBorder="1" applyAlignment="1">
      <alignment horizontal="center" vertical="center" wrapText="1"/>
    </xf>
    <xf numFmtId="165" fontId="3" fillId="7" borderId="1" xfId="1" applyNumberFormat="1" applyFont="1" applyFill="1" applyBorder="1"/>
    <xf numFmtId="165" fontId="3" fillId="7" borderId="1" xfId="1" applyNumberFormat="1" applyFont="1" applyFill="1" applyBorder="1" applyAlignment="1">
      <alignment wrapText="1"/>
    </xf>
    <xf numFmtId="0" fontId="24" fillId="15" borderId="4" xfId="3" applyFont="1" applyFill="1" applyBorder="1" applyAlignment="1" applyProtection="1">
      <alignment vertical="center" wrapText="1"/>
    </xf>
    <xf numFmtId="0" fontId="49" fillId="6" borderId="6" xfId="12" applyNumberFormat="1" applyFont="1" applyFill="1" applyBorder="1" applyAlignment="1">
      <alignment horizontal="left" vertical="center"/>
    </xf>
    <xf numFmtId="0" fontId="0" fillId="7" borderId="1" xfId="0" applyFill="1" applyBorder="1"/>
    <xf numFmtId="172" fontId="43" fillId="18" borderId="1" xfId="1" applyNumberFormat="1" applyFont="1" applyFill="1" applyBorder="1" applyAlignment="1">
      <alignment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13" fillId="0" borderId="1" xfId="1" applyNumberFormat="1" applyFont="1" applyFill="1" applyBorder="1"/>
    <xf numFmtId="3" fontId="21" fillId="0" borderId="1" xfId="0" applyNumberFormat="1" applyFont="1" applyFill="1" applyBorder="1" applyAlignment="1">
      <alignment horizontal="left" vertical="center"/>
    </xf>
    <xf numFmtId="3" fontId="21" fillId="0" borderId="2" xfId="0" applyNumberFormat="1" applyFont="1" applyFill="1" applyBorder="1" applyAlignment="1">
      <alignment horizontal="left" vertical="center"/>
    </xf>
    <xf numFmtId="165" fontId="47" fillId="0" borderId="1" xfId="1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3" fillId="2" borderId="1" xfId="0" applyFont="1" applyFill="1" applyBorder="1"/>
    <xf numFmtId="0" fontId="50" fillId="0" borderId="0" xfId="0" applyFont="1"/>
    <xf numFmtId="0" fontId="50" fillId="0" borderId="0" xfId="0" applyFont="1" applyAlignment="1">
      <alignment horizontal="center"/>
    </xf>
    <xf numFmtId="165" fontId="50" fillId="0" borderId="0" xfId="1" applyNumberFormat="1" applyFont="1" applyFill="1"/>
    <xf numFmtId="170" fontId="50" fillId="0" borderId="0" xfId="1" applyNumberFormat="1" applyFont="1"/>
    <xf numFmtId="165" fontId="50" fillId="0" borderId="0" xfId="1" applyNumberFormat="1" applyFont="1"/>
    <xf numFmtId="165" fontId="50" fillId="0" borderId="0" xfId="0" applyNumberFormat="1" applyFont="1" applyFill="1"/>
    <xf numFmtId="165" fontId="51" fillId="0" borderId="0" xfId="1" applyNumberFormat="1" applyFont="1" applyFill="1" applyAlignment="1">
      <alignment horizontal="center"/>
    </xf>
    <xf numFmtId="165" fontId="50" fillId="0" borderId="0" xfId="0" applyNumberFormat="1" applyFont="1"/>
    <xf numFmtId="0" fontId="51" fillId="0" borderId="0" xfId="0" applyFont="1"/>
    <xf numFmtId="165" fontId="51" fillId="0" borderId="0" xfId="1" applyNumberFormat="1" applyFont="1"/>
    <xf numFmtId="165" fontId="51" fillId="0" borderId="0" xfId="1" applyNumberFormat="1" applyFont="1" applyFill="1"/>
    <xf numFmtId="0" fontId="51" fillId="0" borderId="0" xfId="0" applyFont="1" applyFill="1"/>
    <xf numFmtId="0" fontId="51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0" applyNumberFormat="1" applyFont="1" applyFill="1"/>
    <xf numFmtId="165" fontId="44" fillId="0" borderId="1" xfId="1" applyNumberFormat="1" applyFont="1" applyFill="1" applyBorder="1"/>
    <xf numFmtId="9" fontId="44" fillId="0" borderId="1" xfId="2" applyFont="1" applyFill="1" applyBorder="1"/>
    <xf numFmtId="170" fontId="44" fillId="0" borderId="1" xfId="1" applyNumberFormat="1" applyFont="1" applyFill="1" applyBorder="1"/>
    <xf numFmtId="0" fontId="44" fillId="0" borderId="0" xfId="0" applyFont="1" applyFill="1"/>
    <xf numFmtId="170" fontId="26" fillId="0" borderId="0" xfId="1" applyNumberFormat="1" applyFont="1" applyFill="1" applyBorder="1" applyAlignment="1" applyProtection="1">
      <alignment vertical="center" wrapText="1"/>
    </xf>
    <xf numFmtId="170" fontId="23" fillId="15" borderId="0" xfId="1" applyNumberFormat="1" applyFont="1" applyFill="1" applyBorder="1"/>
    <xf numFmtId="170" fontId="23" fillId="6" borderId="0" xfId="1" applyNumberFormat="1" applyFont="1" applyFill="1" applyBorder="1"/>
    <xf numFmtId="0" fontId="21" fillId="0" borderId="0" xfId="0" applyFont="1" applyBorder="1" applyAlignment="1">
      <alignment horizontal="center"/>
    </xf>
    <xf numFmtId="165" fontId="0" fillId="5" borderId="0" xfId="1" applyNumberFormat="1" applyFont="1" applyFill="1" applyBorder="1"/>
    <xf numFmtId="43" fontId="47" fillId="0" borderId="0" xfId="1" applyFont="1" applyFill="1"/>
    <xf numFmtId="0" fontId="36" fillId="0" borderId="5" xfId="0" applyFont="1" applyFill="1" applyBorder="1" applyAlignment="1"/>
    <xf numFmtId="9" fontId="6" fillId="0" borderId="0" xfId="3" applyNumberFormat="1" applyFont="1"/>
    <xf numFmtId="170" fontId="23" fillId="11" borderId="1" xfId="1" applyNumberFormat="1" applyFont="1" applyFill="1" applyBorder="1" applyAlignment="1">
      <alignment horizontal="center" vertical="center" wrapText="1"/>
    </xf>
    <xf numFmtId="12" fontId="6" fillId="0" borderId="0" xfId="3" applyNumberFormat="1" applyFont="1"/>
    <xf numFmtId="3" fontId="0" fillId="0" borderId="0" xfId="0" applyNumberFormat="1" applyFill="1"/>
    <xf numFmtId="3" fontId="44" fillId="0" borderId="0" xfId="0" applyNumberFormat="1" applyFont="1" applyFill="1"/>
    <xf numFmtId="0" fontId="0" fillId="0" borderId="0" xfId="0" applyFill="1" applyBorder="1"/>
    <xf numFmtId="0" fontId="0" fillId="19" borderId="0" xfId="0" applyFill="1"/>
    <xf numFmtId="166" fontId="36" fillId="0" borderId="1" xfId="0" applyNumberFormat="1" applyFont="1" applyFill="1" applyBorder="1" applyAlignment="1">
      <alignment vertical="center"/>
    </xf>
    <xf numFmtId="0" fontId="29" fillId="11" borderId="4" xfId="0" applyFont="1" applyFill="1" applyBorder="1" applyAlignment="1">
      <alignment horizontal="center" vertical="center"/>
    </xf>
    <xf numFmtId="166" fontId="36" fillId="7" borderId="0" xfId="0" applyNumberFormat="1" applyFont="1" applyFill="1"/>
    <xf numFmtId="171" fontId="36" fillId="7" borderId="0" xfId="0" applyNumberFormat="1" applyFont="1" applyFill="1"/>
    <xf numFmtId="170" fontId="25" fillId="15" borderId="1" xfId="1" applyNumberFormat="1" applyFont="1" applyFill="1" applyBorder="1" applyAlignment="1">
      <alignment horizontal="center" vertical="center"/>
    </xf>
    <xf numFmtId="170" fontId="24" fillId="15" borderId="1" xfId="1" applyNumberFormat="1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top" wrapText="1"/>
    </xf>
    <xf numFmtId="2" fontId="2" fillId="6" borderId="1" xfId="0" applyNumberFormat="1" applyFont="1" applyFill="1" applyBorder="1" applyAlignment="1">
      <alignment horizontal="center" vertical="center"/>
    </xf>
    <xf numFmtId="172" fontId="2" fillId="0" borderId="1" xfId="1" applyNumberFormat="1" applyFont="1" applyFill="1" applyBorder="1" applyAlignment="1">
      <alignment vertical="center"/>
    </xf>
    <xf numFmtId="173" fontId="2" fillId="0" borderId="1" xfId="1" applyNumberFormat="1" applyFont="1" applyFill="1" applyBorder="1" applyAlignment="1">
      <alignment vertical="center"/>
    </xf>
    <xf numFmtId="172" fontId="2" fillId="0" borderId="1" xfId="1" quotePrefix="1" applyNumberFormat="1" applyFont="1" applyFill="1" applyBorder="1" applyAlignment="1">
      <alignment vertical="center"/>
    </xf>
    <xf numFmtId="172" fontId="2" fillId="6" borderId="1" xfId="1" applyNumberFormat="1" applyFont="1" applyFill="1" applyBorder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73" fontId="2" fillId="6" borderId="1" xfId="1" applyNumberFormat="1" applyFont="1" applyFill="1" applyBorder="1" applyAlignment="1">
      <alignment horizontal="center" vertical="center"/>
    </xf>
    <xf numFmtId="172" fontId="2" fillId="7" borderId="1" xfId="1" applyNumberFormat="1" applyFont="1" applyFill="1" applyBorder="1" applyAlignment="1">
      <alignment horizontal="center" vertical="center"/>
    </xf>
    <xf numFmtId="172" fontId="2" fillId="5" borderId="3" xfId="0" applyNumberFormat="1" applyFont="1" applyFill="1" applyBorder="1" applyAlignment="1">
      <alignment horizontal="center" vertical="center" wrapText="1"/>
    </xf>
    <xf numFmtId="172" fontId="2" fillId="6" borderId="1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6" borderId="0" xfId="0" applyNumberFormat="1" applyFont="1" applyFill="1" applyAlignment="1">
      <alignment horizontal="center" vertical="center"/>
    </xf>
    <xf numFmtId="172" fontId="44" fillId="6" borderId="1" xfId="3" applyNumberFormat="1" applyFont="1" applyFill="1" applyBorder="1" applyAlignment="1" applyProtection="1">
      <alignment horizontal="center" vertical="center" wrapText="1"/>
    </xf>
    <xf numFmtId="166" fontId="2" fillId="6" borderId="1" xfId="0" applyNumberFormat="1" applyFont="1" applyFill="1" applyBorder="1" applyAlignment="1">
      <alignment horizontal="center" vertical="center"/>
    </xf>
    <xf numFmtId="172" fontId="44" fillId="6" borderId="1" xfId="4" quotePrefix="1" applyNumberFormat="1" applyFont="1" applyFill="1" applyBorder="1" applyAlignment="1" applyProtection="1">
      <alignment horizontal="center" vertical="center" wrapText="1"/>
    </xf>
    <xf numFmtId="173" fontId="2" fillId="16" borderId="1" xfId="1" applyNumberFormat="1" applyFont="1" applyFill="1" applyBorder="1" applyAlignment="1">
      <alignment horizontal="center" vertical="center"/>
    </xf>
    <xf numFmtId="172" fontId="2" fillId="16" borderId="1" xfId="0" applyNumberFormat="1" applyFont="1" applyFill="1" applyBorder="1" applyAlignment="1">
      <alignment horizontal="center"/>
    </xf>
    <xf numFmtId="173" fontId="2" fillId="0" borderId="1" xfId="1" applyNumberFormat="1" applyFont="1" applyFill="1" applyBorder="1" applyAlignment="1">
      <alignment horizontal="center" vertical="center"/>
    </xf>
    <xf numFmtId="172" fontId="2" fillId="17" borderId="1" xfId="0" applyNumberFormat="1" applyFont="1" applyFill="1" applyBorder="1" applyAlignment="1">
      <alignment horizontal="center"/>
    </xf>
    <xf numFmtId="172" fontId="2" fillId="0" borderId="1" xfId="0" applyNumberFormat="1" applyFont="1" applyFill="1" applyBorder="1" applyAlignment="1">
      <alignment horizontal="center"/>
    </xf>
    <xf numFmtId="172" fontId="0" fillId="0" borderId="3" xfId="0" applyNumberFormat="1" applyFont="1" applyFill="1" applyBorder="1" applyAlignment="1">
      <alignment vertical="center" wrapText="1"/>
    </xf>
    <xf numFmtId="172" fontId="0" fillId="0" borderId="1" xfId="0" applyNumberFormat="1" applyFont="1" applyFill="1" applyBorder="1"/>
    <xf numFmtId="0" fontId="36" fillId="20" borderId="1" xfId="0" applyFont="1" applyFill="1" applyBorder="1"/>
    <xf numFmtId="0" fontId="42" fillId="20" borderId="1" xfId="0" applyFont="1" applyFill="1" applyBorder="1"/>
    <xf numFmtId="14" fontId="36" fillId="20" borderId="1" xfId="0" applyNumberFormat="1" applyFont="1" applyFill="1" applyBorder="1" applyAlignment="1">
      <alignment vertical="center"/>
    </xf>
    <xf numFmtId="172" fontId="2" fillId="20" borderId="1" xfId="1" applyNumberFormat="1" applyFont="1" applyFill="1" applyBorder="1" applyAlignment="1">
      <alignment vertical="center"/>
    </xf>
    <xf numFmtId="2" fontId="0" fillId="20" borderId="1" xfId="0" applyNumberFormat="1" applyFont="1" applyFill="1" applyBorder="1" applyAlignment="1">
      <alignment horizontal="center" vertical="center"/>
    </xf>
    <xf numFmtId="173" fontId="2" fillId="20" borderId="1" xfId="1" applyNumberFormat="1" applyFont="1" applyFill="1" applyBorder="1" applyAlignment="1">
      <alignment vertical="center"/>
    </xf>
    <xf numFmtId="172" fontId="0" fillId="20" borderId="3" xfId="0" applyNumberFormat="1" applyFont="1" applyFill="1" applyBorder="1" applyAlignment="1">
      <alignment vertical="center" wrapText="1"/>
    </xf>
    <xf numFmtId="172" fontId="0" fillId="20" borderId="1" xfId="0" applyNumberFormat="1" applyFont="1" applyFill="1" applyBorder="1"/>
    <xf numFmtId="0" fontId="0" fillId="20" borderId="0" xfId="0" applyFill="1"/>
    <xf numFmtId="14" fontId="36" fillId="21" borderId="1" xfId="0" applyNumberFormat="1" applyFont="1" applyFill="1" applyBorder="1" applyAlignment="1">
      <alignment vertical="center"/>
    </xf>
    <xf numFmtId="0" fontId="36" fillId="15" borderId="1" xfId="0" applyFont="1" applyFill="1" applyBorder="1"/>
    <xf numFmtId="0" fontId="42" fillId="15" borderId="1" xfId="0" applyFont="1" applyFill="1" applyBorder="1"/>
    <xf numFmtId="14" fontId="36" fillId="15" borderId="1" xfId="0" applyNumberFormat="1" applyFont="1" applyFill="1" applyBorder="1" applyAlignment="1">
      <alignment vertical="center"/>
    </xf>
    <xf numFmtId="0" fontId="0" fillId="15" borderId="0" xfId="0" applyFill="1"/>
    <xf numFmtId="14" fontId="36" fillId="0" borderId="1" xfId="0" applyNumberFormat="1" applyFont="1" applyFill="1" applyBorder="1" applyAlignment="1">
      <alignment vertical="center"/>
    </xf>
    <xf numFmtId="0" fontId="0" fillId="15" borderId="1" xfId="0" applyFill="1" applyBorder="1"/>
    <xf numFmtId="43" fontId="2" fillId="6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/>
    </xf>
    <xf numFmtId="43" fontId="2" fillId="7" borderId="1" xfId="1" applyFont="1" applyFill="1" applyBorder="1" applyAlignment="1">
      <alignment horizontal="center" vertical="center"/>
    </xf>
    <xf numFmtId="43" fontId="2" fillId="5" borderId="3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/>
    </xf>
    <xf numFmtId="165" fontId="43" fillId="7" borderId="1" xfId="1" applyNumberFormat="1" applyFont="1" applyFill="1" applyBorder="1" applyAlignment="1">
      <alignment horizontal="center" vertical="center" wrapText="1"/>
    </xf>
    <xf numFmtId="165" fontId="43" fillId="7" borderId="1" xfId="1" applyNumberFormat="1" applyFont="1" applyFill="1" applyBorder="1"/>
    <xf numFmtId="172" fontId="43" fillId="7" borderId="1" xfId="1" applyNumberFormat="1" applyFont="1" applyFill="1" applyBorder="1" applyAlignment="1">
      <alignment wrapText="1"/>
    </xf>
    <xf numFmtId="172" fontId="2" fillId="7" borderId="1" xfId="1" applyNumberFormat="1" applyFont="1" applyFill="1" applyBorder="1" applyAlignment="1">
      <alignment vertical="center"/>
    </xf>
    <xf numFmtId="165" fontId="0" fillId="0" borderId="0" xfId="1" applyNumberFormat="1" applyFont="1" applyFill="1"/>
    <xf numFmtId="165" fontId="0" fillId="0" borderId="0" xfId="1" applyNumberFormat="1" applyFont="1" applyFill="1" applyBorder="1"/>
    <xf numFmtId="165" fontId="0" fillId="5" borderId="0" xfId="1" applyNumberFormat="1" applyFont="1" applyFill="1"/>
    <xf numFmtId="172" fontId="2" fillId="7" borderId="1" xfId="0" applyNumberFormat="1" applyFont="1" applyFill="1" applyBorder="1" applyAlignment="1">
      <alignment horizontal="center"/>
    </xf>
    <xf numFmtId="171" fontId="54" fillId="0" borderId="0" xfId="0" applyNumberFormat="1" applyFont="1" applyAlignment="1">
      <alignment horizontal="center" vertical="center"/>
    </xf>
    <xf numFmtId="2" fontId="55" fillId="0" borderId="1" xfId="0" applyNumberFormat="1" applyFont="1" applyBorder="1" applyAlignment="1">
      <alignment horizontal="center" vertical="center"/>
    </xf>
    <xf numFmtId="172" fontId="55" fillId="6" borderId="1" xfId="0" applyNumberFormat="1" applyFont="1" applyFill="1" applyBorder="1" applyAlignment="1">
      <alignment horizontal="center" vertical="center"/>
    </xf>
    <xf numFmtId="166" fontId="55" fillId="0" borderId="0" xfId="0" applyNumberFormat="1" applyFont="1" applyAlignment="1">
      <alignment horizontal="center" vertical="center"/>
    </xf>
    <xf numFmtId="43" fontId="55" fillId="6" borderId="1" xfId="1" applyFont="1" applyFill="1" applyBorder="1" applyAlignment="1">
      <alignment horizontal="center" vertical="center"/>
    </xf>
    <xf numFmtId="173" fontId="54" fillId="0" borderId="0" xfId="0" applyNumberFormat="1" applyFont="1"/>
    <xf numFmtId="173" fontId="55" fillId="6" borderId="1" xfId="0" applyNumberFormat="1" applyFont="1" applyFill="1" applyBorder="1" applyAlignment="1">
      <alignment horizontal="center"/>
    </xf>
    <xf numFmtId="172" fontId="55" fillId="6" borderId="1" xfId="0" applyNumberFormat="1" applyFont="1" applyFill="1" applyBorder="1" applyAlignment="1">
      <alignment horizontal="center"/>
    </xf>
    <xf numFmtId="173" fontId="55" fillId="6" borderId="0" xfId="0" applyNumberFormat="1" applyFont="1" applyFill="1" applyBorder="1" applyAlignment="1">
      <alignment horizontal="center"/>
    </xf>
    <xf numFmtId="43" fontId="55" fillId="0" borderId="1" xfId="1" applyFont="1" applyBorder="1" applyAlignment="1">
      <alignment horizontal="center" vertical="center"/>
    </xf>
    <xf numFmtId="43" fontId="55" fillId="6" borderId="1" xfId="1" applyFont="1" applyFill="1" applyBorder="1" applyAlignment="1">
      <alignment horizontal="center"/>
    </xf>
    <xf numFmtId="43" fontId="55" fillId="17" borderId="1" xfId="1" applyFont="1" applyFill="1" applyBorder="1" applyAlignment="1">
      <alignment horizontal="center"/>
    </xf>
    <xf numFmtId="166" fontId="56" fillId="4" borderId="1" xfId="0" applyNumberFormat="1" applyFont="1" applyFill="1" applyBorder="1" applyAlignment="1">
      <alignment wrapText="1"/>
    </xf>
    <xf numFmtId="172" fontId="56" fillId="4" borderId="1" xfId="1" applyNumberFormat="1" applyFont="1" applyFill="1" applyBorder="1" applyAlignment="1">
      <alignment vertical="center" wrapText="1"/>
    </xf>
    <xf numFmtId="0" fontId="57" fillId="0" borderId="0" xfId="0" applyFont="1"/>
    <xf numFmtId="173" fontId="56" fillId="4" borderId="1" xfId="0" applyNumberFormat="1" applyFont="1" applyFill="1" applyBorder="1" applyAlignment="1">
      <alignment horizontal="center" vertical="center" wrapText="1"/>
    </xf>
    <xf numFmtId="0" fontId="57" fillId="4" borderId="1" xfId="0" applyFont="1" applyFill="1" applyBorder="1"/>
    <xf numFmtId="172" fontId="56" fillId="18" borderId="1" xfId="1" applyNumberFormat="1" applyFont="1" applyFill="1" applyBorder="1" applyAlignment="1">
      <alignment wrapText="1"/>
    </xf>
    <xf numFmtId="172" fontId="58" fillId="4" borderId="1" xfId="0" applyNumberFormat="1" applyFont="1" applyFill="1" applyBorder="1" applyAlignment="1">
      <alignment wrapText="1"/>
    </xf>
    <xf numFmtId="172" fontId="57" fillId="0" borderId="1" xfId="0" applyNumberFormat="1" applyFont="1" applyFill="1" applyBorder="1"/>
    <xf numFmtId="172" fontId="57" fillId="7" borderId="1" xfId="0" applyNumberFormat="1" applyFont="1" applyFill="1" applyBorder="1"/>
    <xf numFmtId="172" fontId="57" fillId="20" borderId="1" xfId="0" applyNumberFormat="1" applyFont="1" applyFill="1" applyBorder="1"/>
    <xf numFmtId="0" fontId="57" fillId="15" borderId="1" xfId="0" applyFont="1" applyFill="1" applyBorder="1"/>
    <xf numFmtId="0" fontId="57" fillId="0" borderId="1" xfId="0" applyFont="1" applyBorder="1"/>
    <xf numFmtId="0" fontId="58" fillId="4" borderId="1" xfId="0" applyFont="1" applyFill="1" applyBorder="1" applyAlignment="1">
      <alignment wrapText="1"/>
    </xf>
    <xf numFmtId="2" fontId="57" fillId="0" borderId="1" xfId="0" applyNumberFormat="1" applyFont="1" applyFill="1" applyBorder="1" applyAlignment="1">
      <alignment horizontal="center" vertical="center"/>
    </xf>
    <xf numFmtId="2" fontId="57" fillId="20" borderId="1" xfId="0" applyNumberFormat="1" applyFont="1" applyFill="1" applyBorder="1" applyAlignment="1">
      <alignment horizontal="center" vertical="center"/>
    </xf>
    <xf numFmtId="173" fontId="55" fillId="0" borderId="0" xfId="0" applyNumberFormat="1" applyFont="1" applyFill="1" applyBorder="1" applyAlignment="1">
      <alignment horizontal="center"/>
    </xf>
    <xf numFmtId="172" fontId="55" fillId="0" borderId="1" xfId="0" applyNumberFormat="1" applyFont="1" applyFill="1" applyBorder="1" applyAlignment="1">
      <alignment horizontal="center" vertical="center"/>
    </xf>
    <xf numFmtId="2" fontId="59" fillId="0" borderId="1" xfId="0" applyNumberFormat="1" applyFont="1" applyBorder="1" applyAlignment="1">
      <alignment horizontal="center"/>
    </xf>
    <xf numFmtId="173" fontId="36" fillId="0" borderId="0" xfId="1" applyNumberFormat="1" applyFont="1"/>
    <xf numFmtId="173" fontId="36" fillId="7" borderId="0" xfId="1" applyNumberFormat="1" applyFont="1" applyFill="1"/>
    <xf numFmtId="173" fontId="36" fillId="5" borderId="0" xfId="1" applyNumberFormat="1" applyFont="1" applyFill="1"/>
    <xf numFmtId="173" fontId="54" fillId="0" borderId="0" xfId="1" applyNumberFormat="1" applyFont="1"/>
    <xf numFmtId="173" fontId="54" fillId="0" borderId="0" xfId="1" applyNumberFormat="1" applyFont="1" applyAlignment="1">
      <alignment horizontal="center" vertical="center"/>
    </xf>
    <xf numFmtId="173" fontId="37" fillId="7" borderId="1" xfId="1" applyNumberFormat="1" applyFont="1" applyFill="1" applyBorder="1" applyAlignment="1">
      <alignment horizontal="center" vertical="center" wrapText="1"/>
    </xf>
    <xf numFmtId="173" fontId="37" fillId="5" borderId="4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wrapText="1"/>
    </xf>
    <xf numFmtId="173" fontId="37" fillId="7" borderId="1" xfId="1" applyNumberFormat="1" applyFont="1" applyFill="1" applyBorder="1" applyAlignment="1">
      <alignment vertical="center"/>
    </xf>
    <xf numFmtId="173" fontId="37" fillId="5" borderId="2" xfId="1" applyNumberFormat="1" applyFont="1" applyFill="1" applyBorder="1" applyAlignment="1">
      <alignment vertical="center" wrapText="1"/>
    </xf>
    <xf numFmtId="173" fontId="36" fillId="4" borderId="1" xfId="1" applyNumberFormat="1" applyFont="1" applyFill="1" applyBorder="1"/>
    <xf numFmtId="173" fontId="54" fillId="4" borderId="1" xfId="1" applyNumberFormat="1" applyFont="1" applyFill="1" applyBorder="1"/>
    <xf numFmtId="173" fontId="37" fillId="7" borderId="1" xfId="1" applyNumberFormat="1" applyFont="1" applyFill="1" applyBorder="1" applyAlignment="1">
      <alignment vertical="center" wrapText="1"/>
    </xf>
    <xf numFmtId="173" fontId="37" fillId="4" borderId="1" xfId="1" applyNumberFormat="1" applyFont="1" applyFill="1" applyBorder="1" applyAlignment="1">
      <alignment vertical="center" wrapText="1"/>
    </xf>
    <xf numFmtId="173" fontId="56" fillId="4" borderId="1" xfId="1" applyNumberFormat="1" applyFont="1" applyFill="1" applyBorder="1" applyAlignment="1">
      <alignment vertical="center" wrapText="1"/>
    </xf>
    <xf numFmtId="173" fontId="45" fillId="4" borderId="1" xfId="1" applyNumberFormat="1" applyFont="1" applyFill="1" applyBorder="1" applyAlignment="1">
      <alignment wrapText="1"/>
    </xf>
    <xf numFmtId="173" fontId="56" fillId="4" borderId="1" xfId="1" applyNumberFormat="1" applyFont="1" applyFill="1" applyBorder="1" applyAlignment="1">
      <alignment horizontal="center" vertical="center" wrapText="1"/>
    </xf>
    <xf numFmtId="173" fontId="54" fillId="4" borderId="1" xfId="1" applyNumberFormat="1" applyFont="1" applyFill="1" applyBorder="1" applyAlignment="1">
      <alignment horizontal="center" vertical="center"/>
    </xf>
    <xf numFmtId="173" fontId="45" fillId="4" borderId="1" xfId="1" applyNumberFormat="1" applyFont="1" applyFill="1" applyBorder="1" applyAlignment="1">
      <alignment horizontal="center" vertical="center" wrapText="1"/>
    </xf>
    <xf numFmtId="173" fontId="59" fillId="0" borderId="1" xfId="1" applyNumberFormat="1" applyFont="1" applyBorder="1" applyAlignment="1">
      <alignment horizontal="center"/>
    </xf>
    <xf numFmtId="173" fontId="2" fillId="7" borderId="1" xfId="1" applyNumberFormat="1" applyFont="1" applyFill="1" applyBorder="1" applyAlignment="1">
      <alignment horizontal="center" vertical="center"/>
    </xf>
    <xf numFmtId="173" fontId="2" fillId="5" borderId="3" xfId="1" applyNumberFormat="1" applyFont="1" applyFill="1" applyBorder="1" applyAlignment="1">
      <alignment horizontal="center" vertical="center" wrapText="1"/>
    </xf>
    <xf numFmtId="173" fontId="2" fillId="16" borderId="1" xfId="1" applyNumberFormat="1" applyFont="1" applyFill="1" applyBorder="1" applyAlignment="1">
      <alignment horizontal="center"/>
    </xf>
    <xf numFmtId="173" fontId="55" fillId="16" borderId="0" xfId="1" applyNumberFormat="1" applyFont="1" applyFill="1" applyAlignment="1">
      <alignment horizontal="center"/>
    </xf>
    <xf numFmtId="173" fontId="2" fillId="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/>
    </xf>
    <xf numFmtId="173" fontId="55" fillId="0" borderId="0" xfId="1" applyNumberFormat="1" applyFont="1" applyAlignment="1">
      <alignment horizontal="center"/>
    </xf>
    <xf numFmtId="173" fontId="2" fillId="0" borderId="0" xfId="1" applyNumberFormat="1" applyFont="1" applyFill="1" applyAlignment="1">
      <alignment horizontal="center"/>
    </xf>
    <xf numFmtId="173" fontId="2" fillId="17" borderId="1" xfId="1" applyNumberFormat="1" applyFont="1" applyFill="1" applyBorder="1" applyAlignment="1">
      <alignment horizontal="center" vertical="center"/>
    </xf>
    <xf numFmtId="173" fontId="2" fillId="17" borderId="1" xfId="1" applyNumberFormat="1" applyFont="1" applyFill="1" applyBorder="1" applyAlignment="1">
      <alignment horizontal="center"/>
    </xf>
    <xf numFmtId="173" fontId="55" fillId="17" borderId="0" xfId="1" applyNumberFormat="1" applyFont="1" applyFill="1" applyAlignment="1">
      <alignment horizontal="center"/>
    </xf>
    <xf numFmtId="173" fontId="2" fillId="0" borderId="1" xfId="1" quotePrefix="1" applyNumberFormat="1" applyFont="1" applyFill="1" applyBorder="1" applyAlignment="1">
      <alignment horizontal="center" vertical="center"/>
    </xf>
    <xf numFmtId="173" fontId="2" fillId="0" borderId="1" xfId="1" applyNumberFormat="1" applyFont="1" applyFill="1" applyBorder="1" applyAlignment="1">
      <alignment horizontal="center"/>
    </xf>
    <xf numFmtId="173" fontId="55" fillId="0" borderId="0" xfId="1" applyNumberFormat="1" applyFont="1" applyFill="1" applyAlignment="1">
      <alignment horizontal="center"/>
    </xf>
    <xf numFmtId="173" fontId="55" fillId="16" borderId="1" xfId="1" applyNumberFormat="1" applyFont="1" applyFill="1" applyBorder="1" applyAlignment="1">
      <alignment horizontal="center"/>
    </xf>
    <xf numFmtId="173" fontId="55" fillId="6" borderId="1" xfId="1" applyNumberFormat="1" applyFont="1" applyFill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/>
    </xf>
    <xf numFmtId="173" fontId="55" fillId="0" borderId="1" xfId="1" applyNumberFormat="1" applyFont="1" applyBorder="1" applyAlignment="1">
      <alignment horizontal="center" vertical="center"/>
    </xf>
    <xf numFmtId="173" fontId="2" fillId="0" borderId="1" xfId="1" applyNumberFormat="1" applyFont="1" applyBorder="1" applyAlignment="1">
      <alignment horizontal="center" vertical="center"/>
    </xf>
    <xf numFmtId="173" fontId="55" fillId="0" borderId="11" xfId="1" applyNumberFormat="1" applyFont="1" applyBorder="1" applyAlignment="1">
      <alignment horizontal="center" vertical="center"/>
    </xf>
    <xf numFmtId="173" fontId="55" fillId="0" borderId="1" xfId="1" applyNumberFormat="1" applyFont="1" applyFill="1" applyBorder="1" applyAlignment="1">
      <alignment horizontal="center" vertical="center"/>
    </xf>
    <xf numFmtId="165" fontId="28" fillId="0" borderId="0" xfId="1" applyNumberFormat="1" applyFont="1" applyAlignment="1">
      <alignment horizontal="center"/>
    </xf>
    <xf numFmtId="165" fontId="17" fillId="0" borderId="0" xfId="1" applyNumberFormat="1" applyFont="1"/>
    <xf numFmtId="165" fontId="28" fillId="0" borderId="0" xfId="1" applyNumberFormat="1" applyFont="1"/>
    <xf numFmtId="165" fontId="32" fillId="0" borderId="0" xfId="1" applyNumberFormat="1" applyFont="1"/>
    <xf numFmtId="165" fontId="17" fillId="11" borderId="1" xfId="1" applyNumberFormat="1" applyFont="1" applyFill="1" applyBorder="1" applyAlignment="1" applyProtection="1">
      <alignment horizontal="center" vertical="center" wrapText="1"/>
    </xf>
    <xf numFmtId="165" fontId="13" fillId="15" borderId="1" xfId="1" applyNumberFormat="1" applyFont="1" applyFill="1" applyBorder="1" applyAlignment="1" applyProtection="1">
      <alignment vertical="center" wrapText="1"/>
    </xf>
    <xf numFmtId="165" fontId="13" fillId="0" borderId="1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 applyAlignment="1" applyProtection="1">
      <alignment vertical="center" wrapText="1"/>
    </xf>
    <xf numFmtId="165" fontId="13" fillId="0" borderId="0" xfId="1" applyNumberFormat="1" applyFont="1" applyFill="1" applyBorder="1"/>
    <xf numFmtId="165" fontId="17" fillId="0" borderId="0" xfId="1" applyNumberFormat="1" applyFont="1" applyFill="1" applyBorder="1" applyAlignment="1" applyProtection="1">
      <alignment horizontal="center" vertical="center" wrapText="1"/>
    </xf>
    <xf numFmtId="165" fontId="13" fillId="0" borderId="0" xfId="1" applyNumberFormat="1" applyFont="1"/>
    <xf numFmtId="165" fontId="60" fillId="0" borderId="0" xfId="1" applyNumberFormat="1" applyFont="1" applyAlignment="1">
      <alignment horizontal="center"/>
    </xf>
    <xf numFmtId="0" fontId="13" fillId="11" borderId="1" xfId="0" applyFont="1" applyFill="1" applyBorder="1"/>
    <xf numFmtId="0" fontId="17" fillId="11" borderId="1" xfId="3" applyFont="1" applyFill="1" applyBorder="1" applyAlignment="1" applyProtection="1">
      <alignment horizontal="center" vertical="center" wrapText="1"/>
    </xf>
    <xf numFmtId="0" fontId="17" fillId="15" borderId="1" xfId="3" applyFont="1" applyFill="1" applyBorder="1" applyAlignment="1" applyProtection="1">
      <alignment vertical="center" wrapText="1"/>
    </xf>
    <xf numFmtId="0" fontId="13" fillId="6" borderId="1" xfId="3" applyFont="1" applyFill="1" applyBorder="1" applyAlignment="1" applyProtection="1">
      <alignment vertical="center" wrapText="1"/>
    </xf>
    <xf numFmtId="0" fontId="13" fillId="0" borderId="0" xfId="3" applyFont="1" applyFill="1" applyBorder="1" applyAlignment="1" applyProtection="1">
      <alignment vertical="center" wrapText="1"/>
    </xf>
    <xf numFmtId="0" fontId="28" fillId="12" borderId="1" xfId="0" applyFont="1" applyFill="1" applyBorder="1" applyAlignment="1"/>
    <xf numFmtId="0" fontId="28" fillId="12" borderId="1" xfId="0" applyFont="1" applyFill="1" applyBorder="1" applyAlignment="1">
      <alignment horizontal="center"/>
    </xf>
    <xf numFmtId="0" fontId="28" fillId="15" borderId="4" xfId="0" applyFont="1" applyFill="1" applyBorder="1" applyAlignment="1"/>
    <xf numFmtId="0" fontId="36" fillId="0" borderId="0" xfId="0" applyFont="1" applyBorder="1"/>
    <xf numFmtId="0" fontId="25" fillId="0" borderId="1" xfId="3" applyFont="1" applyFill="1" applyBorder="1" applyAlignment="1" applyProtection="1">
      <alignment vertical="center" wrapText="1"/>
    </xf>
    <xf numFmtId="170" fontId="61" fillId="0" borderId="1" xfId="1" applyNumberFormat="1" applyFont="1" applyFill="1" applyBorder="1" applyAlignment="1" applyProtection="1">
      <alignment vertical="center" wrapText="1"/>
    </xf>
    <xf numFmtId="0" fontId="25" fillId="15" borderId="1" xfId="3" applyFont="1" applyFill="1" applyBorder="1" applyAlignment="1" applyProtection="1">
      <alignment vertical="center" wrapText="1"/>
    </xf>
    <xf numFmtId="165" fontId="13" fillId="13" borderId="1" xfId="1" applyNumberFormat="1" applyFont="1" applyFill="1" applyBorder="1"/>
    <xf numFmtId="165" fontId="0" fillId="7" borderId="1" xfId="0" applyNumberFormat="1" applyFill="1" applyBorder="1"/>
    <xf numFmtId="0" fontId="36" fillId="7" borderId="1" xfId="0" applyFont="1" applyFill="1" applyBorder="1"/>
    <xf numFmtId="0" fontId="42" fillId="7" borderId="1" xfId="0" applyFont="1" applyFill="1" applyBorder="1"/>
    <xf numFmtId="14" fontId="36" fillId="7" borderId="1" xfId="0" applyNumberFormat="1" applyFont="1" applyFill="1" applyBorder="1" applyAlignment="1">
      <alignment vertical="center"/>
    </xf>
    <xf numFmtId="2" fontId="59" fillId="7" borderId="1" xfId="0" applyNumberFormat="1" applyFont="1" applyFill="1" applyBorder="1" applyAlignment="1">
      <alignment horizontal="center"/>
    </xf>
    <xf numFmtId="0" fontId="57" fillId="7" borderId="1" xfId="0" applyFont="1" applyFill="1" applyBorder="1"/>
    <xf numFmtId="166" fontId="36" fillId="7" borderId="1" xfId="0" applyNumberFormat="1" applyFont="1" applyFill="1" applyBorder="1" applyAlignment="1">
      <alignment vertical="center"/>
    </xf>
    <xf numFmtId="43" fontId="2" fillId="7" borderId="3" xfId="1" applyFont="1" applyFill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/>
    </xf>
    <xf numFmtId="43" fontId="55" fillId="7" borderId="1" xfId="1" applyFont="1" applyFill="1" applyBorder="1" applyAlignment="1">
      <alignment horizontal="center" vertical="center"/>
    </xf>
    <xf numFmtId="3" fontId="55" fillId="0" borderId="0" xfId="0" applyNumberFormat="1" applyFont="1" applyFill="1"/>
    <xf numFmtId="165" fontId="44" fillId="0" borderId="0" xfId="1" applyNumberFormat="1" applyFont="1" applyFill="1"/>
    <xf numFmtId="165" fontId="0" fillId="0" borderId="0" xfId="0" applyNumberFormat="1" applyFill="1"/>
    <xf numFmtId="0" fontId="54" fillId="0" borderId="1" xfId="0" applyFont="1" applyBorder="1"/>
    <xf numFmtId="166" fontId="54" fillId="6" borderId="1" xfId="0" applyNumberFormat="1" applyFont="1" applyFill="1" applyBorder="1" applyAlignment="1">
      <alignment vertical="center"/>
    </xf>
    <xf numFmtId="14" fontId="54" fillId="6" borderId="1" xfId="0" applyNumberFormat="1" applyFont="1" applyFill="1" applyBorder="1" applyAlignment="1">
      <alignment vertical="center"/>
    </xf>
    <xf numFmtId="43" fontId="55" fillId="5" borderId="3" xfId="1" applyFont="1" applyFill="1" applyBorder="1" applyAlignment="1">
      <alignment horizontal="center" vertical="center" wrapText="1"/>
    </xf>
    <xf numFmtId="43" fontId="55" fillId="0" borderId="1" xfId="1" applyFont="1" applyBorder="1" applyAlignment="1">
      <alignment horizontal="center"/>
    </xf>
    <xf numFmtId="166" fontId="54" fillId="0" borderId="0" xfId="0" applyNumberFormat="1" applyFont="1"/>
    <xf numFmtId="165" fontId="54" fillId="0" borderId="0" xfId="0" applyNumberFormat="1" applyFont="1" applyFill="1"/>
    <xf numFmtId="0" fontId="0" fillId="0" borderId="1" xfId="0" applyBorder="1" applyAlignment="1"/>
    <xf numFmtId="165" fontId="13" fillId="7" borderId="1" xfId="1" applyNumberFormat="1" applyFont="1" applyFill="1" applyBorder="1" applyAlignment="1" applyProtection="1">
      <alignment vertical="center" wrapText="1"/>
    </xf>
    <xf numFmtId="166" fontId="37" fillId="2" borderId="1" xfId="0" applyNumberFormat="1" applyFont="1" applyFill="1" applyBorder="1" applyAlignment="1">
      <alignment horizontal="center" vertical="center" wrapText="1"/>
    </xf>
    <xf numFmtId="166" fontId="37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center"/>
    </xf>
    <xf numFmtId="166" fontId="37" fillId="2" borderId="1" xfId="0" applyNumberFormat="1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43" fontId="28" fillId="0" borderId="0" xfId="1" applyFont="1" applyAlignment="1">
      <alignment horizontal="center"/>
    </xf>
    <xf numFmtId="0" fontId="29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51" fillId="0" borderId="0" xfId="0" applyFont="1" applyAlignment="1">
      <alignment horizontal="center"/>
    </xf>
    <xf numFmtId="165" fontId="51" fillId="0" borderId="0" xfId="1" applyNumberFormat="1" applyFont="1" applyAlignment="1">
      <alignment horizontal="center"/>
    </xf>
    <xf numFmtId="165" fontId="51" fillId="0" borderId="0" xfId="1" applyNumberFormat="1" applyFont="1" applyFill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5" fontId="3" fillId="2" borderId="5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horizontal="center"/>
    </xf>
    <xf numFmtId="165" fontId="3" fillId="2" borderId="7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wrapText="1"/>
    </xf>
    <xf numFmtId="0" fontId="46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6" fillId="0" borderId="5" xfId="0" applyFont="1" applyFill="1" applyBorder="1" applyAlignment="1">
      <alignment horizontal="left" wrapText="1"/>
    </xf>
    <xf numFmtId="0" fontId="36" fillId="0" borderId="6" xfId="0" applyFont="1" applyFill="1" applyBorder="1" applyAlignment="1">
      <alignment horizontal="left" wrapText="1"/>
    </xf>
    <xf numFmtId="0" fontId="37" fillId="0" borderId="5" xfId="0" applyFont="1" applyFill="1" applyBorder="1" applyAlignment="1">
      <alignment horizontal="left"/>
    </xf>
    <xf numFmtId="0" fontId="37" fillId="0" borderId="7" xfId="0" applyFont="1" applyFill="1" applyBorder="1" applyAlignment="1">
      <alignment horizontal="left"/>
    </xf>
    <xf numFmtId="0" fontId="36" fillId="0" borderId="7" xfId="0" applyFont="1" applyFill="1" applyBorder="1" applyAlignment="1">
      <alignment horizontal="left" wrapText="1"/>
    </xf>
    <xf numFmtId="165" fontId="46" fillId="0" borderId="1" xfId="1" applyNumberFormat="1" applyFont="1" applyFill="1" applyBorder="1" applyAlignment="1">
      <alignment horizontal="left" vertical="center" wrapText="1"/>
    </xf>
    <xf numFmtId="165" fontId="36" fillId="0" borderId="1" xfId="1" applyNumberFormat="1" applyFont="1" applyFill="1" applyBorder="1" applyAlignment="1">
      <alignment horizontal="left" vertical="center" wrapText="1"/>
    </xf>
    <xf numFmtId="165" fontId="37" fillId="0" borderId="1" xfId="1" applyNumberFormat="1" applyFont="1" applyFill="1" applyBorder="1" applyAlignment="1">
      <alignment horizontal="left" vertical="center" wrapText="1"/>
    </xf>
    <xf numFmtId="165" fontId="47" fillId="0" borderId="1" xfId="1" applyNumberFormat="1" applyFont="1" applyFill="1" applyBorder="1" applyAlignment="1">
      <alignment horizontal="left" vertical="center" wrapText="1"/>
    </xf>
    <xf numFmtId="165" fontId="28" fillId="0" borderId="0" xfId="1" applyNumberFormat="1" applyFont="1" applyAlignment="1">
      <alignment horizontal="center"/>
    </xf>
    <xf numFmtId="0" fontId="29" fillId="11" borderId="4" xfId="0" applyFont="1" applyFill="1" applyBorder="1" applyAlignment="1">
      <alignment horizontal="center" vertical="center"/>
    </xf>
    <xf numFmtId="0" fontId="29" fillId="11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60" fillId="0" borderId="0" xfId="1" applyNumberFormat="1" applyFont="1" applyAlignment="1">
      <alignment horizontal="center"/>
    </xf>
    <xf numFmtId="0" fontId="28" fillId="6" borderId="0" xfId="0" applyFont="1" applyFill="1" applyAlignment="1">
      <alignment horizontal="center"/>
    </xf>
    <xf numFmtId="0" fontId="27" fillId="6" borderId="0" xfId="0" applyFont="1" applyFill="1" applyAlignment="1">
      <alignment horizontal="center"/>
    </xf>
    <xf numFmtId="165" fontId="17" fillId="11" borderId="9" xfId="1" applyNumberFormat="1" applyFont="1" applyFill="1" applyBorder="1" applyAlignment="1">
      <alignment horizontal="center"/>
    </xf>
    <xf numFmtId="165" fontId="17" fillId="11" borderId="8" xfId="1" applyNumberFormat="1" applyFont="1" applyFill="1" applyBorder="1" applyAlignment="1">
      <alignment horizontal="center"/>
    </xf>
    <xf numFmtId="165" fontId="17" fillId="11" borderId="10" xfId="1" applyNumberFormat="1" applyFont="1" applyFill="1" applyBorder="1" applyAlignment="1">
      <alignment horizontal="center"/>
    </xf>
    <xf numFmtId="170" fontId="23" fillId="11" borderId="9" xfId="1" applyNumberFormat="1" applyFont="1" applyFill="1" applyBorder="1" applyAlignment="1">
      <alignment horizontal="center" vertical="center"/>
    </xf>
    <xf numFmtId="170" fontId="23" fillId="11" borderId="10" xfId="1" applyNumberFormat="1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/>
    </xf>
    <xf numFmtId="0" fontId="23" fillId="11" borderId="8" xfId="0" applyFont="1" applyFill="1" applyBorder="1" applyAlignment="1">
      <alignment horizontal="center"/>
    </xf>
    <xf numFmtId="0" fontId="23" fillId="11" borderId="10" xfId="0" applyFont="1" applyFill="1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2" borderId="0" xfId="3" applyFont="1" applyFill="1" applyBorder="1" applyAlignment="1">
      <alignment horizontal="center"/>
    </xf>
    <xf numFmtId="0" fontId="14" fillId="2" borderId="5" xfId="3" applyFont="1" applyFill="1" applyBorder="1" applyAlignment="1">
      <alignment horizontal="center"/>
    </xf>
    <xf numFmtId="0" fontId="14" fillId="2" borderId="7" xfId="3" applyFont="1" applyFill="1" applyBorder="1" applyAlignment="1">
      <alignment horizontal="center"/>
    </xf>
    <xf numFmtId="165" fontId="64" fillId="0" borderId="0" xfId="1" applyNumberFormat="1" applyFont="1" applyAlignment="1">
      <alignment horizontal="center"/>
    </xf>
  </cellXfs>
  <cellStyles count="13">
    <cellStyle name="Comma" xfId="1" builtinId="3"/>
    <cellStyle name="Comma 2" xfId="4"/>
    <cellStyle name="Comma 2 3 2" xfId="5"/>
    <cellStyle name="Comma 3" xfId="7"/>
    <cellStyle name="Currency" xfId="12" builtinId="4"/>
    <cellStyle name="Normal" xfId="0" builtinId="0"/>
    <cellStyle name="Normal 10" xfId="10"/>
    <cellStyle name="Normal 2" xfId="3"/>
    <cellStyle name="Normal 2 2" xfId="11"/>
    <cellStyle name="Normal 3" xfId="8"/>
    <cellStyle name="Normal 4" xfId="6"/>
    <cellStyle name="Percent" xfId="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8"/>
  <sheetViews>
    <sheetView topLeftCell="A6" zoomScale="85" zoomScaleNormal="85" workbookViewId="0">
      <pane xSplit="3" ySplit="6" topLeftCell="D72" activePane="bottomRight" state="frozen"/>
      <selection activeCell="A6" sqref="A6"/>
      <selection pane="topRight" activeCell="D6" sqref="D6"/>
      <selection pane="bottomLeft" activeCell="A12" sqref="A12"/>
      <selection pane="bottomRight" activeCell="I62" sqref="I62"/>
    </sheetView>
  </sheetViews>
  <sheetFormatPr defaultColWidth="9.28515625" defaultRowHeight="15.75" x14ac:dyDescent="0.25"/>
  <cols>
    <col min="1" max="1" width="9.28515625" style="132"/>
    <col min="2" max="2" width="26.7109375" style="132" customWidth="1"/>
    <col min="3" max="3" width="15" style="133" customWidth="1"/>
    <col min="4" max="4" width="12.7109375" style="405" customWidth="1"/>
    <col min="5" max="6" width="11.7109375" style="405" customWidth="1"/>
    <col min="7" max="7" width="11.28515625" style="405" customWidth="1"/>
    <col min="8" max="8" width="12" style="405" customWidth="1"/>
    <col min="9" max="9" width="12.7109375" style="405" customWidth="1"/>
    <col min="10" max="10" width="12.5703125" style="405" customWidth="1"/>
    <col min="11" max="11" width="12.28515625" style="405" customWidth="1"/>
    <col min="12" max="12" width="12.5703125" style="405" customWidth="1"/>
    <col min="13" max="13" width="11.28515625" style="405" customWidth="1"/>
    <col min="14" max="14" width="11.7109375" style="405" customWidth="1"/>
    <col min="15" max="15" width="11.42578125" style="405" customWidth="1"/>
    <col min="16" max="16" width="12.7109375" style="405" customWidth="1"/>
    <col min="17" max="19" width="10.5703125" style="405" customWidth="1"/>
    <col min="20" max="20" width="9.28515625" style="405" customWidth="1"/>
    <col min="21" max="21" width="10.5703125" style="405" customWidth="1"/>
    <col min="22" max="22" width="9.28515625" style="405" customWidth="1"/>
    <col min="23" max="25" width="11.28515625" style="405" customWidth="1"/>
    <col min="26" max="26" width="12.7109375" style="405" customWidth="1"/>
    <col min="27" max="27" width="11.28515625" style="406" bestFit="1" customWidth="1"/>
    <col min="28" max="29" width="11.28515625" style="405" customWidth="1"/>
    <col min="30" max="30" width="14" style="405" bestFit="1" customWidth="1"/>
    <col min="31" max="35" width="11.28515625" style="405" bestFit="1" customWidth="1"/>
    <col min="36" max="37" width="12.42578125" style="405" bestFit="1" customWidth="1"/>
    <col min="38" max="46" width="11.28515625" style="405" bestFit="1" customWidth="1"/>
    <col min="47" max="47" width="9" style="405" bestFit="1" customWidth="1"/>
    <col min="48" max="48" width="12.28515625" style="405" customWidth="1"/>
    <col min="49" max="49" width="11.42578125" style="405" customWidth="1"/>
    <col min="50" max="50" width="11" style="405" customWidth="1"/>
    <col min="51" max="52" width="9.28515625" style="405" bestFit="1" customWidth="1"/>
    <col min="53" max="53" width="10.7109375" style="405" customWidth="1"/>
    <col min="54" max="54" width="10.5703125" style="405" bestFit="1" customWidth="1"/>
    <col min="55" max="55" width="2.5703125" style="407" customWidth="1"/>
    <col min="56" max="56" width="9.28515625" style="405" bestFit="1" customWidth="1"/>
    <col min="57" max="57" width="10.28515625" style="408" customWidth="1"/>
    <col min="58" max="58" width="10" style="132" hidden="1" customWidth="1"/>
    <col min="59" max="59" width="10.5703125" style="132" hidden="1" customWidth="1"/>
    <col min="60" max="62" width="9.28515625" style="132" hidden="1" customWidth="1"/>
    <col min="63" max="63" width="10.5703125" style="132" hidden="1" customWidth="1"/>
    <col min="64" max="64" width="11.42578125" style="409" customWidth="1"/>
    <col min="65" max="65" width="10.28515625" style="405" bestFit="1" customWidth="1"/>
    <col min="66" max="66" width="11.28515625" style="405" customWidth="1"/>
    <col min="67" max="67" width="10.7109375" style="405" customWidth="1"/>
    <col min="68" max="69" width="9.28515625" style="405" bestFit="1" customWidth="1"/>
    <col min="70" max="70" width="9.28515625" style="405"/>
    <col min="71" max="72" width="9.28515625" style="132"/>
    <col min="73" max="73" width="13.28515625" style="132" bestFit="1" customWidth="1"/>
    <col min="74" max="16384" width="9.28515625" style="132"/>
  </cols>
  <sheetData>
    <row r="1" spans="1:70" x14ac:dyDescent="0.25">
      <c r="A1" s="132" t="s">
        <v>144</v>
      </c>
    </row>
    <row r="2" spans="1:70" x14ac:dyDescent="0.25">
      <c r="A2" s="132" t="s">
        <v>145</v>
      </c>
    </row>
    <row r="3" spans="1:70" x14ac:dyDescent="0.25">
      <c r="A3" s="132" t="s">
        <v>146</v>
      </c>
    </row>
    <row r="4" spans="1:70" x14ac:dyDescent="0.25">
      <c r="A4" s="132" t="s">
        <v>147</v>
      </c>
    </row>
    <row r="6" spans="1:70" hidden="1" x14ac:dyDescent="0.25">
      <c r="A6" s="496"/>
      <c r="B6" s="496"/>
      <c r="C6" s="496"/>
      <c r="D6" s="132"/>
      <c r="E6" s="132"/>
      <c r="F6" s="134"/>
      <c r="G6" s="132"/>
      <c r="H6" s="132"/>
      <c r="I6" s="132"/>
      <c r="J6" s="132"/>
      <c r="K6" s="132"/>
      <c r="L6" s="132"/>
      <c r="M6" s="132"/>
      <c r="N6" s="496" t="s">
        <v>143</v>
      </c>
      <c r="O6" s="497"/>
      <c r="P6" s="497"/>
      <c r="Q6" s="497"/>
      <c r="R6" s="497"/>
      <c r="S6" s="497"/>
      <c r="T6" s="497"/>
      <c r="U6" s="497"/>
      <c r="V6" s="132"/>
      <c r="W6" s="132"/>
      <c r="X6" s="132"/>
      <c r="Y6" s="132"/>
      <c r="Z6" s="132"/>
      <c r="AA6" s="318"/>
      <c r="AB6" s="132"/>
      <c r="AC6" s="132"/>
      <c r="AD6" s="132"/>
      <c r="AE6" s="132"/>
      <c r="AF6" s="132"/>
      <c r="AG6" s="132"/>
      <c r="AH6" s="132"/>
      <c r="AI6" s="132"/>
      <c r="AJ6" s="132"/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2"/>
      <c r="BB6" s="132"/>
      <c r="BC6" s="135"/>
      <c r="BD6" s="496" t="s">
        <v>160</v>
      </c>
      <c r="BE6" s="496"/>
      <c r="BF6" s="496"/>
      <c r="BG6" s="496"/>
      <c r="BH6" s="496"/>
      <c r="BI6" s="496"/>
      <c r="BJ6" s="496"/>
      <c r="BK6" s="496"/>
      <c r="BL6" s="496"/>
      <c r="BM6" s="496"/>
      <c r="BN6" s="496"/>
      <c r="BO6" s="496"/>
      <c r="BP6" s="496"/>
      <c r="BQ6" s="496"/>
      <c r="BR6" s="132"/>
    </row>
    <row r="7" spans="1:70" hidden="1" x14ac:dyDescent="0.25">
      <c r="A7" s="136"/>
      <c r="B7" s="136"/>
      <c r="C7" s="136"/>
      <c r="D7" s="136"/>
      <c r="E7" s="136"/>
      <c r="F7" s="134"/>
      <c r="G7" s="136"/>
      <c r="H7" s="136"/>
      <c r="I7" s="136"/>
      <c r="J7" s="136"/>
      <c r="K7" s="136"/>
      <c r="L7" s="136"/>
      <c r="M7" s="136"/>
      <c r="N7" s="134"/>
      <c r="O7" s="136"/>
      <c r="P7" s="136"/>
      <c r="Q7" s="136"/>
      <c r="R7" s="134"/>
      <c r="S7" s="136"/>
      <c r="T7" s="136"/>
      <c r="U7" s="136"/>
      <c r="V7" s="136"/>
      <c r="W7" s="136"/>
      <c r="X7" s="136"/>
      <c r="Y7" s="136"/>
      <c r="Z7" s="136"/>
      <c r="AA7" s="319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380"/>
      <c r="BF7" s="136"/>
      <c r="BG7" s="136"/>
      <c r="BH7" s="136"/>
      <c r="BI7" s="136"/>
      <c r="BJ7" s="136"/>
      <c r="BK7" s="136"/>
      <c r="BL7" s="375"/>
      <c r="BM7" s="136"/>
      <c r="BN7" s="136"/>
      <c r="BO7" s="136"/>
      <c r="BP7" s="136"/>
      <c r="BQ7" s="136"/>
      <c r="BR7" s="132"/>
    </row>
    <row r="8" spans="1:70" s="138" customFormat="1" ht="60" customHeight="1" x14ac:dyDescent="0.25">
      <c r="A8" s="498" t="s">
        <v>137</v>
      </c>
      <c r="B8" s="498"/>
      <c r="C8" s="498"/>
      <c r="D8" s="137" t="s">
        <v>51</v>
      </c>
      <c r="E8" s="137" t="s">
        <v>52</v>
      </c>
      <c r="F8" s="137" t="s">
        <v>53</v>
      </c>
      <c r="G8" s="137" t="s">
        <v>54</v>
      </c>
      <c r="H8" s="137" t="s">
        <v>55</v>
      </c>
      <c r="I8" s="137" t="s">
        <v>56</v>
      </c>
      <c r="J8" s="137" t="s">
        <v>57</v>
      </c>
      <c r="K8" s="137" t="s">
        <v>58</v>
      </c>
      <c r="L8" s="137" t="s">
        <v>59</v>
      </c>
      <c r="M8" s="137" t="s">
        <v>60</v>
      </c>
      <c r="N8" s="137" t="s">
        <v>61</v>
      </c>
      <c r="O8" s="137" t="s">
        <v>140</v>
      </c>
      <c r="P8" s="137" t="s">
        <v>63</v>
      </c>
      <c r="Q8" s="137" t="s">
        <v>64</v>
      </c>
      <c r="R8" s="137" t="s">
        <v>65</v>
      </c>
      <c r="S8" s="137" t="s">
        <v>66</v>
      </c>
      <c r="T8" s="137" t="s">
        <v>139</v>
      </c>
      <c r="U8" s="137" t="s">
        <v>68</v>
      </c>
      <c r="V8" s="137" t="s">
        <v>69</v>
      </c>
      <c r="W8" s="137" t="s">
        <v>70</v>
      </c>
      <c r="X8" s="137" t="s">
        <v>71</v>
      </c>
      <c r="Y8" s="137" t="s">
        <v>72</v>
      </c>
      <c r="Z8" s="137" t="s">
        <v>73</v>
      </c>
      <c r="AA8" s="410" t="s">
        <v>74</v>
      </c>
      <c r="AB8" s="137" t="s">
        <v>75</v>
      </c>
      <c r="AC8" s="137" t="s">
        <v>76</v>
      </c>
      <c r="AD8" s="137" t="s">
        <v>77</v>
      </c>
      <c r="AE8" s="137" t="s">
        <v>78</v>
      </c>
      <c r="AF8" s="137" t="s">
        <v>79</v>
      </c>
      <c r="AG8" s="137" t="s">
        <v>80</v>
      </c>
      <c r="AH8" s="137" t="s">
        <v>81</v>
      </c>
      <c r="AI8" s="137" t="s">
        <v>82</v>
      </c>
      <c r="AJ8" s="137" t="s">
        <v>83</v>
      </c>
      <c r="AK8" s="137" t="s">
        <v>84</v>
      </c>
      <c r="AL8" s="137" t="s">
        <v>85</v>
      </c>
      <c r="AM8" s="410" t="s">
        <v>86</v>
      </c>
      <c r="AN8" s="137" t="s">
        <v>87</v>
      </c>
      <c r="AO8" s="137" t="s">
        <v>88</v>
      </c>
      <c r="AP8" s="137" t="s">
        <v>89</v>
      </c>
      <c r="AQ8" s="137" t="s">
        <v>90</v>
      </c>
      <c r="AR8" s="137" t="s">
        <v>91</v>
      </c>
      <c r="AS8" s="137" t="s">
        <v>92</v>
      </c>
      <c r="AT8" s="137" t="s">
        <v>93</v>
      </c>
      <c r="AU8" s="137" t="s">
        <v>94</v>
      </c>
      <c r="AV8" s="137" t="s">
        <v>95</v>
      </c>
      <c r="AW8" s="137" t="s">
        <v>96</v>
      </c>
      <c r="AX8" s="137" t="s">
        <v>397</v>
      </c>
      <c r="AY8" s="137" t="s">
        <v>324</v>
      </c>
      <c r="AZ8" s="137" t="s">
        <v>325</v>
      </c>
      <c r="BA8" s="137" t="s">
        <v>338</v>
      </c>
      <c r="BB8" s="137" t="s">
        <v>100</v>
      </c>
      <c r="BC8" s="411"/>
      <c r="BD8" s="412" t="s">
        <v>161</v>
      </c>
      <c r="BE8" s="413" t="s">
        <v>432</v>
      </c>
      <c r="BF8" s="387" t="s">
        <v>163</v>
      </c>
      <c r="BG8" s="387" t="s">
        <v>164</v>
      </c>
      <c r="BH8" s="387" t="s">
        <v>165</v>
      </c>
      <c r="BI8" s="387" t="s">
        <v>166</v>
      </c>
      <c r="BJ8" s="387" t="s">
        <v>167</v>
      </c>
      <c r="BK8" s="387" t="s">
        <v>168</v>
      </c>
      <c r="BL8" s="422" t="s">
        <v>169</v>
      </c>
      <c r="BM8" s="412" t="s">
        <v>170</v>
      </c>
      <c r="BN8" s="412" t="s">
        <v>171</v>
      </c>
      <c r="BO8" s="412" t="s">
        <v>172</v>
      </c>
      <c r="BP8" s="412" t="s">
        <v>173</v>
      </c>
      <c r="BQ8" s="412" t="s">
        <v>174</v>
      </c>
      <c r="BR8" s="412" t="s">
        <v>341</v>
      </c>
    </row>
    <row r="9" spans="1:70" s="141" customFormat="1" x14ac:dyDescent="0.25">
      <c r="A9" s="498" t="s">
        <v>138</v>
      </c>
      <c r="B9" s="498"/>
      <c r="C9" s="498"/>
      <c r="D9" s="139" t="s">
        <v>3</v>
      </c>
      <c r="E9" s="139" t="s">
        <v>4</v>
      </c>
      <c r="F9" s="139" t="s">
        <v>5</v>
      </c>
      <c r="G9" s="139" t="s">
        <v>6</v>
      </c>
      <c r="H9" s="139" t="s">
        <v>7</v>
      </c>
      <c r="I9" s="139" t="s">
        <v>8</v>
      </c>
      <c r="J9" s="139" t="s">
        <v>9</v>
      </c>
      <c r="K9" s="139" t="s">
        <v>10</v>
      </c>
      <c r="L9" s="139" t="s">
        <v>11</v>
      </c>
      <c r="M9" s="139" t="s">
        <v>12</v>
      </c>
      <c r="N9" s="139" t="s">
        <v>13</v>
      </c>
      <c r="O9" s="139" t="s">
        <v>14</v>
      </c>
      <c r="P9" s="139" t="s">
        <v>15</v>
      </c>
      <c r="Q9" s="139" t="s">
        <v>16</v>
      </c>
      <c r="R9" s="139" t="s">
        <v>17</v>
      </c>
      <c r="S9" s="139" t="s">
        <v>18</v>
      </c>
      <c r="T9" s="139" t="s">
        <v>19</v>
      </c>
      <c r="U9" s="139" t="s">
        <v>20</v>
      </c>
      <c r="V9" s="139" t="s">
        <v>21</v>
      </c>
      <c r="W9" s="139" t="s">
        <v>22</v>
      </c>
      <c r="X9" s="139" t="s">
        <v>23</v>
      </c>
      <c r="Y9" s="139" t="s">
        <v>24</v>
      </c>
      <c r="Z9" s="139" t="s">
        <v>25</v>
      </c>
      <c r="AA9" s="414" t="s">
        <v>26</v>
      </c>
      <c r="AB9" s="139" t="s">
        <v>27</v>
      </c>
      <c r="AC9" s="139" t="s">
        <v>28</v>
      </c>
      <c r="AD9" s="139" t="s">
        <v>29</v>
      </c>
      <c r="AE9" s="139" t="s">
        <v>30</v>
      </c>
      <c r="AF9" s="139" t="s">
        <v>31</v>
      </c>
      <c r="AG9" s="139" t="s">
        <v>32</v>
      </c>
      <c r="AH9" s="139" t="s">
        <v>33</v>
      </c>
      <c r="AI9" s="139" t="s">
        <v>34</v>
      </c>
      <c r="AJ9" s="139" t="s">
        <v>35</v>
      </c>
      <c r="AK9" s="139" t="s">
        <v>36</v>
      </c>
      <c r="AL9" s="139" t="s">
        <v>37</v>
      </c>
      <c r="AM9" s="139" t="s">
        <v>38</v>
      </c>
      <c r="AN9" s="139" t="s">
        <v>39</v>
      </c>
      <c r="AO9" s="139" t="s">
        <v>40</v>
      </c>
      <c r="AP9" s="139" t="s">
        <v>41</v>
      </c>
      <c r="AQ9" s="139" t="s">
        <v>42</v>
      </c>
      <c r="AR9" s="139" t="s">
        <v>43</v>
      </c>
      <c r="AS9" s="139" t="s">
        <v>44</v>
      </c>
      <c r="AT9" s="139" t="s">
        <v>45</v>
      </c>
      <c r="AU9" s="139" t="s">
        <v>46</v>
      </c>
      <c r="AV9" s="139" t="s">
        <v>47</v>
      </c>
      <c r="AW9" s="139" t="s">
        <v>48</v>
      </c>
      <c r="AX9" s="139" t="s">
        <v>398</v>
      </c>
      <c r="AY9" s="139" t="s">
        <v>49</v>
      </c>
      <c r="AZ9" s="139" t="s">
        <v>50</v>
      </c>
      <c r="BA9" s="139" t="s">
        <v>339</v>
      </c>
      <c r="BB9" s="139" t="s">
        <v>340</v>
      </c>
      <c r="BC9" s="415"/>
      <c r="BD9" s="416"/>
      <c r="BE9" s="417"/>
      <c r="BF9" s="140"/>
      <c r="BG9" s="140"/>
      <c r="BH9" s="140"/>
      <c r="BI9" s="140"/>
      <c r="BJ9" s="140"/>
      <c r="BK9" s="140"/>
      <c r="BL9" s="423"/>
      <c r="BM9" s="416"/>
      <c r="BN9" s="416"/>
      <c r="BO9" s="416"/>
      <c r="BP9" s="416"/>
      <c r="BQ9" s="416"/>
      <c r="BR9" s="416"/>
    </row>
    <row r="10" spans="1:70" s="138" customFormat="1" x14ac:dyDescent="0.25">
      <c r="A10" s="495" t="s">
        <v>142</v>
      </c>
      <c r="B10" s="495"/>
      <c r="C10" s="495"/>
      <c r="D10" s="142">
        <f>SUBTOTAL(9,D12:D78)</f>
        <v>16800</v>
      </c>
      <c r="E10" s="142">
        <f t="shared" ref="E10:AI10" si="0">SUBTOTAL(9,E12:E78)</f>
        <v>97000</v>
      </c>
      <c r="F10" s="142">
        <f>SUBTOTAL(9,F12:F78)</f>
        <v>70599.339999999982</v>
      </c>
      <c r="G10" s="142">
        <f t="shared" si="0"/>
        <v>0</v>
      </c>
      <c r="H10" s="142">
        <f t="shared" si="0"/>
        <v>3700</v>
      </c>
      <c r="I10" s="142">
        <f t="shared" si="0"/>
        <v>0</v>
      </c>
      <c r="J10" s="142">
        <f t="shared" si="0"/>
        <v>5400</v>
      </c>
      <c r="K10" s="142">
        <f t="shared" si="0"/>
        <v>320</v>
      </c>
      <c r="L10" s="142">
        <f t="shared" si="0"/>
        <v>1100</v>
      </c>
      <c r="M10" s="142">
        <f t="shared" si="0"/>
        <v>7000</v>
      </c>
      <c r="N10" s="142">
        <f t="shared" si="0"/>
        <v>0</v>
      </c>
      <c r="O10" s="142">
        <f t="shared" si="0"/>
        <v>1699.9866666666665</v>
      </c>
      <c r="P10" s="142">
        <f t="shared" si="0"/>
        <v>5300</v>
      </c>
      <c r="Q10" s="142">
        <f t="shared" si="0"/>
        <v>3900</v>
      </c>
      <c r="R10" s="142">
        <f t="shared" si="0"/>
        <v>4299.9833333333345</v>
      </c>
      <c r="S10" s="142">
        <f t="shared" si="0"/>
        <v>0</v>
      </c>
      <c r="T10" s="142">
        <f t="shared" si="0"/>
        <v>0</v>
      </c>
      <c r="U10" s="142">
        <f t="shared" si="0"/>
        <v>0</v>
      </c>
      <c r="V10" s="142">
        <f t="shared" si="0"/>
        <v>0</v>
      </c>
      <c r="W10" s="142">
        <f t="shared" si="0"/>
        <v>0</v>
      </c>
      <c r="X10" s="142">
        <f t="shared" si="0"/>
        <v>0</v>
      </c>
      <c r="Y10" s="142">
        <f t="shared" si="0"/>
        <v>0</v>
      </c>
      <c r="Z10" s="142">
        <f t="shared" si="0"/>
        <v>0</v>
      </c>
      <c r="AA10" s="418">
        <f t="shared" si="0"/>
        <v>3000.0433333333335</v>
      </c>
      <c r="AB10" s="142">
        <f t="shared" si="0"/>
        <v>0</v>
      </c>
      <c r="AC10" s="142">
        <f t="shared" si="0"/>
        <v>1590</v>
      </c>
      <c r="AD10" s="142">
        <f t="shared" si="0"/>
        <v>7840</v>
      </c>
      <c r="AE10" s="142">
        <f t="shared" si="0"/>
        <v>0</v>
      </c>
      <c r="AF10" s="142">
        <f t="shared" si="0"/>
        <v>0</v>
      </c>
      <c r="AG10" s="142">
        <f t="shared" si="0"/>
        <v>0</v>
      </c>
      <c r="AH10" s="142">
        <f t="shared" si="0"/>
        <v>0</v>
      </c>
      <c r="AI10" s="142">
        <f t="shared" si="0"/>
        <v>0</v>
      </c>
      <c r="AJ10" s="142">
        <f t="shared" ref="AJ10:BR10" si="1">SUBTOTAL(9,AJ12:AJ78)</f>
        <v>10</v>
      </c>
      <c r="AK10" s="142">
        <f t="shared" si="1"/>
        <v>585</v>
      </c>
      <c r="AL10" s="142">
        <f t="shared" si="1"/>
        <v>0</v>
      </c>
      <c r="AM10" s="142">
        <f t="shared" si="1"/>
        <v>1329.9733333333334</v>
      </c>
      <c r="AN10" s="142">
        <f t="shared" si="1"/>
        <v>0</v>
      </c>
      <c r="AO10" s="142">
        <f t="shared" si="1"/>
        <v>0</v>
      </c>
      <c r="AP10" s="142">
        <f t="shared" si="1"/>
        <v>0</v>
      </c>
      <c r="AQ10" s="142">
        <f t="shared" si="1"/>
        <v>0</v>
      </c>
      <c r="AR10" s="142">
        <f t="shared" si="1"/>
        <v>0</v>
      </c>
      <c r="AS10" s="142">
        <f t="shared" si="1"/>
        <v>0</v>
      </c>
      <c r="AT10" s="142">
        <f t="shared" si="1"/>
        <v>0</v>
      </c>
      <c r="AU10" s="142">
        <f t="shared" si="1"/>
        <v>0</v>
      </c>
      <c r="AV10" s="142">
        <f t="shared" si="1"/>
        <v>2640</v>
      </c>
      <c r="AW10" s="142">
        <f t="shared" si="1"/>
        <v>0</v>
      </c>
      <c r="AX10" s="142">
        <f t="shared" si="1"/>
        <v>0</v>
      </c>
      <c r="AY10" s="142">
        <f t="shared" si="1"/>
        <v>0</v>
      </c>
      <c r="AZ10" s="142">
        <f t="shared" si="1"/>
        <v>0</v>
      </c>
      <c r="BA10" s="142">
        <f t="shared" si="1"/>
        <v>0</v>
      </c>
      <c r="BB10" s="142">
        <f t="shared" si="1"/>
        <v>0</v>
      </c>
      <c r="BC10" s="142">
        <f t="shared" si="1"/>
        <v>0</v>
      </c>
      <c r="BD10" s="419">
        <f t="shared" si="1"/>
        <v>0</v>
      </c>
      <c r="BE10" s="420">
        <f t="shared" si="1"/>
        <v>708.5</v>
      </c>
      <c r="BF10" s="388">
        <f t="shared" si="1"/>
        <v>0</v>
      </c>
      <c r="BG10" s="388">
        <f t="shared" si="1"/>
        <v>0</v>
      </c>
      <c r="BH10" s="388">
        <f t="shared" si="1"/>
        <v>0</v>
      </c>
      <c r="BI10" s="388">
        <f t="shared" si="1"/>
        <v>0</v>
      </c>
      <c r="BJ10" s="388">
        <f t="shared" si="1"/>
        <v>0</v>
      </c>
      <c r="BK10" s="388">
        <f t="shared" si="1"/>
        <v>0</v>
      </c>
      <c r="BL10" s="420">
        <f t="shared" si="1"/>
        <v>485.5</v>
      </c>
      <c r="BM10" s="419">
        <f t="shared" si="1"/>
        <v>0</v>
      </c>
      <c r="BN10" s="419">
        <f t="shared" si="1"/>
        <v>29.5</v>
      </c>
      <c r="BO10" s="419">
        <f t="shared" si="1"/>
        <v>0</v>
      </c>
      <c r="BP10" s="419">
        <f t="shared" si="1"/>
        <v>0</v>
      </c>
      <c r="BQ10" s="419">
        <f t="shared" si="1"/>
        <v>0</v>
      </c>
      <c r="BR10" s="419">
        <f t="shared" si="1"/>
        <v>0</v>
      </c>
    </row>
    <row r="11" spans="1:70" s="138" customFormat="1" x14ac:dyDescent="0.25">
      <c r="A11" s="143" t="s">
        <v>0</v>
      </c>
      <c r="B11" s="143" t="s">
        <v>1</v>
      </c>
      <c r="C11" s="144" t="s">
        <v>2</v>
      </c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418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415"/>
      <c r="BD11" s="412"/>
      <c r="BE11" s="421"/>
      <c r="BF11" s="145"/>
      <c r="BG11" s="145"/>
      <c r="BH11" s="145"/>
      <c r="BI11" s="145"/>
      <c r="BJ11" s="145"/>
      <c r="BK11" s="145"/>
      <c r="BL11" s="424"/>
      <c r="BM11" s="412"/>
      <c r="BN11" s="412"/>
      <c r="BO11" s="412"/>
      <c r="BP11" s="412"/>
      <c r="BQ11" s="412"/>
      <c r="BR11" s="412"/>
    </row>
    <row r="12" spans="1:70" x14ac:dyDescent="0.25">
      <c r="A12" s="224" t="s">
        <v>101</v>
      </c>
      <c r="B12" s="147" t="str">
        <f>VLOOKUP(A12,'Mã NV'!$A$1:$C$27,2,0)</f>
        <v>Nguyễn Văn Chiến</v>
      </c>
      <c r="C12" s="207" t="s">
        <v>436</v>
      </c>
      <c r="D12" s="328">
        <v>650</v>
      </c>
      <c r="E12" s="328"/>
      <c r="F12" s="329">
        <f>366.67+366.67</f>
        <v>733.34</v>
      </c>
      <c r="G12" s="328"/>
      <c r="H12" s="328"/>
      <c r="I12" s="328"/>
      <c r="J12" s="328">
        <v>250</v>
      </c>
      <c r="K12" s="328"/>
      <c r="L12" s="328"/>
      <c r="M12" s="328"/>
      <c r="N12" s="330"/>
      <c r="O12" s="328"/>
      <c r="P12" s="328"/>
      <c r="Q12" s="328">
        <v>325</v>
      </c>
      <c r="R12" s="324"/>
      <c r="S12" s="328"/>
      <c r="T12" s="328"/>
      <c r="U12" s="328"/>
      <c r="V12" s="328"/>
      <c r="W12" s="328"/>
      <c r="X12" s="328"/>
      <c r="Y12" s="328"/>
      <c r="Z12" s="328"/>
      <c r="AA12" s="331"/>
      <c r="AB12" s="328"/>
      <c r="AC12" s="328"/>
      <c r="AD12" s="328">
        <v>750</v>
      </c>
      <c r="AE12" s="328"/>
      <c r="AF12" s="328"/>
      <c r="AG12" s="328"/>
      <c r="AH12" s="328"/>
      <c r="AI12" s="328"/>
      <c r="AJ12" s="328"/>
      <c r="AK12" s="328"/>
      <c r="AL12" s="328"/>
      <c r="AM12" s="328"/>
      <c r="AN12" s="328"/>
      <c r="AO12" s="328"/>
      <c r="AP12" s="328"/>
      <c r="AQ12" s="328"/>
      <c r="AR12" s="328"/>
      <c r="AS12" s="328"/>
      <c r="AT12" s="328"/>
      <c r="AU12" s="328"/>
      <c r="AV12" s="328"/>
      <c r="AW12" s="328"/>
      <c r="AX12" s="328"/>
      <c r="AY12" s="328"/>
      <c r="AZ12" s="328"/>
      <c r="BA12" s="328"/>
      <c r="BB12" s="328"/>
      <c r="BC12" s="332"/>
      <c r="BD12" s="374"/>
      <c r="BE12" s="381">
        <v>17.5</v>
      </c>
      <c r="BF12" s="333"/>
      <c r="BG12" s="333"/>
      <c r="BH12" s="333"/>
      <c r="BI12" s="333"/>
      <c r="BJ12" s="333"/>
      <c r="BK12" s="333"/>
      <c r="BL12" s="376">
        <v>7</v>
      </c>
      <c r="BM12" s="333"/>
      <c r="BN12" s="333"/>
      <c r="BO12" s="333"/>
      <c r="BP12" s="333"/>
      <c r="BQ12" s="333"/>
      <c r="BR12" s="334"/>
    </row>
    <row r="13" spans="1:70" x14ac:dyDescent="0.25">
      <c r="A13" s="224" t="s">
        <v>102</v>
      </c>
      <c r="B13" s="147" t="str">
        <f>VLOOKUP(A13,'Mã NV'!$A$1:$C$27,2,0)</f>
        <v>Ngô Văn Thanh</v>
      </c>
      <c r="C13" s="207" t="s">
        <v>436</v>
      </c>
      <c r="D13" s="328">
        <v>650</v>
      </c>
      <c r="E13" s="328">
        <v>1400</v>
      </c>
      <c r="F13" s="324">
        <f>183.33+366.67</f>
        <v>550</v>
      </c>
      <c r="G13" s="328"/>
      <c r="H13" s="328"/>
      <c r="I13" s="328"/>
      <c r="J13" s="328">
        <v>250</v>
      </c>
      <c r="K13" s="328"/>
      <c r="L13" s="328"/>
      <c r="M13" s="328"/>
      <c r="N13" s="330"/>
      <c r="O13" s="328"/>
      <c r="P13" s="328"/>
      <c r="Q13" s="328">
        <v>325</v>
      </c>
      <c r="R13" s="328">
        <v>183.33</v>
      </c>
      <c r="S13" s="328"/>
      <c r="T13" s="328"/>
      <c r="U13" s="328"/>
      <c r="V13" s="328"/>
      <c r="W13" s="328"/>
      <c r="X13" s="328"/>
      <c r="Y13" s="328"/>
      <c r="Z13" s="328"/>
      <c r="AA13" s="331"/>
      <c r="AB13" s="328"/>
      <c r="AC13" s="328"/>
      <c r="AD13" s="328"/>
      <c r="AE13" s="328"/>
      <c r="AF13" s="328"/>
      <c r="AG13" s="328"/>
      <c r="AH13" s="328"/>
      <c r="AI13" s="328"/>
      <c r="AJ13" s="328"/>
      <c r="AK13" s="328"/>
      <c r="AL13" s="328"/>
      <c r="AM13" s="328"/>
      <c r="AN13" s="328"/>
      <c r="AO13" s="328"/>
      <c r="AP13" s="328"/>
      <c r="AQ13" s="328"/>
      <c r="AR13" s="328"/>
      <c r="AS13" s="328"/>
      <c r="AT13" s="328"/>
      <c r="AU13" s="328"/>
      <c r="AV13" s="328"/>
      <c r="AW13" s="328"/>
      <c r="AX13" s="328"/>
      <c r="AY13" s="328"/>
      <c r="AZ13" s="328"/>
      <c r="BA13" s="328"/>
      <c r="BB13" s="328"/>
      <c r="BC13" s="332"/>
      <c r="BD13" s="333"/>
      <c r="BE13" s="381">
        <v>17</v>
      </c>
      <c r="BF13" s="333"/>
      <c r="BG13" s="333"/>
      <c r="BH13" s="333"/>
      <c r="BI13" s="333"/>
      <c r="BJ13" s="333"/>
      <c r="BK13" s="333"/>
      <c r="BL13" s="377">
        <v>1</v>
      </c>
      <c r="BM13" s="333"/>
      <c r="BN13" s="333">
        <v>0.5</v>
      </c>
      <c r="BO13" s="333"/>
      <c r="BP13" s="333"/>
      <c r="BQ13" s="333"/>
      <c r="BR13" s="334"/>
    </row>
    <row r="14" spans="1:70" x14ac:dyDescent="0.25">
      <c r="A14" s="224" t="s">
        <v>103</v>
      </c>
      <c r="B14" s="147" t="str">
        <f>VLOOKUP(A14,'Mã NV'!$A$1:$C$27,2,0)</f>
        <v>Võ Văn Giàu</v>
      </c>
      <c r="C14" s="207" t="s">
        <v>436</v>
      </c>
      <c r="D14" s="328"/>
      <c r="E14" s="328">
        <v>700</v>
      </c>
      <c r="F14" s="330">
        <f>983.33+133.33</f>
        <v>1116.6600000000001</v>
      </c>
      <c r="G14" s="328"/>
      <c r="H14" s="328"/>
      <c r="I14" s="328"/>
      <c r="J14" s="328"/>
      <c r="K14" s="328"/>
      <c r="L14" s="328"/>
      <c r="M14" s="328"/>
      <c r="N14" s="330"/>
      <c r="O14" s="328"/>
      <c r="P14" s="328"/>
      <c r="Q14" s="330"/>
      <c r="R14" s="330">
        <v>183.33</v>
      </c>
      <c r="S14" s="328"/>
      <c r="T14" s="328"/>
      <c r="U14" s="328"/>
      <c r="V14" s="328"/>
      <c r="W14" s="328"/>
      <c r="X14" s="328"/>
      <c r="Y14" s="328"/>
      <c r="Z14" s="328"/>
      <c r="AA14" s="331">
        <v>66.67</v>
      </c>
      <c r="AB14" s="328"/>
      <c r="AC14" s="328"/>
      <c r="AD14" s="328">
        <v>375</v>
      </c>
      <c r="AE14" s="328"/>
      <c r="AF14" s="328"/>
      <c r="AG14" s="328"/>
      <c r="AH14" s="328"/>
      <c r="AI14" s="328"/>
      <c r="AJ14" s="328"/>
      <c r="AK14" s="328"/>
      <c r="AL14" s="328"/>
      <c r="AM14" s="328"/>
      <c r="AN14" s="328"/>
      <c r="AO14" s="328"/>
      <c r="AP14" s="328"/>
      <c r="AQ14" s="328"/>
      <c r="AR14" s="328"/>
      <c r="AS14" s="328"/>
      <c r="AT14" s="328"/>
      <c r="AU14" s="328"/>
      <c r="AV14" s="328"/>
      <c r="AW14" s="328"/>
      <c r="AX14" s="328"/>
      <c r="AY14" s="328"/>
      <c r="AZ14" s="328"/>
      <c r="BA14" s="328"/>
      <c r="BB14" s="328"/>
      <c r="BC14" s="332"/>
      <c r="BD14" s="333"/>
      <c r="BE14" s="382">
        <v>15.5</v>
      </c>
      <c r="BF14" s="333"/>
      <c r="BG14" s="333"/>
      <c r="BH14" s="333"/>
      <c r="BI14" s="333"/>
      <c r="BJ14" s="333"/>
      <c r="BK14" s="333"/>
      <c r="BL14" s="377">
        <v>3.5</v>
      </c>
      <c r="BM14" s="333"/>
      <c r="BN14" s="333"/>
      <c r="BO14" s="333"/>
      <c r="BP14" s="333"/>
      <c r="BQ14" s="333"/>
      <c r="BR14" s="334"/>
    </row>
    <row r="15" spans="1:70" x14ac:dyDescent="0.25">
      <c r="A15" s="224" t="s">
        <v>105</v>
      </c>
      <c r="B15" s="147" t="str">
        <f>VLOOKUP(A15,'Mã NV'!$A$1:$C$27,2,0)</f>
        <v>Lê Phi Trung</v>
      </c>
      <c r="C15" s="207" t="s">
        <v>436</v>
      </c>
      <c r="D15" s="328"/>
      <c r="E15" s="324">
        <v>1250</v>
      </c>
      <c r="F15" s="330">
        <f>733.33+366.67</f>
        <v>1100</v>
      </c>
      <c r="G15" s="328"/>
      <c r="H15" s="328"/>
      <c r="I15" s="328"/>
      <c r="J15" s="328"/>
      <c r="K15" s="328"/>
      <c r="L15" s="328"/>
      <c r="M15" s="328"/>
      <c r="N15" s="330"/>
      <c r="O15" s="328"/>
      <c r="P15" s="328"/>
      <c r="Q15" s="330"/>
      <c r="R15" s="330"/>
      <c r="S15" s="328"/>
      <c r="T15" s="328"/>
      <c r="U15" s="328"/>
      <c r="V15" s="328"/>
      <c r="W15" s="328"/>
      <c r="X15" s="328"/>
      <c r="Y15" s="328"/>
      <c r="Z15" s="328"/>
      <c r="AA15" s="331"/>
      <c r="AB15" s="328"/>
      <c r="AC15" s="328"/>
      <c r="AD15" s="328">
        <v>375</v>
      </c>
      <c r="AE15" s="328"/>
      <c r="AF15" s="328"/>
      <c r="AG15" s="328"/>
      <c r="AH15" s="328"/>
      <c r="AI15" s="328"/>
      <c r="AJ15" s="328"/>
      <c r="AK15" s="328"/>
      <c r="AL15" s="328"/>
      <c r="AM15" s="328"/>
      <c r="AN15" s="328"/>
      <c r="AO15" s="328"/>
      <c r="AP15" s="328"/>
      <c r="AQ15" s="328"/>
      <c r="AR15" s="328"/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32"/>
      <c r="BD15" s="333"/>
      <c r="BE15" s="382">
        <v>17</v>
      </c>
      <c r="BF15" s="333"/>
      <c r="BG15" s="333"/>
      <c r="BH15" s="333"/>
      <c r="BI15" s="333"/>
      <c r="BJ15" s="333"/>
      <c r="BK15" s="333"/>
      <c r="BL15" s="376">
        <v>4</v>
      </c>
      <c r="BM15" s="333"/>
      <c r="BN15" s="333"/>
      <c r="BO15" s="333"/>
      <c r="BP15" s="333"/>
      <c r="BQ15" s="333"/>
      <c r="BR15" s="334"/>
    </row>
    <row r="16" spans="1:70" x14ac:dyDescent="0.25">
      <c r="A16" s="224" t="s">
        <v>106</v>
      </c>
      <c r="B16" s="147" t="str">
        <f>VLOOKUP(A16,'Mã NV'!$A$1:$C$27,2,0)</f>
        <v>Lâm Văn Thương</v>
      </c>
      <c r="C16" s="207" t="s">
        <v>436</v>
      </c>
      <c r="D16" s="328">
        <v>750</v>
      </c>
      <c r="E16" s="328">
        <v>1400</v>
      </c>
      <c r="F16" s="330">
        <f>366.67+366.67</f>
        <v>733.34</v>
      </c>
      <c r="G16" s="328"/>
      <c r="H16" s="328"/>
      <c r="I16" s="328"/>
      <c r="J16" s="328"/>
      <c r="K16" s="328"/>
      <c r="L16" s="328">
        <v>50</v>
      </c>
      <c r="M16" s="328"/>
      <c r="N16" s="330"/>
      <c r="O16" s="328"/>
      <c r="P16" s="328"/>
      <c r="Q16" s="330"/>
      <c r="R16" s="324"/>
      <c r="S16" s="328"/>
      <c r="T16" s="328"/>
      <c r="U16" s="328"/>
      <c r="V16" s="328"/>
      <c r="W16" s="328"/>
      <c r="X16" s="328"/>
      <c r="Y16" s="328"/>
      <c r="Z16" s="328"/>
      <c r="AA16" s="331"/>
      <c r="AB16" s="328"/>
      <c r="AC16" s="328"/>
      <c r="AD16" s="328"/>
      <c r="AE16" s="328"/>
      <c r="AF16" s="328"/>
      <c r="AG16" s="328"/>
      <c r="AH16" s="328"/>
      <c r="AI16" s="328"/>
      <c r="AJ16" s="328"/>
      <c r="AK16" s="328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8"/>
      <c r="AX16" s="328"/>
      <c r="AY16" s="328"/>
      <c r="AZ16" s="328"/>
      <c r="BA16" s="328"/>
      <c r="BB16" s="328"/>
      <c r="BC16" s="332"/>
      <c r="BD16" s="333"/>
      <c r="BE16" s="382">
        <v>18</v>
      </c>
      <c r="BF16" s="333"/>
      <c r="BG16" s="333"/>
      <c r="BH16" s="333"/>
      <c r="BI16" s="333"/>
      <c r="BJ16" s="333"/>
      <c r="BK16" s="333"/>
      <c r="BL16" s="376">
        <v>1</v>
      </c>
      <c r="BM16" s="333"/>
      <c r="BN16" s="333">
        <v>0.5</v>
      </c>
      <c r="BO16" s="333"/>
      <c r="BP16" s="333"/>
      <c r="BQ16" s="333"/>
      <c r="BR16" s="334"/>
    </row>
    <row r="17" spans="1:70" x14ac:dyDescent="0.25">
      <c r="A17" s="224" t="s">
        <v>107</v>
      </c>
      <c r="B17" s="147" t="str">
        <f>VLOOKUP(A17,'Mã NV'!$A$1:$C$27,2,0)</f>
        <v>Võ Văn Có</v>
      </c>
      <c r="C17" s="207" t="s">
        <v>436</v>
      </c>
      <c r="D17" s="335"/>
      <c r="E17" s="328">
        <v>700</v>
      </c>
      <c r="F17" s="330">
        <f>983.33+133.33</f>
        <v>1116.6600000000001</v>
      </c>
      <c r="G17" s="328"/>
      <c r="H17" s="328"/>
      <c r="I17" s="328"/>
      <c r="J17" s="328"/>
      <c r="K17" s="328"/>
      <c r="L17" s="328"/>
      <c r="M17" s="328"/>
      <c r="N17" s="330"/>
      <c r="O17" s="328"/>
      <c r="P17" s="336"/>
      <c r="Q17" s="330"/>
      <c r="R17" s="330">
        <v>183.33</v>
      </c>
      <c r="S17" s="328"/>
      <c r="T17" s="328"/>
      <c r="U17" s="328"/>
      <c r="V17" s="328"/>
      <c r="W17" s="328"/>
      <c r="X17" s="328"/>
      <c r="Y17" s="328"/>
      <c r="Z17" s="328"/>
      <c r="AA17" s="331">
        <v>66.67</v>
      </c>
      <c r="AB17" s="328"/>
      <c r="AC17" s="328"/>
      <c r="AD17" s="324">
        <v>375</v>
      </c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32"/>
      <c r="BD17" s="333"/>
      <c r="BE17" s="382">
        <v>15.5</v>
      </c>
      <c r="BF17" s="333"/>
      <c r="BG17" s="333"/>
      <c r="BH17" s="333"/>
      <c r="BI17" s="333"/>
      <c r="BJ17" s="333"/>
      <c r="BK17" s="333"/>
      <c r="BL17" s="376">
        <v>3.5</v>
      </c>
      <c r="BM17" s="333"/>
      <c r="BN17" s="333"/>
      <c r="BO17" s="333"/>
      <c r="BP17" s="333"/>
      <c r="BQ17" s="333"/>
      <c r="BR17" s="334"/>
    </row>
    <row r="18" spans="1:70" x14ac:dyDescent="0.25">
      <c r="A18" s="224" t="s">
        <v>108</v>
      </c>
      <c r="B18" s="147" t="str">
        <f>VLOOKUP(A18,'Mã NV'!$A$1:$C$27,2,0)</f>
        <v>Lê Minh Nghĩa</v>
      </c>
      <c r="C18" s="207" t="s">
        <v>436</v>
      </c>
      <c r="D18" s="328"/>
      <c r="E18" s="328">
        <v>2100</v>
      </c>
      <c r="F18" s="330">
        <v>550</v>
      </c>
      <c r="G18" s="328"/>
      <c r="H18" s="328">
        <v>225</v>
      </c>
      <c r="I18" s="328"/>
      <c r="J18" s="328"/>
      <c r="K18" s="328"/>
      <c r="L18" s="328"/>
      <c r="M18" s="328">
        <v>450</v>
      </c>
      <c r="N18" s="330"/>
      <c r="O18" s="328"/>
      <c r="P18" s="328"/>
      <c r="Q18" s="330"/>
      <c r="R18" s="330"/>
      <c r="S18" s="328"/>
      <c r="T18" s="328"/>
      <c r="U18" s="328"/>
      <c r="V18" s="328"/>
      <c r="W18" s="328"/>
      <c r="X18" s="328"/>
      <c r="Y18" s="328"/>
      <c r="Z18" s="328"/>
      <c r="AA18" s="331">
        <v>66.67</v>
      </c>
      <c r="AB18" s="328"/>
      <c r="AC18" s="328"/>
      <c r="AD18" s="324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32"/>
      <c r="BD18" s="333"/>
      <c r="BE18" s="382">
        <v>12.5</v>
      </c>
      <c r="BF18" s="333"/>
      <c r="BG18" s="333"/>
      <c r="BH18" s="333"/>
      <c r="BI18" s="333"/>
      <c r="BJ18" s="333"/>
      <c r="BK18" s="333"/>
      <c r="BL18" s="376">
        <v>3.5</v>
      </c>
      <c r="BM18" s="333"/>
      <c r="BN18" s="333">
        <v>0.5</v>
      </c>
      <c r="BO18" s="333"/>
      <c r="BP18" s="333"/>
      <c r="BQ18" s="333"/>
      <c r="BR18" s="334"/>
    </row>
    <row r="19" spans="1:70" x14ac:dyDescent="0.25">
      <c r="A19" s="224" t="s">
        <v>109</v>
      </c>
      <c r="B19" s="147" t="str">
        <f>VLOOKUP(A19,'Mã NV'!$A$1:$C$27,2,0)</f>
        <v>Trần Văn Tây</v>
      </c>
      <c r="C19" s="207" t="s">
        <v>436</v>
      </c>
      <c r="D19" s="328"/>
      <c r="E19" s="324">
        <v>1400</v>
      </c>
      <c r="F19" s="330">
        <f>983.33+133.33</f>
        <v>1116.6600000000001</v>
      </c>
      <c r="G19" s="328"/>
      <c r="H19" s="328"/>
      <c r="I19" s="328"/>
      <c r="J19" s="328"/>
      <c r="K19" s="328"/>
      <c r="L19" s="328"/>
      <c r="M19" s="328"/>
      <c r="N19" s="330"/>
      <c r="O19" s="328"/>
      <c r="P19" s="328"/>
      <c r="Q19" s="330"/>
      <c r="R19" s="330">
        <v>183.33</v>
      </c>
      <c r="S19" s="328"/>
      <c r="T19" s="328"/>
      <c r="U19" s="328"/>
      <c r="V19" s="328"/>
      <c r="W19" s="328"/>
      <c r="X19" s="328"/>
      <c r="Y19" s="328"/>
      <c r="Z19" s="328"/>
      <c r="AA19" s="331">
        <v>66.67</v>
      </c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32"/>
      <c r="BD19" s="333"/>
      <c r="BE19" s="381">
        <v>13</v>
      </c>
      <c r="BF19" s="333"/>
      <c r="BG19" s="333"/>
      <c r="BH19" s="333"/>
      <c r="BI19" s="333"/>
      <c r="BJ19" s="333"/>
      <c r="BK19" s="333"/>
      <c r="BL19" s="376">
        <v>4</v>
      </c>
      <c r="BM19" s="333"/>
      <c r="BN19" s="333"/>
      <c r="BO19" s="333"/>
      <c r="BP19" s="333"/>
      <c r="BQ19" s="333"/>
      <c r="BR19" s="334"/>
    </row>
    <row r="20" spans="1:70" x14ac:dyDescent="0.25">
      <c r="A20" s="224" t="s">
        <v>110</v>
      </c>
      <c r="B20" s="147" t="str">
        <f>VLOOKUP(A20,'Mã NV'!$A$1:$C$27,2,0)</f>
        <v>Huỳnh Huy Phụng</v>
      </c>
      <c r="C20" s="207" t="s">
        <v>436</v>
      </c>
      <c r="D20" s="328">
        <v>700</v>
      </c>
      <c r="E20" s="328"/>
      <c r="F20" s="330">
        <f>983.33+133.33</f>
        <v>1116.6600000000001</v>
      </c>
      <c r="G20" s="328"/>
      <c r="H20" s="328"/>
      <c r="I20" s="328"/>
      <c r="J20" s="328"/>
      <c r="K20" s="328"/>
      <c r="L20" s="328">
        <v>150</v>
      </c>
      <c r="M20" s="328"/>
      <c r="N20" s="330"/>
      <c r="O20" s="328"/>
      <c r="P20" s="328"/>
      <c r="Q20" s="330"/>
      <c r="R20" s="330">
        <v>183.33</v>
      </c>
      <c r="S20" s="328"/>
      <c r="T20" s="328"/>
      <c r="U20" s="328"/>
      <c r="V20" s="328"/>
      <c r="W20" s="328"/>
      <c r="X20" s="328"/>
      <c r="Y20" s="328"/>
      <c r="Z20" s="328"/>
      <c r="AA20" s="331">
        <v>66.67</v>
      </c>
      <c r="AB20" s="328"/>
      <c r="AC20" s="324"/>
      <c r="AD20" s="328">
        <v>375</v>
      </c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8"/>
      <c r="AX20" s="328"/>
      <c r="AY20" s="328"/>
      <c r="AZ20" s="328"/>
      <c r="BA20" s="328"/>
      <c r="BB20" s="328"/>
      <c r="BC20" s="332"/>
      <c r="BD20" s="333"/>
      <c r="BE20" s="382">
        <v>14</v>
      </c>
      <c r="BF20" s="333"/>
      <c r="BG20" s="333"/>
      <c r="BH20" s="333"/>
      <c r="BI20" s="333"/>
      <c r="BJ20" s="333"/>
      <c r="BK20" s="333"/>
      <c r="BL20" s="378">
        <v>3.5</v>
      </c>
      <c r="BM20" s="333"/>
      <c r="BN20" s="333"/>
      <c r="BO20" s="333"/>
      <c r="BP20" s="333"/>
      <c r="BQ20" s="333"/>
      <c r="BR20" s="334"/>
    </row>
    <row r="21" spans="1:70" x14ac:dyDescent="0.25">
      <c r="A21" s="224" t="s">
        <v>112</v>
      </c>
      <c r="B21" s="147" t="str">
        <f>VLOOKUP(A21,'Mã NV'!$A$1:$C$27,2,0)</f>
        <v>Lê Hiệp</v>
      </c>
      <c r="C21" s="207" t="s">
        <v>436</v>
      </c>
      <c r="D21" s="328"/>
      <c r="E21" s="328">
        <v>2100</v>
      </c>
      <c r="F21" s="324">
        <v>550</v>
      </c>
      <c r="G21" s="328"/>
      <c r="H21" s="328">
        <v>225</v>
      </c>
      <c r="I21" s="328"/>
      <c r="J21" s="328"/>
      <c r="K21" s="328"/>
      <c r="L21" s="328"/>
      <c r="M21" s="328">
        <v>450</v>
      </c>
      <c r="N21" s="330"/>
      <c r="O21" s="328"/>
      <c r="P21" s="328"/>
      <c r="Q21" s="330"/>
      <c r="R21" s="330"/>
      <c r="S21" s="328"/>
      <c r="T21" s="328"/>
      <c r="U21" s="328"/>
      <c r="V21" s="328"/>
      <c r="W21" s="328"/>
      <c r="X21" s="328"/>
      <c r="Y21" s="328"/>
      <c r="Z21" s="328"/>
      <c r="AA21" s="331">
        <v>66.67</v>
      </c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32"/>
      <c r="BD21" s="333"/>
      <c r="BE21" s="381">
        <v>12</v>
      </c>
      <c r="BF21" s="333"/>
      <c r="BG21" s="333"/>
      <c r="BH21" s="333"/>
      <c r="BI21" s="333"/>
      <c r="BJ21" s="333"/>
      <c r="BK21" s="333"/>
      <c r="BL21" s="377">
        <v>6</v>
      </c>
      <c r="BM21" s="333"/>
      <c r="BN21" s="333">
        <v>0.5</v>
      </c>
      <c r="BO21" s="333"/>
      <c r="BP21" s="333"/>
      <c r="BQ21" s="333"/>
      <c r="BR21" s="334"/>
    </row>
    <row r="22" spans="1:70" x14ac:dyDescent="0.25">
      <c r="A22" s="224" t="s">
        <v>113</v>
      </c>
      <c r="B22" s="147" t="str">
        <f>VLOOKUP(A22,'Mã NV'!$A$1:$C$27,2,0)</f>
        <v>Lê Văn Bi</v>
      </c>
      <c r="C22" s="207" t="s">
        <v>436</v>
      </c>
      <c r="D22" s="337"/>
      <c r="E22" s="328">
        <v>1950</v>
      </c>
      <c r="F22" s="324">
        <f>366.67+366.67</f>
        <v>733.34</v>
      </c>
      <c r="G22" s="328"/>
      <c r="H22" s="328"/>
      <c r="I22" s="328"/>
      <c r="J22" s="328"/>
      <c r="K22" s="328"/>
      <c r="L22" s="328"/>
      <c r="M22" s="328"/>
      <c r="N22" s="330"/>
      <c r="O22" s="328"/>
      <c r="P22" s="328"/>
      <c r="Q22" s="330"/>
      <c r="R22" s="330"/>
      <c r="S22" s="328"/>
      <c r="T22" s="328"/>
      <c r="U22" s="328"/>
      <c r="V22" s="328"/>
      <c r="W22" s="328"/>
      <c r="X22" s="328"/>
      <c r="Y22" s="328"/>
      <c r="Z22" s="328"/>
      <c r="AA22" s="331"/>
      <c r="AB22" s="328"/>
      <c r="AC22" s="324"/>
      <c r="AD22" s="328">
        <v>375</v>
      </c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32"/>
      <c r="BD22" s="333"/>
      <c r="BE22" s="381">
        <v>20.5</v>
      </c>
      <c r="BF22" s="333"/>
      <c r="BG22" s="333"/>
      <c r="BH22" s="333"/>
      <c r="BI22" s="333"/>
      <c r="BJ22" s="333"/>
      <c r="BK22" s="333"/>
      <c r="BL22" s="377">
        <v>1</v>
      </c>
      <c r="BM22" s="333"/>
      <c r="BN22" s="333">
        <v>0.5</v>
      </c>
      <c r="BO22" s="333"/>
      <c r="BP22" s="333"/>
      <c r="BQ22" s="333"/>
      <c r="BR22" s="334"/>
    </row>
    <row r="23" spans="1:70" x14ac:dyDescent="0.25">
      <c r="A23" s="224" t="s">
        <v>115</v>
      </c>
      <c r="B23" s="147" t="str">
        <f>VLOOKUP(A23,'Mã NV'!$A$1:$C$27,2,0)</f>
        <v>Trần Anh Dũ</v>
      </c>
      <c r="C23" s="207" t="s">
        <v>436</v>
      </c>
      <c r="D23" s="328">
        <v>750</v>
      </c>
      <c r="E23" s="328">
        <v>1400</v>
      </c>
      <c r="F23" s="324">
        <f>366.67+366.67</f>
        <v>733.34</v>
      </c>
      <c r="G23" s="328"/>
      <c r="H23" s="328"/>
      <c r="I23" s="328"/>
      <c r="J23" s="328">
        <v>250</v>
      </c>
      <c r="K23" s="328"/>
      <c r="L23" s="328">
        <v>50</v>
      </c>
      <c r="M23" s="328"/>
      <c r="N23" s="330"/>
      <c r="O23" s="328"/>
      <c r="P23" s="328"/>
      <c r="Q23" s="330">
        <v>325</v>
      </c>
      <c r="R23" s="330"/>
      <c r="S23" s="328"/>
      <c r="T23" s="328"/>
      <c r="U23" s="328"/>
      <c r="V23" s="328"/>
      <c r="W23" s="328"/>
      <c r="X23" s="328"/>
      <c r="Y23" s="328"/>
      <c r="Z23" s="328"/>
      <c r="AA23" s="331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32"/>
      <c r="BD23" s="333"/>
      <c r="BE23" s="381">
        <v>10</v>
      </c>
      <c r="BF23" s="333"/>
      <c r="BG23" s="333"/>
      <c r="BH23" s="333"/>
      <c r="BI23" s="333"/>
      <c r="BJ23" s="333"/>
      <c r="BK23" s="333"/>
      <c r="BL23" s="377">
        <v>2.5</v>
      </c>
      <c r="BM23" s="333"/>
      <c r="BN23" s="333">
        <v>0.5</v>
      </c>
      <c r="BO23" s="333"/>
      <c r="BP23" s="333"/>
      <c r="BQ23" s="333"/>
      <c r="BR23" s="334"/>
    </row>
    <row r="24" spans="1:70" x14ac:dyDescent="0.25">
      <c r="A24" s="224" t="s">
        <v>116</v>
      </c>
      <c r="B24" s="147" t="str">
        <f>VLOOKUP(A24,'Mã NV'!$A$1:$C$27,2,0)</f>
        <v>Thạch Ngọc Tiến</v>
      </c>
      <c r="C24" s="207" t="s">
        <v>436</v>
      </c>
      <c r="D24" s="328">
        <v>700</v>
      </c>
      <c r="E24" s="328"/>
      <c r="F24" s="324">
        <v>183.33</v>
      </c>
      <c r="G24" s="328"/>
      <c r="H24" s="328">
        <v>225</v>
      </c>
      <c r="I24" s="328"/>
      <c r="J24" s="328"/>
      <c r="K24" s="328"/>
      <c r="L24" s="328">
        <v>150</v>
      </c>
      <c r="M24" s="328">
        <v>450</v>
      </c>
      <c r="N24" s="330"/>
      <c r="O24" s="328"/>
      <c r="P24" s="328"/>
      <c r="Q24" s="330"/>
      <c r="R24" s="330"/>
      <c r="S24" s="328"/>
      <c r="T24" s="328"/>
      <c r="U24" s="328"/>
      <c r="V24" s="328"/>
      <c r="W24" s="328"/>
      <c r="X24" s="328"/>
      <c r="Y24" s="328"/>
      <c r="Z24" s="328"/>
      <c r="AA24" s="331">
        <v>66.67</v>
      </c>
      <c r="AB24" s="328"/>
      <c r="AC24" s="328"/>
      <c r="AD24" s="338"/>
      <c r="AE24" s="328"/>
      <c r="AF24" s="328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32"/>
      <c r="BD24" s="333"/>
      <c r="BE24" s="381">
        <v>6</v>
      </c>
      <c r="BF24" s="333"/>
      <c r="BG24" s="333"/>
      <c r="BH24" s="333"/>
      <c r="BI24" s="333"/>
      <c r="BJ24" s="333"/>
      <c r="BK24" s="333"/>
      <c r="BL24" s="377">
        <v>7</v>
      </c>
      <c r="BM24" s="333"/>
      <c r="BN24" s="333"/>
      <c r="BO24" s="333"/>
      <c r="BP24" s="333"/>
      <c r="BQ24" s="333"/>
      <c r="BR24" s="334"/>
    </row>
    <row r="25" spans="1:70" x14ac:dyDescent="0.25">
      <c r="A25" s="224" t="s">
        <v>117</v>
      </c>
      <c r="B25" s="147" t="str">
        <f>VLOOKUP(A25,'Mã NV'!$A$1:$C$27,2,0)</f>
        <v>Nguyễn Tuấn Vinh</v>
      </c>
      <c r="C25" s="207" t="s">
        <v>436</v>
      </c>
      <c r="D25" s="328"/>
      <c r="E25" s="328">
        <v>550</v>
      </c>
      <c r="F25" s="256">
        <f>733.33+366.67</f>
        <v>1100</v>
      </c>
      <c r="G25" s="325"/>
      <c r="H25" s="325">
        <v>225</v>
      </c>
      <c r="I25" s="325"/>
      <c r="J25" s="325"/>
      <c r="K25" s="325"/>
      <c r="L25" s="325"/>
      <c r="M25" s="325">
        <v>450</v>
      </c>
      <c r="N25" s="326"/>
      <c r="O25" s="325"/>
      <c r="P25" s="325"/>
      <c r="Q25" s="325"/>
      <c r="R25" s="326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38">
        <v>375</v>
      </c>
      <c r="AE25" s="325"/>
      <c r="AF25" s="325"/>
      <c r="AG25" s="325"/>
      <c r="AH25" s="325"/>
      <c r="AI25" s="325"/>
      <c r="AJ25" s="325"/>
      <c r="AK25" s="325"/>
      <c r="AL25" s="325"/>
      <c r="AM25" s="370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325"/>
      <c r="BA25" s="325"/>
      <c r="BB25" s="325"/>
      <c r="BC25" s="332"/>
      <c r="BD25" s="333"/>
      <c r="BE25" s="383">
        <v>14.5</v>
      </c>
      <c r="BF25" s="333"/>
      <c r="BG25" s="333"/>
      <c r="BH25" s="333"/>
      <c r="BI25" s="333"/>
      <c r="BJ25" s="333"/>
      <c r="BK25" s="333"/>
      <c r="BL25" s="377">
        <v>6.5</v>
      </c>
      <c r="BM25" s="333"/>
      <c r="BN25" s="333"/>
      <c r="BO25" s="333"/>
      <c r="BP25" s="333"/>
      <c r="BQ25" s="333"/>
      <c r="BR25" s="334"/>
    </row>
    <row r="26" spans="1:70" x14ac:dyDescent="0.25">
      <c r="A26" s="224" t="s">
        <v>118</v>
      </c>
      <c r="B26" s="147" t="str">
        <f>VLOOKUP(A26,'Mã NV'!$A$1:$C$27,2,0)</f>
        <v>Trần Thanh Nguyên</v>
      </c>
      <c r="C26" s="207" t="s">
        <v>436</v>
      </c>
      <c r="D26" s="328"/>
      <c r="E26" s="328">
        <v>700</v>
      </c>
      <c r="F26" s="324">
        <f>800+133.33</f>
        <v>933.33</v>
      </c>
      <c r="G26" s="328"/>
      <c r="H26" s="328"/>
      <c r="I26" s="328"/>
      <c r="J26" s="328"/>
      <c r="K26" s="328"/>
      <c r="L26" s="328"/>
      <c r="M26" s="328"/>
      <c r="N26" s="330"/>
      <c r="O26" s="328"/>
      <c r="P26" s="328"/>
      <c r="Q26" s="330"/>
      <c r="R26" s="330"/>
      <c r="S26" s="328"/>
      <c r="T26" s="328"/>
      <c r="U26" s="328"/>
      <c r="V26" s="328"/>
      <c r="W26" s="328"/>
      <c r="X26" s="328"/>
      <c r="Y26" s="328"/>
      <c r="Z26" s="328"/>
      <c r="AA26" s="331">
        <v>66.67</v>
      </c>
      <c r="AB26" s="328"/>
      <c r="AC26" s="328"/>
      <c r="AD26" s="338">
        <v>375</v>
      </c>
      <c r="AE26" s="328"/>
      <c r="AF26" s="328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328"/>
      <c r="AX26" s="328"/>
      <c r="AY26" s="328"/>
      <c r="AZ26" s="328"/>
      <c r="BA26" s="328"/>
      <c r="BB26" s="328"/>
      <c r="BC26" s="332"/>
      <c r="BD26" s="333"/>
      <c r="BE26" s="383">
        <v>15.5</v>
      </c>
      <c r="BF26" s="333"/>
      <c r="BG26" s="333"/>
      <c r="BH26" s="333"/>
      <c r="BI26" s="333"/>
      <c r="BJ26" s="333"/>
      <c r="BK26" s="333"/>
      <c r="BL26" s="377">
        <v>2</v>
      </c>
      <c r="BM26" s="333"/>
      <c r="BN26" s="333"/>
      <c r="BO26" s="333"/>
      <c r="BP26" s="333"/>
      <c r="BQ26" s="333"/>
      <c r="BR26" s="334"/>
    </row>
    <row r="27" spans="1:70" x14ac:dyDescent="0.25">
      <c r="A27" s="224" t="s">
        <v>119</v>
      </c>
      <c r="B27" s="147" t="str">
        <f>VLOOKUP(A27,'Mã NV'!$A$1:$C$27,2,0)</f>
        <v>Lê Nhật Trường Giang</v>
      </c>
      <c r="C27" s="207" t="s">
        <v>436</v>
      </c>
      <c r="D27" s="328"/>
      <c r="E27" s="328">
        <v>1250</v>
      </c>
      <c r="F27" s="324">
        <f>733.33+366.67</f>
        <v>1100</v>
      </c>
      <c r="G27" s="328"/>
      <c r="H27" s="328"/>
      <c r="I27" s="328"/>
      <c r="J27" s="328"/>
      <c r="K27" s="328"/>
      <c r="L27" s="328"/>
      <c r="M27" s="328"/>
      <c r="N27" s="330"/>
      <c r="O27" s="328"/>
      <c r="P27" s="328"/>
      <c r="Q27" s="330"/>
      <c r="R27" s="330"/>
      <c r="S27" s="328"/>
      <c r="T27" s="328"/>
      <c r="U27" s="328"/>
      <c r="V27" s="328"/>
      <c r="W27" s="328"/>
      <c r="X27" s="328"/>
      <c r="Y27" s="328"/>
      <c r="Z27" s="328"/>
      <c r="AA27" s="331"/>
      <c r="AB27" s="328"/>
      <c r="AC27" s="328"/>
      <c r="AD27" s="338">
        <v>375</v>
      </c>
      <c r="AE27" s="328"/>
      <c r="AF27" s="328"/>
      <c r="AG27" s="328"/>
      <c r="AH27" s="328"/>
      <c r="AI27" s="328"/>
      <c r="AJ27" s="328"/>
      <c r="AK27" s="328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328"/>
      <c r="AX27" s="328"/>
      <c r="AY27" s="328"/>
      <c r="AZ27" s="328"/>
      <c r="BA27" s="328"/>
      <c r="BB27" s="328"/>
      <c r="BC27" s="332"/>
      <c r="BD27" s="333"/>
      <c r="BE27" s="383">
        <v>18.5</v>
      </c>
      <c r="BF27" s="333"/>
      <c r="BG27" s="333"/>
      <c r="BH27" s="333"/>
      <c r="BI27" s="333"/>
      <c r="BJ27" s="333"/>
      <c r="BK27" s="333"/>
      <c r="BL27" s="377">
        <v>1.5</v>
      </c>
      <c r="BM27" s="333"/>
      <c r="BN27" s="333">
        <v>0.5</v>
      </c>
      <c r="BO27" s="333"/>
      <c r="BP27" s="333"/>
      <c r="BQ27" s="333"/>
      <c r="BR27" s="334"/>
    </row>
    <row r="28" spans="1:70" x14ac:dyDescent="0.25">
      <c r="A28" s="224" t="s">
        <v>120</v>
      </c>
      <c r="B28" s="147" t="str">
        <f>VLOOKUP(A28,'Mã NV'!$A$1:$C$27,2,0)</f>
        <v>Thạch Ngọc Thắng</v>
      </c>
      <c r="C28" s="207" t="s">
        <v>436</v>
      </c>
      <c r="D28" s="328"/>
      <c r="E28" s="328">
        <v>1400</v>
      </c>
      <c r="F28" s="324">
        <v>183.33</v>
      </c>
      <c r="G28" s="328"/>
      <c r="H28" s="328"/>
      <c r="I28" s="328"/>
      <c r="J28" s="328"/>
      <c r="K28" s="328"/>
      <c r="L28" s="328"/>
      <c r="M28" s="328"/>
      <c r="N28" s="330"/>
      <c r="O28" s="328"/>
      <c r="P28" s="328"/>
      <c r="Q28" s="330"/>
      <c r="R28" s="330"/>
      <c r="S28" s="328"/>
      <c r="T28" s="328"/>
      <c r="U28" s="328"/>
      <c r="V28" s="328"/>
      <c r="W28" s="328"/>
      <c r="X28" s="328"/>
      <c r="Y28" s="328"/>
      <c r="Z28" s="328"/>
      <c r="AA28" s="331">
        <v>66.67</v>
      </c>
      <c r="AB28" s="328"/>
      <c r="AC28" s="328"/>
      <c r="AD28" s="33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28"/>
      <c r="BC28" s="332"/>
      <c r="BD28" s="343"/>
      <c r="BE28" s="402">
        <v>12</v>
      </c>
      <c r="BF28" s="343"/>
      <c r="BG28" s="343"/>
      <c r="BH28" s="343"/>
      <c r="BI28" s="343"/>
      <c r="BJ28" s="343"/>
      <c r="BK28" s="343"/>
      <c r="BL28" s="403">
        <v>2</v>
      </c>
      <c r="BM28" s="333"/>
      <c r="BN28" s="333">
        <v>0.5</v>
      </c>
      <c r="BO28" s="333"/>
      <c r="BP28" s="333"/>
      <c r="BQ28" s="333"/>
      <c r="BR28" s="334"/>
    </row>
    <row r="29" spans="1:70" x14ac:dyDescent="0.25">
      <c r="A29" s="224" t="s">
        <v>121</v>
      </c>
      <c r="B29" s="147" t="str">
        <f>VLOOKUP(A29,'Mã NV'!$A$1:$C$27,2,0)</f>
        <v>Dương Tấn Đạt</v>
      </c>
      <c r="C29" s="207" t="s">
        <v>436</v>
      </c>
      <c r="D29" s="328"/>
      <c r="E29" s="328"/>
      <c r="F29" s="324">
        <f>183.33</f>
        <v>183.33</v>
      </c>
      <c r="G29" s="328"/>
      <c r="H29" s="328"/>
      <c r="I29" s="328"/>
      <c r="J29" s="328">
        <v>250</v>
      </c>
      <c r="K29" s="328"/>
      <c r="L29" s="328"/>
      <c r="M29" s="328"/>
      <c r="N29" s="330"/>
      <c r="O29" s="328"/>
      <c r="P29" s="328"/>
      <c r="Q29" s="330">
        <v>325</v>
      </c>
      <c r="R29" s="330"/>
      <c r="S29" s="328"/>
      <c r="T29" s="328"/>
      <c r="U29" s="328"/>
      <c r="V29" s="328"/>
      <c r="W29" s="328"/>
      <c r="X29" s="328"/>
      <c r="Y29" s="328"/>
      <c r="Z29" s="328"/>
      <c r="AA29" s="331">
        <v>66.67</v>
      </c>
      <c r="AB29" s="328"/>
      <c r="AC29" s="328"/>
      <c r="AD29" s="33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32"/>
      <c r="BD29" s="333"/>
      <c r="BE29" s="383">
        <v>15</v>
      </c>
      <c r="BF29" s="333"/>
      <c r="BG29" s="333"/>
      <c r="BH29" s="333"/>
      <c r="BI29" s="333"/>
      <c r="BJ29" s="333"/>
      <c r="BK29" s="333"/>
      <c r="BL29" s="377">
        <v>3</v>
      </c>
      <c r="BM29" s="333"/>
      <c r="BN29" s="333"/>
      <c r="BO29" s="333"/>
      <c r="BP29" s="333"/>
      <c r="BQ29" s="333"/>
      <c r="BR29" s="334"/>
    </row>
    <row r="30" spans="1:70" x14ac:dyDescent="0.25">
      <c r="A30" s="224" t="s">
        <v>407</v>
      </c>
      <c r="B30" s="147" t="str">
        <f>VLOOKUP(A30,'Mã NV'!$A$1:$C$27,2,0)</f>
        <v>Nguyễn Thanh Hùng</v>
      </c>
      <c r="C30" s="207" t="s">
        <v>436</v>
      </c>
      <c r="D30" s="328"/>
      <c r="E30" s="328">
        <v>2100</v>
      </c>
      <c r="F30" s="324">
        <v>550</v>
      </c>
      <c r="G30" s="328"/>
      <c r="H30" s="328"/>
      <c r="I30" s="328"/>
      <c r="J30" s="328"/>
      <c r="K30" s="328"/>
      <c r="L30" s="328"/>
      <c r="M30" s="328"/>
      <c r="N30" s="330"/>
      <c r="O30" s="328"/>
      <c r="P30" s="328"/>
      <c r="Q30" s="330"/>
      <c r="R30" s="330"/>
      <c r="S30" s="328"/>
      <c r="T30" s="328"/>
      <c r="U30" s="328"/>
      <c r="V30" s="328"/>
      <c r="W30" s="328"/>
      <c r="X30" s="328"/>
      <c r="Y30" s="328"/>
      <c r="Z30" s="328"/>
      <c r="AA30" s="331">
        <v>66.67</v>
      </c>
      <c r="AB30" s="328"/>
      <c r="AC30" s="328"/>
      <c r="AD30" s="338">
        <v>375</v>
      </c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32"/>
      <c r="BD30" s="333"/>
      <c r="BE30" s="383">
        <v>12.5</v>
      </c>
      <c r="BF30" s="333"/>
      <c r="BG30" s="333"/>
      <c r="BH30" s="333"/>
      <c r="BI30" s="333"/>
      <c r="BJ30" s="333"/>
      <c r="BK30" s="333"/>
      <c r="BL30" s="377">
        <v>8.5</v>
      </c>
      <c r="BM30" s="333"/>
      <c r="BN30" s="333"/>
      <c r="BO30" s="333"/>
      <c r="BP30" s="333"/>
      <c r="BQ30" s="333"/>
      <c r="BR30" s="334"/>
    </row>
    <row r="31" spans="1:70" x14ac:dyDescent="0.25">
      <c r="A31" s="224" t="s">
        <v>409</v>
      </c>
      <c r="B31" s="147" t="str">
        <f>VLOOKUP(A31,'Mã NV'!$A$1:$C$27,2,0)</f>
        <v>Đặng Văn Luân</v>
      </c>
      <c r="C31" s="207" t="s">
        <v>436</v>
      </c>
      <c r="D31" s="328"/>
      <c r="E31" s="328">
        <v>700</v>
      </c>
      <c r="F31" s="324">
        <f>733.33+366.67</f>
        <v>1100</v>
      </c>
      <c r="G31" s="328"/>
      <c r="H31" s="328"/>
      <c r="I31" s="328"/>
      <c r="J31" s="328"/>
      <c r="K31" s="328"/>
      <c r="L31" s="328"/>
      <c r="M31" s="328"/>
      <c r="N31" s="330"/>
      <c r="O31" s="328"/>
      <c r="P31" s="328"/>
      <c r="Q31" s="330"/>
      <c r="R31" s="330"/>
      <c r="S31" s="328"/>
      <c r="T31" s="328"/>
      <c r="U31" s="328"/>
      <c r="V31" s="328"/>
      <c r="W31" s="328"/>
      <c r="X31" s="328"/>
      <c r="Y31" s="328"/>
      <c r="Z31" s="328"/>
      <c r="AA31" s="331"/>
      <c r="AB31" s="328"/>
      <c r="AC31" s="328"/>
      <c r="AD31" s="338">
        <v>375</v>
      </c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32"/>
      <c r="BD31" s="333"/>
      <c r="BE31" s="383">
        <v>12.5</v>
      </c>
      <c r="BF31" s="333"/>
      <c r="BG31" s="333"/>
      <c r="BH31" s="333"/>
      <c r="BI31" s="333"/>
      <c r="BJ31" s="333"/>
      <c r="BK31" s="333"/>
      <c r="BL31" s="377">
        <v>6.5</v>
      </c>
      <c r="BM31" s="333"/>
      <c r="BN31" s="333"/>
      <c r="BO31" s="333"/>
      <c r="BP31" s="333"/>
      <c r="BQ31" s="333"/>
      <c r="BR31" s="334"/>
    </row>
    <row r="32" spans="1:70" x14ac:dyDescent="0.25">
      <c r="A32" s="224" t="s">
        <v>410</v>
      </c>
      <c r="B32" s="147" t="str">
        <f>VLOOKUP(A32,'Mã NV'!$A$1:$C$27,2,0)</f>
        <v>Phan Thanh Minh</v>
      </c>
      <c r="C32" s="207" t="s">
        <v>436</v>
      </c>
      <c r="D32" s="328"/>
      <c r="E32" s="328">
        <v>700</v>
      </c>
      <c r="F32" s="324">
        <f>983.33+133.33</f>
        <v>1116.6600000000001</v>
      </c>
      <c r="G32" s="328"/>
      <c r="H32" s="328"/>
      <c r="I32" s="328"/>
      <c r="J32" s="328"/>
      <c r="K32" s="328"/>
      <c r="L32" s="328"/>
      <c r="M32" s="328"/>
      <c r="N32" s="330"/>
      <c r="O32" s="328"/>
      <c r="P32" s="328"/>
      <c r="Q32" s="330"/>
      <c r="R32" s="330">
        <v>183.33</v>
      </c>
      <c r="S32" s="328"/>
      <c r="T32" s="328"/>
      <c r="U32" s="328"/>
      <c r="V32" s="328"/>
      <c r="W32" s="328"/>
      <c r="X32" s="328"/>
      <c r="Y32" s="328"/>
      <c r="Z32" s="328"/>
      <c r="AA32" s="331">
        <v>66.67</v>
      </c>
      <c r="AB32" s="328"/>
      <c r="AC32" s="328"/>
      <c r="AD32" s="404"/>
      <c r="AE32" s="328"/>
      <c r="AF32" s="328"/>
      <c r="AG32" s="328"/>
      <c r="AH32" s="328"/>
      <c r="AI32" s="328"/>
      <c r="AJ32" s="328"/>
      <c r="AK32" s="328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8"/>
      <c r="AW32" s="328"/>
      <c r="AX32" s="328"/>
      <c r="AY32" s="328"/>
      <c r="AZ32" s="328"/>
      <c r="BA32" s="328"/>
      <c r="BB32" s="328"/>
      <c r="BC32" s="332"/>
      <c r="BD32" s="333"/>
      <c r="BE32" s="383">
        <v>19.5</v>
      </c>
      <c r="BF32" s="333"/>
      <c r="BG32" s="333"/>
      <c r="BH32" s="333"/>
      <c r="BI32" s="333"/>
      <c r="BJ32" s="333"/>
      <c r="BK32" s="333"/>
      <c r="BL32" s="377">
        <v>2.5</v>
      </c>
      <c r="BM32" s="333"/>
      <c r="BN32" s="333"/>
      <c r="BO32" s="333"/>
      <c r="BP32" s="333"/>
      <c r="BQ32" s="333"/>
      <c r="BR32" s="334"/>
    </row>
    <row r="33" spans="1:70" s="146" customFormat="1" x14ac:dyDescent="0.25">
      <c r="A33" s="224" t="s">
        <v>101</v>
      </c>
      <c r="B33" s="147" t="str">
        <f>VLOOKUP(A33,'Mã NV'!$A$1:$C$27,2,0)</f>
        <v>Nguyễn Văn Chiến</v>
      </c>
      <c r="C33" s="355" t="s">
        <v>437</v>
      </c>
      <c r="D33" s="339"/>
      <c r="E33" s="425">
        <v>2100</v>
      </c>
      <c r="F33" s="425">
        <f>386.666666666667+733.33</f>
        <v>1119.9966666666671</v>
      </c>
      <c r="G33" s="339"/>
      <c r="H33" s="339"/>
      <c r="I33" s="339"/>
      <c r="J33" s="425">
        <v>75</v>
      </c>
      <c r="K33" s="339"/>
      <c r="L33" s="339"/>
      <c r="M33" s="339"/>
      <c r="N33" s="339"/>
      <c r="O33" s="425">
        <v>283.33333333333331</v>
      </c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426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425">
        <v>33.333333333333336</v>
      </c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427"/>
      <c r="BD33" s="428"/>
      <c r="BE33" s="429">
        <v>15</v>
      </c>
      <c r="BF33" s="340"/>
      <c r="BG33" s="340"/>
      <c r="BH33" s="340"/>
      <c r="BI33" s="340"/>
      <c r="BJ33" s="340"/>
      <c r="BK33" s="340"/>
      <c r="BL33" s="440">
        <v>6.5</v>
      </c>
      <c r="BM33" s="428"/>
      <c r="BN33" s="428"/>
      <c r="BO33" s="428"/>
      <c r="BP33" s="428"/>
      <c r="BQ33" s="428"/>
      <c r="BR33" s="428"/>
    </row>
    <row r="34" spans="1:70" x14ac:dyDescent="0.25">
      <c r="A34" s="224" t="s">
        <v>102</v>
      </c>
      <c r="B34" s="147" t="str">
        <f>VLOOKUP(A34,'Mã NV'!$A$1:$C$27,2,0)</f>
        <v>Ngô Văn Thanh</v>
      </c>
      <c r="C34" s="355" t="s">
        <v>437</v>
      </c>
      <c r="D34" s="330"/>
      <c r="E34" s="330">
        <v>1550</v>
      </c>
      <c r="F34" s="330">
        <f>906.67+653.33</f>
        <v>1560</v>
      </c>
      <c r="G34" s="330"/>
      <c r="H34" s="330">
        <v>225</v>
      </c>
      <c r="I34" s="330"/>
      <c r="J34" s="330">
        <v>150</v>
      </c>
      <c r="K34" s="330"/>
      <c r="L34" s="330"/>
      <c r="M34" s="330"/>
      <c r="N34" s="330"/>
      <c r="O34" s="330">
        <v>283.33</v>
      </c>
      <c r="P34" s="330">
        <v>425</v>
      </c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426"/>
      <c r="AB34" s="330"/>
      <c r="AC34" s="330"/>
      <c r="AD34" s="330">
        <v>322.5</v>
      </c>
      <c r="AE34" s="330"/>
      <c r="AF34" s="330"/>
      <c r="AG34" s="330"/>
      <c r="AH34" s="330"/>
      <c r="AI34" s="330"/>
      <c r="AJ34" s="330"/>
      <c r="AK34" s="330"/>
      <c r="AL34" s="330"/>
      <c r="AM34" s="330">
        <v>8.33</v>
      </c>
      <c r="AN34" s="330"/>
      <c r="AO34" s="330"/>
      <c r="AP34" s="330"/>
      <c r="AQ34" s="330"/>
      <c r="AR34" s="330"/>
      <c r="AS34" s="330"/>
      <c r="AT34" s="330"/>
      <c r="AU34" s="330"/>
      <c r="AV34" s="330"/>
      <c r="AW34" s="330"/>
      <c r="AX34" s="330"/>
      <c r="AY34" s="330"/>
      <c r="AZ34" s="330"/>
      <c r="BA34" s="330"/>
      <c r="BB34" s="330"/>
      <c r="BC34" s="427"/>
      <c r="BD34" s="430"/>
      <c r="BE34" s="431">
        <v>4.5</v>
      </c>
      <c r="BF34" s="333"/>
      <c r="BG34" s="333"/>
      <c r="BH34" s="333"/>
      <c r="BI34" s="333"/>
      <c r="BJ34" s="333"/>
      <c r="BK34" s="333"/>
      <c r="BL34" s="441">
        <v>5.5</v>
      </c>
      <c r="BM34" s="430"/>
      <c r="BN34" s="430"/>
      <c r="BO34" s="430"/>
      <c r="BP34" s="430"/>
      <c r="BQ34" s="430"/>
      <c r="BR34" s="442"/>
    </row>
    <row r="35" spans="1:70" ht="16.5" thickBot="1" x14ac:dyDescent="0.3">
      <c r="A35" s="224" t="s">
        <v>103</v>
      </c>
      <c r="B35" s="147" t="str">
        <f>VLOOKUP(A35,'Mã NV'!$A$1:$C$27,2,0)</f>
        <v>Võ Văn Giàu</v>
      </c>
      <c r="C35" s="355" t="s">
        <v>437</v>
      </c>
      <c r="D35" s="425">
        <v>800</v>
      </c>
      <c r="E35" s="425">
        <v>2800</v>
      </c>
      <c r="F35" s="425">
        <v>749.99999999999989</v>
      </c>
      <c r="G35" s="341"/>
      <c r="H35" s="341"/>
      <c r="I35" s="341"/>
      <c r="J35" s="425">
        <v>75</v>
      </c>
      <c r="K35" s="341"/>
      <c r="L35" s="341"/>
      <c r="M35" s="341"/>
      <c r="N35" s="341"/>
      <c r="O35" s="341"/>
      <c r="P35" s="341"/>
      <c r="Q35" s="341"/>
      <c r="R35" s="425">
        <v>166.66666666666669</v>
      </c>
      <c r="S35" s="341"/>
      <c r="T35" s="341"/>
      <c r="U35" s="341"/>
      <c r="V35" s="341"/>
      <c r="W35" s="341"/>
      <c r="X35" s="341"/>
      <c r="Y35" s="341"/>
      <c r="Z35" s="341"/>
      <c r="AA35" s="425">
        <v>66.666666666666671</v>
      </c>
      <c r="AB35" s="341"/>
      <c r="AC35" s="341"/>
      <c r="AD35" s="341"/>
      <c r="AE35" s="341"/>
      <c r="AF35" s="341"/>
      <c r="AG35" s="341"/>
      <c r="AH35" s="330"/>
      <c r="AI35" s="330"/>
      <c r="AJ35" s="330"/>
      <c r="AK35" s="330"/>
      <c r="AL35" s="330"/>
      <c r="AM35" s="330"/>
      <c r="AN35" s="330"/>
      <c r="AO35" s="330"/>
      <c r="AP35" s="330"/>
      <c r="AQ35" s="330"/>
      <c r="AR35" s="330"/>
      <c r="AS35" s="330"/>
      <c r="AT35" s="330"/>
      <c r="AU35" s="330"/>
      <c r="AV35" s="330"/>
      <c r="AW35" s="330"/>
      <c r="AX35" s="330"/>
      <c r="AY35" s="330"/>
      <c r="AZ35" s="330"/>
      <c r="BA35" s="330"/>
      <c r="BB35" s="330"/>
      <c r="BC35" s="427"/>
      <c r="BD35" s="430"/>
      <c r="BE35" s="432">
        <v>14</v>
      </c>
      <c r="BF35" s="333"/>
      <c r="BG35" s="333"/>
      <c r="BH35" s="333"/>
      <c r="BI35" s="333"/>
      <c r="BJ35" s="333"/>
      <c r="BK35" s="333"/>
      <c r="BL35" s="443">
        <v>8.5</v>
      </c>
      <c r="BM35" s="430"/>
      <c r="BN35" s="444"/>
      <c r="BO35" s="444"/>
      <c r="BP35" s="430"/>
      <c r="BQ35" s="430"/>
      <c r="BR35" s="442"/>
    </row>
    <row r="36" spans="1:70" ht="16.5" thickBot="1" x14ac:dyDescent="0.3">
      <c r="A36" s="224" t="s">
        <v>105</v>
      </c>
      <c r="B36" s="147" t="str">
        <f>VLOOKUP(A36,'Mã NV'!$A$1:$C$27,2,0)</f>
        <v>Lê Phi Trung</v>
      </c>
      <c r="C36" s="355" t="s">
        <v>437</v>
      </c>
      <c r="D36" s="330"/>
      <c r="E36" s="330">
        <v>2025</v>
      </c>
      <c r="F36" s="330">
        <f>496.67+696.67</f>
        <v>1193.3399999999999</v>
      </c>
      <c r="G36" s="330"/>
      <c r="H36" s="330"/>
      <c r="I36" s="330"/>
      <c r="J36" s="330">
        <v>150</v>
      </c>
      <c r="K36" s="330"/>
      <c r="L36" s="330"/>
      <c r="M36" s="330">
        <v>325</v>
      </c>
      <c r="N36" s="330"/>
      <c r="O36" s="330"/>
      <c r="P36" s="330"/>
      <c r="Q36" s="330">
        <v>325</v>
      </c>
      <c r="R36" s="330"/>
      <c r="S36" s="330"/>
      <c r="T36" s="330"/>
      <c r="U36" s="330"/>
      <c r="V36" s="330"/>
      <c r="W36" s="330"/>
      <c r="X36" s="330"/>
      <c r="Y36" s="330"/>
      <c r="Z36" s="330"/>
      <c r="AA36" s="426"/>
      <c r="AB36" s="330"/>
      <c r="AC36" s="330"/>
      <c r="AD36" s="330"/>
      <c r="AE36" s="330"/>
      <c r="AF36" s="330"/>
      <c r="AG36" s="330"/>
      <c r="AH36" s="330"/>
      <c r="AI36" s="330"/>
      <c r="AJ36" s="330"/>
      <c r="AK36" s="330"/>
      <c r="AL36" s="330"/>
      <c r="AM36" s="330">
        <v>8.33</v>
      </c>
      <c r="AN36" s="330"/>
      <c r="AO36" s="330"/>
      <c r="AP36" s="330"/>
      <c r="AQ36" s="330"/>
      <c r="AR36" s="330"/>
      <c r="AS36" s="330"/>
      <c r="AT36" s="330"/>
      <c r="AU36" s="330"/>
      <c r="AV36" s="330"/>
      <c r="AW36" s="330"/>
      <c r="AX36" s="330"/>
      <c r="AY36" s="330"/>
      <c r="AZ36" s="330"/>
      <c r="BA36" s="330"/>
      <c r="BB36" s="330"/>
      <c r="BC36" s="427"/>
      <c r="BD36" s="430"/>
      <c r="BE36" s="431">
        <v>9.5</v>
      </c>
      <c r="BF36" s="333"/>
      <c r="BG36" s="333"/>
      <c r="BH36" s="333"/>
      <c r="BI36" s="333"/>
      <c r="BJ36" s="333"/>
      <c r="BK36" s="333"/>
      <c r="BL36" s="445">
        <v>6.5</v>
      </c>
      <c r="BM36" s="430"/>
      <c r="BN36" s="430">
        <v>2.5</v>
      </c>
      <c r="BO36" s="430"/>
      <c r="BP36" s="430"/>
      <c r="BQ36" s="430"/>
      <c r="BR36" s="442"/>
    </row>
    <row r="37" spans="1:70" x14ac:dyDescent="0.25">
      <c r="A37" s="224" t="s">
        <v>106</v>
      </c>
      <c r="B37" s="147" t="str">
        <f>VLOOKUP(A37,'Mã NV'!$A$1:$C$27,2,0)</f>
        <v>Lâm Văn Thương</v>
      </c>
      <c r="C37" s="355" t="s">
        <v>437</v>
      </c>
      <c r="D37" s="330"/>
      <c r="E37" s="330">
        <v>1475</v>
      </c>
      <c r="F37" s="341">
        <f>863.33+696.67</f>
        <v>1560</v>
      </c>
      <c r="G37" s="341"/>
      <c r="H37" s="341"/>
      <c r="I37" s="341"/>
      <c r="J37" s="341"/>
      <c r="K37" s="341"/>
      <c r="L37" s="341"/>
      <c r="M37" s="341"/>
      <c r="N37" s="341"/>
      <c r="O37" s="341">
        <v>283.33</v>
      </c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426"/>
      <c r="AB37" s="341"/>
      <c r="AC37" s="341">
        <v>795</v>
      </c>
      <c r="AD37" s="341">
        <v>400</v>
      </c>
      <c r="AE37" s="341"/>
      <c r="AF37" s="341"/>
      <c r="AG37" s="341"/>
      <c r="AH37" s="330"/>
      <c r="AI37" s="330"/>
      <c r="AJ37" s="330"/>
      <c r="AK37" s="330"/>
      <c r="AL37" s="330"/>
      <c r="AM37" s="330">
        <v>8.33</v>
      </c>
      <c r="AN37" s="330"/>
      <c r="AO37" s="330"/>
      <c r="AP37" s="330"/>
      <c r="AQ37" s="330"/>
      <c r="AR37" s="330"/>
      <c r="AS37" s="330"/>
      <c r="AT37" s="330"/>
      <c r="AU37" s="330"/>
      <c r="AV37" s="330"/>
      <c r="AW37" s="330"/>
      <c r="AX37" s="330"/>
      <c r="AY37" s="330"/>
      <c r="AZ37" s="330"/>
      <c r="BA37" s="330"/>
      <c r="BB37" s="330"/>
      <c r="BC37" s="427"/>
      <c r="BD37" s="430"/>
      <c r="BE37" s="432">
        <v>9</v>
      </c>
      <c r="BF37" s="333"/>
      <c r="BG37" s="333"/>
      <c r="BH37" s="333"/>
      <c r="BI37" s="333"/>
      <c r="BJ37" s="333"/>
      <c r="BK37" s="333"/>
      <c r="BL37" s="445">
        <v>5</v>
      </c>
      <c r="BM37" s="430"/>
      <c r="BN37" s="430"/>
      <c r="BO37" s="430"/>
      <c r="BP37" s="430"/>
      <c r="BQ37" s="430"/>
      <c r="BR37" s="442"/>
    </row>
    <row r="38" spans="1:70" x14ac:dyDescent="0.25">
      <c r="A38" s="224" t="s">
        <v>107</v>
      </c>
      <c r="B38" s="147" t="str">
        <f>VLOOKUP(A38,'Mã NV'!$A$1:$C$27,2,0)</f>
        <v>Võ Văn Có</v>
      </c>
      <c r="C38" s="355" t="s">
        <v>437</v>
      </c>
      <c r="D38" s="425">
        <v>800</v>
      </c>
      <c r="E38" s="425">
        <v>3500</v>
      </c>
      <c r="F38" s="425">
        <v>749.99999999999989</v>
      </c>
      <c r="G38" s="341"/>
      <c r="H38" s="341"/>
      <c r="I38" s="341"/>
      <c r="J38" s="425">
        <v>225</v>
      </c>
      <c r="K38" s="341"/>
      <c r="L38" s="341"/>
      <c r="M38" s="341"/>
      <c r="N38" s="341"/>
      <c r="O38" s="341"/>
      <c r="P38" s="341"/>
      <c r="Q38" s="341"/>
      <c r="R38" s="425">
        <v>166.66666666666669</v>
      </c>
      <c r="S38" s="341"/>
      <c r="T38" s="341"/>
      <c r="U38" s="341"/>
      <c r="V38" s="341"/>
      <c r="W38" s="341"/>
      <c r="X38" s="341"/>
      <c r="Y38" s="341"/>
      <c r="Z38" s="341"/>
      <c r="AA38" s="425">
        <v>66.666666666666671</v>
      </c>
      <c r="AB38" s="341"/>
      <c r="AC38" s="341"/>
      <c r="AD38" s="341"/>
      <c r="AE38" s="341"/>
      <c r="AF38" s="341"/>
      <c r="AG38" s="341"/>
      <c r="AH38" s="330"/>
      <c r="AI38" s="330"/>
      <c r="AJ38" s="330"/>
      <c r="AK38" s="330"/>
      <c r="AL38" s="330"/>
      <c r="AM38" s="330"/>
      <c r="AN38" s="330"/>
      <c r="AO38" s="330"/>
      <c r="AP38" s="330"/>
      <c r="AQ38" s="330"/>
      <c r="AR38" s="330"/>
      <c r="AS38" s="330"/>
      <c r="AT38" s="330"/>
      <c r="AU38" s="330"/>
      <c r="AV38" s="330"/>
      <c r="AW38" s="330"/>
      <c r="AX38" s="330"/>
      <c r="AY38" s="330"/>
      <c r="AZ38" s="330"/>
      <c r="BA38" s="330"/>
      <c r="BB38" s="330"/>
      <c r="BC38" s="427"/>
      <c r="BD38" s="430"/>
      <c r="BE38" s="432">
        <v>6</v>
      </c>
      <c r="BF38" s="333"/>
      <c r="BG38" s="333"/>
      <c r="BH38" s="333"/>
      <c r="BI38" s="333"/>
      <c r="BJ38" s="333"/>
      <c r="BK38" s="333"/>
      <c r="BL38" s="441">
        <v>10</v>
      </c>
      <c r="BM38" s="430"/>
      <c r="BN38" s="444"/>
      <c r="BO38" s="444"/>
      <c r="BP38" s="430"/>
      <c r="BQ38" s="430"/>
      <c r="BR38" s="442"/>
    </row>
    <row r="39" spans="1:70" x14ac:dyDescent="0.25">
      <c r="A39" s="224" t="s">
        <v>108</v>
      </c>
      <c r="B39" s="147" t="str">
        <f>VLOOKUP(A39,'Mã NV'!$A$1:$C$27,2,0)</f>
        <v>Lê Minh Nghĩa</v>
      </c>
      <c r="C39" s="355" t="s">
        <v>437</v>
      </c>
      <c r="D39" s="330">
        <v>650</v>
      </c>
      <c r="E39" s="404">
        <v>1325</v>
      </c>
      <c r="F39" s="341">
        <f>1120+366.67</f>
        <v>1486.67</v>
      </c>
      <c r="G39" s="341"/>
      <c r="H39" s="341"/>
      <c r="I39" s="341"/>
      <c r="J39" s="341">
        <v>150</v>
      </c>
      <c r="K39" s="341"/>
      <c r="L39" s="341">
        <v>200</v>
      </c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426"/>
      <c r="AB39" s="341"/>
      <c r="AC39" s="341"/>
      <c r="AD39" s="341">
        <v>375</v>
      </c>
      <c r="AE39" s="341"/>
      <c r="AF39" s="341"/>
      <c r="AG39" s="341"/>
      <c r="AH39" s="330"/>
      <c r="AI39" s="330"/>
      <c r="AJ39" s="330"/>
      <c r="AK39" s="330"/>
      <c r="AL39" s="330"/>
      <c r="AM39" s="330"/>
      <c r="AN39" s="330"/>
      <c r="AO39" s="330"/>
      <c r="AP39" s="330"/>
      <c r="AQ39" s="330"/>
      <c r="AR39" s="330"/>
      <c r="AS39" s="330"/>
      <c r="AT39" s="330"/>
      <c r="AU39" s="330"/>
      <c r="AV39" s="330"/>
      <c r="AW39" s="330"/>
      <c r="AX39" s="330"/>
      <c r="AY39" s="330"/>
      <c r="AZ39" s="330"/>
      <c r="BA39" s="330"/>
      <c r="BB39" s="330"/>
      <c r="BC39" s="427"/>
      <c r="BD39" s="430"/>
      <c r="BE39" s="432">
        <v>4.5</v>
      </c>
      <c r="BF39" s="333"/>
      <c r="BG39" s="333"/>
      <c r="BH39" s="333"/>
      <c r="BI39" s="333"/>
      <c r="BJ39" s="333"/>
      <c r="BK39" s="333"/>
      <c r="BL39" s="441">
        <v>8</v>
      </c>
      <c r="BM39" s="430"/>
      <c r="BN39" s="430">
        <v>1.5</v>
      </c>
      <c r="BO39" s="430"/>
      <c r="BP39" s="430"/>
      <c r="BQ39" s="430"/>
      <c r="BR39" s="442"/>
    </row>
    <row r="40" spans="1:70" ht="16.5" thickBot="1" x14ac:dyDescent="0.3">
      <c r="A40" s="224" t="s">
        <v>109</v>
      </c>
      <c r="B40" s="147" t="str">
        <f>VLOOKUP(A40,'Mã NV'!$A$1:$C$27,2,0)</f>
        <v>Trần Văn Tây</v>
      </c>
      <c r="C40" s="355" t="s">
        <v>437</v>
      </c>
      <c r="D40" s="330"/>
      <c r="E40" s="425">
        <v>1400</v>
      </c>
      <c r="F40" s="425">
        <v>749.99999999999989</v>
      </c>
      <c r="G40" s="341"/>
      <c r="H40" s="341"/>
      <c r="I40" s="341"/>
      <c r="J40" s="425">
        <v>225</v>
      </c>
      <c r="K40" s="341"/>
      <c r="L40" s="341"/>
      <c r="M40" s="341"/>
      <c r="N40" s="341"/>
      <c r="O40" s="341"/>
      <c r="P40" s="341"/>
      <c r="Q40" s="341"/>
      <c r="R40" s="425">
        <v>166.66666666666669</v>
      </c>
      <c r="S40" s="341"/>
      <c r="T40" s="341"/>
      <c r="U40" s="341"/>
      <c r="V40" s="341"/>
      <c r="W40" s="341"/>
      <c r="X40" s="341"/>
      <c r="Y40" s="341"/>
      <c r="Z40" s="341"/>
      <c r="AA40" s="425">
        <v>66.666666666666671</v>
      </c>
      <c r="AB40" s="341"/>
      <c r="AC40" s="341"/>
      <c r="AD40" s="425">
        <v>322.5</v>
      </c>
      <c r="AE40" s="433"/>
      <c r="AF40" s="341"/>
      <c r="AG40" s="341"/>
      <c r="AH40" s="330"/>
      <c r="AI40" s="330"/>
      <c r="AJ40" s="330"/>
      <c r="AK40" s="330"/>
      <c r="AL40" s="330"/>
      <c r="AM40" s="330"/>
      <c r="AN40" s="330"/>
      <c r="AO40" s="330"/>
      <c r="AP40" s="330"/>
      <c r="AQ40" s="330"/>
      <c r="AR40" s="330"/>
      <c r="AS40" s="330"/>
      <c r="AT40" s="330"/>
      <c r="AU40" s="330"/>
      <c r="AV40" s="425">
        <v>720</v>
      </c>
      <c r="AW40" s="330"/>
      <c r="AX40" s="330"/>
      <c r="AY40" s="330"/>
      <c r="AZ40" s="330"/>
      <c r="BA40" s="330"/>
      <c r="BB40" s="330"/>
      <c r="BC40" s="427"/>
      <c r="BD40" s="430"/>
      <c r="BE40" s="432">
        <v>13</v>
      </c>
      <c r="BF40" s="333"/>
      <c r="BG40" s="333"/>
      <c r="BH40" s="333"/>
      <c r="BI40" s="333"/>
      <c r="BJ40" s="333"/>
      <c r="BK40" s="333"/>
      <c r="BL40" s="441">
        <v>5</v>
      </c>
      <c r="BM40" s="430"/>
      <c r="BN40" s="430"/>
      <c r="BO40" s="430"/>
      <c r="BP40" s="430"/>
      <c r="BQ40" s="430"/>
      <c r="BR40" s="442"/>
    </row>
    <row r="41" spans="1:70" x14ac:dyDescent="0.25">
      <c r="A41" s="224" t="s">
        <v>110</v>
      </c>
      <c r="B41" s="147" t="str">
        <f>VLOOKUP(A41,'Mã NV'!$A$1:$C$27,2,0)</f>
        <v>Huỳnh Huy Phụng</v>
      </c>
      <c r="C41" s="355" t="s">
        <v>437</v>
      </c>
      <c r="D41" s="330"/>
      <c r="E41" s="330">
        <v>2100</v>
      </c>
      <c r="F41" s="341">
        <f>826+733.33</f>
        <v>1559.33</v>
      </c>
      <c r="G41" s="341"/>
      <c r="H41" s="341"/>
      <c r="I41" s="341"/>
      <c r="J41" s="341">
        <v>75</v>
      </c>
      <c r="K41" s="341"/>
      <c r="L41" s="341"/>
      <c r="M41" s="341"/>
      <c r="N41" s="341"/>
      <c r="O41" s="341"/>
      <c r="P41" s="341"/>
      <c r="Q41" s="341"/>
      <c r="R41" s="341">
        <v>166.67</v>
      </c>
      <c r="S41" s="341"/>
      <c r="T41" s="341"/>
      <c r="U41" s="341"/>
      <c r="V41" s="341"/>
      <c r="W41" s="341"/>
      <c r="X41" s="341"/>
      <c r="Y41" s="341"/>
      <c r="Z41" s="341"/>
      <c r="AA41" s="426">
        <v>66.67</v>
      </c>
      <c r="AB41" s="341"/>
      <c r="AC41" s="341"/>
      <c r="AD41" s="341"/>
      <c r="AE41" s="341"/>
      <c r="AF41" s="341"/>
      <c r="AG41" s="341"/>
      <c r="AH41" s="330"/>
      <c r="AI41" s="330"/>
      <c r="AJ41" s="330"/>
      <c r="AK41" s="330"/>
      <c r="AL41" s="330"/>
      <c r="AM41" s="330">
        <v>33.33</v>
      </c>
      <c r="AN41" s="330"/>
      <c r="AO41" s="330"/>
      <c r="AP41" s="330"/>
      <c r="AQ41" s="330"/>
      <c r="AR41" s="330"/>
      <c r="AS41" s="330"/>
      <c r="AT41" s="330"/>
      <c r="AU41" s="330"/>
      <c r="AV41" s="330"/>
      <c r="AW41" s="330"/>
      <c r="AX41" s="330"/>
      <c r="AY41" s="330"/>
      <c r="AZ41" s="330"/>
      <c r="BA41" s="330"/>
      <c r="BB41" s="330"/>
      <c r="BC41" s="427"/>
      <c r="BD41" s="430"/>
      <c r="BE41" s="432">
        <v>7</v>
      </c>
      <c r="BF41" s="333"/>
      <c r="BG41" s="333"/>
      <c r="BH41" s="333"/>
      <c r="BI41" s="333"/>
      <c r="BJ41" s="333"/>
      <c r="BK41" s="333"/>
      <c r="BL41" s="445">
        <v>8.5</v>
      </c>
      <c r="BM41" s="430"/>
      <c r="BN41" s="430"/>
      <c r="BO41" s="430"/>
      <c r="BP41" s="430"/>
      <c r="BQ41" s="430"/>
      <c r="BR41" s="442"/>
    </row>
    <row r="42" spans="1:70" ht="16.5" thickBot="1" x14ac:dyDescent="0.3">
      <c r="A42" s="224" t="s">
        <v>111</v>
      </c>
      <c r="B42" s="147" t="str">
        <f>VLOOKUP(A42,'Mã NV'!$A$1:$C$27,2,0)</f>
        <v>Võ Quang Tuấn</v>
      </c>
      <c r="C42" s="355" t="s">
        <v>437</v>
      </c>
      <c r="D42" s="330"/>
      <c r="E42" s="330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  <c r="R42" s="341"/>
      <c r="S42" s="341"/>
      <c r="T42" s="341"/>
      <c r="U42" s="341"/>
      <c r="V42" s="341"/>
      <c r="W42" s="341"/>
      <c r="X42" s="341"/>
      <c r="Y42" s="341"/>
      <c r="Z42" s="341"/>
      <c r="AA42" s="426"/>
      <c r="AB42" s="341"/>
      <c r="AC42" s="341"/>
      <c r="AD42" s="341"/>
      <c r="AE42" s="341"/>
      <c r="AF42" s="341"/>
      <c r="AG42" s="341"/>
      <c r="AH42" s="330"/>
      <c r="AI42" s="330"/>
      <c r="AJ42" s="330"/>
      <c r="AK42" s="330"/>
      <c r="AL42" s="330"/>
      <c r="AM42" s="330"/>
      <c r="AN42" s="330"/>
      <c r="AO42" s="330"/>
      <c r="AP42" s="330"/>
      <c r="AQ42" s="330"/>
      <c r="AR42" s="330"/>
      <c r="AS42" s="330"/>
      <c r="AT42" s="330"/>
      <c r="AU42" s="330"/>
      <c r="AV42" s="330"/>
      <c r="AW42" s="330"/>
      <c r="AX42" s="330"/>
      <c r="AY42" s="330"/>
      <c r="AZ42" s="330"/>
      <c r="BA42" s="330"/>
      <c r="BB42" s="330"/>
      <c r="BC42" s="427"/>
      <c r="BD42" s="430"/>
      <c r="BE42" s="432"/>
      <c r="BF42" s="333"/>
      <c r="BG42" s="333"/>
      <c r="BH42" s="333"/>
      <c r="BI42" s="333"/>
      <c r="BJ42" s="333"/>
      <c r="BK42" s="333"/>
      <c r="BL42" s="441"/>
      <c r="BM42" s="430"/>
      <c r="BN42" s="430"/>
      <c r="BO42" s="430"/>
      <c r="BP42" s="430"/>
      <c r="BQ42" s="430"/>
      <c r="BR42" s="442"/>
    </row>
    <row r="43" spans="1:70" s="225" customFormat="1" ht="16.5" thickBot="1" x14ac:dyDescent="0.3">
      <c r="A43" s="224" t="s">
        <v>112</v>
      </c>
      <c r="B43" s="147" t="str">
        <f>VLOOKUP(A43,'Mã NV'!$A$1:$C$27,2,0)</f>
        <v>Lê Hiệp</v>
      </c>
      <c r="C43" s="355" t="s">
        <v>437</v>
      </c>
      <c r="D43" s="434"/>
      <c r="E43" s="434">
        <v>1475</v>
      </c>
      <c r="F43" s="341">
        <f>733.33+710</f>
        <v>1443.33</v>
      </c>
      <c r="G43" s="341"/>
      <c r="H43" s="341">
        <v>225</v>
      </c>
      <c r="I43" s="341"/>
      <c r="J43" s="341">
        <v>300</v>
      </c>
      <c r="K43" s="341"/>
      <c r="L43" s="341"/>
      <c r="M43" s="341"/>
      <c r="N43" s="341"/>
      <c r="O43" s="341"/>
      <c r="P43" s="341">
        <v>425</v>
      </c>
      <c r="Q43" s="341"/>
      <c r="R43" s="341"/>
      <c r="S43" s="341"/>
      <c r="T43" s="341"/>
      <c r="U43" s="341"/>
      <c r="V43" s="341"/>
      <c r="W43" s="341"/>
      <c r="X43" s="341"/>
      <c r="Y43" s="341"/>
      <c r="Z43" s="341"/>
      <c r="AA43" s="426"/>
      <c r="AB43" s="341"/>
      <c r="AC43" s="341"/>
      <c r="AD43" s="341"/>
      <c r="AE43" s="341"/>
      <c r="AF43" s="341"/>
      <c r="AG43" s="341"/>
      <c r="AH43" s="434"/>
      <c r="AI43" s="434"/>
      <c r="AJ43" s="434"/>
      <c r="AK43" s="434"/>
      <c r="AL43" s="434"/>
      <c r="AM43" s="330">
        <v>33.33</v>
      </c>
      <c r="AN43" s="434"/>
      <c r="AO43" s="434"/>
      <c r="AP43" s="434"/>
      <c r="AQ43" s="434"/>
      <c r="AR43" s="434"/>
      <c r="AS43" s="434"/>
      <c r="AT43" s="434"/>
      <c r="AU43" s="434"/>
      <c r="AV43" s="434"/>
      <c r="AW43" s="434"/>
      <c r="AX43" s="434"/>
      <c r="AY43" s="434"/>
      <c r="AZ43" s="434"/>
      <c r="BA43" s="434"/>
      <c r="BB43" s="434"/>
      <c r="BC43" s="427"/>
      <c r="BD43" s="435"/>
      <c r="BE43" s="436">
        <v>14</v>
      </c>
      <c r="BF43" s="342"/>
      <c r="BG43" s="342"/>
      <c r="BH43" s="342"/>
      <c r="BI43" s="342"/>
      <c r="BJ43" s="342"/>
      <c r="BK43" s="342"/>
      <c r="BL43" s="445">
        <v>7</v>
      </c>
      <c r="BM43" s="435"/>
      <c r="BN43" s="435">
        <v>3.5</v>
      </c>
      <c r="BO43" s="435"/>
      <c r="BP43" s="435"/>
      <c r="BQ43" s="435"/>
      <c r="BR43" s="435"/>
    </row>
    <row r="44" spans="1:70" x14ac:dyDescent="0.25">
      <c r="A44" s="224" t="s">
        <v>113</v>
      </c>
      <c r="B44" s="147" t="str">
        <f>VLOOKUP(A44,'Mã NV'!$A$1:$C$27,2,0)</f>
        <v>Lê Văn Bi</v>
      </c>
      <c r="C44" s="355" t="s">
        <v>437</v>
      </c>
      <c r="D44" s="330"/>
      <c r="E44" s="330">
        <v>2875</v>
      </c>
      <c r="F44" s="330">
        <f>863.33+696.67</f>
        <v>1560</v>
      </c>
      <c r="G44" s="330"/>
      <c r="H44" s="330"/>
      <c r="I44" s="330"/>
      <c r="J44" s="330"/>
      <c r="K44" s="330"/>
      <c r="L44" s="330"/>
      <c r="M44" s="330">
        <v>325</v>
      </c>
      <c r="N44" s="330"/>
      <c r="O44" s="330"/>
      <c r="P44" s="330"/>
      <c r="Q44" s="330">
        <v>325</v>
      </c>
      <c r="R44" s="330"/>
      <c r="S44" s="330"/>
      <c r="T44" s="330"/>
      <c r="U44" s="330"/>
      <c r="V44" s="330"/>
      <c r="W44" s="330"/>
      <c r="X44" s="330"/>
      <c r="Y44" s="330"/>
      <c r="Z44" s="330"/>
      <c r="AA44" s="426"/>
      <c r="AB44" s="330"/>
      <c r="AC44" s="330"/>
      <c r="AD44" s="330"/>
      <c r="AE44" s="330"/>
      <c r="AF44" s="330"/>
      <c r="AG44" s="330"/>
      <c r="AH44" s="330"/>
      <c r="AI44" s="330"/>
      <c r="AJ44" s="330"/>
      <c r="AK44" s="330"/>
      <c r="AL44" s="330"/>
      <c r="AM44" s="330">
        <v>8.33</v>
      </c>
      <c r="AN44" s="330"/>
      <c r="AO44" s="330"/>
      <c r="AP44" s="330"/>
      <c r="AQ44" s="330"/>
      <c r="AR44" s="330"/>
      <c r="AS44" s="330"/>
      <c r="AT44" s="330"/>
      <c r="AU44" s="330"/>
      <c r="AV44" s="330"/>
      <c r="AW44" s="330"/>
      <c r="AX44" s="330"/>
      <c r="AY44" s="330"/>
      <c r="AZ44" s="330"/>
      <c r="BA44" s="330"/>
      <c r="BB44" s="330"/>
      <c r="BC44" s="427"/>
      <c r="BD44" s="430"/>
      <c r="BE44" s="431">
        <v>1.5</v>
      </c>
      <c r="BF44" s="333"/>
      <c r="BG44" s="333"/>
      <c r="BH44" s="333"/>
      <c r="BI44" s="333"/>
      <c r="BJ44" s="333"/>
      <c r="BK44" s="333"/>
      <c r="BL44" s="445">
        <v>8</v>
      </c>
      <c r="BM44" s="430"/>
      <c r="BN44" s="430">
        <v>4.5</v>
      </c>
      <c r="BO44" s="430"/>
      <c r="BP44" s="430"/>
      <c r="BQ44" s="430"/>
      <c r="BR44" s="442"/>
    </row>
    <row r="45" spans="1:70" x14ac:dyDescent="0.25">
      <c r="A45" s="224" t="s">
        <v>114</v>
      </c>
      <c r="B45" s="147" t="str">
        <f>VLOOKUP(A45,'Mã NV'!$A$1:$C$27,2,0)</f>
        <v>Tạ Chí Thuận</v>
      </c>
      <c r="C45" s="355" t="s">
        <v>437</v>
      </c>
      <c r="D45" s="330"/>
      <c r="E45" s="330"/>
      <c r="F45" s="341"/>
      <c r="G45" s="341"/>
      <c r="H45" s="341"/>
      <c r="I45" s="341"/>
      <c r="J45" s="341"/>
      <c r="K45" s="341"/>
      <c r="L45" s="341"/>
      <c r="M45" s="341"/>
      <c r="N45" s="341"/>
      <c r="O45" s="341"/>
      <c r="P45" s="341"/>
      <c r="Q45" s="341"/>
      <c r="R45" s="341"/>
      <c r="S45" s="341"/>
      <c r="T45" s="341"/>
      <c r="U45" s="341"/>
      <c r="V45" s="341"/>
      <c r="W45" s="341"/>
      <c r="X45" s="341"/>
      <c r="Y45" s="341"/>
      <c r="Z45" s="341"/>
      <c r="AA45" s="426"/>
      <c r="AB45" s="341"/>
      <c r="AC45" s="341"/>
      <c r="AD45" s="437"/>
      <c r="AE45" s="341"/>
      <c r="AF45" s="341"/>
      <c r="AG45" s="341"/>
      <c r="AH45" s="330"/>
      <c r="AI45" s="330"/>
      <c r="AJ45" s="330"/>
      <c r="AK45" s="330"/>
      <c r="AL45" s="330"/>
      <c r="AM45" s="330"/>
      <c r="AN45" s="330"/>
      <c r="AO45" s="330"/>
      <c r="AP45" s="330"/>
      <c r="AQ45" s="330"/>
      <c r="AR45" s="330"/>
      <c r="AS45" s="330"/>
      <c r="AT45" s="330"/>
      <c r="AU45" s="330"/>
      <c r="AV45" s="330"/>
      <c r="AW45" s="330"/>
      <c r="AX45" s="330"/>
      <c r="AY45" s="330"/>
      <c r="AZ45" s="330"/>
      <c r="BA45" s="330"/>
      <c r="BB45" s="330"/>
      <c r="BC45" s="427"/>
      <c r="BD45" s="430"/>
      <c r="BE45" s="432"/>
      <c r="BF45" s="333"/>
      <c r="BG45" s="333"/>
      <c r="BH45" s="333"/>
      <c r="BI45" s="333"/>
      <c r="BJ45" s="333"/>
      <c r="BK45" s="333"/>
      <c r="BL45" s="441"/>
      <c r="BM45" s="430"/>
      <c r="BN45" s="430"/>
      <c r="BO45" s="430"/>
      <c r="BP45" s="430"/>
      <c r="BQ45" s="430"/>
      <c r="BR45" s="442"/>
    </row>
    <row r="46" spans="1:70" x14ac:dyDescent="0.25">
      <c r="A46" s="224" t="s">
        <v>115</v>
      </c>
      <c r="B46" s="147" t="str">
        <f>VLOOKUP(A46,'Mã NV'!$A$1:$C$27,2,0)</f>
        <v>Trần Anh Dũ</v>
      </c>
      <c r="C46" s="355" t="s">
        <v>437</v>
      </c>
      <c r="D46" s="330"/>
      <c r="E46" s="425">
        <v>1400</v>
      </c>
      <c r="F46" s="425">
        <f>386.666666666667+733.33</f>
        <v>1119.9966666666671</v>
      </c>
      <c r="G46" s="341"/>
      <c r="H46" s="341"/>
      <c r="I46" s="341"/>
      <c r="J46" s="425">
        <v>75</v>
      </c>
      <c r="K46" s="341"/>
      <c r="L46" s="341"/>
      <c r="M46" s="341"/>
      <c r="N46" s="341"/>
      <c r="O46" s="341"/>
      <c r="P46" s="341"/>
      <c r="Q46" s="341"/>
      <c r="R46" s="425">
        <v>166.66666666666669</v>
      </c>
      <c r="S46" s="341"/>
      <c r="T46" s="341"/>
      <c r="U46" s="341"/>
      <c r="V46" s="341"/>
      <c r="W46" s="341"/>
      <c r="X46" s="341"/>
      <c r="Y46" s="341"/>
      <c r="Z46" s="341"/>
      <c r="AA46" s="425">
        <v>66.666666666666671</v>
      </c>
      <c r="AB46" s="341"/>
      <c r="AC46" s="341"/>
      <c r="AD46" s="425">
        <v>322.5</v>
      </c>
      <c r="AE46" s="341"/>
      <c r="AF46" s="341"/>
      <c r="AG46" s="341"/>
      <c r="AH46" s="330"/>
      <c r="AI46" s="330"/>
      <c r="AJ46" s="330"/>
      <c r="AK46" s="330"/>
      <c r="AL46" s="330"/>
      <c r="AM46" s="425">
        <v>33.333333333333336</v>
      </c>
      <c r="AN46" s="330"/>
      <c r="AO46" s="330"/>
      <c r="AP46" s="330"/>
      <c r="AQ46" s="330"/>
      <c r="AR46" s="330"/>
      <c r="AS46" s="330"/>
      <c r="AT46" s="330"/>
      <c r="AU46" s="330"/>
      <c r="AV46" s="330"/>
      <c r="AW46" s="330"/>
      <c r="AX46" s="330"/>
      <c r="AY46" s="330"/>
      <c r="AZ46" s="330"/>
      <c r="BA46" s="330"/>
      <c r="BB46" s="330"/>
      <c r="BC46" s="427"/>
      <c r="BD46" s="430"/>
      <c r="BE46" s="432">
        <v>17</v>
      </c>
      <c r="BF46" s="333"/>
      <c r="BG46" s="333"/>
      <c r="BH46" s="333"/>
      <c r="BI46" s="333"/>
      <c r="BJ46" s="333"/>
      <c r="BK46" s="333"/>
      <c r="BL46" s="441">
        <v>7</v>
      </c>
      <c r="BM46" s="430"/>
      <c r="BN46" s="444"/>
      <c r="BO46" s="444"/>
      <c r="BP46" s="430"/>
      <c r="BQ46" s="430"/>
      <c r="BR46" s="442"/>
    </row>
    <row r="47" spans="1:70" x14ac:dyDescent="0.25">
      <c r="A47" s="224" t="s">
        <v>116</v>
      </c>
      <c r="B47" s="147" t="str">
        <f>VLOOKUP(A47,'Mã NV'!$A$1:$C$27,2,0)</f>
        <v>Thạch Ngọc Tiến</v>
      </c>
      <c r="C47" s="355" t="s">
        <v>437</v>
      </c>
      <c r="D47" s="330"/>
      <c r="E47" s="425">
        <v>1400</v>
      </c>
      <c r="F47" s="425">
        <f>733.333333333333+1093.33</f>
        <v>1826.663333333333</v>
      </c>
      <c r="G47" s="341"/>
      <c r="H47" s="341"/>
      <c r="I47" s="341"/>
      <c r="J47" s="425">
        <v>150</v>
      </c>
      <c r="K47" s="341"/>
      <c r="L47" s="341"/>
      <c r="M47" s="341"/>
      <c r="N47" s="341"/>
      <c r="O47" s="341"/>
      <c r="P47" s="341"/>
      <c r="Q47" s="341"/>
      <c r="R47" s="341"/>
      <c r="S47" s="341"/>
      <c r="T47" s="341"/>
      <c r="U47" s="341"/>
      <c r="V47" s="341"/>
      <c r="W47" s="341"/>
      <c r="X47" s="341"/>
      <c r="Y47" s="341"/>
      <c r="Z47" s="341"/>
      <c r="AA47" s="426"/>
      <c r="AB47" s="341"/>
      <c r="AC47" s="341"/>
      <c r="AD47" s="425">
        <v>375</v>
      </c>
      <c r="AE47" s="341"/>
      <c r="AF47" s="341"/>
      <c r="AG47" s="341"/>
      <c r="AH47" s="330"/>
      <c r="AI47" s="330"/>
      <c r="AJ47" s="330"/>
      <c r="AK47" s="330"/>
      <c r="AL47" s="330"/>
      <c r="AM47" s="330"/>
      <c r="AN47" s="330"/>
      <c r="AO47" s="330"/>
      <c r="AP47" s="330"/>
      <c r="AQ47" s="330"/>
      <c r="AR47" s="330"/>
      <c r="AS47" s="330"/>
      <c r="AT47" s="330"/>
      <c r="AU47" s="330"/>
      <c r="AV47" s="330"/>
      <c r="AW47" s="330"/>
      <c r="AX47" s="330"/>
      <c r="AY47" s="330"/>
      <c r="AZ47" s="330"/>
      <c r="BA47" s="330"/>
      <c r="BB47" s="330"/>
      <c r="BC47" s="427"/>
      <c r="BD47" s="430"/>
      <c r="BE47" s="432">
        <v>17</v>
      </c>
      <c r="BF47" s="333"/>
      <c r="BG47" s="333"/>
      <c r="BH47" s="333"/>
      <c r="BI47" s="333"/>
      <c r="BJ47" s="333"/>
      <c r="BK47" s="333"/>
      <c r="BL47" s="441">
        <v>7.5</v>
      </c>
      <c r="BM47" s="430"/>
      <c r="BN47" s="444">
        <v>1.5</v>
      </c>
      <c r="BO47" s="444"/>
      <c r="BP47" s="430"/>
      <c r="BQ47" s="430"/>
      <c r="BR47" s="442"/>
    </row>
    <row r="48" spans="1:70" x14ac:dyDescent="0.25">
      <c r="A48" s="224" t="s">
        <v>117</v>
      </c>
      <c r="B48" s="147" t="str">
        <f>VLOOKUP(A48,'Mã NV'!$A$1:$C$27,2,0)</f>
        <v>Nguyễn Tuấn Vinh</v>
      </c>
      <c r="C48" s="355" t="s">
        <v>437</v>
      </c>
      <c r="D48" s="425">
        <v>650</v>
      </c>
      <c r="E48" s="425">
        <v>1475</v>
      </c>
      <c r="F48" s="425">
        <f>1273.33333333333+286.67</f>
        <v>1560.0033333333301</v>
      </c>
      <c r="G48" s="330"/>
      <c r="H48" s="330"/>
      <c r="I48" s="330"/>
      <c r="J48" s="330"/>
      <c r="K48" s="330"/>
      <c r="L48" s="425">
        <v>200</v>
      </c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426"/>
      <c r="AB48" s="330"/>
      <c r="AC48" s="330"/>
      <c r="AD48" s="425">
        <v>322.5</v>
      </c>
      <c r="AE48" s="330"/>
      <c r="AF48" s="330"/>
      <c r="AG48" s="330"/>
      <c r="AH48" s="330"/>
      <c r="AI48" s="330"/>
      <c r="AJ48" s="330"/>
      <c r="AK48" s="330"/>
      <c r="AL48" s="330"/>
      <c r="AM48" s="425">
        <v>8.3333333333333339</v>
      </c>
      <c r="AN48" s="330"/>
      <c r="AO48" s="330"/>
      <c r="AP48" s="330"/>
      <c r="AQ48" s="330"/>
      <c r="AR48" s="330"/>
      <c r="AS48" s="330"/>
      <c r="AT48" s="330"/>
      <c r="AU48" s="330"/>
      <c r="AV48" s="330"/>
      <c r="AW48" s="330"/>
      <c r="AX48" s="330"/>
      <c r="AY48" s="330"/>
      <c r="AZ48" s="330"/>
      <c r="BA48" s="330"/>
      <c r="BB48" s="330"/>
      <c r="BC48" s="427"/>
      <c r="BD48" s="430"/>
      <c r="BE48" s="425">
        <v>11</v>
      </c>
      <c r="BF48" s="333"/>
      <c r="BG48" s="333"/>
      <c r="BH48" s="333"/>
      <c r="BI48" s="333"/>
      <c r="BJ48" s="333"/>
      <c r="BK48" s="333"/>
      <c r="BL48" s="441">
        <v>5.5</v>
      </c>
      <c r="BM48" s="430"/>
      <c r="BN48" s="430">
        <v>1.5</v>
      </c>
      <c r="BO48" s="430"/>
      <c r="BP48" s="430"/>
      <c r="BQ48" s="430"/>
      <c r="BR48" s="442"/>
    </row>
    <row r="49" spans="1:70" s="141" customFormat="1" x14ac:dyDescent="0.25">
      <c r="A49" s="190" t="s">
        <v>118</v>
      </c>
      <c r="B49" s="316" t="str">
        <f>VLOOKUP(A49,'Mã NV'!$A$1:$C$27,2,0)</f>
        <v>Trần Thanh Nguyên</v>
      </c>
      <c r="C49" s="355" t="s">
        <v>437</v>
      </c>
      <c r="D49" s="425">
        <v>800</v>
      </c>
      <c r="E49" s="425">
        <v>2100</v>
      </c>
      <c r="F49" s="425">
        <f>440+726.67</f>
        <v>1166.67</v>
      </c>
      <c r="G49" s="341"/>
      <c r="H49" s="341"/>
      <c r="I49" s="341"/>
      <c r="J49" s="425">
        <v>75</v>
      </c>
      <c r="K49" s="341"/>
      <c r="L49" s="341"/>
      <c r="M49" s="341"/>
      <c r="N49" s="341"/>
      <c r="O49" s="341"/>
      <c r="P49" s="341"/>
      <c r="Q49" s="341"/>
      <c r="R49" s="425">
        <v>166.66666666666669</v>
      </c>
      <c r="S49" s="341"/>
      <c r="T49" s="341"/>
      <c r="U49" s="341"/>
      <c r="V49" s="341"/>
      <c r="W49" s="341"/>
      <c r="X49" s="341"/>
      <c r="Y49" s="341"/>
      <c r="Z49" s="341"/>
      <c r="AA49" s="425">
        <v>66.666666666666671</v>
      </c>
      <c r="AB49" s="341"/>
      <c r="AC49" s="341"/>
      <c r="AD49" s="341"/>
      <c r="AE49" s="341"/>
      <c r="AF49" s="341"/>
      <c r="AG49" s="341"/>
      <c r="AH49" s="341"/>
      <c r="AI49" s="341"/>
      <c r="AJ49" s="341"/>
      <c r="AK49" s="341"/>
      <c r="AL49" s="341"/>
      <c r="AM49" s="341"/>
      <c r="AN49" s="341"/>
      <c r="AO49" s="341"/>
      <c r="AP49" s="341"/>
      <c r="AQ49" s="341"/>
      <c r="AR49" s="341"/>
      <c r="AS49" s="341"/>
      <c r="AT49" s="341"/>
      <c r="AU49" s="341"/>
      <c r="AV49" s="341"/>
      <c r="AW49" s="341"/>
      <c r="AX49" s="341"/>
      <c r="AY49" s="341"/>
      <c r="AZ49" s="341"/>
      <c r="BA49" s="341"/>
      <c r="BB49" s="341"/>
      <c r="BC49" s="427"/>
      <c r="BD49" s="438"/>
      <c r="BE49" s="439">
        <v>13</v>
      </c>
      <c r="BF49" s="343"/>
      <c r="BG49" s="343"/>
      <c r="BH49" s="343"/>
      <c r="BI49" s="343"/>
      <c r="BJ49" s="343"/>
      <c r="BK49" s="343"/>
      <c r="BL49" s="446">
        <v>8</v>
      </c>
      <c r="BM49" s="438"/>
      <c r="BN49" s="438"/>
      <c r="BO49" s="438"/>
      <c r="BP49" s="438"/>
      <c r="BQ49" s="438"/>
      <c r="BR49" s="438"/>
    </row>
    <row r="50" spans="1:70" x14ac:dyDescent="0.25">
      <c r="A50" s="224" t="s">
        <v>119</v>
      </c>
      <c r="B50" s="147" t="str">
        <f>VLOOKUP(A50,'Mã NV'!$A$1:$C$27,2,0)</f>
        <v>Lê Nhật Trường Giang</v>
      </c>
      <c r="C50" s="355" t="s">
        <v>437</v>
      </c>
      <c r="D50" s="330"/>
      <c r="E50" s="330">
        <v>1325</v>
      </c>
      <c r="F50" s="341">
        <f>130+1063.33</f>
        <v>1193.33</v>
      </c>
      <c r="G50" s="341"/>
      <c r="H50" s="341"/>
      <c r="I50" s="341"/>
      <c r="J50" s="341">
        <v>150</v>
      </c>
      <c r="K50" s="341"/>
      <c r="L50" s="341"/>
      <c r="M50" s="341">
        <v>325</v>
      </c>
      <c r="N50" s="341"/>
      <c r="O50" s="341"/>
      <c r="P50" s="341"/>
      <c r="Q50" s="341">
        <v>325</v>
      </c>
      <c r="R50" s="341"/>
      <c r="S50" s="341"/>
      <c r="T50" s="341"/>
      <c r="U50" s="341"/>
      <c r="V50" s="341"/>
      <c r="W50" s="341"/>
      <c r="X50" s="341"/>
      <c r="Y50" s="341"/>
      <c r="Z50" s="341"/>
      <c r="AA50" s="426"/>
      <c r="AB50" s="341"/>
      <c r="AC50" s="341">
        <v>795</v>
      </c>
      <c r="AD50" s="341"/>
      <c r="AE50" s="341"/>
      <c r="AF50" s="341"/>
      <c r="AG50" s="341"/>
      <c r="AH50" s="330"/>
      <c r="AI50" s="330"/>
      <c r="AJ50" s="330"/>
      <c r="AK50" s="330"/>
      <c r="AL50" s="330"/>
      <c r="AM50" s="330">
        <v>8.33</v>
      </c>
      <c r="AN50" s="330"/>
      <c r="AO50" s="330"/>
      <c r="AP50" s="330"/>
      <c r="AQ50" s="330"/>
      <c r="AR50" s="330"/>
      <c r="AS50" s="330"/>
      <c r="AT50" s="330"/>
      <c r="AU50" s="330"/>
      <c r="AV50" s="330"/>
      <c r="AW50" s="330"/>
      <c r="AX50" s="330"/>
      <c r="AY50" s="330"/>
      <c r="AZ50" s="330"/>
      <c r="BA50" s="330"/>
      <c r="BB50" s="330"/>
      <c r="BC50" s="427"/>
      <c r="BD50" s="430"/>
      <c r="BE50" s="432">
        <v>13</v>
      </c>
      <c r="BF50" s="333"/>
      <c r="BG50" s="333"/>
      <c r="BH50" s="333"/>
      <c r="BI50" s="333"/>
      <c r="BJ50" s="333"/>
      <c r="BK50" s="333"/>
      <c r="BL50" s="443">
        <v>6.5</v>
      </c>
      <c r="BM50" s="430"/>
      <c r="BN50" s="430"/>
      <c r="BO50" s="430"/>
      <c r="BP50" s="430"/>
      <c r="BQ50" s="430"/>
      <c r="BR50" s="442"/>
    </row>
    <row r="51" spans="1:70" x14ac:dyDescent="0.25">
      <c r="A51" s="224" t="s">
        <v>120</v>
      </c>
      <c r="B51" s="147" t="str">
        <f>VLOOKUP(A51,'Mã NV'!$A$1:$C$27,2,0)</f>
        <v>Thạch Ngọc Thắng</v>
      </c>
      <c r="C51" s="355" t="s">
        <v>437</v>
      </c>
      <c r="D51" s="330"/>
      <c r="E51" s="425">
        <v>1400</v>
      </c>
      <c r="F51" s="425">
        <f>1120+710</f>
        <v>1830</v>
      </c>
      <c r="G51" s="341"/>
      <c r="H51" s="341"/>
      <c r="I51" s="341"/>
      <c r="J51" s="341"/>
      <c r="K51" s="341"/>
      <c r="L51" s="341"/>
      <c r="M51" s="425">
        <v>325</v>
      </c>
      <c r="N51" s="341"/>
      <c r="O51" s="341"/>
      <c r="P51" s="341"/>
      <c r="Q51" s="425">
        <v>325</v>
      </c>
      <c r="R51" s="341"/>
      <c r="S51" s="341"/>
      <c r="T51" s="341"/>
      <c r="U51" s="341"/>
      <c r="V51" s="341"/>
      <c r="W51" s="341"/>
      <c r="X51" s="341"/>
      <c r="Y51" s="341"/>
      <c r="Z51" s="341"/>
      <c r="AA51" s="426"/>
      <c r="AB51" s="341"/>
      <c r="AC51" s="341"/>
      <c r="AD51" s="341"/>
      <c r="AE51" s="341"/>
      <c r="AF51" s="341"/>
      <c r="AG51" s="341"/>
      <c r="AH51" s="330"/>
      <c r="AI51" s="330"/>
      <c r="AJ51" s="330"/>
      <c r="AK51" s="330"/>
      <c r="AL51" s="330"/>
      <c r="AM51" s="425">
        <v>33.333333333333336</v>
      </c>
      <c r="AN51" s="330"/>
      <c r="AO51" s="330"/>
      <c r="AP51" s="330"/>
      <c r="AQ51" s="330"/>
      <c r="AR51" s="330"/>
      <c r="AS51" s="330"/>
      <c r="AT51" s="330"/>
      <c r="AU51" s="330"/>
      <c r="AV51" s="330"/>
      <c r="AW51" s="330"/>
      <c r="AX51" s="330"/>
      <c r="AY51" s="330"/>
      <c r="AZ51" s="330"/>
      <c r="BA51" s="330"/>
      <c r="BB51" s="330"/>
      <c r="BC51" s="427"/>
      <c r="BD51" s="430"/>
      <c r="BE51" s="432">
        <v>7.5</v>
      </c>
      <c r="BF51" s="333"/>
      <c r="BG51" s="333"/>
      <c r="BH51" s="333"/>
      <c r="BI51" s="333"/>
      <c r="BJ51" s="333"/>
      <c r="BK51" s="333"/>
      <c r="BL51" s="443">
        <v>8</v>
      </c>
      <c r="BM51" s="430"/>
      <c r="BN51" s="430">
        <v>4.5</v>
      </c>
      <c r="BO51" s="430"/>
      <c r="BP51" s="430"/>
      <c r="BQ51" s="430"/>
      <c r="BR51" s="442"/>
    </row>
    <row r="52" spans="1:70" x14ac:dyDescent="0.25">
      <c r="A52" s="224" t="s">
        <v>121</v>
      </c>
      <c r="B52" s="147" t="str">
        <f>VLOOKUP(A52,'Mã NV'!$A$1:$C$27,2,0)</f>
        <v>Dương Tấn Đạt</v>
      </c>
      <c r="C52" s="355" t="s">
        <v>437</v>
      </c>
      <c r="D52" s="330"/>
      <c r="E52" s="330">
        <v>700</v>
      </c>
      <c r="F52" s="341">
        <v>366.67</v>
      </c>
      <c r="G52" s="341"/>
      <c r="H52" s="341"/>
      <c r="I52" s="341"/>
      <c r="J52" s="341"/>
      <c r="K52" s="341"/>
      <c r="L52" s="341"/>
      <c r="M52" s="341"/>
      <c r="N52" s="341"/>
      <c r="O52" s="341">
        <v>283.33</v>
      </c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426"/>
      <c r="AB52" s="341"/>
      <c r="AC52" s="341"/>
      <c r="AD52" s="341">
        <v>400</v>
      </c>
      <c r="AE52" s="341"/>
      <c r="AF52" s="341"/>
      <c r="AG52" s="341"/>
      <c r="AH52" s="330"/>
      <c r="AI52" s="330"/>
      <c r="AJ52" s="330"/>
      <c r="AK52" s="330"/>
      <c r="AL52" s="330"/>
      <c r="AM52" s="330"/>
      <c r="AN52" s="330"/>
      <c r="AO52" s="330"/>
      <c r="AP52" s="330"/>
      <c r="AQ52" s="330"/>
      <c r="AR52" s="330"/>
      <c r="AS52" s="330"/>
      <c r="AT52" s="330"/>
      <c r="AU52" s="330"/>
      <c r="AV52" s="330"/>
      <c r="AW52" s="330"/>
      <c r="AX52" s="330"/>
      <c r="AY52" s="330"/>
      <c r="AZ52" s="330"/>
      <c r="BA52" s="330"/>
      <c r="BB52" s="330"/>
      <c r="BC52" s="427"/>
      <c r="BD52" s="430"/>
      <c r="BE52" s="432">
        <v>4</v>
      </c>
      <c r="BF52" s="333"/>
      <c r="BG52" s="333"/>
      <c r="BH52" s="333"/>
      <c r="BI52" s="333"/>
      <c r="BJ52" s="333"/>
      <c r="BK52" s="333"/>
      <c r="BL52" s="443">
        <v>1</v>
      </c>
      <c r="BM52" s="430"/>
      <c r="BN52" s="430">
        <v>2.5</v>
      </c>
      <c r="BO52" s="430"/>
      <c r="BP52" s="430"/>
      <c r="BQ52" s="430"/>
      <c r="BR52" s="442"/>
    </row>
    <row r="53" spans="1:70" x14ac:dyDescent="0.25">
      <c r="A53" s="224" t="s">
        <v>407</v>
      </c>
      <c r="B53" s="147" t="str">
        <f>VLOOKUP(A53,'Mã NV'!$A$1:$C$27,2,0)</f>
        <v>Nguyễn Thanh Hùng</v>
      </c>
      <c r="C53" s="355" t="s">
        <v>437</v>
      </c>
      <c r="D53" s="330"/>
      <c r="E53" s="330">
        <v>1400</v>
      </c>
      <c r="F53" s="330">
        <f>1150+776.67</f>
        <v>1926.67</v>
      </c>
      <c r="G53" s="425"/>
      <c r="H53" s="330">
        <v>225</v>
      </c>
      <c r="I53" s="330"/>
      <c r="J53" s="425">
        <v>300</v>
      </c>
      <c r="K53" s="330"/>
      <c r="L53" s="330"/>
      <c r="M53" s="330"/>
      <c r="N53" s="330"/>
      <c r="O53" s="330"/>
      <c r="P53" s="425">
        <v>425</v>
      </c>
      <c r="Q53" s="330"/>
      <c r="R53" s="330"/>
      <c r="S53" s="330"/>
      <c r="T53" s="330"/>
      <c r="U53" s="330"/>
      <c r="V53" s="330"/>
      <c r="W53" s="330"/>
      <c r="X53" s="330"/>
      <c r="Y53" s="330"/>
      <c r="Z53" s="330"/>
      <c r="AA53" s="426"/>
      <c r="AB53" s="330"/>
      <c r="AC53" s="330"/>
      <c r="AD53" s="330"/>
      <c r="AE53" s="330"/>
      <c r="AF53" s="330"/>
      <c r="AG53" s="330"/>
      <c r="AH53" s="330"/>
      <c r="AI53" s="330"/>
      <c r="AJ53" s="330"/>
      <c r="AK53" s="330"/>
      <c r="AL53" s="330"/>
      <c r="AM53" s="330"/>
      <c r="AN53" s="330"/>
      <c r="AO53" s="330"/>
      <c r="AP53" s="330"/>
      <c r="AQ53" s="330"/>
      <c r="AR53" s="330"/>
      <c r="AS53" s="330"/>
      <c r="AT53" s="330"/>
      <c r="AU53" s="330"/>
      <c r="AV53" s="330"/>
      <c r="AW53" s="330"/>
      <c r="AX53" s="330"/>
      <c r="AY53" s="330"/>
      <c r="AZ53" s="330"/>
      <c r="BA53" s="330"/>
      <c r="BB53" s="330"/>
      <c r="BC53" s="427"/>
      <c r="BD53" s="430"/>
      <c r="BE53" s="431">
        <v>8</v>
      </c>
      <c r="BF53" s="333"/>
      <c r="BG53" s="333"/>
      <c r="BH53" s="333"/>
      <c r="BI53" s="333"/>
      <c r="BJ53" s="333"/>
      <c r="BK53" s="333"/>
      <c r="BL53" s="441">
        <v>7</v>
      </c>
      <c r="BM53" s="430"/>
      <c r="BN53" s="430">
        <v>3.5</v>
      </c>
      <c r="BO53" s="430"/>
      <c r="BP53" s="430"/>
      <c r="BQ53" s="430"/>
      <c r="BR53" s="442"/>
    </row>
    <row r="54" spans="1:70" x14ac:dyDescent="0.25">
      <c r="A54" s="224" t="s">
        <v>409</v>
      </c>
      <c r="B54" s="147" t="str">
        <f>VLOOKUP(A54,'Mã NV'!$A$1:$C$27,2,0)</f>
        <v>Đặng Văn Luân</v>
      </c>
      <c r="C54" s="355" t="s">
        <v>437</v>
      </c>
      <c r="D54" s="330"/>
      <c r="E54" s="330">
        <v>2100</v>
      </c>
      <c r="F54" s="341">
        <v>710</v>
      </c>
      <c r="G54" s="425"/>
      <c r="H54" s="341"/>
      <c r="I54" s="341"/>
      <c r="J54" s="341">
        <v>75</v>
      </c>
      <c r="K54" s="341"/>
      <c r="L54" s="341"/>
      <c r="M54" s="341"/>
      <c r="N54" s="341"/>
      <c r="O54" s="341">
        <v>283.33</v>
      </c>
      <c r="P54" s="341"/>
      <c r="Q54" s="341"/>
      <c r="R54" s="341"/>
      <c r="S54" s="341"/>
      <c r="T54" s="341"/>
      <c r="U54" s="341"/>
      <c r="V54" s="341"/>
      <c r="W54" s="341"/>
      <c r="X54" s="341"/>
      <c r="Y54" s="341"/>
      <c r="Z54" s="341"/>
      <c r="AA54" s="426"/>
      <c r="AB54" s="341"/>
      <c r="AC54" s="341"/>
      <c r="AD54" s="341"/>
      <c r="AE54" s="341"/>
      <c r="AF54" s="341"/>
      <c r="AG54" s="341"/>
      <c r="AH54" s="330"/>
      <c r="AI54" s="330"/>
      <c r="AJ54" s="330"/>
      <c r="AK54" s="330"/>
      <c r="AL54" s="330"/>
      <c r="AM54" s="330">
        <v>33.33</v>
      </c>
      <c r="AN54" s="330"/>
      <c r="AO54" s="330"/>
      <c r="AP54" s="330"/>
      <c r="AQ54" s="330"/>
      <c r="AR54" s="330"/>
      <c r="AS54" s="330"/>
      <c r="AT54" s="330"/>
      <c r="AU54" s="330"/>
      <c r="AV54" s="330"/>
      <c r="AW54" s="330"/>
      <c r="AX54" s="330"/>
      <c r="AY54" s="330"/>
      <c r="AZ54" s="330"/>
      <c r="BA54" s="330"/>
      <c r="BB54" s="330"/>
      <c r="BC54" s="427"/>
      <c r="BD54" s="430"/>
      <c r="BE54" s="432">
        <v>17.5</v>
      </c>
      <c r="BF54" s="333"/>
      <c r="BG54" s="333"/>
      <c r="BH54" s="333"/>
      <c r="BI54" s="333"/>
      <c r="BJ54" s="333"/>
      <c r="BK54" s="333"/>
      <c r="BL54" s="443">
        <v>5.5</v>
      </c>
      <c r="BM54" s="430"/>
      <c r="BN54" s="430"/>
      <c r="BO54" s="430"/>
      <c r="BP54" s="430"/>
      <c r="BQ54" s="430"/>
      <c r="BR54" s="442"/>
    </row>
    <row r="55" spans="1:70" x14ac:dyDescent="0.25">
      <c r="A55" s="224" t="s">
        <v>410</v>
      </c>
      <c r="B55" s="147" t="str">
        <f>VLOOKUP(A55,'Mã NV'!$A$1:$C$27,2,0)</f>
        <v>Phan Thanh Minh</v>
      </c>
      <c r="C55" s="355" t="s">
        <v>437</v>
      </c>
      <c r="D55" s="425">
        <v>800</v>
      </c>
      <c r="E55" s="425">
        <v>775</v>
      </c>
      <c r="F55" s="425">
        <f>440+726.67</f>
        <v>1166.67</v>
      </c>
      <c r="G55" s="341"/>
      <c r="H55" s="425">
        <v>225</v>
      </c>
      <c r="I55" s="341"/>
      <c r="J55" s="425">
        <v>150</v>
      </c>
      <c r="K55" s="341"/>
      <c r="L55" s="341"/>
      <c r="M55" s="341"/>
      <c r="N55" s="341"/>
      <c r="O55" s="425">
        <v>283.33333333333331</v>
      </c>
      <c r="P55" s="425">
        <v>425</v>
      </c>
      <c r="Q55" s="341"/>
      <c r="R55" s="341"/>
      <c r="S55" s="341"/>
      <c r="T55" s="341"/>
      <c r="U55" s="341"/>
      <c r="V55" s="341"/>
      <c r="W55" s="341"/>
      <c r="X55" s="341"/>
      <c r="Y55" s="341"/>
      <c r="Z55" s="341"/>
      <c r="AA55" s="426"/>
      <c r="AB55" s="341"/>
      <c r="AC55" s="341"/>
      <c r="AD55" s="341"/>
      <c r="AE55" s="341"/>
      <c r="AF55" s="341"/>
      <c r="AG55" s="341"/>
      <c r="AH55" s="330"/>
      <c r="AI55" s="330"/>
      <c r="AJ55" s="330"/>
      <c r="AK55" s="330"/>
      <c r="AL55" s="330"/>
      <c r="AM55" s="330"/>
      <c r="AN55" s="330"/>
      <c r="AO55" s="330"/>
      <c r="AP55" s="330"/>
      <c r="AQ55" s="330"/>
      <c r="AR55" s="330"/>
      <c r="AS55" s="330"/>
      <c r="AT55" s="330"/>
      <c r="AU55" s="330"/>
      <c r="AV55" s="425">
        <v>720</v>
      </c>
      <c r="AW55" s="330"/>
      <c r="AX55" s="330"/>
      <c r="AY55" s="330"/>
      <c r="AZ55" s="330"/>
      <c r="BA55" s="330"/>
      <c r="BB55" s="330"/>
      <c r="BC55" s="427"/>
      <c r="BD55" s="430"/>
      <c r="BE55" s="432">
        <v>13</v>
      </c>
      <c r="BF55" s="333"/>
      <c r="BG55" s="333"/>
      <c r="BH55" s="333"/>
      <c r="BI55" s="333"/>
      <c r="BJ55" s="333"/>
      <c r="BK55" s="333"/>
      <c r="BL55" s="443">
        <v>7</v>
      </c>
      <c r="BM55" s="430"/>
      <c r="BN55" s="430"/>
      <c r="BO55" s="430"/>
      <c r="BP55" s="430"/>
      <c r="BQ55" s="430"/>
      <c r="BR55" s="442"/>
    </row>
    <row r="56" spans="1:70" s="318" customFormat="1" x14ac:dyDescent="0.25">
      <c r="A56" s="473" t="s">
        <v>101</v>
      </c>
      <c r="B56" s="478" t="str">
        <f>VLOOKUP(A56,'Mã NV'!$A$1:$C$27,2,0)</f>
        <v>Nguyễn Văn Chiến</v>
      </c>
      <c r="C56" s="475" t="s">
        <v>438</v>
      </c>
      <c r="D56" s="476">
        <v>770</v>
      </c>
      <c r="E56" s="476">
        <v>1375</v>
      </c>
      <c r="F56" s="364">
        <v>1260</v>
      </c>
      <c r="G56" s="364"/>
      <c r="H56" s="476">
        <v>150</v>
      </c>
      <c r="I56" s="364"/>
      <c r="J56" s="476">
        <v>175</v>
      </c>
      <c r="K56" s="476">
        <v>320</v>
      </c>
      <c r="L56" s="476">
        <v>300</v>
      </c>
      <c r="M56" s="476">
        <v>325</v>
      </c>
      <c r="N56" s="364"/>
      <c r="O56" s="364"/>
      <c r="P56" s="476">
        <v>900</v>
      </c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64"/>
      <c r="AB56" s="364"/>
      <c r="AC56" s="364"/>
      <c r="AD56" s="476">
        <v>62.5</v>
      </c>
      <c r="AE56" s="364"/>
      <c r="AF56" s="364"/>
      <c r="AG56" s="364"/>
      <c r="AH56" s="364"/>
      <c r="AI56" s="364"/>
      <c r="AJ56" s="364"/>
      <c r="AK56" s="364"/>
      <c r="AL56" s="364"/>
      <c r="AM56" s="476">
        <v>180</v>
      </c>
      <c r="AN56" s="364"/>
      <c r="AO56" s="364"/>
      <c r="AP56" s="364"/>
      <c r="AQ56" s="364"/>
      <c r="AR56" s="364"/>
      <c r="AS56" s="364"/>
      <c r="AT56" s="364"/>
      <c r="AU56" s="364"/>
      <c r="AV56" s="364"/>
      <c r="AW56" s="364"/>
      <c r="AX56" s="364"/>
      <c r="AY56" s="364"/>
      <c r="AZ56" s="364"/>
      <c r="BA56" s="364"/>
      <c r="BB56" s="364"/>
      <c r="BC56" s="479"/>
      <c r="BD56" s="480"/>
      <c r="BE56" s="482">
        <v>4</v>
      </c>
      <c r="BF56" s="480"/>
      <c r="BG56" s="480"/>
      <c r="BH56" s="480"/>
      <c r="BI56" s="480"/>
      <c r="BJ56" s="480"/>
      <c r="BK56" s="480"/>
      <c r="BL56" s="482">
        <v>12.5</v>
      </c>
      <c r="BM56" s="480"/>
      <c r="BN56" s="480"/>
      <c r="BO56" s="480"/>
      <c r="BP56" s="480"/>
      <c r="BQ56" s="480"/>
      <c r="BR56" s="480"/>
    </row>
    <row r="57" spans="1:70" x14ac:dyDescent="0.25">
      <c r="A57" s="224" t="s">
        <v>102</v>
      </c>
      <c r="B57" s="147" t="str">
        <f>VLOOKUP(A57,'Mã NV'!$A$1:$C$27,2,0)</f>
        <v>Ngô Văn Thanh</v>
      </c>
      <c r="C57" s="207" t="s">
        <v>438</v>
      </c>
      <c r="D57" s="362"/>
      <c r="E57" s="404">
        <v>1925</v>
      </c>
      <c r="F57" s="404">
        <v>956.67</v>
      </c>
      <c r="G57" s="362"/>
      <c r="H57" s="404">
        <v>150</v>
      </c>
      <c r="I57" s="362"/>
      <c r="J57" s="404">
        <v>175</v>
      </c>
      <c r="K57" s="362"/>
      <c r="L57" s="362"/>
      <c r="M57" s="404">
        <v>325</v>
      </c>
      <c r="N57" s="362"/>
      <c r="O57" s="362"/>
      <c r="P57" s="404">
        <v>700</v>
      </c>
      <c r="Q57" s="404">
        <v>325</v>
      </c>
      <c r="R57" s="404">
        <v>183.33333333333334</v>
      </c>
      <c r="S57" s="362"/>
      <c r="T57" s="362"/>
      <c r="U57" s="362"/>
      <c r="V57" s="362"/>
      <c r="W57" s="362"/>
      <c r="X57" s="362"/>
      <c r="Y57" s="362"/>
      <c r="Z57" s="362"/>
      <c r="AA57" s="404">
        <v>146.66666666666669</v>
      </c>
      <c r="AB57" s="362"/>
      <c r="AC57" s="362"/>
      <c r="AD57" s="362"/>
      <c r="AE57" s="362"/>
      <c r="AF57" s="362"/>
      <c r="AG57" s="362"/>
      <c r="AH57" s="362"/>
      <c r="AI57" s="362"/>
      <c r="AJ57" s="362"/>
      <c r="AK57" s="362"/>
      <c r="AL57" s="362"/>
      <c r="AM57" s="404">
        <v>50</v>
      </c>
      <c r="AN57" s="362"/>
      <c r="AO57" s="362"/>
      <c r="AP57" s="362"/>
      <c r="AQ57" s="362"/>
      <c r="AR57" s="362"/>
      <c r="AS57" s="362"/>
      <c r="AT57" s="362"/>
      <c r="AU57" s="362"/>
      <c r="AV57" s="362"/>
      <c r="AW57" s="362"/>
      <c r="AX57" s="362"/>
      <c r="AY57" s="362"/>
      <c r="AZ57" s="362"/>
      <c r="BA57" s="362"/>
      <c r="BB57" s="362"/>
      <c r="BC57" s="365"/>
      <c r="BD57" s="363"/>
      <c r="BE57" s="385">
        <v>10</v>
      </c>
      <c r="BF57" s="363"/>
      <c r="BG57" s="363"/>
      <c r="BH57" s="363"/>
      <c r="BI57" s="363"/>
      <c r="BJ57" s="363"/>
      <c r="BK57" s="363"/>
      <c r="BL57" s="379">
        <v>17</v>
      </c>
      <c r="BM57" s="363"/>
      <c r="BN57" s="363"/>
      <c r="BO57" s="363"/>
      <c r="BP57" s="363"/>
      <c r="BQ57" s="363"/>
      <c r="BR57" s="366"/>
    </row>
    <row r="58" spans="1:70" s="318" customFormat="1" x14ac:dyDescent="0.25">
      <c r="A58" s="473" t="s">
        <v>103</v>
      </c>
      <c r="B58" s="478" t="str">
        <f>VLOOKUP(A58,'Mã NV'!$A$1:$C$27,2,0)</f>
        <v>Võ Văn Giàu</v>
      </c>
      <c r="C58" s="475" t="s">
        <v>438</v>
      </c>
      <c r="D58" s="364"/>
      <c r="E58" s="476">
        <v>2100</v>
      </c>
      <c r="F58" s="364">
        <v>1760</v>
      </c>
      <c r="G58" s="364"/>
      <c r="H58" s="364"/>
      <c r="I58" s="364"/>
      <c r="J58" s="364"/>
      <c r="K58" s="364"/>
      <c r="L58" s="364"/>
      <c r="M58" s="476">
        <v>650</v>
      </c>
      <c r="N58" s="364"/>
      <c r="O58" s="364"/>
      <c r="P58" s="364"/>
      <c r="Q58" s="364"/>
      <c r="R58" s="476">
        <v>183.33333333333334</v>
      </c>
      <c r="S58" s="364"/>
      <c r="T58" s="364"/>
      <c r="U58" s="364"/>
      <c r="V58" s="364"/>
      <c r="W58" s="364"/>
      <c r="X58" s="364"/>
      <c r="Y58" s="364"/>
      <c r="Z58" s="364"/>
      <c r="AA58" s="476">
        <v>83.333333333333329</v>
      </c>
      <c r="AB58" s="364"/>
      <c r="AC58" s="364"/>
      <c r="AD58" s="476">
        <v>62.5</v>
      </c>
      <c r="AE58" s="364"/>
      <c r="AF58" s="364"/>
      <c r="AG58" s="364"/>
      <c r="AH58" s="364"/>
      <c r="AI58" s="364"/>
      <c r="AJ58" s="364"/>
      <c r="AK58" s="364"/>
      <c r="AL58" s="364"/>
      <c r="AM58" s="476">
        <v>50</v>
      </c>
      <c r="AN58" s="364"/>
      <c r="AO58" s="364"/>
      <c r="AP58" s="364"/>
      <c r="AQ58" s="364"/>
      <c r="AR58" s="364"/>
      <c r="AS58" s="364"/>
      <c r="AT58" s="364"/>
      <c r="AU58" s="364"/>
      <c r="AV58" s="364"/>
      <c r="AW58" s="364"/>
      <c r="AX58" s="364"/>
      <c r="AY58" s="364"/>
      <c r="AZ58" s="364"/>
      <c r="BA58" s="364"/>
      <c r="BB58" s="364"/>
      <c r="BC58" s="479"/>
      <c r="BD58" s="480"/>
      <c r="BE58" s="481">
        <v>6.5</v>
      </c>
      <c r="BF58" s="480"/>
      <c r="BG58" s="480"/>
      <c r="BH58" s="480"/>
      <c r="BI58" s="480"/>
      <c r="BJ58" s="480"/>
      <c r="BK58" s="480"/>
      <c r="BL58" s="482">
        <v>14.5</v>
      </c>
      <c r="BM58" s="480"/>
      <c r="BN58" s="480"/>
      <c r="BO58" s="480"/>
      <c r="BP58" s="480"/>
      <c r="BQ58" s="480"/>
      <c r="BR58" s="480"/>
    </row>
    <row r="59" spans="1:70" x14ac:dyDescent="0.25">
      <c r="A59" s="224" t="s">
        <v>105</v>
      </c>
      <c r="B59" s="147" t="str">
        <f>VLOOKUP(A59,'Mã NV'!$A$1:$C$27,2,0)</f>
        <v>Lê Phi Trung</v>
      </c>
      <c r="C59" s="207" t="s">
        <v>438</v>
      </c>
      <c r="D59" s="404">
        <v>15</v>
      </c>
      <c r="E59" s="404">
        <v>3675</v>
      </c>
      <c r="F59" s="362">
        <v>956.67</v>
      </c>
      <c r="G59" s="362"/>
      <c r="H59" s="404">
        <v>325</v>
      </c>
      <c r="I59" s="362"/>
      <c r="J59" s="404">
        <v>325</v>
      </c>
      <c r="K59" s="362"/>
      <c r="L59" s="362"/>
      <c r="M59" s="362"/>
      <c r="N59" s="362"/>
      <c r="O59" s="362"/>
      <c r="P59" s="362"/>
      <c r="Q59" s="362"/>
      <c r="R59" s="404">
        <v>183.33333333333334</v>
      </c>
      <c r="S59" s="362"/>
      <c r="T59" s="362"/>
      <c r="U59" s="362"/>
      <c r="V59" s="362"/>
      <c r="W59" s="362"/>
      <c r="X59" s="362"/>
      <c r="Y59" s="362"/>
      <c r="Z59" s="362"/>
      <c r="AA59" s="404">
        <v>146.66666666666669</v>
      </c>
      <c r="AB59" s="362"/>
      <c r="AC59" s="362"/>
      <c r="AD59" s="362"/>
      <c r="AE59" s="362"/>
      <c r="AF59" s="362"/>
      <c r="AG59" s="362"/>
      <c r="AH59" s="362"/>
      <c r="AI59" s="362"/>
      <c r="AJ59" s="362"/>
      <c r="AK59" s="362"/>
      <c r="AL59" s="362"/>
      <c r="AM59" s="404">
        <v>50</v>
      </c>
      <c r="AN59" s="362"/>
      <c r="AO59" s="362"/>
      <c r="AP59" s="362"/>
      <c r="AQ59" s="362"/>
      <c r="AR59" s="362"/>
      <c r="AS59" s="362"/>
      <c r="AT59" s="362"/>
      <c r="AU59" s="362"/>
      <c r="AV59" s="362"/>
      <c r="AW59" s="362"/>
      <c r="AX59" s="362"/>
      <c r="AY59" s="362"/>
      <c r="AZ59" s="362"/>
      <c r="BA59" s="362"/>
      <c r="BB59" s="362"/>
      <c r="BC59" s="365"/>
      <c r="BD59" s="363"/>
      <c r="BE59" s="385">
        <v>9.25</v>
      </c>
      <c r="BF59" s="363"/>
      <c r="BG59" s="363"/>
      <c r="BH59" s="363"/>
      <c r="BI59" s="363"/>
      <c r="BJ59" s="363"/>
      <c r="BK59" s="363"/>
      <c r="BL59" s="379">
        <v>13</v>
      </c>
      <c r="BM59" s="363"/>
      <c r="BN59" s="363"/>
      <c r="BO59" s="363"/>
      <c r="BP59" s="363"/>
      <c r="BQ59" s="363"/>
      <c r="BR59" s="366"/>
    </row>
    <row r="60" spans="1:70" x14ac:dyDescent="0.25">
      <c r="A60" s="224" t="s">
        <v>106</v>
      </c>
      <c r="B60" s="147" t="str">
        <f>VLOOKUP(A60,'Mã NV'!$A$1:$C$27,2,0)</f>
        <v>Lâm Văn Thương</v>
      </c>
      <c r="C60" s="207" t="s">
        <v>438</v>
      </c>
      <c r="D60" s="404">
        <v>15</v>
      </c>
      <c r="E60" s="404">
        <v>2075</v>
      </c>
      <c r="F60" s="404">
        <f>923.333333333333+416.67</f>
        <v>1340.0033333333331</v>
      </c>
      <c r="G60" s="362"/>
      <c r="H60" s="362"/>
      <c r="I60" s="362"/>
      <c r="J60" s="362"/>
      <c r="K60" s="362"/>
      <c r="L60" s="362"/>
      <c r="M60" s="362"/>
      <c r="N60" s="362"/>
      <c r="O60" s="362"/>
      <c r="P60" s="362"/>
      <c r="Q60" s="362"/>
      <c r="R60" s="362"/>
      <c r="S60" s="362"/>
      <c r="T60" s="362"/>
      <c r="U60" s="362"/>
      <c r="V60" s="362"/>
      <c r="W60" s="362"/>
      <c r="X60" s="362"/>
      <c r="Y60" s="362"/>
      <c r="Z60" s="362"/>
      <c r="AA60" s="404">
        <v>163.33333333333331</v>
      </c>
      <c r="AB60" s="362"/>
      <c r="AC60" s="362"/>
      <c r="AD60" s="362"/>
      <c r="AE60" s="362"/>
      <c r="AF60" s="362"/>
      <c r="AG60" s="362"/>
      <c r="AH60" s="362"/>
      <c r="AI60" s="362"/>
      <c r="AJ60" s="404">
        <v>2.5</v>
      </c>
      <c r="AK60" s="404">
        <v>75</v>
      </c>
      <c r="AL60" s="362"/>
      <c r="AM60" s="404">
        <v>100</v>
      </c>
      <c r="AN60" s="362"/>
      <c r="AO60" s="362"/>
      <c r="AP60" s="362"/>
      <c r="AQ60" s="362"/>
      <c r="AR60" s="362"/>
      <c r="AS60" s="362"/>
      <c r="AT60" s="362"/>
      <c r="AU60" s="362"/>
      <c r="AV60" s="404">
        <v>600</v>
      </c>
      <c r="AW60" s="362"/>
      <c r="AX60" s="362"/>
      <c r="AY60" s="362"/>
      <c r="AZ60" s="362"/>
      <c r="BA60" s="362"/>
      <c r="BB60" s="362"/>
      <c r="BC60" s="365"/>
      <c r="BD60" s="363"/>
      <c r="BE60" s="385">
        <v>10.75</v>
      </c>
      <c r="BF60" s="363"/>
      <c r="BG60" s="363"/>
      <c r="BH60" s="363"/>
      <c r="BI60" s="363"/>
      <c r="BJ60" s="363"/>
      <c r="BK60" s="363"/>
      <c r="BL60" s="379">
        <v>14.5</v>
      </c>
      <c r="BM60" s="363"/>
      <c r="BN60" s="363"/>
      <c r="BO60" s="363"/>
      <c r="BP60" s="363"/>
      <c r="BQ60" s="363"/>
      <c r="BR60" s="366"/>
    </row>
    <row r="61" spans="1:70" s="318" customFormat="1" x14ac:dyDescent="0.25">
      <c r="A61" s="473" t="s">
        <v>107</v>
      </c>
      <c r="B61" s="478" t="str">
        <f>VLOOKUP(A61,'Mã NV'!$A$1:$C$27,2,0)</f>
        <v>Võ Văn Có</v>
      </c>
      <c r="C61" s="475" t="s">
        <v>438</v>
      </c>
      <c r="D61" s="364"/>
      <c r="E61" s="476">
        <v>1400</v>
      </c>
      <c r="F61" s="364">
        <v>1760</v>
      </c>
      <c r="G61" s="364"/>
      <c r="H61" s="364"/>
      <c r="I61" s="364"/>
      <c r="J61" s="364"/>
      <c r="K61" s="364"/>
      <c r="L61" s="364"/>
      <c r="M61" s="476">
        <v>650</v>
      </c>
      <c r="N61" s="364"/>
      <c r="O61" s="364"/>
      <c r="P61" s="364"/>
      <c r="Q61" s="364"/>
      <c r="R61" s="476">
        <v>183.33333333333334</v>
      </c>
      <c r="S61" s="364"/>
      <c r="T61" s="364"/>
      <c r="U61" s="364"/>
      <c r="V61" s="364"/>
      <c r="W61" s="364"/>
      <c r="X61" s="364"/>
      <c r="Y61" s="364"/>
      <c r="Z61" s="364"/>
      <c r="AA61" s="476">
        <v>83.333333333333329</v>
      </c>
      <c r="AB61" s="364"/>
      <c r="AC61" s="364"/>
      <c r="AD61" s="476">
        <v>62.5</v>
      </c>
      <c r="AE61" s="364"/>
      <c r="AF61" s="364"/>
      <c r="AG61" s="364"/>
      <c r="AH61" s="364"/>
      <c r="AI61" s="364"/>
      <c r="AJ61" s="364"/>
      <c r="AK61" s="476">
        <v>285</v>
      </c>
      <c r="AL61" s="364"/>
      <c r="AM61" s="476">
        <v>50</v>
      </c>
      <c r="AN61" s="364"/>
      <c r="AO61" s="364"/>
      <c r="AP61" s="364"/>
      <c r="AQ61" s="364"/>
      <c r="AR61" s="364"/>
      <c r="AS61" s="364"/>
      <c r="AT61" s="364"/>
      <c r="AU61" s="364"/>
      <c r="AV61" s="364"/>
      <c r="AW61" s="364"/>
      <c r="AX61" s="364"/>
      <c r="AY61" s="364"/>
      <c r="AZ61" s="364"/>
      <c r="BA61" s="364"/>
      <c r="BB61" s="364"/>
      <c r="BC61" s="479"/>
      <c r="BD61" s="480"/>
      <c r="BE61" s="481">
        <v>13</v>
      </c>
      <c r="BF61" s="480"/>
      <c r="BG61" s="480"/>
      <c r="BH61" s="480"/>
      <c r="BI61" s="480"/>
      <c r="BJ61" s="480"/>
      <c r="BK61" s="480"/>
      <c r="BL61" s="482">
        <v>12.5</v>
      </c>
      <c r="BM61" s="480"/>
      <c r="BN61" s="480"/>
      <c r="BO61" s="480"/>
      <c r="BP61" s="480"/>
      <c r="BQ61" s="480"/>
      <c r="BR61" s="480"/>
    </row>
    <row r="62" spans="1:70" s="491" customFormat="1" x14ac:dyDescent="0.25">
      <c r="A62" s="486" t="s">
        <v>108</v>
      </c>
      <c r="B62" s="487" t="str">
        <f>VLOOKUP(A62,'Mã NV'!$A$1:$C$27,2,0)</f>
        <v>Lê Minh Nghĩa</v>
      </c>
      <c r="C62" s="488" t="s">
        <v>438</v>
      </c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  <c r="Y62" s="379"/>
      <c r="Z62" s="379"/>
      <c r="AA62" s="482"/>
      <c r="AB62" s="379"/>
      <c r="AC62" s="379"/>
      <c r="AD62" s="379"/>
      <c r="AE62" s="379"/>
      <c r="AF62" s="379"/>
      <c r="AG62" s="379"/>
      <c r="AH62" s="379"/>
      <c r="AI62" s="379"/>
      <c r="AJ62" s="379"/>
      <c r="AK62" s="379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79"/>
      <c r="AX62" s="379"/>
      <c r="AY62" s="379"/>
      <c r="AZ62" s="379"/>
      <c r="BA62" s="379"/>
      <c r="BB62" s="379"/>
      <c r="BC62" s="489"/>
      <c r="BD62" s="385"/>
      <c r="BE62" s="385"/>
      <c r="BF62" s="363"/>
      <c r="BG62" s="363"/>
      <c r="BH62" s="363"/>
      <c r="BI62" s="363"/>
      <c r="BJ62" s="363"/>
      <c r="BK62" s="363"/>
      <c r="BL62" s="379"/>
      <c r="BM62" s="385"/>
      <c r="BN62" s="385"/>
      <c r="BO62" s="385"/>
      <c r="BP62" s="385"/>
      <c r="BQ62" s="385"/>
      <c r="BR62" s="490"/>
    </row>
    <row r="63" spans="1:70" s="318" customFormat="1" x14ac:dyDescent="0.25">
      <c r="A63" s="473" t="s">
        <v>109</v>
      </c>
      <c r="B63" s="478" t="str">
        <f>VLOOKUP(A63,'Mã NV'!$A$1:$C$27,2,0)</f>
        <v>Trần Văn Tây</v>
      </c>
      <c r="C63" s="475" t="s">
        <v>438</v>
      </c>
      <c r="D63" s="476">
        <v>800</v>
      </c>
      <c r="E63" s="476">
        <v>2625</v>
      </c>
      <c r="F63" s="364">
        <v>1760</v>
      </c>
      <c r="G63" s="364"/>
      <c r="H63" s="364"/>
      <c r="I63" s="364"/>
      <c r="J63" s="364"/>
      <c r="K63" s="364"/>
      <c r="L63" s="364"/>
      <c r="M63" s="364"/>
      <c r="N63" s="364"/>
      <c r="O63" s="364"/>
      <c r="P63" s="476">
        <v>200</v>
      </c>
      <c r="Q63" s="364"/>
      <c r="R63" s="476">
        <v>183.33333333333334</v>
      </c>
      <c r="S63" s="364"/>
      <c r="T63" s="364"/>
      <c r="U63" s="364"/>
      <c r="V63" s="364"/>
      <c r="W63" s="364"/>
      <c r="X63" s="364"/>
      <c r="Y63" s="364"/>
      <c r="Z63" s="364"/>
      <c r="AA63" s="476">
        <v>83.333333333333329</v>
      </c>
      <c r="AB63" s="364"/>
      <c r="AC63" s="364"/>
      <c r="AD63" s="476">
        <v>62.5</v>
      </c>
      <c r="AE63" s="364"/>
      <c r="AF63" s="364"/>
      <c r="AG63" s="364"/>
      <c r="AH63" s="364"/>
      <c r="AI63" s="364"/>
      <c r="AJ63" s="364"/>
      <c r="AK63" s="364"/>
      <c r="AL63" s="364"/>
      <c r="AM63" s="364"/>
      <c r="AN63" s="364"/>
      <c r="AO63" s="364"/>
      <c r="AP63" s="364"/>
      <c r="AQ63" s="364"/>
      <c r="AR63" s="364"/>
      <c r="AS63" s="364"/>
      <c r="AT63" s="364"/>
      <c r="AU63" s="364"/>
      <c r="AV63" s="364"/>
      <c r="AW63" s="364"/>
      <c r="AX63" s="364"/>
      <c r="AY63" s="364"/>
      <c r="AZ63" s="364"/>
      <c r="BA63" s="364"/>
      <c r="BB63" s="364"/>
      <c r="BC63" s="479"/>
      <c r="BD63" s="480"/>
      <c r="BE63" s="481">
        <v>3</v>
      </c>
      <c r="BF63" s="480"/>
      <c r="BG63" s="480"/>
      <c r="BH63" s="480"/>
      <c r="BI63" s="480"/>
      <c r="BJ63" s="480"/>
      <c r="BK63" s="480"/>
      <c r="BL63" s="482">
        <v>12.5</v>
      </c>
      <c r="BM63" s="480"/>
      <c r="BN63" s="480"/>
      <c r="BO63" s="480"/>
      <c r="BP63" s="480"/>
      <c r="BQ63" s="480"/>
      <c r="BR63" s="480"/>
    </row>
    <row r="64" spans="1:70" x14ac:dyDescent="0.25">
      <c r="A64" s="224" t="s">
        <v>110</v>
      </c>
      <c r="B64" s="147" t="str">
        <f>VLOOKUP(A64,'Mã NV'!$A$1:$C$27,2,0)</f>
        <v>Huỳnh Huy Phụng</v>
      </c>
      <c r="C64" s="207" t="s">
        <v>438</v>
      </c>
      <c r="D64" s="362"/>
      <c r="E64" s="404">
        <v>2800</v>
      </c>
      <c r="F64" s="404">
        <f>666.666666666667+633.33</f>
        <v>1299.9966666666669</v>
      </c>
      <c r="G64" s="362"/>
      <c r="H64" s="362"/>
      <c r="I64" s="362"/>
      <c r="J64" s="362"/>
      <c r="K64" s="362"/>
      <c r="L64" s="362"/>
      <c r="M64" s="404">
        <v>650</v>
      </c>
      <c r="N64" s="362"/>
      <c r="O64" s="362"/>
      <c r="P64" s="362"/>
      <c r="Q64" s="362"/>
      <c r="R64" s="404">
        <v>183.33333333333334</v>
      </c>
      <c r="S64" s="362"/>
      <c r="T64" s="362"/>
      <c r="U64" s="362"/>
      <c r="V64" s="362"/>
      <c r="W64" s="362"/>
      <c r="X64" s="362"/>
      <c r="Y64" s="362"/>
      <c r="Z64" s="362"/>
      <c r="AA64" s="404">
        <v>83.333333333333329</v>
      </c>
      <c r="AB64" s="362"/>
      <c r="AC64" s="362"/>
      <c r="AD64" s="404">
        <v>62.5</v>
      </c>
      <c r="AE64" s="362"/>
      <c r="AF64" s="362"/>
      <c r="AG64" s="362"/>
      <c r="AH64" s="362"/>
      <c r="AI64" s="362"/>
      <c r="AJ64" s="362"/>
      <c r="AK64" s="362"/>
      <c r="AL64" s="362"/>
      <c r="AM64" s="404">
        <v>50</v>
      </c>
      <c r="AN64" s="362"/>
      <c r="AO64" s="362"/>
      <c r="AP64" s="362"/>
      <c r="AQ64" s="362"/>
      <c r="AR64" s="362"/>
      <c r="AS64" s="362"/>
      <c r="AT64" s="362"/>
      <c r="AU64" s="362"/>
      <c r="AV64" s="362"/>
      <c r="AW64" s="362"/>
      <c r="AX64" s="362"/>
      <c r="AY64" s="362"/>
      <c r="AZ64" s="362"/>
      <c r="BA64" s="362"/>
      <c r="BB64" s="362"/>
      <c r="BC64" s="365"/>
      <c r="BD64" s="363"/>
      <c r="BE64" s="385">
        <v>8.5</v>
      </c>
      <c r="BF64" s="363"/>
      <c r="BG64" s="363"/>
      <c r="BH64" s="363"/>
      <c r="BI64" s="363"/>
      <c r="BJ64" s="363"/>
      <c r="BK64" s="363"/>
      <c r="BL64" s="379">
        <v>13.5</v>
      </c>
      <c r="BM64" s="363"/>
      <c r="BN64" s="363"/>
      <c r="BO64" s="363"/>
      <c r="BP64" s="363"/>
      <c r="BQ64" s="363"/>
      <c r="BR64" s="366"/>
    </row>
    <row r="65" spans="1:70" x14ac:dyDescent="0.25">
      <c r="A65" s="224" t="s">
        <v>111</v>
      </c>
      <c r="B65" s="147" t="str">
        <f>VLOOKUP(A65,'Mã NV'!$A$1:$C$27,2,0)</f>
        <v>Võ Quang Tuấn</v>
      </c>
      <c r="C65" s="207" t="s">
        <v>438</v>
      </c>
      <c r="D65" s="362"/>
      <c r="E65" s="362"/>
      <c r="F65" s="362"/>
      <c r="G65" s="362"/>
      <c r="H65" s="362"/>
      <c r="I65" s="362"/>
      <c r="J65" s="362"/>
      <c r="K65" s="362"/>
      <c r="L65" s="362"/>
      <c r="M65" s="362"/>
      <c r="N65" s="362"/>
      <c r="O65" s="362"/>
      <c r="P65" s="362"/>
      <c r="Q65" s="362"/>
      <c r="R65" s="362"/>
      <c r="S65" s="362"/>
      <c r="T65" s="362"/>
      <c r="U65" s="362"/>
      <c r="V65" s="362"/>
      <c r="W65" s="362"/>
      <c r="X65" s="362"/>
      <c r="Y65" s="362"/>
      <c r="Z65" s="362"/>
      <c r="AA65" s="364"/>
      <c r="AB65" s="362"/>
      <c r="AC65" s="362"/>
      <c r="AD65" s="362"/>
      <c r="AE65" s="362"/>
      <c r="AF65" s="362"/>
      <c r="AG65" s="362"/>
      <c r="AH65" s="362"/>
      <c r="AI65" s="362"/>
      <c r="AJ65" s="362"/>
      <c r="AK65" s="362"/>
      <c r="AL65" s="362"/>
      <c r="AM65" s="362"/>
      <c r="AN65" s="362"/>
      <c r="AO65" s="362"/>
      <c r="AP65" s="362"/>
      <c r="AQ65" s="362"/>
      <c r="AR65" s="362"/>
      <c r="AS65" s="362"/>
      <c r="AT65" s="362"/>
      <c r="AU65" s="362"/>
      <c r="AV65" s="362"/>
      <c r="AW65" s="362"/>
      <c r="AX65" s="362"/>
      <c r="AY65" s="362"/>
      <c r="AZ65" s="362"/>
      <c r="BA65" s="362"/>
      <c r="BB65" s="362"/>
      <c r="BC65" s="365"/>
      <c r="BD65" s="363"/>
      <c r="BE65" s="386"/>
      <c r="BF65" s="363"/>
      <c r="BG65" s="363"/>
      <c r="BH65" s="363"/>
      <c r="BI65" s="363"/>
      <c r="BJ65" s="363"/>
      <c r="BK65" s="363"/>
      <c r="BL65" s="379"/>
      <c r="BM65" s="363"/>
      <c r="BN65" s="363"/>
      <c r="BO65" s="363"/>
      <c r="BP65" s="363"/>
      <c r="BQ65" s="363"/>
      <c r="BR65" s="366"/>
    </row>
    <row r="66" spans="1:70" x14ac:dyDescent="0.25">
      <c r="A66" s="224" t="s">
        <v>112</v>
      </c>
      <c r="B66" s="147" t="str">
        <f>VLOOKUP(A66,'Mã NV'!$A$1:$C$27,2,0)</f>
        <v>Lê Hiệp</v>
      </c>
      <c r="C66" s="207" t="s">
        <v>438</v>
      </c>
      <c r="D66" s="404">
        <v>860</v>
      </c>
      <c r="E66" s="404">
        <v>2825</v>
      </c>
      <c r="F66" s="404">
        <f>916.666666666667+633.33</f>
        <v>1549.9966666666669</v>
      </c>
      <c r="G66" s="362"/>
      <c r="H66" s="362"/>
      <c r="I66" s="362"/>
      <c r="J66" s="362"/>
      <c r="K66" s="362"/>
      <c r="L66" s="362"/>
      <c r="M66" s="362"/>
      <c r="N66" s="362"/>
      <c r="O66" s="362"/>
      <c r="P66" s="362"/>
      <c r="Q66" s="362"/>
      <c r="R66" s="362"/>
      <c r="S66" s="362"/>
      <c r="T66" s="362"/>
      <c r="U66" s="362"/>
      <c r="V66" s="362"/>
      <c r="W66" s="362"/>
      <c r="X66" s="362"/>
      <c r="Y66" s="362"/>
      <c r="Z66" s="362"/>
      <c r="AA66" s="404">
        <v>83.333333333333329</v>
      </c>
      <c r="AB66" s="362"/>
      <c r="AC66" s="362"/>
      <c r="AD66" s="362"/>
      <c r="AE66" s="362"/>
      <c r="AF66" s="362"/>
      <c r="AG66" s="362"/>
      <c r="AH66" s="362"/>
      <c r="AI66" s="362"/>
      <c r="AJ66" s="404">
        <v>2.5</v>
      </c>
      <c r="AK66" s="404">
        <v>75</v>
      </c>
      <c r="AL66" s="362"/>
      <c r="AM66" s="362"/>
      <c r="AN66" s="362"/>
      <c r="AO66" s="362"/>
      <c r="AP66" s="362"/>
      <c r="AQ66" s="362"/>
      <c r="AR66" s="362"/>
      <c r="AS66" s="362"/>
      <c r="AT66" s="362"/>
      <c r="AU66" s="362"/>
      <c r="AV66" s="362"/>
      <c r="AW66" s="362"/>
      <c r="AX66" s="362"/>
      <c r="AY66" s="362"/>
      <c r="AZ66" s="362"/>
      <c r="BA66" s="362"/>
      <c r="BB66" s="362"/>
      <c r="BC66" s="365"/>
      <c r="BD66" s="363"/>
      <c r="BE66" s="384">
        <v>10.5</v>
      </c>
      <c r="BF66" s="363"/>
      <c r="BG66" s="363"/>
      <c r="BH66" s="363"/>
      <c r="BI66" s="363"/>
      <c r="BJ66" s="363"/>
      <c r="BK66" s="363"/>
      <c r="BL66" s="379">
        <v>12.5</v>
      </c>
      <c r="BM66" s="363"/>
      <c r="BN66" s="363"/>
      <c r="BO66" s="363"/>
      <c r="BP66" s="363"/>
      <c r="BQ66" s="363"/>
      <c r="BR66" s="366"/>
    </row>
    <row r="67" spans="1:70" x14ac:dyDescent="0.25">
      <c r="A67" s="224" t="s">
        <v>113</v>
      </c>
      <c r="B67" s="147" t="str">
        <f>VLOOKUP(A67,'Mã NV'!$A$1:$C$27,2,0)</f>
        <v>Lê Văn Bi</v>
      </c>
      <c r="C67" s="207" t="s">
        <v>438</v>
      </c>
      <c r="D67" s="404">
        <v>855</v>
      </c>
      <c r="E67" s="404">
        <v>3350</v>
      </c>
      <c r="F67" s="362">
        <v>873.33</v>
      </c>
      <c r="G67" s="362"/>
      <c r="H67" s="404">
        <v>325</v>
      </c>
      <c r="I67" s="362"/>
      <c r="J67" s="404">
        <v>325</v>
      </c>
      <c r="K67" s="362"/>
      <c r="L67" s="362"/>
      <c r="M67" s="362"/>
      <c r="N67" s="362"/>
      <c r="O67" s="362"/>
      <c r="P67" s="362"/>
      <c r="Q67" s="404">
        <v>325</v>
      </c>
      <c r="R67" s="362"/>
      <c r="S67" s="362"/>
      <c r="T67" s="362"/>
      <c r="U67" s="362"/>
      <c r="V67" s="362"/>
      <c r="W67" s="362"/>
      <c r="X67" s="362"/>
      <c r="Y67" s="362"/>
      <c r="Z67" s="362"/>
      <c r="AA67" s="404">
        <v>163.33333333333331</v>
      </c>
      <c r="AB67" s="362"/>
      <c r="AC67" s="362"/>
      <c r="AD67" s="362"/>
      <c r="AE67" s="362"/>
      <c r="AF67" s="362"/>
      <c r="AG67" s="362"/>
      <c r="AH67" s="362"/>
      <c r="AI67" s="362"/>
      <c r="AJ67" s="362"/>
      <c r="AK67" s="362"/>
      <c r="AL67" s="362"/>
      <c r="AM67" s="362"/>
      <c r="AN67" s="362"/>
      <c r="AO67" s="362"/>
      <c r="AP67" s="362"/>
      <c r="AQ67" s="362"/>
      <c r="AR67" s="362"/>
      <c r="AS67" s="362"/>
      <c r="AT67" s="362"/>
      <c r="AU67" s="362"/>
      <c r="AV67" s="362"/>
      <c r="AW67" s="362"/>
      <c r="AX67" s="362"/>
      <c r="AY67" s="362"/>
      <c r="AZ67" s="362"/>
      <c r="BA67" s="362"/>
      <c r="BB67" s="362"/>
      <c r="BC67" s="365"/>
      <c r="BD67" s="363"/>
      <c r="BE67" s="385">
        <v>7.75</v>
      </c>
      <c r="BF67" s="363"/>
      <c r="BG67" s="363"/>
      <c r="BH67" s="363"/>
      <c r="BI67" s="363"/>
      <c r="BJ67" s="363"/>
      <c r="BK67" s="363"/>
      <c r="BL67" s="379">
        <v>12</v>
      </c>
      <c r="BM67" s="363"/>
      <c r="BN67" s="363"/>
      <c r="BO67" s="363"/>
      <c r="BP67" s="363"/>
      <c r="BQ67" s="363"/>
      <c r="BR67" s="366"/>
    </row>
    <row r="68" spans="1:70" x14ac:dyDescent="0.25">
      <c r="A68" s="224" t="s">
        <v>114</v>
      </c>
      <c r="B68" s="147" t="str">
        <f>VLOOKUP(A68,'Mã NV'!$A$1:$C$27,2,0)</f>
        <v>Tạ Chí Thuận</v>
      </c>
      <c r="C68" s="207" t="s">
        <v>438</v>
      </c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2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4"/>
      <c r="AB68" s="362"/>
      <c r="AC68" s="362"/>
      <c r="AD68" s="362"/>
      <c r="AE68" s="362"/>
      <c r="AF68" s="362"/>
      <c r="AG68" s="362"/>
      <c r="AH68" s="362"/>
      <c r="AI68" s="362"/>
      <c r="AJ68" s="362"/>
      <c r="AK68" s="362"/>
      <c r="AL68" s="362"/>
      <c r="AM68" s="362"/>
      <c r="AN68" s="362"/>
      <c r="AO68" s="362"/>
      <c r="AP68" s="362"/>
      <c r="AQ68" s="362"/>
      <c r="AR68" s="362"/>
      <c r="AS68" s="362"/>
      <c r="AT68" s="362"/>
      <c r="AU68" s="362"/>
      <c r="AV68" s="362"/>
      <c r="AW68" s="362"/>
      <c r="AX68" s="362"/>
      <c r="AY68" s="362"/>
      <c r="AZ68" s="362"/>
      <c r="BA68" s="362"/>
      <c r="BB68" s="362"/>
      <c r="BC68" s="365"/>
      <c r="BD68" s="363"/>
      <c r="BE68" s="385"/>
      <c r="BF68" s="363"/>
      <c r="BG68" s="363"/>
      <c r="BH68" s="363"/>
      <c r="BI68" s="363"/>
      <c r="BJ68" s="363"/>
      <c r="BK68" s="363"/>
      <c r="BL68" s="379"/>
      <c r="BM68" s="363"/>
      <c r="BN68" s="363"/>
      <c r="BO68" s="363"/>
      <c r="BP68" s="363"/>
      <c r="BQ68" s="363"/>
      <c r="BR68" s="366"/>
    </row>
    <row r="69" spans="1:70" s="318" customFormat="1" x14ac:dyDescent="0.25">
      <c r="A69" s="473" t="s">
        <v>115</v>
      </c>
      <c r="B69" s="478" t="str">
        <f>VLOOKUP(A69,'Mã NV'!$A$1:$C$27,2,0)</f>
        <v>Trần Anh Dũ</v>
      </c>
      <c r="C69" s="475" t="s">
        <v>438</v>
      </c>
      <c r="D69" s="476">
        <v>750</v>
      </c>
      <c r="E69" s="476">
        <v>1550</v>
      </c>
      <c r="F69" s="364">
        <v>1550</v>
      </c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476">
        <v>183.33333333333334</v>
      </c>
      <c r="S69" s="364"/>
      <c r="T69" s="364"/>
      <c r="U69" s="364"/>
      <c r="V69" s="364"/>
      <c r="W69" s="364"/>
      <c r="X69" s="364"/>
      <c r="Y69" s="364"/>
      <c r="Z69" s="364"/>
      <c r="AA69" s="476">
        <v>150</v>
      </c>
      <c r="AB69" s="364"/>
      <c r="AC69" s="364"/>
      <c r="AD69" s="364"/>
      <c r="AE69" s="364"/>
      <c r="AF69" s="364"/>
      <c r="AG69" s="364"/>
      <c r="AH69" s="364"/>
      <c r="AI69" s="364"/>
      <c r="AJ69" s="364"/>
      <c r="AK69" s="364"/>
      <c r="AL69" s="364"/>
      <c r="AM69" s="476">
        <v>50</v>
      </c>
      <c r="AN69" s="364"/>
      <c r="AO69" s="364"/>
      <c r="AP69" s="364"/>
      <c r="AQ69" s="364"/>
      <c r="AR69" s="364"/>
      <c r="AS69" s="364"/>
      <c r="AT69" s="364"/>
      <c r="AU69" s="364"/>
      <c r="AV69" s="364"/>
      <c r="AW69" s="364"/>
      <c r="AX69" s="364"/>
      <c r="AY69" s="364"/>
      <c r="AZ69" s="364"/>
      <c r="BA69" s="364"/>
      <c r="BB69" s="364"/>
      <c r="BC69" s="479"/>
      <c r="BD69" s="480"/>
      <c r="BE69" s="481">
        <v>8.5</v>
      </c>
      <c r="BF69" s="480"/>
      <c r="BG69" s="480"/>
      <c r="BH69" s="480"/>
      <c r="BI69" s="480"/>
      <c r="BJ69" s="480"/>
      <c r="BK69" s="480"/>
      <c r="BL69" s="482">
        <v>14.5</v>
      </c>
      <c r="BM69" s="480"/>
      <c r="BN69" s="480"/>
      <c r="BO69" s="480"/>
      <c r="BP69" s="480"/>
      <c r="BQ69" s="480"/>
      <c r="BR69" s="480"/>
    </row>
    <row r="70" spans="1:70" s="318" customFormat="1" x14ac:dyDescent="0.25">
      <c r="A70" s="473" t="s">
        <v>116</v>
      </c>
      <c r="B70" s="478" t="str">
        <f>VLOOKUP(A70,'Mã NV'!$A$1:$C$27,2,0)</f>
        <v>Thạch Ngọc Tiến</v>
      </c>
      <c r="C70" s="475" t="s">
        <v>438</v>
      </c>
      <c r="D70" s="364"/>
      <c r="E70" s="476">
        <v>525</v>
      </c>
      <c r="F70" s="364">
        <v>1666.67</v>
      </c>
      <c r="G70" s="364"/>
      <c r="H70" s="476">
        <v>150</v>
      </c>
      <c r="I70" s="364"/>
      <c r="J70" s="476">
        <v>175</v>
      </c>
      <c r="K70" s="364"/>
      <c r="L70" s="364"/>
      <c r="M70" s="476">
        <v>325</v>
      </c>
      <c r="N70" s="364"/>
      <c r="O70" s="364"/>
      <c r="P70" s="476">
        <v>700</v>
      </c>
      <c r="Q70" s="476">
        <v>325</v>
      </c>
      <c r="R70" s="476">
        <v>183.33333333333334</v>
      </c>
      <c r="S70" s="364"/>
      <c r="T70" s="364"/>
      <c r="U70" s="364"/>
      <c r="V70" s="364"/>
      <c r="W70" s="364"/>
      <c r="X70" s="364"/>
      <c r="Y70" s="364"/>
      <c r="Z70" s="364"/>
      <c r="AA70" s="476">
        <v>66.666666666666671</v>
      </c>
      <c r="AB70" s="364"/>
      <c r="AC70" s="364"/>
      <c r="AD70" s="364"/>
      <c r="AE70" s="364"/>
      <c r="AF70" s="364"/>
      <c r="AG70" s="364"/>
      <c r="AH70" s="364"/>
      <c r="AI70" s="364"/>
      <c r="AJ70" s="364"/>
      <c r="AK70" s="364"/>
      <c r="AL70" s="364"/>
      <c r="AM70" s="476">
        <v>100</v>
      </c>
      <c r="AN70" s="364"/>
      <c r="AO70" s="364"/>
      <c r="AP70" s="364"/>
      <c r="AQ70" s="364"/>
      <c r="AR70" s="364"/>
      <c r="AS70" s="364"/>
      <c r="AT70" s="364"/>
      <c r="AU70" s="364"/>
      <c r="AV70" s="364"/>
      <c r="AW70" s="364"/>
      <c r="AX70" s="364"/>
      <c r="AY70" s="364"/>
      <c r="AZ70" s="364"/>
      <c r="BA70" s="364"/>
      <c r="BB70" s="364"/>
      <c r="BC70" s="479"/>
      <c r="BD70" s="480"/>
      <c r="BE70" s="481">
        <v>5.5</v>
      </c>
      <c r="BF70" s="480"/>
      <c r="BG70" s="480"/>
      <c r="BH70" s="480"/>
      <c r="BI70" s="480"/>
      <c r="BJ70" s="480"/>
      <c r="BK70" s="480"/>
      <c r="BL70" s="482">
        <v>17.5</v>
      </c>
      <c r="BM70" s="480"/>
      <c r="BN70" s="480"/>
      <c r="BO70" s="480"/>
      <c r="BP70" s="480"/>
      <c r="BQ70" s="480"/>
      <c r="BR70" s="480"/>
    </row>
    <row r="71" spans="1:70" s="318" customFormat="1" x14ac:dyDescent="0.25">
      <c r="A71" s="473" t="s">
        <v>117</v>
      </c>
      <c r="B71" s="478" t="str">
        <f>VLOOKUP(A71,'Mã NV'!$A$1:$C$27,2,0)</f>
        <v>Nguyễn Tuấn Vinh</v>
      </c>
      <c r="C71" s="475" t="s">
        <v>438</v>
      </c>
      <c r="D71" s="364"/>
      <c r="E71" s="476">
        <v>1225</v>
      </c>
      <c r="F71" s="364">
        <v>956.67</v>
      </c>
      <c r="G71" s="364"/>
      <c r="H71" s="476">
        <v>475</v>
      </c>
      <c r="I71" s="364"/>
      <c r="J71" s="476">
        <v>500</v>
      </c>
      <c r="K71" s="364"/>
      <c r="L71" s="364"/>
      <c r="M71" s="476">
        <v>975</v>
      </c>
      <c r="N71" s="364"/>
      <c r="O71" s="364"/>
      <c r="P71" s="476">
        <v>700</v>
      </c>
      <c r="Q71" s="476">
        <v>325</v>
      </c>
      <c r="R71" s="476">
        <v>183.33333333333334</v>
      </c>
      <c r="S71" s="364"/>
      <c r="T71" s="364"/>
      <c r="U71" s="364"/>
      <c r="V71" s="364"/>
      <c r="W71" s="364"/>
      <c r="X71" s="364"/>
      <c r="Y71" s="364"/>
      <c r="Z71" s="364"/>
      <c r="AA71" s="476">
        <v>146.66666666666669</v>
      </c>
      <c r="AB71" s="364"/>
      <c r="AC71" s="364"/>
      <c r="AD71" s="364"/>
      <c r="AE71" s="364"/>
      <c r="AF71" s="364"/>
      <c r="AG71" s="364"/>
      <c r="AH71" s="364"/>
      <c r="AI71" s="364"/>
      <c r="AJ71" s="364"/>
      <c r="AK71" s="364"/>
      <c r="AL71" s="364"/>
      <c r="AM71" s="476">
        <v>50</v>
      </c>
      <c r="AN71" s="364"/>
      <c r="AO71" s="364"/>
      <c r="AP71" s="364"/>
      <c r="AQ71" s="364"/>
      <c r="AR71" s="364"/>
      <c r="AS71" s="364"/>
      <c r="AT71" s="364"/>
      <c r="AU71" s="364"/>
      <c r="AV71" s="364"/>
      <c r="AW71" s="364"/>
      <c r="AX71" s="364"/>
      <c r="AY71" s="364"/>
      <c r="AZ71" s="364"/>
      <c r="BA71" s="364"/>
      <c r="BB71" s="364"/>
      <c r="BC71" s="479"/>
      <c r="BD71" s="480"/>
      <c r="BE71" s="481">
        <v>3.5</v>
      </c>
      <c r="BF71" s="480"/>
      <c r="BG71" s="480"/>
      <c r="BH71" s="480"/>
      <c r="BI71" s="480"/>
      <c r="BJ71" s="480"/>
      <c r="BK71" s="480"/>
      <c r="BL71" s="482">
        <v>19.5</v>
      </c>
      <c r="BM71" s="480"/>
      <c r="BN71" s="480"/>
      <c r="BO71" s="480"/>
      <c r="BP71" s="480"/>
      <c r="BQ71" s="480"/>
      <c r="BR71" s="480"/>
    </row>
    <row r="72" spans="1:70" s="318" customFormat="1" x14ac:dyDescent="0.25">
      <c r="A72" s="473" t="s">
        <v>118</v>
      </c>
      <c r="B72" s="478" t="str">
        <f>VLOOKUP(A72,'Mã NV'!$A$1:$C$27,2,0)</f>
        <v>Trần Thanh Nguyên</v>
      </c>
      <c r="C72" s="475" t="s">
        <v>438</v>
      </c>
      <c r="D72" s="364"/>
      <c r="E72" s="476">
        <v>2275</v>
      </c>
      <c r="F72" s="364">
        <v>1666.67</v>
      </c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476">
        <v>183.33333333333334</v>
      </c>
      <c r="S72" s="364"/>
      <c r="T72" s="364"/>
      <c r="U72" s="364"/>
      <c r="V72" s="364"/>
      <c r="W72" s="364"/>
      <c r="X72" s="364"/>
      <c r="Y72" s="364"/>
      <c r="Z72" s="364"/>
      <c r="AA72" s="476">
        <v>66.666666666666671</v>
      </c>
      <c r="AB72" s="364"/>
      <c r="AC72" s="364"/>
      <c r="AD72" s="364"/>
      <c r="AE72" s="364"/>
      <c r="AF72" s="364"/>
      <c r="AG72" s="364"/>
      <c r="AH72" s="364"/>
      <c r="AI72" s="364"/>
      <c r="AJ72" s="364"/>
      <c r="AK72" s="364"/>
      <c r="AL72" s="364"/>
      <c r="AM72" s="476">
        <v>100</v>
      </c>
      <c r="AN72" s="364"/>
      <c r="AO72" s="364"/>
      <c r="AP72" s="364"/>
      <c r="AQ72" s="364"/>
      <c r="AR72" s="364"/>
      <c r="AS72" s="364"/>
      <c r="AT72" s="364"/>
      <c r="AU72" s="364"/>
      <c r="AV72" s="364"/>
      <c r="AW72" s="364"/>
      <c r="AX72" s="364"/>
      <c r="AY72" s="364"/>
      <c r="AZ72" s="364"/>
      <c r="BA72" s="364"/>
      <c r="BB72" s="364"/>
      <c r="BC72" s="479"/>
      <c r="BD72" s="480"/>
      <c r="BE72" s="481">
        <v>10</v>
      </c>
      <c r="BF72" s="480"/>
      <c r="BG72" s="480"/>
      <c r="BH72" s="480"/>
      <c r="BI72" s="480"/>
      <c r="BJ72" s="480"/>
      <c r="BK72" s="480"/>
      <c r="BL72" s="482">
        <v>14</v>
      </c>
      <c r="BM72" s="480"/>
      <c r="BN72" s="480"/>
      <c r="BO72" s="480"/>
      <c r="BP72" s="480"/>
      <c r="BQ72" s="480"/>
      <c r="BR72" s="480"/>
    </row>
    <row r="73" spans="1:70" x14ac:dyDescent="0.25">
      <c r="A73" s="224" t="s">
        <v>119</v>
      </c>
      <c r="B73" s="147" t="str">
        <f>VLOOKUP(A73,'Mã NV'!$A$1:$C$27,2,0)</f>
        <v>Lê Nhật Trường Giang</v>
      </c>
      <c r="C73" s="207" t="s">
        <v>438</v>
      </c>
      <c r="D73" s="362">
        <v>800</v>
      </c>
      <c r="E73" s="362">
        <v>2600</v>
      </c>
      <c r="F73" s="362">
        <v>1416.67</v>
      </c>
      <c r="G73" s="362"/>
      <c r="H73" s="362"/>
      <c r="I73" s="362"/>
      <c r="J73" s="362"/>
      <c r="K73" s="362"/>
      <c r="L73" s="362"/>
      <c r="M73" s="362"/>
      <c r="N73" s="362"/>
      <c r="O73" s="362"/>
      <c r="P73" s="362">
        <v>200</v>
      </c>
      <c r="Q73" s="362"/>
      <c r="R73" s="362">
        <v>183.33333333333334</v>
      </c>
      <c r="S73" s="362"/>
      <c r="T73" s="362"/>
      <c r="U73" s="362"/>
      <c r="V73" s="362"/>
      <c r="W73" s="362"/>
      <c r="X73" s="362"/>
      <c r="Y73" s="362"/>
      <c r="Z73" s="362"/>
      <c r="AA73" s="364"/>
      <c r="AB73" s="362"/>
      <c r="AC73" s="362"/>
      <c r="AD73" s="362">
        <v>62.5</v>
      </c>
      <c r="AE73" s="362"/>
      <c r="AF73" s="362"/>
      <c r="AG73" s="362"/>
      <c r="AH73" s="362"/>
      <c r="AI73" s="362"/>
      <c r="AJ73" s="362"/>
      <c r="AK73" s="362"/>
      <c r="AL73" s="362"/>
      <c r="AM73" s="362">
        <v>50</v>
      </c>
      <c r="AN73" s="362"/>
      <c r="AO73" s="362"/>
      <c r="AP73" s="362"/>
      <c r="AQ73" s="362"/>
      <c r="AR73" s="362"/>
      <c r="AS73" s="362"/>
      <c r="AT73" s="362"/>
      <c r="AU73" s="362"/>
      <c r="AV73" s="362"/>
      <c r="AW73" s="362"/>
      <c r="AX73" s="362"/>
      <c r="AY73" s="362"/>
      <c r="AZ73" s="362"/>
      <c r="BA73" s="362"/>
      <c r="BB73" s="362"/>
      <c r="BC73" s="365"/>
      <c r="BD73" s="363"/>
      <c r="BE73" s="385">
        <v>7.5</v>
      </c>
      <c r="BF73" s="363"/>
      <c r="BG73" s="363"/>
      <c r="BH73" s="363"/>
      <c r="BI73" s="363"/>
      <c r="BJ73" s="363"/>
      <c r="BK73" s="363"/>
      <c r="BL73" s="379">
        <v>14</v>
      </c>
      <c r="BM73" s="363"/>
      <c r="BN73" s="363"/>
      <c r="BO73" s="363"/>
      <c r="BP73" s="363"/>
      <c r="BQ73" s="363"/>
      <c r="BR73" s="366"/>
    </row>
    <row r="74" spans="1:70" x14ac:dyDescent="0.25">
      <c r="A74" s="224" t="s">
        <v>120</v>
      </c>
      <c r="B74" s="147" t="str">
        <f>VLOOKUP(A74,'Mã NV'!$A$1:$C$27,2,0)</f>
        <v>Thạch Ngọc Thắng</v>
      </c>
      <c r="C74" s="207" t="s">
        <v>438</v>
      </c>
      <c r="D74" s="404">
        <v>840</v>
      </c>
      <c r="E74" s="404">
        <v>2600</v>
      </c>
      <c r="F74" s="362">
        <v>1460</v>
      </c>
      <c r="G74" s="362"/>
      <c r="H74" s="362"/>
      <c r="I74" s="362"/>
      <c r="J74" s="362"/>
      <c r="K74" s="362"/>
      <c r="L74" s="362"/>
      <c r="M74" s="362"/>
      <c r="N74" s="362"/>
      <c r="O74" s="362"/>
      <c r="P74" s="404">
        <v>200</v>
      </c>
      <c r="Q74" s="362"/>
      <c r="R74" s="404">
        <v>183.33333333333334</v>
      </c>
      <c r="S74" s="362"/>
      <c r="T74" s="362"/>
      <c r="U74" s="362"/>
      <c r="V74" s="362"/>
      <c r="W74" s="362"/>
      <c r="X74" s="362"/>
      <c r="Y74" s="362"/>
      <c r="Z74" s="362"/>
      <c r="AA74" s="364"/>
      <c r="AB74" s="362"/>
      <c r="AC74" s="362"/>
      <c r="AD74" s="362"/>
      <c r="AE74" s="362"/>
      <c r="AF74" s="362"/>
      <c r="AG74" s="362"/>
      <c r="AH74" s="362"/>
      <c r="AI74" s="362"/>
      <c r="AJ74" s="362"/>
      <c r="AK74" s="362"/>
      <c r="AL74" s="362"/>
      <c r="AM74" s="404">
        <v>50</v>
      </c>
      <c r="AN74" s="362"/>
      <c r="AO74" s="362"/>
      <c r="AP74" s="362"/>
      <c r="AQ74" s="362"/>
      <c r="AR74" s="362"/>
      <c r="AS74" s="362"/>
      <c r="AT74" s="362"/>
      <c r="AU74" s="362"/>
      <c r="AV74" s="362"/>
      <c r="AW74" s="362"/>
      <c r="AX74" s="362"/>
      <c r="AY74" s="362"/>
      <c r="AZ74" s="362"/>
      <c r="BA74" s="362"/>
      <c r="BB74" s="362"/>
      <c r="BC74" s="365"/>
      <c r="BD74" s="363"/>
      <c r="BE74" s="385">
        <v>6.5</v>
      </c>
      <c r="BF74" s="363"/>
      <c r="BG74" s="363"/>
      <c r="BH74" s="363"/>
      <c r="BI74" s="363"/>
      <c r="BJ74" s="363"/>
      <c r="BK74" s="363"/>
      <c r="BL74" s="379">
        <v>19.5</v>
      </c>
      <c r="BM74" s="363"/>
      <c r="BN74" s="363"/>
      <c r="BO74" s="363"/>
      <c r="BP74" s="363"/>
      <c r="BQ74" s="363"/>
      <c r="BR74" s="366"/>
    </row>
    <row r="75" spans="1:70" x14ac:dyDescent="0.25">
      <c r="A75" s="224" t="s">
        <v>121</v>
      </c>
      <c r="B75" s="147" t="str">
        <f>VLOOKUP(A75,'Mã NV'!$A$1:$C$27,2,0)</f>
        <v>Dương Tấn Đạt</v>
      </c>
      <c r="C75" s="207" t="s">
        <v>438</v>
      </c>
      <c r="D75" s="362"/>
      <c r="E75" s="362"/>
      <c r="F75" s="404">
        <f>416.666666666667+216.67</f>
        <v>633.33666666666704</v>
      </c>
      <c r="G75" s="362"/>
      <c r="H75" s="362"/>
      <c r="I75" s="362"/>
      <c r="J75" s="362"/>
      <c r="K75" s="362"/>
      <c r="L75" s="362"/>
      <c r="M75" s="362"/>
      <c r="N75" s="362"/>
      <c r="O75" s="362"/>
      <c r="P75" s="362"/>
      <c r="Q75" s="362"/>
      <c r="R75" s="362"/>
      <c r="S75" s="362"/>
      <c r="T75" s="362"/>
      <c r="U75" s="362"/>
      <c r="V75" s="362"/>
      <c r="W75" s="362"/>
      <c r="X75" s="362"/>
      <c r="Y75" s="362"/>
      <c r="Z75" s="362"/>
      <c r="AA75" s="404">
        <v>83.333333333333329</v>
      </c>
      <c r="AB75" s="362"/>
      <c r="AC75" s="362"/>
      <c r="AD75" s="362"/>
      <c r="AE75" s="362"/>
      <c r="AF75" s="362"/>
      <c r="AG75" s="362"/>
      <c r="AH75" s="362"/>
      <c r="AI75" s="362"/>
      <c r="AJ75" s="362"/>
      <c r="AK75" s="362"/>
      <c r="AL75" s="362"/>
      <c r="AM75" s="362"/>
      <c r="AN75" s="362"/>
      <c r="AO75" s="362"/>
      <c r="AP75" s="362"/>
      <c r="AQ75" s="362"/>
      <c r="AR75" s="362"/>
      <c r="AS75" s="362"/>
      <c r="AT75" s="362"/>
      <c r="AU75" s="362"/>
      <c r="AV75" s="362"/>
      <c r="AW75" s="362"/>
      <c r="AX75" s="362"/>
      <c r="AY75" s="362"/>
      <c r="AZ75" s="362"/>
      <c r="BA75" s="362"/>
      <c r="BB75" s="362"/>
      <c r="BC75" s="365"/>
      <c r="BD75" s="363"/>
      <c r="BE75" s="385">
        <v>14.5</v>
      </c>
      <c r="BF75" s="363"/>
      <c r="BG75" s="363"/>
      <c r="BH75" s="363"/>
      <c r="BI75" s="363"/>
      <c r="BJ75" s="363"/>
      <c r="BK75" s="363"/>
      <c r="BL75" s="379">
        <v>2</v>
      </c>
      <c r="BM75" s="363"/>
      <c r="BN75" s="363"/>
      <c r="BO75" s="363"/>
      <c r="BP75" s="363"/>
      <c r="BQ75" s="363"/>
      <c r="BR75" s="366"/>
    </row>
    <row r="76" spans="1:70" s="318" customFormat="1" x14ac:dyDescent="0.25">
      <c r="A76" s="473" t="s">
        <v>407</v>
      </c>
      <c r="B76" s="478" t="str">
        <f>VLOOKUP(A76,'Mã NV'!$A$1:$C$27,2,0)</f>
        <v>Nguyễn Thanh Hùng</v>
      </c>
      <c r="C76" s="475" t="s">
        <v>438</v>
      </c>
      <c r="D76" s="476">
        <v>875</v>
      </c>
      <c r="E76" s="476">
        <v>1425</v>
      </c>
      <c r="F76" s="364">
        <v>1350</v>
      </c>
      <c r="G76" s="364"/>
      <c r="H76" s="476">
        <v>325</v>
      </c>
      <c r="I76" s="364"/>
      <c r="J76" s="476">
        <v>325</v>
      </c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476">
        <v>83.333333333333329</v>
      </c>
      <c r="AB76" s="364"/>
      <c r="AC76" s="364"/>
      <c r="AD76" s="476">
        <v>62.5</v>
      </c>
      <c r="AE76" s="364"/>
      <c r="AF76" s="364"/>
      <c r="AG76" s="364"/>
      <c r="AH76" s="364"/>
      <c r="AI76" s="364"/>
      <c r="AJ76" s="476">
        <v>2.5</v>
      </c>
      <c r="AK76" s="476">
        <v>75</v>
      </c>
      <c r="AL76" s="364"/>
      <c r="AM76" s="476">
        <v>50</v>
      </c>
      <c r="AN76" s="364"/>
      <c r="AO76" s="364"/>
      <c r="AP76" s="364"/>
      <c r="AQ76" s="364"/>
      <c r="AR76" s="364"/>
      <c r="AS76" s="364"/>
      <c r="AT76" s="364"/>
      <c r="AU76" s="364"/>
      <c r="AV76" s="364"/>
      <c r="AW76" s="364"/>
      <c r="AX76" s="364"/>
      <c r="AY76" s="364"/>
      <c r="AZ76" s="364"/>
      <c r="BA76" s="364"/>
      <c r="BB76" s="364"/>
      <c r="BC76" s="479"/>
      <c r="BD76" s="480"/>
      <c r="BE76" s="481">
        <v>14.25</v>
      </c>
      <c r="BF76" s="480"/>
      <c r="BG76" s="480"/>
      <c r="BH76" s="480"/>
      <c r="BI76" s="480"/>
      <c r="BJ76" s="480"/>
      <c r="BK76" s="480"/>
      <c r="BL76" s="482">
        <v>4</v>
      </c>
      <c r="BM76" s="480"/>
      <c r="BN76" s="480"/>
      <c r="BO76" s="480"/>
      <c r="BP76" s="480"/>
      <c r="BQ76" s="480"/>
      <c r="BR76" s="480"/>
    </row>
    <row r="77" spans="1:70" x14ac:dyDescent="0.25">
      <c r="A77" s="224" t="s">
        <v>409</v>
      </c>
      <c r="B77" s="147" t="str">
        <f>VLOOKUP(A77,'Mã NV'!$A$1:$C$27,2,0)</f>
        <v>Đặng Văn Luân</v>
      </c>
      <c r="C77" s="207" t="s">
        <v>438</v>
      </c>
      <c r="D77" s="404">
        <v>770</v>
      </c>
      <c r="E77" s="404">
        <v>725</v>
      </c>
      <c r="F77" s="404">
        <f>1216.66666666667+416.67</f>
        <v>1633.33666666667</v>
      </c>
      <c r="G77" s="362"/>
      <c r="H77" s="362"/>
      <c r="I77" s="362"/>
      <c r="J77" s="362"/>
      <c r="K77" s="362"/>
      <c r="L77" s="362"/>
      <c r="M77" s="362"/>
      <c r="N77" s="362"/>
      <c r="O77" s="362"/>
      <c r="P77" s="362"/>
      <c r="Q77" s="362"/>
      <c r="R77" s="362"/>
      <c r="S77" s="362"/>
      <c r="T77" s="362"/>
      <c r="U77" s="362"/>
      <c r="V77" s="362"/>
      <c r="W77" s="362"/>
      <c r="X77" s="362"/>
      <c r="Y77" s="362"/>
      <c r="Z77" s="362"/>
      <c r="AA77" s="404">
        <v>83.333333333333329</v>
      </c>
      <c r="AB77" s="362"/>
      <c r="AC77" s="362"/>
      <c r="AD77" s="404">
        <v>62.5</v>
      </c>
      <c r="AE77" s="362"/>
      <c r="AF77" s="362"/>
      <c r="AG77" s="362"/>
      <c r="AH77" s="362"/>
      <c r="AI77" s="362"/>
      <c r="AJ77" s="404">
        <v>2.5</v>
      </c>
      <c r="AK77" s="404">
        <v>75</v>
      </c>
      <c r="AL77" s="362"/>
      <c r="AM77" s="404">
        <v>50</v>
      </c>
      <c r="AN77" s="362"/>
      <c r="AO77" s="362"/>
      <c r="AP77" s="362"/>
      <c r="AQ77" s="362"/>
      <c r="AR77" s="362"/>
      <c r="AS77" s="362"/>
      <c r="AT77" s="362"/>
      <c r="AU77" s="362"/>
      <c r="AV77" s="404">
        <v>600</v>
      </c>
      <c r="AW77" s="362"/>
      <c r="AX77" s="362"/>
      <c r="AY77" s="362"/>
      <c r="AZ77" s="362"/>
      <c r="BA77" s="362"/>
      <c r="BB77" s="362"/>
      <c r="BC77" s="365"/>
      <c r="BD77" s="363"/>
      <c r="BE77" s="385">
        <v>11</v>
      </c>
      <c r="BF77" s="363"/>
      <c r="BG77" s="363"/>
      <c r="BH77" s="363"/>
      <c r="BI77" s="363"/>
      <c r="BJ77" s="363"/>
      <c r="BK77" s="363"/>
      <c r="BL77" s="379">
        <v>9.5</v>
      </c>
      <c r="BM77" s="363"/>
      <c r="BN77" s="363"/>
      <c r="BO77" s="363"/>
      <c r="BP77" s="363"/>
      <c r="BQ77" s="363"/>
      <c r="BR77" s="366"/>
    </row>
    <row r="78" spans="1:70" s="318" customFormat="1" x14ac:dyDescent="0.25">
      <c r="A78" s="473" t="s">
        <v>410</v>
      </c>
      <c r="B78" s="478" t="str">
        <f>VLOOKUP(A78,'Mã NV'!$A$1:$C$27,2,0)</f>
        <v>Phan Thanh Minh</v>
      </c>
      <c r="C78" s="475" t="s">
        <v>438</v>
      </c>
      <c r="D78" s="476">
        <v>750</v>
      </c>
      <c r="E78" s="476">
        <v>1425</v>
      </c>
      <c r="F78" s="364">
        <v>1550</v>
      </c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  <c r="X78" s="364"/>
      <c r="Y78" s="364"/>
      <c r="Z78" s="364"/>
      <c r="AA78" s="476">
        <v>83.333333333333329</v>
      </c>
      <c r="AB78" s="364"/>
      <c r="AC78" s="364"/>
      <c r="AD78" s="364"/>
      <c r="AE78" s="364"/>
      <c r="AF78" s="364"/>
      <c r="AG78" s="364"/>
      <c r="AH78" s="364"/>
      <c r="AI78" s="364"/>
      <c r="AJ78" s="364"/>
      <c r="AK78" s="364"/>
      <c r="AL78" s="364"/>
      <c r="AM78" s="476">
        <v>50</v>
      </c>
      <c r="AN78" s="364"/>
      <c r="AO78" s="364"/>
      <c r="AP78" s="364"/>
      <c r="AQ78" s="364"/>
      <c r="AR78" s="364"/>
      <c r="AS78" s="364"/>
      <c r="AT78" s="364"/>
      <c r="AU78" s="364"/>
      <c r="AV78" s="364"/>
      <c r="AW78" s="364"/>
      <c r="AX78" s="364"/>
      <c r="AY78" s="364"/>
      <c r="AZ78" s="364"/>
      <c r="BA78" s="364"/>
      <c r="BB78" s="364"/>
      <c r="BC78" s="479"/>
      <c r="BD78" s="480"/>
      <c r="BE78" s="481">
        <v>16.5</v>
      </c>
      <c r="BF78" s="480"/>
      <c r="BG78" s="480"/>
      <c r="BH78" s="480"/>
      <c r="BI78" s="480"/>
      <c r="BJ78" s="480"/>
      <c r="BK78" s="480"/>
      <c r="BL78" s="482">
        <v>15</v>
      </c>
      <c r="BM78" s="480"/>
      <c r="BN78" s="480"/>
      <c r="BO78" s="480"/>
      <c r="BP78" s="480"/>
      <c r="BQ78" s="480"/>
      <c r="BR78" s="480"/>
    </row>
  </sheetData>
  <autoFilter ref="A11:BU78"/>
  <mergeCells count="6">
    <mergeCell ref="A10:C10"/>
    <mergeCell ref="BD6:BQ6"/>
    <mergeCell ref="A6:C6"/>
    <mergeCell ref="N6:U6"/>
    <mergeCell ref="A8:C8"/>
    <mergeCell ref="A9:C9"/>
  </mergeCells>
  <pageMargins left="0.7" right="0.7" top="0.75" bottom="0.75" header="0.3" footer="0.3"/>
  <pageSetup paperSize="9" orientation="portrait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opLeftCell="A12" workbookViewId="0">
      <selection activeCell="A2" sqref="A2:A27"/>
    </sheetView>
  </sheetViews>
  <sheetFormatPr defaultRowHeight="15.75" x14ac:dyDescent="0.25"/>
  <cols>
    <col min="1" max="1" width="9.28515625" style="197"/>
    <col min="2" max="2" width="31.5703125" customWidth="1"/>
    <col min="3" max="3" width="17" customWidth="1"/>
    <col min="4" max="4" width="9.7109375" bestFit="1" customWidth="1"/>
    <col min="6" max="6" width="19.5703125" customWidth="1"/>
    <col min="7" max="7" width="18" customWidth="1"/>
  </cols>
  <sheetData>
    <row r="1" spans="1:7" ht="18.75" x14ac:dyDescent="0.3">
      <c r="A1" s="223" t="s">
        <v>375</v>
      </c>
      <c r="B1" s="155" t="s">
        <v>1</v>
      </c>
      <c r="C1" s="155" t="s">
        <v>122</v>
      </c>
      <c r="D1" s="155" t="s">
        <v>374</v>
      </c>
      <c r="F1" s="153" t="s">
        <v>372</v>
      </c>
      <c r="G1" s="153" t="s">
        <v>373</v>
      </c>
    </row>
    <row r="2" spans="1:7" ht="18.75" x14ac:dyDescent="0.3">
      <c r="A2" s="224" t="s">
        <v>101</v>
      </c>
      <c r="B2" s="156" t="s">
        <v>176</v>
      </c>
      <c r="C2" s="29" t="s">
        <v>123</v>
      </c>
      <c r="D2" s="29" t="s">
        <v>101</v>
      </c>
      <c r="F2" s="154" t="s">
        <v>353</v>
      </c>
      <c r="G2" s="154" t="s">
        <v>354</v>
      </c>
    </row>
    <row r="3" spans="1:7" ht="18.75" x14ac:dyDescent="0.3">
      <c r="A3" s="224" t="s">
        <v>102</v>
      </c>
      <c r="B3" s="214" t="s">
        <v>395</v>
      </c>
      <c r="C3" s="29" t="s">
        <v>123</v>
      </c>
      <c r="D3" s="29" t="s">
        <v>102</v>
      </c>
      <c r="F3" s="154" t="s">
        <v>355</v>
      </c>
      <c r="G3" s="154" t="s">
        <v>354</v>
      </c>
    </row>
    <row r="4" spans="1:7" ht="18.75" x14ac:dyDescent="0.3">
      <c r="A4" s="224" t="s">
        <v>103</v>
      </c>
      <c r="B4" s="156" t="s">
        <v>177</v>
      </c>
      <c r="C4" s="29" t="s">
        <v>123</v>
      </c>
      <c r="D4" s="29" t="s">
        <v>103</v>
      </c>
      <c r="F4" s="154" t="s">
        <v>356</v>
      </c>
      <c r="G4" s="154" t="s">
        <v>357</v>
      </c>
    </row>
    <row r="5" spans="1:7" ht="18.75" x14ac:dyDescent="0.3">
      <c r="A5" s="224" t="s">
        <v>104</v>
      </c>
      <c r="B5" s="214" t="s">
        <v>396</v>
      </c>
      <c r="C5" s="29" t="s">
        <v>123</v>
      </c>
      <c r="D5" s="29" t="s">
        <v>104</v>
      </c>
      <c r="F5" s="154" t="s">
        <v>358</v>
      </c>
      <c r="G5" s="154" t="s">
        <v>357</v>
      </c>
    </row>
    <row r="6" spans="1:7" ht="18.75" x14ac:dyDescent="0.3">
      <c r="A6" s="224" t="s">
        <v>105</v>
      </c>
      <c r="B6" s="156" t="s">
        <v>178</v>
      </c>
      <c r="C6" s="29" t="s">
        <v>123</v>
      </c>
      <c r="D6" s="29" t="s">
        <v>105</v>
      </c>
      <c r="F6" s="154" t="s">
        <v>359</v>
      </c>
      <c r="G6" s="154" t="s">
        <v>357</v>
      </c>
    </row>
    <row r="7" spans="1:7" ht="18.75" x14ac:dyDescent="0.3">
      <c r="A7" s="224" t="s">
        <v>106</v>
      </c>
      <c r="B7" s="156" t="s">
        <v>179</v>
      </c>
      <c r="C7" s="29" t="s">
        <v>123</v>
      </c>
      <c r="D7" s="29" t="s">
        <v>106</v>
      </c>
      <c r="F7" s="154" t="s">
        <v>360</v>
      </c>
      <c r="G7" s="154" t="s">
        <v>361</v>
      </c>
    </row>
    <row r="8" spans="1:7" ht="18.75" x14ac:dyDescent="0.3">
      <c r="A8" s="224" t="s">
        <v>107</v>
      </c>
      <c r="B8" s="156" t="s">
        <v>180</v>
      </c>
      <c r="C8" s="29" t="s">
        <v>123</v>
      </c>
      <c r="D8" s="29" t="s">
        <v>107</v>
      </c>
      <c r="F8" s="154" t="s">
        <v>362</v>
      </c>
      <c r="G8" s="154" t="s">
        <v>357</v>
      </c>
    </row>
    <row r="9" spans="1:7" ht="18.75" x14ac:dyDescent="0.3">
      <c r="A9" s="224" t="s">
        <v>108</v>
      </c>
      <c r="B9" s="156" t="s">
        <v>181</v>
      </c>
      <c r="C9" s="29" t="s">
        <v>123</v>
      </c>
      <c r="D9" s="29" t="s">
        <v>108</v>
      </c>
      <c r="F9" s="154" t="s">
        <v>363</v>
      </c>
      <c r="G9" s="154" t="s">
        <v>357</v>
      </c>
    </row>
    <row r="10" spans="1:7" ht="18.75" x14ac:dyDescent="0.3">
      <c r="A10" s="224" t="s">
        <v>109</v>
      </c>
      <c r="B10" s="156" t="s">
        <v>182</v>
      </c>
      <c r="C10" s="29" t="s">
        <v>123</v>
      </c>
      <c r="D10" s="29" t="s">
        <v>109</v>
      </c>
      <c r="F10" s="154" t="s">
        <v>364</v>
      </c>
      <c r="G10" s="154" t="s">
        <v>354</v>
      </c>
    </row>
    <row r="11" spans="1:7" ht="18.75" x14ac:dyDescent="0.3">
      <c r="A11" s="224" t="s">
        <v>110</v>
      </c>
      <c r="B11" s="156" t="s">
        <v>183</v>
      </c>
      <c r="C11" s="29" t="s">
        <v>123</v>
      </c>
      <c r="D11" s="29" t="s">
        <v>110</v>
      </c>
      <c r="F11" s="154" t="s">
        <v>384</v>
      </c>
      <c r="G11" s="28"/>
    </row>
    <row r="12" spans="1:7" ht="18.75" x14ac:dyDescent="0.3">
      <c r="A12" s="224" t="s">
        <v>111</v>
      </c>
      <c r="B12" s="156" t="s">
        <v>184</v>
      </c>
      <c r="C12" s="29" t="s">
        <v>123</v>
      </c>
      <c r="D12" s="29" t="s">
        <v>111</v>
      </c>
      <c r="F12" s="154" t="s">
        <v>385</v>
      </c>
      <c r="G12" s="28"/>
    </row>
    <row r="13" spans="1:7" ht="18.75" x14ac:dyDescent="0.3">
      <c r="A13" s="224" t="s">
        <v>112</v>
      </c>
      <c r="B13" s="156" t="s">
        <v>391</v>
      </c>
      <c r="C13" s="29" t="s">
        <v>123</v>
      </c>
      <c r="D13" s="29" t="s">
        <v>112</v>
      </c>
    </row>
    <row r="14" spans="1:7" ht="18.75" x14ac:dyDescent="0.3">
      <c r="A14" s="224" t="s">
        <v>113</v>
      </c>
      <c r="B14" s="156" t="s">
        <v>387</v>
      </c>
      <c r="C14" s="29" t="s">
        <v>123</v>
      </c>
      <c r="D14" s="29" t="s">
        <v>113</v>
      </c>
    </row>
    <row r="15" spans="1:7" ht="18.75" x14ac:dyDescent="0.3">
      <c r="A15" s="224" t="s">
        <v>114</v>
      </c>
      <c r="B15" s="156" t="s">
        <v>388</v>
      </c>
      <c r="C15" s="29" t="s">
        <v>123</v>
      </c>
      <c r="D15" s="29" t="s">
        <v>114</v>
      </c>
    </row>
    <row r="16" spans="1:7" ht="18.75" x14ac:dyDescent="0.3">
      <c r="A16" s="224" t="s">
        <v>115</v>
      </c>
      <c r="B16" s="156" t="s">
        <v>393</v>
      </c>
      <c r="C16" s="29" t="s">
        <v>123</v>
      </c>
      <c r="D16" s="29" t="s">
        <v>115</v>
      </c>
    </row>
    <row r="17" spans="1:4" ht="18.75" x14ac:dyDescent="0.3">
      <c r="A17" s="224" t="s">
        <v>116</v>
      </c>
      <c r="B17" s="272" t="s">
        <v>403</v>
      </c>
      <c r="C17" s="29" t="s">
        <v>123</v>
      </c>
      <c r="D17" s="29" t="s">
        <v>116</v>
      </c>
    </row>
    <row r="18" spans="1:4" ht="18.75" x14ac:dyDescent="0.3">
      <c r="A18" s="224" t="s">
        <v>117</v>
      </c>
      <c r="B18" s="272" t="s">
        <v>404</v>
      </c>
      <c r="C18" s="29" t="s">
        <v>123</v>
      </c>
      <c r="D18" s="29" t="s">
        <v>117</v>
      </c>
    </row>
    <row r="19" spans="1:4" ht="18.75" x14ac:dyDescent="0.3">
      <c r="A19" s="224" t="s">
        <v>118</v>
      </c>
      <c r="B19" s="272" t="s">
        <v>405</v>
      </c>
      <c r="C19" s="29" t="s">
        <v>123</v>
      </c>
      <c r="D19" s="29" t="s">
        <v>118</v>
      </c>
    </row>
    <row r="20" spans="1:4" ht="18.75" x14ac:dyDescent="0.3">
      <c r="A20" s="224" t="s">
        <v>119</v>
      </c>
      <c r="B20" s="156" t="s">
        <v>406</v>
      </c>
      <c r="C20" s="29" t="s">
        <v>123</v>
      </c>
      <c r="D20" s="29" t="s">
        <v>119</v>
      </c>
    </row>
    <row r="21" spans="1:4" ht="18.75" x14ac:dyDescent="0.3">
      <c r="A21" s="224" t="s">
        <v>120</v>
      </c>
      <c r="B21" s="278" t="s">
        <v>413</v>
      </c>
      <c r="C21" s="29" t="s">
        <v>123</v>
      </c>
      <c r="D21" s="29" t="s">
        <v>120</v>
      </c>
    </row>
    <row r="22" spans="1:4" ht="18.75" x14ac:dyDescent="0.3">
      <c r="A22" s="224" t="s">
        <v>121</v>
      </c>
      <c r="B22" s="277" t="s">
        <v>424</v>
      </c>
      <c r="C22" s="29" t="s">
        <v>123</v>
      </c>
      <c r="D22" s="29" t="s">
        <v>121</v>
      </c>
    </row>
    <row r="23" spans="1:4" ht="18.75" x14ac:dyDescent="0.3">
      <c r="A23" s="224" t="s">
        <v>407</v>
      </c>
      <c r="B23" s="277" t="s">
        <v>425</v>
      </c>
      <c r="C23" s="29" t="s">
        <v>123</v>
      </c>
      <c r="D23" s="29" t="s">
        <v>407</v>
      </c>
    </row>
    <row r="24" spans="1:4" ht="18.75" x14ac:dyDescent="0.3">
      <c r="A24" s="224" t="s">
        <v>408</v>
      </c>
      <c r="B24" s="277" t="s">
        <v>426</v>
      </c>
      <c r="C24" s="29" t="s">
        <v>123</v>
      </c>
      <c r="D24" s="29" t="s">
        <v>408</v>
      </c>
    </row>
    <row r="25" spans="1:4" ht="18.75" x14ac:dyDescent="0.3">
      <c r="A25" s="224" t="s">
        <v>409</v>
      </c>
      <c r="B25" s="277" t="s">
        <v>427</v>
      </c>
      <c r="C25" s="29" t="s">
        <v>123</v>
      </c>
      <c r="D25" s="29" t="s">
        <v>409</v>
      </c>
    </row>
    <row r="26" spans="1:4" ht="18.75" x14ac:dyDescent="0.3">
      <c r="A26" s="224" t="s">
        <v>410</v>
      </c>
      <c r="B26" s="277" t="s">
        <v>428</v>
      </c>
      <c r="C26" s="29" t="s">
        <v>123</v>
      </c>
      <c r="D26" s="29" t="s">
        <v>410</v>
      </c>
    </row>
    <row r="27" spans="1:4" ht="18.75" x14ac:dyDescent="0.3">
      <c r="A27" s="224" t="s">
        <v>412</v>
      </c>
      <c r="B27" s="156" t="s">
        <v>185</v>
      </c>
      <c r="C27" s="29" t="s">
        <v>411</v>
      </c>
      <c r="D27" s="29" t="s">
        <v>389</v>
      </c>
    </row>
    <row r="28" spans="1:4" ht="15" x14ac:dyDescent="0.25">
      <c r="A28"/>
    </row>
    <row r="29" spans="1:4" ht="15" x14ac:dyDescent="0.25">
      <c r="A29"/>
    </row>
    <row r="30" spans="1:4" ht="15" x14ac:dyDescent="0.25">
      <c r="A30"/>
    </row>
    <row r="31" spans="1:4" ht="15" x14ac:dyDescent="0.25">
      <c r="A31"/>
    </row>
    <row r="32" spans="1:4" ht="15" x14ac:dyDescent="0.25">
      <c r="A32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ySplit="2" topLeftCell="A3" activePane="bottomLeft" state="frozen"/>
      <selection activeCell="D57" sqref="D57"/>
      <selection pane="bottomLeft" activeCell="C25" sqref="C25"/>
    </sheetView>
  </sheetViews>
  <sheetFormatPr defaultColWidth="9.28515625" defaultRowHeight="15.75" x14ac:dyDescent="0.25"/>
  <cols>
    <col min="1" max="1" width="9.28515625" style="211"/>
    <col min="2" max="2" width="24.28515625" style="105" customWidth="1"/>
    <col min="3" max="3" width="17.28515625" style="105" customWidth="1"/>
    <col min="4" max="4" width="18.7109375" style="105" customWidth="1"/>
    <col min="5" max="5" width="20.7109375" style="105" customWidth="1"/>
    <col min="6" max="6" width="9.28515625" style="105"/>
    <col min="7" max="7" width="14.28515625" style="105" customWidth="1"/>
    <col min="8" max="8" width="12.5703125" style="105" bestFit="1" customWidth="1"/>
    <col min="9" max="16384" width="9.28515625" style="105"/>
  </cols>
  <sheetData>
    <row r="1" spans="1:6" ht="41.25" customHeight="1" x14ac:dyDescent="0.25">
      <c r="B1" s="558" t="s">
        <v>434</v>
      </c>
      <c r="C1" s="559"/>
      <c r="D1" s="559"/>
      <c r="E1" s="559"/>
      <c r="F1" s="121"/>
    </row>
    <row r="2" spans="1:6" x14ac:dyDescent="0.25">
      <c r="A2" s="212" t="s">
        <v>383</v>
      </c>
      <c r="B2" s="122" t="s">
        <v>296</v>
      </c>
      <c r="C2" s="122" t="s">
        <v>350</v>
      </c>
      <c r="D2" s="122" t="s">
        <v>351</v>
      </c>
      <c r="E2" s="122" t="s">
        <v>352</v>
      </c>
    </row>
    <row r="3" spans="1:6" x14ac:dyDescent="0.25">
      <c r="A3" s="213" t="s">
        <v>101</v>
      </c>
      <c r="B3" s="123" t="str">
        <f>VLOOKUP(A3,'Mã NV'!$A$1:$C$27,2,0)</f>
        <v>Nguyễn Văn Chiến</v>
      </c>
      <c r="C3" s="471">
        <v>4000000</v>
      </c>
      <c r="D3" s="276">
        <f>C3</f>
        <v>4000000</v>
      </c>
      <c r="E3" s="124"/>
    </row>
    <row r="4" spans="1:6" s="125" customFormat="1" x14ac:dyDescent="0.25">
      <c r="A4" s="213" t="s">
        <v>102</v>
      </c>
      <c r="B4" s="123" t="str">
        <f>VLOOKUP(A4,'Mã NV'!$A$1:$C$27,2,0)</f>
        <v>Ngô Văn Thanh</v>
      </c>
      <c r="C4" s="276">
        <v>0</v>
      </c>
      <c r="D4" s="276">
        <f t="shared" ref="D4:D24" si="0">C4</f>
        <v>0</v>
      </c>
      <c r="E4" s="124"/>
      <c r="F4" s="121"/>
    </row>
    <row r="5" spans="1:6" s="125" customFormat="1" x14ac:dyDescent="0.25">
      <c r="A5" s="213" t="s">
        <v>103</v>
      </c>
      <c r="B5" s="123" t="str">
        <f>VLOOKUP(A5,'Mã NV'!$A$1:$C$27,2,0)</f>
        <v>Võ Văn Giàu</v>
      </c>
      <c r="C5" s="471">
        <v>4000000</v>
      </c>
      <c r="D5" s="276">
        <f t="shared" si="0"/>
        <v>4000000</v>
      </c>
      <c r="E5" s="124"/>
      <c r="F5" s="121"/>
    </row>
    <row r="6" spans="1:6" x14ac:dyDescent="0.25">
      <c r="A6" s="213" t="s">
        <v>105</v>
      </c>
      <c r="B6" s="123" t="str">
        <f>VLOOKUP(A6,'Mã NV'!$A$1:$C$27,2,0)</f>
        <v>Lê Phi Trung</v>
      </c>
      <c r="C6" s="471">
        <v>4000000</v>
      </c>
      <c r="D6" s="276">
        <f t="shared" si="0"/>
        <v>4000000</v>
      </c>
      <c r="E6" s="124"/>
      <c r="F6" s="121"/>
    </row>
    <row r="7" spans="1:6" x14ac:dyDescent="0.25">
      <c r="A7" s="213" t="s">
        <v>106</v>
      </c>
      <c r="B7" s="123" t="str">
        <f>VLOOKUP(A7,'Mã NV'!$A$1:$C$27,2,0)</f>
        <v>Lâm Văn Thương</v>
      </c>
      <c r="C7" s="471">
        <v>4000000</v>
      </c>
      <c r="D7" s="276">
        <f t="shared" si="0"/>
        <v>4000000</v>
      </c>
      <c r="E7" s="124"/>
      <c r="F7" s="121"/>
    </row>
    <row r="8" spans="1:6" x14ac:dyDescent="0.25">
      <c r="A8" s="213" t="s">
        <v>107</v>
      </c>
      <c r="B8" s="123" t="str">
        <f>VLOOKUP(A8,'Mã NV'!$A$1:$C$27,2,0)</f>
        <v>Võ Văn Có</v>
      </c>
      <c r="C8" s="471">
        <v>4000000</v>
      </c>
      <c r="D8" s="276">
        <f t="shared" si="0"/>
        <v>4000000</v>
      </c>
      <c r="E8" s="124"/>
      <c r="F8" s="121"/>
    </row>
    <row r="9" spans="1:6" x14ac:dyDescent="0.25">
      <c r="A9" s="213" t="s">
        <v>108</v>
      </c>
      <c r="B9" s="123" t="str">
        <f>VLOOKUP(A9,'Mã NV'!$A$1:$C$27,2,0)</f>
        <v>Lê Minh Nghĩa</v>
      </c>
      <c r="C9" s="471">
        <v>4000000</v>
      </c>
      <c r="D9" s="276">
        <f t="shared" si="0"/>
        <v>4000000</v>
      </c>
      <c r="E9" s="124"/>
      <c r="F9" s="121"/>
    </row>
    <row r="10" spans="1:6" x14ac:dyDescent="0.25">
      <c r="A10" s="213" t="s">
        <v>109</v>
      </c>
      <c r="B10" s="123" t="str">
        <f>VLOOKUP(A10,'Mã NV'!$A$1:$C$27,2,0)</f>
        <v>Trần Văn Tây</v>
      </c>
      <c r="C10" s="471">
        <v>4000000</v>
      </c>
      <c r="D10" s="276">
        <f t="shared" si="0"/>
        <v>4000000</v>
      </c>
      <c r="E10" s="124"/>
      <c r="F10" s="121"/>
    </row>
    <row r="11" spans="1:6" x14ac:dyDescent="0.25">
      <c r="A11" s="213" t="s">
        <v>110</v>
      </c>
      <c r="B11" s="123" t="str">
        <f>VLOOKUP(A11,'Mã NV'!$A$1:$C$27,2,0)</f>
        <v>Huỳnh Huy Phụng</v>
      </c>
      <c r="C11" s="471">
        <v>4000000</v>
      </c>
      <c r="D11" s="276">
        <f t="shared" si="0"/>
        <v>4000000</v>
      </c>
      <c r="E11" s="124"/>
      <c r="F11" s="121"/>
    </row>
    <row r="12" spans="1:6" x14ac:dyDescent="0.25">
      <c r="A12" s="213" t="s">
        <v>112</v>
      </c>
      <c r="B12" s="123" t="str">
        <f>VLOOKUP(A12,'Mã NV'!$A$1:$C$27,2,0)</f>
        <v>Lê Hiệp</v>
      </c>
      <c r="C12" s="276">
        <v>0</v>
      </c>
      <c r="D12" s="276">
        <f t="shared" si="0"/>
        <v>0</v>
      </c>
      <c r="E12" s="124"/>
      <c r="F12" s="121"/>
    </row>
    <row r="13" spans="1:6" x14ac:dyDescent="0.25">
      <c r="A13" s="213" t="s">
        <v>113</v>
      </c>
      <c r="B13" s="123" t="str">
        <f>VLOOKUP(A13,'Mã NV'!$A$1:$C$27,2,0)</f>
        <v>Lê Văn Bi</v>
      </c>
      <c r="C13" s="276">
        <v>0</v>
      </c>
      <c r="D13" s="276">
        <f t="shared" si="0"/>
        <v>0</v>
      </c>
      <c r="E13" s="124"/>
      <c r="F13" s="121"/>
    </row>
    <row r="14" spans="1:6" x14ac:dyDescent="0.25">
      <c r="A14" s="213" t="s">
        <v>115</v>
      </c>
      <c r="B14" s="123" t="str">
        <f>VLOOKUP(A14,'Mã NV'!$A$1:$C$27,2,0)</f>
        <v>Trần Anh Dũ</v>
      </c>
      <c r="C14" s="471">
        <v>4000000</v>
      </c>
      <c r="D14" s="276">
        <f t="shared" si="0"/>
        <v>4000000</v>
      </c>
      <c r="E14" s="124"/>
      <c r="F14" s="121"/>
    </row>
    <row r="15" spans="1:6" x14ac:dyDescent="0.25">
      <c r="A15" s="213" t="s">
        <v>116</v>
      </c>
      <c r="B15" s="123" t="str">
        <f>VLOOKUP(A15,'Mã NV'!$A$1:$C$27,2,0)</f>
        <v>Thạch Ngọc Tiến</v>
      </c>
      <c r="C15" s="471">
        <v>4000000</v>
      </c>
      <c r="D15" s="276">
        <f t="shared" si="0"/>
        <v>4000000</v>
      </c>
      <c r="E15" s="124"/>
      <c r="F15" s="121"/>
    </row>
    <row r="16" spans="1:6" x14ac:dyDescent="0.25">
      <c r="A16" s="213" t="s">
        <v>117</v>
      </c>
      <c r="B16" s="123" t="str">
        <f>VLOOKUP(A16,'Mã NV'!$A$1:$C$27,2,0)</f>
        <v>Nguyễn Tuấn Vinh</v>
      </c>
      <c r="C16" s="276">
        <v>0</v>
      </c>
      <c r="D16" s="276">
        <f t="shared" si="0"/>
        <v>0</v>
      </c>
      <c r="E16" s="124"/>
      <c r="F16" s="121"/>
    </row>
    <row r="17" spans="1:6" x14ac:dyDescent="0.25">
      <c r="A17" s="213" t="s">
        <v>118</v>
      </c>
      <c r="B17" s="123" t="str">
        <f>VLOOKUP(A17,'Mã NV'!$A$1:$C$27,2,0)</f>
        <v>Trần Thanh Nguyên</v>
      </c>
      <c r="C17" s="276">
        <v>0</v>
      </c>
      <c r="D17" s="276">
        <f t="shared" si="0"/>
        <v>0</v>
      </c>
      <c r="E17" s="124"/>
      <c r="F17" s="121"/>
    </row>
    <row r="18" spans="1:6" x14ac:dyDescent="0.25">
      <c r="A18" s="213" t="s">
        <v>119</v>
      </c>
      <c r="B18" s="123" t="str">
        <f>VLOOKUP(A18,'Mã NV'!$A$1:$C$27,2,0)</f>
        <v>Lê Nhật Trường Giang</v>
      </c>
      <c r="C18" s="471">
        <v>4000000</v>
      </c>
      <c r="D18" s="276">
        <f t="shared" si="0"/>
        <v>4000000</v>
      </c>
      <c r="E18" s="124"/>
      <c r="F18" s="121"/>
    </row>
    <row r="19" spans="1:6" s="125" customFormat="1" x14ac:dyDescent="0.25">
      <c r="A19" s="213" t="s">
        <v>120</v>
      </c>
      <c r="B19" s="123" t="str">
        <f>VLOOKUP(A19,'Mã NV'!$A$1:$C$27,2,0)</f>
        <v>Thạch Ngọc Thắng</v>
      </c>
      <c r="C19" s="276">
        <v>0</v>
      </c>
      <c r="D19" s="276">
        <f t="shared" si="0"/>
        <v>0</v>
      </c>
      <c r="E19" s="124"/>
      <c r="F19" s="121"/>
    </row>
    <row r="20" spans="1:6" x14ac:dyDescent="0.25">
      <c r="A20" s="213" t="s">
        <v>121</v>
      </c>
      <c r="B20" s="123" t="str">
        <f>VLOOKUP(A20,'Mã NV'!$A$1:$C$27,2,0)</f>
        <v>Dương Tấn Đạt</v>
      </c>
      <c r="C20" s="471">
        <v>2000000</v>
      </c>
      <c r="D20" s="276">
        <f t="shared" si="0"/>
        <v>2000000</v>
      </c>
      <c r="E20" s="124"/>
      <c r="F20" s="121"/>
    </row>
    <row r="21" spans="1:6" x14ac:dyDescent="0.25">
      <c r="A21" s="213" t="s">
        <v>407</v>
      </c>
      <c r="B21" s="123" t="str">
        <f>VLOOKUP(A21,'Mã NV'!$A$1:$C$27,2,0)</f>
        <v>Nguyễn Thanh Hùng</v>
      </c>
      <c r="C21" s="471">
        <v>4000000</v>
      </c>
      <c r="D21" s="276">
        <f t="shared" si="0"/>
        <v>4000000</v>
      </c>
      <c r="E21" s="124"/>
      <c r="F21" s="121"/>
    </row>
    <row r="22" spans="1:6" x14ac:dyDescent="0.25">
      <c r="A22" s="213" t="s">
        <v>409</v>
      </c>
      <c r="B22" s="123" t="str">
        <f>VLOOKUP(A22,'Mã NV'!$A$1:$C$27,2,0)</f>
        <v>Đặng Văn Luân</v>
      </c>
      <c r="C22" s="471">
        <v>4000000</v>
      </c>
      <c r="D22" s="276">
        <f t="shared" si="0"/>
        <v>4000000</v>
      </c>
      <c r="E22" s="124"/>
      <c r="F22" s="121"/>
    </row>
    <row r="23" spans="1:6" x14ac:dyDescent="0.25">
      <c r="A23" s="249" t="s">
        <v>410</v>
      </c>
      <c r="B23" s="123" t="str">
        <f>VLOOKUP(A23,'Mã NV'!$A$1:$C$27,2,0)</f>
        <v>Phan Thanh Minh</v>
      </c>
      <c r="C23" s="471">
        <v>4000000</v>
      </c>
      <c r="D23" s="276">
        <f t="shared" si="0"/>
        <v>4000000</v>
      </c>
      <c r="E23" s="124"/>
      <c r="F23" s="121"/>
    </row>
    <row r="24" spans="1:6" x14ac:dyDescent="0.25">
      <c r="A24" s="213" t="s">
        <v>412</v>
      </c>
      <c r="B24" s="123" t="str">
        <f>VLOOKUP(A24,'Mã NV'!$A$1:$C$27,2,0)</f>
        <v>Danh Vươl</v>
      </c>
      <c r="C24" s="471">
        <v>3000000</v>
      </c>
      <c r="D24" s="276">
        <f t="shared" si="0"/>
        <v>3000000</v>
      </c>
      <c r="E24" s="124"/>
      <c r="F24" s="121"/>
    </row>
    <row r="25" spans="1:6" ht="18.75" x14ac:dyDescent="0.3">
      <c r="A25" s="562" t="s">
        <v>390</v>
      </c>
      <c r="B25" s="563"/>
      <c r="C25" s="208"/>
      <c r="D25" s="209">
        <f>SUM(D3:D24)</f>
        <v>61000000</v>
      </c>
      <c r="E25" s="210"/>
    </row>
    <row r="26" spans="1:6" x14ac:dyDescent="0.25">
      <c r="C26" s="175"/>
      <c r="D26" s="175"/>
    </row>
    <row r="27" spans="1:6" x14ac:dyDescent="0.25">
      <c r="A27" s="560" t="s">
        <v>303</v>
      </c>
      <c r="B27" s="560"/>
      <c r="D27" s="560" t="s">
        <v>304</v>
      </c>
      <c r="E27" s="560"/>
    </row>
    <row r="32" spans="1:6" x14ac:dyDescent="0.25">
      <c r="A32" s="561" t="s">
        <v>381</v>
      </c>
      <c r="B32" s="561"/>
      <c r="D32" s="560" t="s">
        <v>382</v>
      </c>
      <c r="E32" s="560"/>
    </row>
  </sheetData>
  <mergeCells count="6">
    <mergeCell ref="B1:E1"/>
    <mergeCell ref="D32:E32"/>
    <mergeCell ref="D27:E27"/>
    <mergeCell ref="A27:B27"/>
    <mergeCell ref="A32:B32"/>
    <mergeCell ref="A25:B25"/>
  </mergeCells>
  <pageMargins left="0.56496062999999996" right="0" top="1.25984251968504" bottom="0.23622047244094499" header="3.9370078740157501E-2" footer="0.23622047244094499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2"/>
  <sheetViews>
    <sheetView zoomScale="145" zoomScaleNormal="145" workbookViewId="0">
      <pane xSplit="2" ySplit="5" topLeftCell="C99" activePane="bottomRight" state="frozen"/>
      <selection pane="topRight" activeCell="C1" sqref="C1"/>
      <selection pane="bottomLeft" activeCell="A6" sqref="A6"/>
      <selection pane="bottomRight" activeCell="B103" sqref="B102:B103"/>
    </sheetView>
  </sheetViews>
  <sheetFormatPr defaultColWidth="9.28515625" defaultRowHeight="12.75" x14ac:dyDescent="0.2"/>
  <cols>
    <col min="1" max="1" width="10.28515625" style="30" customWidth="1"/>
    <col min="2" max="2" width="26.5703125" style="30" customWidth="1"/>
    <col min="3" max="4" width="12.5703125" style="30" bestFit="1" customWidth="1"/>
    <col min="5" max="5" width="12.28515625" style="32" bestFit="1" customWidth="1"/>
    <col min="6" max="6" width="11.28515625" style="30" bestFit="1" customWidth="1"/>
    <col min="7" max="8" width="12.28515625" style="30" customWidth="1"/>
    <col min="9" max="9" width="13.7109375" style="35" customWidth="1"/>
    <col min="10" max="10" width="12.7109375" style="35" customWidth="1"/>
    <col min="11" max="11" width="9" style="30" bestFit="1" customWidth="1"/>
    <col min="12" max="13" width="11.28515625" style="30" bestFit="1" customWidth="1"/>
    <col min="14" max="14" width="9.7109375" style="30" bestFit="1" customWidth="1"/>
    <col min="15" max="20" width="9.28515625" style="30"/>
    <col min="21" max="21" width="9.28515625" style="31"/>
    <col min="22" max="22" width="15.7109375" style="30" bestFit="1" customWidth="1"/>
    <col min="23" max="24" width="15.7109375" style="30" customWidth="1"/>
    <col min="25" max="16384" width="9.28515625" style="30"/>
  </cols>
  <sheetData>
    <row r="1" spans="1:10" ht="20.25" x14ac:dyDescent="0.3">
      <c r="A1" s="564" t="s">
        <v>189</v>
      </c>
      <c r="B1" s="564"/>
      <c r="C1" s="564"/>
      <c r="D1" s="564"/>
      <c r="E1" s="564"/>
      <c r="F1" s="564"/>
      <c r="G1" s="564"/>
      <c r="H1" s="564"/>
      <c r="I1" s="564"/>
      <c r="J1" s="564"/>
    </row>
    <row r="2" spans="1:10" x14ac:dyDescent="0.2">
      <c r="A2" s="30">
        <v>1</v>
      </c>
      <c r="B2" s="30">
        <v>2</v>
      </c>
      <c r="C2" s="30">
        <v>3</v>
      </c>
      <c r="D2" s="30">
        <v>4</v>
      </c>
      <c r="E2" s="30">
        <v>5</v>
      </c>
      <c r="F2" s="30">
        <v>6</v>
      </c>
      <c r="G2" s="30">
        <v>7</v>
      </c>
      <c r="H2" s="30">
        <v>8</v>
      </c>
      <c r="I2" s="30">
        <v>9</v>
      </c>
      <c r="J2" s="30">
        <v>10</v>
      </c>
    </row>
    <row r="3" spans="1:10" ht="15.75" x14ac:dyDescent="0.25">
      <c r="A3" s="33" t="s">
        <v>190</v>
      </c>
      <c r="B3" s="34"/>
      <c r="C3" s="34"/>
      <c r="D3" s="34"/>
      <c r="G3" s="35"/>
      <c r="H3" s="35"/>
    </row>
    <row r="4" spans="1:10" ht="31.5" x14ac:dyDescent="0.25">
      <c r="I4" s="59" t="s">
        <v>191</v>
      </c>
      <c r="J4" s="60">
        <v>0.1</v>
      </c>
    </row>
    <row r="5" spans="1:10" ht="51" x14ac:dyDescent="0.2">
      <c r="A5" s="36" t="s">
        <v>192</v>
      </c>
      <c r="B5" s="36" t="s">
        <v>193</v>
      </c>
      <c r="C5" s="55" t="s">
        <v>194</v>
      </c>
      <c r="D5" s="55" t="s">
        <v>195</v>
      </c>
      <c r="E5" s="56" t="s">
        <v>196</v>
      </c>
      <c r="F5" s="57" t="s">
        <v>197</v>
      </c>
      <c r="G5" s="57" t="s">
        <v>198</v>
      </c>
      <c r="H5" s="57"/>
      <c r="I5" s="55" t="s">
        <v>175</v>
      </c>
      <c r="J5" s="55" t="s">
        <v>199</v>
      </c>
    </row>
    <row r="6" spans="1:10" x14ac:dyDescent="0.2">
      <c r="A6" s="37" t="s">
        <v>3</v>
      </c>
      <c r="B6" s="37" t="s">
        <v>51</v>
      </c>
      <c r="C6" s="47">
        <v>2</v>
      </c>
      <c r="D6" s="47" t="s">
        <v>342</v>
      </c>
      <c r="E6" s="46">
        <v>1319.9999999999952</v>
      </c>
      <c r="F6" s="58">
        <v>659.99999999999761</v>
      </c>
      <c r="G6" s="58">
        <f>F6/7.3</f>
        <v>90.410958904109265</v>
      </c>
      <c r="H6" s="58">
        <f>$E$60/$E$62/$E$63/G6</f>
        <v>407.92540792540939</v>
      </c>
      <c r="I6" s="39">
        <v>516.26226122870423</v>
      </c>
      <c r="J6" s="58">
        <f>I6*(1+$J$4)</f>
        <v>567.88848735157467</v>
      </c>
    </row>
    <row r="7" spans="1:10" x14ac:dyDescent="0.2">
      <c r="A7" s="37" t="s">
        <v>4</v>
      </c>
      <c r="B7" s="37" t="s">
        <v>52</v>
      </c>
      <c r="C7" s="47">
        <v>4</v>
      </c>
      <c r="D7" s="47" t="s">
        <v>211</v>
      </c>
      <c r="E7" s="46">
        <v>1883.3999999999999</v>
      </c>
      <c r="F7" s="58">
        <v>470.84999999999997</v>
      </c>
      <c r="G7" s="58">
        <f t="shared" ref="G7:G56" si="0">F7/7.3</f>
        <v>64.5</v>
      </c>
      <c r="H7" s="58">
        <f t="shared" ref="H7:H56" si="1">$E$60/$E$62/$E$63/G7</f>
        <v>571.79732235482481</v>
      </c>
      <c r="I7" s="58">
        <f>$E$60/$E$62/$E$63/G7</f>
        <v>571.79732235482481</v>
      </c>
      <c r="J7" s="58">
        <f t="shared" ref="J7:J56" si="2">I7*(1+$J$4)</f>
        <v>628.97705459030738</v>
      </c>
    </row>
    <row r="8" spans="1:10" x14ac:dyDescent="0.2">
      <c r="A8" s="37" t="s">
        <v>5</v>
      </c>
      <c r="B8" s="37" t="s">
        <v>53</v>
      </c>
      <c r="C8" s="47">
        <v>6</v>
      </c>
      <c r="D8" s="47" t="s">
        <v>211</v>
      </c>
      <c r="E8" s="46">
        <v>1314</v>
      </c>
      <c r="F8" s="58">
        <v>219</v>
      </c>
      <c r="G8" s="58">
        <f>F8/7.3</f>
        <v>30</v>
      </c>
      <c r="H8" s="58">
        <f t="shared" si="1"/>
        <v>1229.3642430628731</v>
      </c>
      <c r="I8" s="58">
        <f>$E$60/$E$62/$E$63/G8</f>
        <v>1229.3642430628731</v>
      </c>
      <c r="J8" s="58">
        <f t="shared" si="2"/>
        <v>1352.3006673691605</v>
      </c>
    </row>
    <row r="9" spans="1:10" x14ac:dyDescent="0.2">
      <c r="A9" s="37" t="s">
        <v>6</v>
      </c>
      <c r="B9" s="37" t="s">
        <v>54</v>
      </c>
      <c r="C9" s="47">
        <v>6</v>
      </c>
      <c r="D9" s="47" t="s">
        <v>211</v>
      </c>
      <c r="E9" s="46">
        <v>1314</v>
      </c>
      <c r="F9" s="58">
        <v>219</v>
      </c>
      <c r="G9" s="58">
        <f t="shared" si="0"/>
        <v>30</v>
      </c>
      <c r="H9" s="58">
        <f t="shared" si="1"/>
        <v>1229.3642430628731</v>
      </c>
      <c r="I9" s="58">
        <f>$E$60/$E$62/$E$63/G9</f>
        <v>1229.3642430628731</v>
      </c>
      <c r="J9" s="58">
        <f t="shared" si="2"/>
        <v>1352.3006673691605</v>
      </c>
    </row>
    <row r="10" spans="1:10" x14ac:dyDescent="0.2">
      <c r="A10" s="37" t="s">
        <v>7</v>
      </c>
      <c r="B10" s="37" t="s">
        <v>55</v>
      </c>
      <c r="C10" s="47">
        <v>4</v>
      </c>
      <c r="D10" s="47" t="s">
        <v>211</v>
      </c>
      <c r="E10" s="46">
        <v>1883.3999999999999</v>
      </c>
      <c r="F10" s="58">
        <v>470.84999999999997</v>
      </c>
      <c r="G10" s="58">
        <f t="shared" si="0"/>
        <v>64.5</v>
      </c>
      <c r="H10" s="58">
        <f t="shared" si="1"/>
        <v>571.79732235482481</v>
      </c>
      <c r="I10" s="39">
        <v>633.48416289592762</v>
      </c>
      <c r="J10" s="58">
        <f t="shared" si="2"/>
        <v>696.83257918552044</v>
      </c>
    </row>
    <row r="11" spans="1:10" x14ac:dyDescent="0.2">
      <c r="A11" s="37" t="s">
        <v>8</v>
      </c>
      <c r="B11" s="37" t="s">
        <v>56</v>
      </c>
      <c r="C11" s="47">
        <v>6</v>
      </c>
      <c r="D11" s="47" t="s">
        <v>211</v>
      </c>
      <c r="E11" s="46">
        <v>1314</v>
      </c>
      <c r="F11" s="58">
        <v>219</v>
      </c>
      <c r="G11" s="58">
        <f t="shared" si="0"/>
        <v>30</v>
      </c>
      <c r="H11" s="58">
        <f t="shared" si="1"/>
        <v>1229.3642430628731</v>
      </c>
      <c r="I11" s="58">
        <f>$E$60/$E$62/$E$63/G11</f>
        <v>1229.3642430628731</v>
      </c>
      <c r="J11" s="58">
        <f t="shared" si="2"/>
        <v>1352.3006673691605</v>
      </c>
    </row>
    <row r="12" spans="1:10" x14ac:dyDescent="0.2">
      <c r="A12" s="37" t="s">
        <v>9</v>
      </c>
      <c r="B12" s="37" t="s">
        <v>241</v>
      </c>
      <c r="C12" s="47">
        <v>4</v>
      </c>
      <c r="D12" s="47" t="s">
        <v>211</v>
      </c>
      <c r="E12" s="46">
        <v>1883.3999999999999</v>
      </c>
      <c r="F12" s="58">
        <v>470.84999999999997</v>
      </c>
      <c r="G12" s="58">
        <f t="shared" si="0"/>
        <v>64.5</v>
      </c>
      <c r="H12" s="58">
        <f t="shared" si="1"/>
        <v>571.79732235482481</v>
      </c>
      <c r="I12" s="39">
        <v>633.48416289592762</v>
      </c>
      <c r="J12" s="58">
        <f t="shared" si="2"/>
        <v>696.83257918552044</v>
      </c>
    </row>
    <row r="13" spans="1:10" x14ac:dyDescent="0.2">
      <c r="A13" s="37" t="s">
        <v>10</v>
      </c>
      <c r="B13" s="37" t="s">
        <v>58</v>
      </c>
      <c r="C13" s="47">
        <v>2</v>
      </c>
      <c r="D13" s="47" t="s">
        <v>342</v>
      </c>
      <c r="E13" s="46">
        <v>1320</v>
      </c>
      <c r="F13" s="58">
        <v>660</v>
      </c>
      <c r="G13" s="58">
        <f t="shared" si="0"/>
        <v>90.410958904109592</v>
      </c>
      <c r="H13" s="58">
        <f t="shared" si="1"/>
        <v>407.92540792540791</v>
      </c>
      <c r="I13" s="39">
        <v>516.26226122870423</v>
      </c>
      <c r="J13" s="58">
        <f t="shared" si="2"/>
        <v>567.88848735157467</v>
      </c>
    </row>
    <row r="14" spans="1:10" x14ac:dyDescent="0.2">
      <c r="A14" s="37" t="s">
        <v>11</v>
      </c>
      <c r="B14" s="37" t="s">
        <v>59</v>
      </c>
      <c r="C14" s="47">
        <v>2</v>
      </c>
      <c r="D14" s="47" t="s">
        <v>211</v>
      </c>
      <c r="E14" s="46">
        <v>1050</v>
      </c>
      <c r="F14" s="58">
        <v>525</v>
      </c>
      <c r="G14" s="58">
        <f t="shared" si="0"/>
        <v>71.917808219178085</v>
      </c>
      <c r="H14" s="58">
        <f t="shared" si="1"/>
        <v>512.82051282051282</v>
      </c>
      <c r="I14" s="39">
        <v>642.81122776944505</v>
      </c>
      <c r="J14" s="58">
        <f t="shared" si="2"/>
        <v>707.09235054638964</v>
      </c>
    </row>
    <row r="15" spans="1:10" x14ac:dyDescent="0.2">
      <c r="A15" s="37" t="s">
        <v>12</v>
      </c>
      <c r="B15" s="37" t="s">
        <v>60</v>
      </c>
      <c r="C15" s="47">
        <v>4</v>
      </c>
      <c r="D15" s="47" t="s">
        <v>211</v>
      </c>
      <c r="E15" s="46">
        <v>1883.3999999999999</v>
      </c>
      <c r="F15" s="58">
        <v>470.84999999999997</v>
      </c>
      <c r="G15" s="58">
        <f t="shared" si="0"/>
        <v>64.5</v>
      </c>
      <c r="H15" s="58">
        <f t="shared" si="1"/>
        <v>571.79732235482481</v>
      </c>
      <c r="I15" s="39">
        <v>633.48416289592762</v>
      </c>
      <c r="J15" s="58">
        <f t="shared" si="2"/>
        <v>696.83257918552044</v>
      </c>
    </row>
    <row r="16" spans="1:10" x14ac:dyDescent="0.2">
      <c r="A16" s="37" t="s">
        <v>13</v>
      </c>
      <c r="B16" s="37" t="s">
        <v>61</v>
      </c>
      <c r="C16" s="47">
        <v>6</v>
      </c>
      <c r="D16" s="47" t="s">
        <v>211</v>
      </c>
      <c r="E16" s="46">
        <v>1314</v>
      </c>
      <c r="F16" s="58">
        <v>219</v>
      </c>
      <c r="G16" s="58">
        <f t="shared" si="0"/>
        <v>30</v>
      </c>
      <c r="H16" s="58">
        <f t="shared" si="1"/>
        <v>1229.3642430628731</v>
      </c>
      <c r="I16" s="39">
        <v>1362.4248434885019</v>
      </c>
      <c r="J16" s="58">
        <f t="shared" si="2"/>
        <v>1498.6673278373521</v>
      </c>
    </row>
    <row r="17" spans="1:15" x14ac:dyDescent="0.2">
      <c r="A17" s="37" t="s">
        <v>14</v>
      </c>
      <c r="B17" s="37" t="s">
        <v>62</v>
      </c>
      <c r="C17" s="47">
        <v>6</v>
      </c>
      <c r="D17" s="47" t="s">
        <v>211</v>
      </c>
      <c r="E17" s="46">
        <v>1314</v>
      </c>
      <c r="F17" s="58">
        <v>219</v>
      </c>
      <c r="G17" s="58">
        <f t="shared" si="0"/>
        <v>30</v>
      </c>
      <c r="H17" s="58">
        <f t="shared" si="1"/>
        <v>1229.3642430628731</v>
      </c>
      <c r="I17" s="58">
        <f>$E$60/$E$62/$E$63/G17</f>
        <v>1229.3642430628731</v>
      </c>
      <c r="J17" s="58">
        <f t="shared" si="2"/>
        <v>1352.3006673691605</v>
      </c>
    </row>
    <row r="18" spans="1:15" x14ac:dyDescent="0.2">
      <c r="A18" s="37" t="s">
        <v>15</v>
      </c>
      <c r="B18" s="37" t="s">
        <v>63</v>
      </c>
      <c r="C18" s="47">
        <v>4</v>
      </c>
      <c r="D18" s="47" t="s">
        <v>211</v>
      </c>
      <c r="E18" s="46">
        <v>1883.3999999999999</v>
      </c>
      <c r="F18" s="58">
        <v>470.84999999999997</v>
      </c>
      <c r="G18" s="58">
        <f t="shared" si="0"/>
        <v>64.5</v>
      </c>
      <c r="H18" s="58">
        <f t="shared" si="1"/>
        <v>571.79732235482481</v>
      </c>
      <c r="I18" s="58">
        <f>$E$60/$E$62/$E$63/G18</f>
        <v>571.79732235482481</v>
      </c>
      <c r="J18" s="58">
        <f t="shared" si="2"/>
        <v>628.97705459030738</v>
      </c>
    </row>
    <row r="19" spans="1:15" x14ac:dyDescent="0.2">
      <c r="A19" s="37" t="s">
        <v>16</v>
      </c>
      <c r="B19" s="37" t="s">
        <v>64</v>
      </c>
      <c r="C19" s="47">
        <v>4</v>
      </c>
      <c r="D19" s="47" t="s">
        <v>211</v>
      </c>
      <c r="E19" s="46">
        <v>1883.3999999999999</v>
      </c>
      <c r="F19" s="58">
        <v>470.84999999999997</v>
      </c>
      <c r="G19" s="58">
        <f t="shared" si="0"/>
        <v>64.5</v>
      </c>
      <c r="H19" s="58">
        <f t="shared" si="1"/>
        <v>571.79732235482481</v>
      </c>
      <c r="I19" s="39">
        <v>653.47274085138167</v>
      </c>
      <c r="J19" s="58">
        <f t="shared" si="2"/>
        <v>718.8200149365199</v>
      </c>
    </row>
    <row r="20" spans="1:15" x14ac:dyDescent="0.2">
      <c r="A20" s="37" t="s">
        <v>17</v>
      </c>
      <c r="B20" s="37" t="s">
        <v>65</v>
      </c>
      <c r="C20" s="47">
        <v>6</v>
      </c>
      <c r="D20" s="47" t="s">
        <v>211</v>
      </c>
      <c r="E20" s="46">
        <v>1314</v>
      </c>
      <c r="F20" s="58">
        <v>219</v>
      </c>
      <c r="G20" s="58">
        <f t="shared" si="0"/>
        <v>30</v>
      </c>
      <c r="H20" s="58">
        <f t="shared" si="1"/>
        <v>1229.3642430628731</v>
      </c>
      <c r="I20" s="39">
        <v>1432.0785597381343</v>
      </c>
      <c r="J20" s="58">
        <f t="shared" si="2"/>
        <v>1575.2864157119479</v>
      </c>
    </row>
    <row r="21" spans="1:15" x14ac:dyDescent="0.2">
      <c r="A21" s="37" t="s">
        <v>18</v>
      </c>
      <c r="B21" s="37" t="s">
        <v>66</v>
      </c>
      <c r="C21" s="47">
        <v>4</v>
      </c>
      <c r="D21" s="47" t="s">
        <v>211</v>
      </c>
      <c r="E21" s="46">
        <v>1883.3999999999999</v>
      </c>
      <c r="F21" s="58">
        <v>470.84999999999997</v>
      </c>
      <c r="G21" s="58">
        <f t="shared" si="0"/>
        <v>64.5</v>
      </c>
      <c r="H21" s="58">
        <f t="shared" si="1"/>
        <v>571.79732235482481</v>
      </c>
      <c r="I21" s="39">
        <v>633.48416289592762</v>
      </c>
      <c r="J21" s="58">
        <f t="shared" si="2"/>
        <v>696.83257918552044</v>
      </c>
    </row>
    <row r="22" spans="1:15" x14ac:dyDescent="0.2">
      <c r="A22" s="37" t="s">
        <v>19</v>
      </c>
      <c r="B22" s="37" t="s">
        <v>67</v>
      </c>
      <c r="C22" s="47">
        <v>4</v>
      </c>
      <c r="D22" s="47" t="s">
        <v>211</v>
      </c>
      <c r="E22" s="46">
        <v>1883.3999999999999</v>
      </c>
      <c r="F22" s="58">
        <v>470.84999999999997</v>
      </c>
      <c r="G22" s="58">
        <f t="shared" si="0"/>
        <v>64.5</v>
      </c>
      <c r="H22" s="58">
        <f t="shared" si="1"/>
        <v>571.79732235482481</v>
      </c>
      <c r="I22" s="39">
        <v>633.48416289592762</v>
      </c>
      <c r="J22" s="58">
        <f t="shared" si="2"/>
        <v>696.83257918552044</v>
      </c>
    </row>
    <row r="23" spans="1:15" x14ac:dyDescent="0.2">
      <c r="A23" s="37" t="s">
        <v>20</v>
      </c>
      <c r="B23" s="37" t="s">
        <v>68</v>
      </c>
      <c r="C23" s="47">
        <v>4</v>
      </c>
      <c r="D23" s="47" t="s">
        <v>211</v>
      </c>
      <c r="E23" s="46">
        <v>1883.3999999999999</v>
      </c>
      <c r="F23" s="58">
        <v>470.84999999999997</v>
      </c>
      <c r="G23" s="58">
        <f t="shared" si="0"/>
        <v>64.5</v>
      </c>
      <c r="H23" s="58">
        <f t="shared" si="1"/>
        <v>571.79732235482481</v>
      </c>
      <c r="I23" s="39">
        <v>633.48416289592797</v>
      </c>
      <c r="J23" s="58">
        <f t="shared" si="2"/>
        <v>696.83257918552079</v>
      </c>
    </row>
    <row r="24" spans="1:15" x14ac:dyDescent="0.2">
      <c r="A24" s="37" t="s">
        <v>21</v>
      </c>
      <c r="B24" s="37" t="s">
        <v>69</v>
      </c>
      <c r="C24" s="47">
        <v>6</v>
      </c>
      <c r="D24" s="47" t="s">
        <v>211</v>
      </c>
      <c r="E24" s="46">
        <v>1314</v>
      </c>
      <c r="F24" s="58">
        <v>219</v>
      </c>
      <c r="G24" s="58">
        <f t="shared" si="0"/>
        <v>30</v>
      </c>
      <c r="H24" s="58">
        <f t="shared" si="1"/>
        <v>1229.3642430628731</v>
      </c>
      <c r="I24" s="39">
        <v>1432.0785597381343</v>
      </c>
      <c r="J24" s="58">
        <f t="shared" si="2"/>
        <v>1575.2864157119479</v>
      </c>
    </row>
    <row r="25" spans="1:15" x14ac:dyDescent="0.2">
      <c r="A25" s="37" t="s">
        <v>22</v>
      </c>
      <c r="B25" s="37" t="s">
        <v>70</v>
      </c>
      <c r="C25" s="47">
        <v>4</v>
      </c>
      <c r="D25" s="47" t="s">
        <v>211</v>
      </c>
      <c r="E25" s="46">
        <v>1883.3999999999999</v>
      </c>
      <c r="F25" s="58">
        <v>470.84999999999997</v>
      </c>
      <c r="G25" s="58">
        <f t="shared" si="0"/>
        <v>64.5</v>
      </c>
      <c r="H25" s="58">
        <f t="shared" si="1"/>
        <v>571.79732235482481</v>
      </c>
      <c r="I25" s="39">
        <v>633.48416289592762</v>
      </c>
      <c r="J25" s="58">
        <f t="shared" si="2"/>
        <v>696.83257918552044</v>
      </c>
    </row>
    <row r="26" spans="1:15" x14ac:dyDescent="0.2">
      <c r="A26" s="37" t="s">
        <v>23</v>
      </c>
      <c r="B26" s="37" t="s">
        <v>71</v>
      </c>
      <c r="C26" s="47">
        <v>6</v>
      </c>
      <c r="D26" s="47" t="s">
        <v>211</v>
      </c>
      <c r="E26" s="46">
        <v>1314</v>
      </c>
      <c r="F26" s="58">
        <v>200</v>
      </c>
      <c r="G26" s="58">
        <f t="shared" si="0"/>
        <v>27.397260273972602</v>
      </c>
      <c r="H26" s="58">
        <f t="shared" si="1"/>
        <v>1346.1538461538462</v>
      </c>
      <c r="I26" s="58">
        <f>$E$60/$E$62/$E$63/G26</f>
        <v>1346.1538461538462</v>
      </c>
      <c r="J26" s="58">
        <f t="shared" si="2"/>
        <v>1480.7692307692309</v>
      </c>
    </row>
    <row r="27" spans="1:15" x14ac:dyDescent="0.2">
      <c r="A27" s="37" t="s">
        <v>24</v>
      </c>
      <c r="B27" s="37" t="s">
        <v>72</v>
      </c>
      <c r="C27" s="47">
        <v>6</v>
      </c>
      <c r="D27" s="47" t="s">
        <v>211</v>
      </c>
      <c r="E27" s="46">
        <v>1314</v>
      </c>
      <c r="F27" s="58">
        <v>200</v>
      </c>
      <c r="G27" s="58">
        <f t="shared" si="0"/>
        <v>27.397260273972602</v>
      </c>
      <c r="H27" s="58">
        <f t="shared" si="1"/>
        <v>1346.1538461538462</v>
      </c>
      <c r="I27" s="58">
        <f>$E$60/$E$62/$E$63/G27</f>
        <v>1346.1538461538462</v>
      </c>
      <c r="J27" s="58">
        <f t="shared" si="2"/>
        <v>1480.7692307692309</v>
      </c>
    </row>
    <row r="28" spans="1:15" x14ac:dyDescent="0.2">
      <c r="A28" s="37" t="s">
        <v>25</v>
      </c>
      <c r="B28" s="37" t="s">
        <v>73</v>
      </c>
      <c r="C28" s="47">
        <v>6</v>
      </c>
      <c r="D28" s="47" t="s">
        <v>211</v>
      </c>
      <c r="E28" s="46">
        <v>1314</v>
      </c>
      <c r="F28" s="58">
        <v>225</v>
      </c>
      <c r="G28" s="58">
        <f t="shared" si="0"/>
        <v>30.82191780821918</v>
      </c>
      <c r="H28" s="58">
        <f t="shared" si="1"/>
        <v>1196.5811965811965</v>
      </c>
      <c r="I28" s="39">
        <v>1170.5685618729099</v>
      </c>
      <c r="J28" s="58">
        <f t="shared" si="2"/>
        <v>1287.6254180602009</v>
      </c>
      <c r="L28" s="52">
        <f>(800/6)*26*I29</f>
        <v>6999200.0000000009</v>
      </c>
      <c r="N28" s="30">
        <f>+L29*10%+L29</f>
        <v>2221.1538461538457</v>
      </c>
    </row>
    <row r="29" spans="1:15" x14ac:dyDescent="0.2">
      <c r="A29" s="258" t="s">
        <v>26</v>
      </c>
      <c r="B29" s="258" t="s">
        <v>74</v>
      </c>
      <c r="C29" s="258">
        <v>6</v>
      </c>
      <c r="D29" s="258" t="s">
        <v>211</v>
      </c>
      <c r="E29" s="259">
        <v>1314</v>
      </c>
      <c r="F29" s="260">
        <v>200</v>
      </c>
      <c r="G29" s="260">
        <f t="shared" si="0"/>
        <v>27.397260273972602</v>
      </c>
      <c r="H29" s="260">
        <f t="shared" si="1"/>
        <v>1346.1538461538462</v>
      </c>
      <c r="I29" s="260">
        <v>2019</v>
      </c>
      <c r="J29" s="260">
        <f>I29*(1+$J$4)</f>
        <v>2220.9</v>
      </c>
      <c r="L29" s="30">
        <f>7000000/(800/6*26)</f>
        <v>2019.2307692307691</v>
      </c>
      <c r="M29" s="30">
        <f>+I29/L29</f>
        <v>0.99988571428571438</v>
      </c>
      <c r="O29" s="309">
        <f>L29*70%</f>
        <v>1413.4615384615383</v>
      </c>
    </row>
    <row r="30" spans="1:15" x14ac:dyDescent="0.2">
      <c r="A30" s="37" t="s">
        <v>27</v>
      </c>
      <c r="B30" s="37" t="s">
        <v>75</v>
      </c>
      <c r="C30" s="47">
        <v>6</v>
      </c>
      <c r="D30" s="47" t="s">
        <v>211</v>
      </c>
      <c r="E30" s="46">
        <v>1314</v>
      </c>
      <c r="F30" s="58">
        <v>225</v>
      </c>
      <c r="G30" s="58">
        <f t="shared" si="0"/>
        <v>30.82191780821918</v>
      </c>
      <c r="H30" s="58">
        <f t="shared" si="1"/>
        <v>1196.5811965811965</v>
      </c>
      <c r="I30" s="58">
        <f>$E$60/$E$62/$E$63/G30</f>
        <v>1196.5811965811965</v>
      </c>
      <c r="J30" s="58">
        <f t="shared" si="2"/>
        <v>1316.2393162393164</v>
      </c>
      <c r="L30" s="30">
        <f>7000000/(750/6*26)</f>
        <v>2153.8461538461538</v>
      </c>
      <c r="N30" s="52">
        <f>L29/I29</f>
        <v>1.0001142987770031</v>
      </c>
    </row>
    <row r="31" spans="1:15" x14ac:dyDescent="0.2">
      <c r="A31" s="37" t="s">
        <v>28</v>
      </c>
      <c r="B31" s="37" t="s">
        <v>76</v>
      </c>
      <c r="C31" s="47">
        <v>2</v>
      </c>
      <c r="D31" s="47" t="s">
        <v>342</v>
      </c>
      <c r="E31" s="46">
        <v>1613</v>
      </c>
      <c r="F31" s="58">
        <v>806.5</v>
      </c>
      <c r="G31" s="58">
        <f t="shared" si="0"/>
        <v>110.47945205479452</v>
      </c>
      <c r="H31" s="58">
        <f t="shared" si="1"/>
        <v>333.82612427869714</v>
      </c>
      <c r="I31" s="39">
        <v>351.78236397748594</v>
      </c>
      <c r="J31" s="58">
        <f t="shared" si="2"/>
        <v>386.96060037523455</v>
      </c>
      <c r="L31" s="52">
        <f>+(L30-I29)/I29</f>
        <v>6.678858536213661E-2</v>
      </c>
    </row>
    <row r="32" spans="1:15" x14ac:dyDescent="0.2">
      <c r="A32" s="37" t="s">
        <v>29</v>
      </c>
      <c r="B32" s="37" t="s">
        <v>77</v>
      </c>
      <c r="C32" s="47">
        <v>2</v>
      </c>
      <c r="D32" s="47" t="s">
        <v>342</v>
      </c>
      <c r="E32" s="46">
        <v>807</v>
      </c>
      <c r="F32" s="58">
        <v>403.5</v>
      </c>
      <c r="G32" s="58">
        <f t="shared" si="0"/>
        <v>55.273972602739725</v>
      </c>
      <c r="H32" s="58">
        <f>$E$60/$E$62/$E$63/G32</f>
        <v>667.23858545419887</v>
      </c>
      <c r="I32" s="39">
        <v>642.81122776944505</v>
      </c>
      <c r="J32" s="58">
        <f t="shared" si="2"/>
        <v>707.09235054638964</v>
      </c>
      <c r="L32" s="30">
        <f>+E29/7.3</f>
        <v>180</v>
      </c>
      <c r="M32" s="30">
        <f>800/6</f>
        <v>133.33333333333334</v>
      </c>
      <c r="N32" s="30">
        <f>+E29/750</f>
        <v>1.752</v>
      </c>
      <c r="O32" s="30">
        <f>+I29*N32</f>
        <v>3537.288</v>
      </c>
    </row>
    <row r="33" spans="1:15" x14ac:dyDescent="0.2">
      <c r="A33" s="37" t="s">
        <v>30</v>
      </c>
      <c r="B33" s="37" t="s">
        <v>78</v>
      </c>
      <c r="C33" s="47">
        <v>4</v>
      </c>
      <c r="D33" s="47" t="s">
        <v>211</v>
      </c>
      <c r="E33" s="46">
        <v>1100</v>
      </c>
      <c r="F33" s="58">
        <v>275</v>
      </c>
      <c r="G33" s="58">
        <f t="shared" si="0"/>
        <v>37.671232876712331</v>
      </c>
      <c r="H33" s="58">
        <f t="shared" si="1"/>
        <v>979.02097902097898</v>
      </c>
      <c r="I33" s="58">
        <f>$E$60/$E$62/$E$63/G33</f>
        <v>979.02097902097898</v>
      </c>
      <c r="J33" s="58">
        <f t="shared" si="2"/>
        <v>1076.9230769230769</v>
      </c>
      <c r="L33" s="52">
        <f>+(E29/6)*26*I29</f>
        <v>11496186</v>
      </c>
      <c r="M33" s="52">
        <f>+F29*26*I29</f>
        <v>10498800</v>
      </c>
    </row>
    <row r="34" spans="1:15" x14ac:dyDescent="0.2">
      <c r="A34" s="37" t="s">
        <v>31</v>
      </c>
      <c r="B34" s="37" t="s">
        <v>79</v>
      </c>
      <c r="C34" s="47">
        <v>4</v>
      </c>
      <c r="D34" s="47" t="s">
        <v>211</v>
      </c>
      <c r="E34" s="46">
        <v>1149.9835904168033</v>
      </c>
      <c r="F34" s="58">
        <v>287.49589760420082</v>
      </c>
      <c r="G34" s="58">
        <f t="shared" si="0"/>
        <v>39.382999671808335</v>
      </c>
      <c r="H34" s="58">
        <f t="shared" si="1"/>
        <v>936.46821215314367</v>
      </c>
      <c r="I34" s="58">
        <f>$E$60/$E$62/$E$63/G34</f>
        <v>936.46821215314367</v>
      </c>
      <c r="J34" s="58">
        <f t="shared" si="2"/>
        <v>1030.1150333684582</v>
      </c>
    </row>
    <row r="35" spans="1:15" x14ac:dyDescent="0.2">
      <c r="A35" s="37" t="s">
        <v>32</v>
      </c>
      <c r="B35" s="37" t="s">
        <v>80</v>
      </c>
      <c r="C35" s="47">
        <v>4</v>
      </c>
      <c r="D35" s="47" t="s">
        <v>211</v>
      </c>
      <c r="E35" s="46">
        <v>1100.0000000000018</v>
      </c>
      <c r="F35" s="58">
        <v>275.00000000000045</v>
      </c>
      <c r="G35" s="58">
        <f t="shared" si="0"/>
        <v>37.671232876712395</v>
      </c>
      <c r="H35" s="58">
        <f t="shared" si="1"/>
        <v>979.02097902097728</v>
      </c>
      <c r="I35" s="58">
        <f>$E$60/$E$62/$E$63/G35</f>
        <v>979.02097902097728</v>
      </c>
      <c r="J35" s="58">
        <f t="shared" si="2"/>
        <v>1076.9230769230751</v>
      </c>
    </row>
    <row r="36" spans="1:15" x14ac:dyDescent="0.2">
      <c r="A36" s="37" t="s">
        <v>33</v>
      </c>
      <c r="B36" s="37" t="s">
        <v>81</v>
      </c>
      <c r="C36" s="47">
        <v>2</v>
      </c>
      <c r="D36" s="47" t="s">
        <v>342</v>
      </c>
      <c r="E36" s="46">
        <v>1686.9999999999998</v>
      </c>
      <c r="F36" s="58">
        <v>843.49999999999989</v>
      </c>
      <c r="G36" s="58">
        <f t="shared" si="0"/>
        <v>115.54794520547944</v>
      </c>
      <c r="H36" s="58">
        <f t="shared" si="1"/>
        <v>319.18289179699974</v>
      </c>
      <c r="I36" s="39">
        <v>364.2191142191142</v>
      </c>
      <c r="J36" s="58">
        <f t="shared" si="2"/>
        <v>400.64102564102564</v>
      </c>
      <c r="L36" s="30">
        <f>60+45</f>
        <v>105</v>
      </c>
    </row>
    <row r="37" spans="1:15" x14ac:dyDescent="0.2">
      <c r="A37" s="37" t="s">
        <v>34</v>
      </c>
      <c r="B37" s="37" t="s">
        <v>82</v>
      </c>
      <c r="C37" s="47">
        <v>2</v>
      </c>
      <c r="D37" s="47" t="s">
        <v>342</v>
      </c>
      <c r="E37" s="46">
        <v>1466.9999999999998</v>
      </c>
      <c r="F37" s="58">
        <v>733.49999999999989</v>
      </c>
      <c r="G37" s="58">
        <f t="shared" si="0"/>
        <v>100.47945205479451</v>
      </c>
      <c r="H37" s="58">
        <f t="shared" si="1"/>
        <v>367.0494468040481</v>
      </c>
      <c r="I37" s="39">
        <v>506.07287449392715</v>
      </c>
      <c r="J37" s="58">
        <f t="shared" si="2"/>
        <v>556.68016194331994</v>
      </c>
      <c r="L37" s="30">
        <f>200/L36</f>
        <v>1.9047619047619047</v>
      </c>
      <c r="M37" s="30">
        <f>+L37*60</f>
        <v>114.28571428571428</v>
      </c>
      <c r="N37" s="30">
        <f>+M37*7.3</f>
        <v>834.28571428571422</v>
      </c>
      <c r="O37" s="30">
        <f>+N37/6</f>
        <v>139.04761904761904</v>
      </c>
    </row>
    <row r="38" spans="1:15" x14ac:dyDescent="0.2">
      <c r="A38" s="37" t="s">
        <v>35</v>
      </c>
      <c r="B38" s="37" t="s">
        <v>83</v>
      </c>
      <c r="C38" s="47">
        <v>2</v>
      </c>
      <c r="D38" s="47" t="s">
        <v>342</v>
      </c>
      <c r="E38" s="46">
        <v>1833</v>
      </c>
      <c r="F38" s="58">
        <v>916.5</v>
      </c>
      <c r="G38" s="58">
        <f t="shared" si="0"/>
        <v>125.54794520547945</v>
      </c>
      <c r="H38" s="58">
        <f t="shared" si="1"/>
        <v>293.75970456166857</v>
      </c>
      <c r="I38" s="39">
        <v>251.79403248143021</v>
      </c>
      <c r="J38" s="58">
        <f t="shared" si="2"/>
        <v>276.97343572957323</v>
      </c>
    </row>
    <row r="39" spans="1:15" x14ac:dyDescent="0.2">
      <c r="A39" s="37" t="s">
        <v>36</v>
      </c>
      <c r="B39" s="37" t="s">
        <v>84</v>
      </c>
      <c r="C39" s="47">
        <v>2</v>
      </c>
      <c r="D39" s="47" t="s">
        <v>342</v>
      </c>
      <c r="E39" s="46">
        <v>1466.9999999999998</v>
      </c>
      <c r="F39" s="58">
        <v>733.49999999999989</v>
      </c>
      <c r="G39" s="58">
        <f t="shared" si="0"/>
        <v>100.47945205479451</v>
      </c>
      <c r="H39" s="58">
        <f t="shared" si="1"/>
        <v>367.0494468040481</v>
      </c>
      <c r="I39" s="39">
        <v>335.42039355992847</v>
      </c>
      <c r="J39" s="58">
        <f t="shared" si="2"/>
        <v>368.96243291592134</v>
      </c>
    </row>
    <row r="40" spans="1:15" x14ac:dyDescent="0.2">
      <c r="A40" s="37" t="s">
        <v>37</v>
      </c>
      <c r="B40" s="37" t="s">
        <v>85</v>
      </c>
      <c r="C40" s="47">
        <v>6</v>
      </c>
      <c r="D40" s="47" t="s">
        <v>211</v>
      </c>
      <c r="E40" s="46">
        <v>1100.0000000000002</v>
      </c>
      <c r="F40" s="58">
        <v>183.33333333333337</v>
      </c>
      <c r="G40" s="58">
        <f t="shared" si="0"/>
        <v>25.114155251141558</v>
      </c>
      <c r="H40" s="58">
        <f t="shared" si="1"/>
        <v>1468.5314685314684</v>
      </c>
      <c r="I40" s="58">
        <f>$E$60/$E$62/$E$63/G40</f>
        <v>1468.5314685314684</v>
      </c>
      <c r="J40" s="58">
        <f t="shared" si="2"/>
        <v>1615.3846153846152</v>
      </c>
    </row>
    <row r="41" spans="1:15" x14ac:dyDescent="0.2">
      <c r="A41" s="37" t="s">
        <v>38</v>
      </c>
      <c r="B41" s="37" t="s">
        <v>86</v>
      </c>
      <c r="C41" s="47">
        <v>6</v>
      </c>
      <c r="D41" s="47" t="s">
        <v>211</v>
      </c>
      <c r="E41" s="46">
        <v>1173</v>
      </c>
      <c r="F41" s="58">
        <v>195.5</v>
      </c>
      <c r="G41" s="58">
        <f t="shared" si="0"/>
        <v>26.780821917808218</v>
      </c>
      <c r="H41" s="58">
        <f t="shared" si="1"/>
        <v>1377.1394845563643</v>
      </c>
      <c r="I41" s="58">
        <f>$E$60/$E$62/$E$63/G41</f>
        <v>1377.1394845563643</v>
      </c>
      <c r="J41" s="58">
        <f t="shared" si="2"/>
        <v>1514.8534330120008</v>
      </c>
    </row>
    <row r="42" spans="1:15" x14ac:dyDescent="0.2">
      <c r="A42" s="258" t="s">
        <v>39</v>
      </c>
      <c r="B42" s="258" t="s">
        <v>87</v>
      </c>
      <c r="C42" s="258">
        <v>2</v>
      </c>
      <c r="D42" s="258" t="s">
        <v>342</v>
      </c>
      <c r="E42" s="259">
        <v>1686.9999999999998</v>
      </c>
      <c r="F42" s="260">
        <v>843.49999999999989</v>
      </c>
      <c r="G42" s="260">
        <f t="shared" si="0"/>
        <v>115.54794520547944</v>
      </c>
      <c r="H42" s="260">
        <f t="shared" si="1"/>
        <v>319.18289179699974</v>
      </c>
      <c r="I42" s="260">
        <v>2043</v>
      </c>
      <c r="J42" s="260">
        <f t="shared" si="2"/>
        <v>2247.3000000000002</v>
      </c>
      <c r="L42" s="52"/>
    </row>
    <row r="43" spans="1:15" x14ac:dyDescent="0.2">
      <c r="A43" s="258" t="s">
        <v>40</v>
      </c>
      <c r="B43" s="258" t="s">
        <v>88</v>
      </c>
      <c r="C43" s="258">
        <v>2</v>
      </c>
      <c r="D43" s="258" t="s">
        <v>342</v>
      </c>
      <c r="E43" s="259">
        <v>1686.9999999999998</v>
      </c>
      <c r="F43" s="260">
        <v>843.49999999999989</v>
      </c>
      <c r="G43" s="260">
        <f t="shared" si="0"/>
        <v>115.54794520547944</v>
      </c>
      <c r="H43" s="260">
        <f>$E$60/$E$62/$E$63/G43</f>
        <v>319.18289179699974</v>
      </c>
      <c r="I43" s="260">
        <v>2043</v>
      </c>
      <c r="J43" s="260">
        <f t="shared" si="2"/>
        <v>2247.3000000000002</v>
      </c>
    </row>
    <row r="44" spans="1:15" x14ac:dyDescent="0.2">
      <c r="A44" s="258" t="s">
        <v>41</v>
      </c>
      <c r="B44" s="258" t="s">
        <v>89</v>
      </c>
      <c r="C44" s="258">
        <v>2</v>
      </c>
      <c r="D44" s="258" t="s">
        <v>342</v>
      </c>
      <c r="E44" s="259">
        <v>1686.9999999999998</v>
      </c>
      <c r="F44" s="260">
        <v>843.49999999999989</v>
      </c>
      <c r="G44" s="260">
        <f t="shared" si="0"/>
        <v>115.54794520547944</v>
      </c>
      <c r="H44" s="260">
        <f t="shared" si="1"/>
        <v>319.18289179699974</v>
      </c>
      <c r="I44" s="260">
        <v>2043</v>
      </c>
      <c r="J44" s="260">
        <f t="shared" si="2"/>
        <v>2247.3000000000002</v>
      </c>
      <c r="L44" s="311">
        <v>66.666666666666671</v>
      </c>
      <c r="M44" s="30">
        <f>7.5/3</f>
        <v>2.5</v>
      </c>
      <c r="N44" s="30">
        <f>200/M44</f>
        <v>80</v>
      </c>
    </row>
    <row r="45" spans="1:15" x14ac:dyDescent="0.2">
      <c r="A45" s="258" t="s">
        <v>42</v>
      </c>
      <c r="B45" s="258" t="s">
        <v>90</v>
      </c>
      <c r="C45" s="258">
        <v>2</v>
      </c>
      <c r="D45" s="258" t="s">
        <v>342</v>
      </c>
      <c r="E45" s="259">
        <v>1686.9999999999998</v>
      </c>
      <c r="F45" s="260">
        <v>843.49999999999989</v>
      </c>
      <c r="G45" s="260">
        <f t="shared" si="0"/>
        <v>115.54794520547944</v>
      </c>
      <c r="H45" s="260">
        <f t="shared" si="1"/>
        <v>319.18289179699974</v>
      </c>
      <c r="I45" s="260">
        <v>2043</v>
      </c>
      <c r="J45" s="260">
        <f t="shared" si="2"/>
        <v>2247.3000000000002</v>
      </c>
      <c r="L45" s="52"/>
      <c r="M45" s="52">
        <f>+L44/M44</f>
        <v>26.666666666666668</v>
      </c>
      <c r="N45" s="52">
        <f>+N44/3</f>
        <v>26.666666666666668</v>
      </c>
    </row>
    <row r="46" spans="1:15" ht="12" customHeight="1" x14ac:dyDescent="0.2">
      <c r="A46" s="258" t="s">
        <v>43</v>
      </c>
      <c r="B46" s="258" t="s">
        <v>91</v>
      </c>
      <c r="C46" s="258">
        <v>2</v>
      </c>
      <c r="D46" s="258" t="s">
        <v>342</v>
      </c>
      <c r="E46" s="259">
        <v>1686.9999999999998</v>
      </c>
      <c r="F46" s="260">
        <v>843.49999999999989</v>
      </c>
      <c r="G46" s="260">
        <f t="shared" si="0"/>
        <v>115.54794520547944</v>
      </c>
      <c r="H46" s="260">
        <f t="shared" si="1"/>
        <v>319.18289179699974</v>
      </c>
      <c r="I46" s="260">
        <v>2043</v>
      </c>
      <c r="J46" s="260">
        <f t="shared" si="2"/>
        <v>2247.3000000000002</v>
      </c>
      <c r="N46" s="30">
        <f>+M45*7.3</f>
        <v>194.66666666666666</v>
      </c>
    </row>
    <row r="47" spans="1:15" x14ac:dyDescent="0.2">
      <c r="A47" s="258" t="s">
        <v>44</v>
      </c>
      <c r="B47" s="258" t="s">
        <v>92</v>
      </c>
      <c r="C47" s="258">
        <v>2</v>
      </c>
      <c r="D47" s="258" t="s">
        <v>342</v>
      </c>
      <c r="E47" s="259">
        <v>1686.9999999999998</v>
      </c>
      <c r="F47" s="260">
        <v>843.49999999999989</v>
      </c>
      <c r="G47" s="260">
        <f t="shared" si="0"/>
        <v>115.54794520547944</v>
      </c>
      <c r="H47" s="260">
        <f t="shared" si="1"/>
        <v>319.18289179699974</v>
      </c>
      <c r="I47" s="260">
        <v>2043</v>
      </c>
      <c r="J47" s="260">
        <f t="shared" si="2"/>
        <v>2247.3000000000002</v>
      </c>
      <c r="L47" s="52"/>
      <c r="N47" s="30">
        <f>+F42/N46</f>
        <v>4.3330479452054789</v>
      </c>
    </row>
    <row r="48" spans="1:15" x14ac:dyDescent="0.2">
      <c r="A48" s="37" t="s">
        <v>45</v>
      </c>
      <c r="B48" s="37" t="s">
        <v>93</v>
      </c>
      <c r="C48" s="47">
        <v>0</v>
      </c>
      <c r="D48" s="47" t="s">
        <v>343</v>
      </c>
      <c r="E48" s="46">
        <v>0</v>
      </c>
      <c r="F48" s="58">
        <v>0</v>
      </c>
      <c r="G48" s="58">
        <f t="shared" si="0"/>
        <v>0</v>
      </c>
      <c r="H48" s="58">
        <v>0</v>
      </c>
      <c r="I48" s="58">
        <v>0</v>
      </c>
      <c r="J48" s="58">
        <f t="shared" si="2"/>
        <v>0</v>
      </c>
    </row>
    <row r="49" spans="1:10" x14ac:dyDescent="0.2">
      <c r="A49" s="37" t="s">
        <v>46</v>
      </c>
      <c r="B49" s="37" t="s">
        <v>94</v>
      </c>
      <c r="C49" s="47">
        <v>6</v>
      </c>
      <c r="D49" s="47" t="s">
        <v>211</v>
      </c>
      <c r="E49" s="46">
        <v>1314</v>
      </c>
      <c r="F49" s="58">
        <v>219</v>
      </c>
      <c r="G49" s="58">
        <f t="shared" si="0"/>
        <v>30</v>
      </c>
      <c r="H49" s="58">
        <f t="shared" si="1"/>
        <v>1229.3642430628731</v>
      </c>
      <c r="I49" s="58">
        <f>$E$60/$E$62/$E$63/G49</f>
        <v>1229.3642430628731</v>
      </c>
      <c r="J49" s="58">
        <f t="shared" si="2"/>
        <v>1352.3006673691605</v>
      </c>
    </row>
    <row r="50" spans="1:10" x14ac:dyDescent="0.2">
      <c r="A50" s="37" t="s">
        <v>47</v>
      </c>
      <c r="B50" s="37" t="s">
        <v>95</v>
      </c>
      <c r="C50" s="47">
        <v>2</v>
      </c>
      <c r="D50" s="47" t="s">
        <v>342</v>
      </c>
      <c r="E50" s="46">
        <v>1613</v>
      </c>
      <c r="F50" s="58">
        <v>806.5</v>
      </c>
      <c r="G50" s="58">
        <f t="shared" si="0"/>
        <v>110.47945205479452</v>
      </c>
      <c r="H50" s="58">
        <f t="shared" si="1"/>
        <v>333.82612427869714</v>
      </c>
      <c r="I50" s="39">
        <v>383.08305240576158</v>
      </c>
      <c r="J50" s="58">
        <f t="shared" si="2"/>
        <v>421.39135764633778</v>
      </c>
    </row>
    <row r="51" spans="1:10" x14ac:dyDescent="0.2">
      <c r="A51" s="37" t="s">
        <v>48</v>
      </c>
      <c r="B51" s="37" t="s">
        <v>96</v>
      </c>
      <c r="C51" s="47">
        <v>2</v>
      </c>
      <c r="D51" s="47" t="s">
        <v>211</v>
      </c>
      <c r="E51" s="46">
        <v>1700</v>
      </c>
      <c r="F51" s="58">
        <v>850</v>
      </c>
      <c r="G51" s="58">
        <f t="shared" si="0"/>
        <v>116.43835616438356</v>
      </c>
      <c r="H51" s="58">
        <f t="shared" si="1"/>
        <v>316.74208144796381</v>
      </c>
      <c r="I51" s="58">
        <f>$E$60/$E$62/$E$63/G51</f>
        <v>316.74208144796381</v>
      </c>
      <c r="J51" s="58">
        <f t="shared" si="2"/>
        <v>348.41628959276022</v>
      </c>
    </row>
    <row r="52" spans="1:10" x14ac:dyDescent="0.2">
      <c r="A52" s="258" t="s">
        <v>398</v>
      </c>
      <c r="B52" s="258" t="s">
        <v>399</v>
      </c>
      <c r="C52" s="258">
        <v>6</v>
      </c>
      <c r="D52" s="258" t="s">
        <v>211</v>
      </c>
      <c r="E52" s="259">
        <v>1314</v>
      </c>
      <c r="F52" s="260">
        <f>+E52/C52</f>
        <v>219</v>
      </c>
      <c r="G52" s="260">
        <f>F52/7.3</f>
        <v>30</v>
      </c>
      <c r="H52" s="260">
        <f>$E$60/$E$62/$E$63/G52</f>
        <v>1229.3642430628731</v>
      </c>
      <c r="I52" s="260">
        <f>$E$60/$E$62/$E$63/G52</f>
        <v>1229.3642430628731</v>
      </c>
      <c r="J52" s="260">
        <f>I52*(1+$J$4)</f>
        <v>1352.3006673691605</v>
      </c>
    </row>
    <row r="53" spans="1:10" x14ac:dyDescent="0.2">
      <c r="A53" s="37" t="s">
        <v>49</v>
      </c>
      <c r="B53" s="37" t="s">
        <v>97</v>
      </c>
      <c r="C53" s="47">
        <v>0</v>
      </c>
      <c r="D53" s="47" t="s">
        <v>343</v>
      </c>
      <c r="E53" s="46">
        <v>0</v>
      </c>
      <c r="F53" s="58">
        <v>0</v>
      </c>
      <c r="G53" s="58">
        <f t="shared" si="0"/>
        <v>0</v>
      </c>
      <c r="H53" s="58">
        <v>0</v>
      </c>
      <c r="I53" s="58">
        <v>0</v>
      </c>
      <c r="J53" s="58">
        <f t="shared" si="2"/>
        <v>0</v>
      </c>
    </row>
    <row r="54" spans="1:10" x14ac:dyDescent="0.2">
      <c r="A54" s="37" t="s">
        <v>50</v>
      </c>
      <c r="B54" s="37" t="s">
        <v>98</v>
      </c>
      <c r="C54" s="47">
        <v>0</v>
      </c>
      <c r="D54" s="47" t="s">
        <v>343</v>
      </c>
      <c r="E54" s="46">
        <v>0</v>
      </c>
      <c r="F54" s="58">
        <v>0</v>
      </c>
      <c r="G54" s="58">
        <f t="shared" si="0"/>
        <v>0</v>
      </c>
      <c r="H54" s="58">
        <v>0</v>
      </c>
      <c r="I54" s="58">
        <v>0</v>
      </c>
      <c r="J54" s="58">
        <f t="shared" si="2"/>
        <v>0</v>
      </c>
    </row>
    <row r="55" spans="1:10" x14ac:dyDescent="0.2">
      <c r="A55" s="37" t="s">
        <v>339</v>
      </c>
      <c r="B55" s="37" t="s">
        <v>99</v>
      </c>
      <c r="C55" s="47">
        <v>6</v>
      </c>
      <c r="D55" s="47" t="s">
        <v>211</v>
      </c>
      <c r="E55" s="46">
        <v>1314</v>
      </c>
      <c r="F55" s="58">
        <v>219</v>
      </c>
      <c r="G55" s="58">
        <f t="shared" si="0"/>
        <v>30</v>
      </c>
      <c r="H55" s="58">
        <f t="shared" si="1"/>
        <v>1229.3642430628731</v>
      </c>
      <c r="I55" s="58">
        <f>$E$60/$E$62/$E$63/G55</f>
        <v>1229.3642430628731</v>
      </c>
      <c r="J55" s="58">
        <f t="shared" si="2"/>
        <v>1352.3006673691605</v>
      </c>
    </row>
    <row r="56" spans="1:10" x14ac:dyDescent="0.2">
      <c r="A56" s="37" t="s">
        <v>340</v>
      </c>
      <c r="B56" s="37" t="s">
        <v>100</v>
      </c>
      <c r="C56" s="47">
        <v>6</v>
      </c>
      <c r="D56" s="47" t="s">
        <v>211</v>
      </c>
      <c r="E56" s="46">
        <v>1314</v>
      </c>
      <c r="F56" s="58">
        <v>219</v>
      </c>
      <c r="G56" s="58">
        <f t="shared" si="0"/>
        <v>30</v>
      </c>
      <c r="H56" s="58">
        <f t="shared" si="1"/>
        <v>1229.3642430628731</v>
      </c>
      <c r="I56" s="39">
        <v>1593.0814747382797</v>
      </c>
      <c r="J56" s="58">
        <f t="shared" si="2"/>
        <v>1752.3896222121077</v>
      </c>
    </row>
    <row r="58" spans="1:10" x14ac:dyDescent="0.2">
      <c r="B58" s="40"/>
      <c r="C58" s="40"/>
      <c r="D58" s="40"/>
      <c r="E58" s="41"/>
      <c r="F58" s="40"/>
      <c r="G58" s="40"/>
      <c r="H58" s="40"/>
    </row>
    <row r="59" spans="1:10" x14ac:dyDescent="0.2">
      <c r="B59" s="42" t="s">
        <v>200</v>
      </c>
      <c r="C59" s="43">
        <v>0.5</v>
      </c>
      <c r="D59" s="44">
        <v>0.85</v>
      </c>
      <c r="E59" s="45">
        <v>1</v>
      </c>
      <c r="F59" s="44">
        <v>1.1499999999999999</v>
      </c>
      <c r="G59" s="44">
        <v>1.2</v>
      </c>
      <c r="H59" s="63"/>
    </row>
    <row r="60" spans="1:10" x14ac:dyDescent="0.2">
      <c r="B60" s="42" t="s">
        <v>201</v>
      </c>
      <c r="C60" s="46">
        <v>4000000</v>
      </c>
      <c r="D60" s="46">
        <v>6500000</v>
      </c>
      <c r="E60" s="46">
        <v>7000000</v>
      </c>
      <c r="F60" s="46">
        <v>8000000</v>
      </c>
      <c r="G60" s="46">
        <v>9000000</v>
      </c>
      <c r="H60" s="61"/>
    </row>
    <row r="61" spans="1:10" x14ac:dyDescent="0.2">
      <c r="B61" s="42" t="s">
        <v>175</v>
      </c>
      <c r="C61" s="47">
        <v>1</v>
      </c>
      <c r="D61" s="47">
        <v>2</v>
      </c>
      <c r="E61" s="48">
        <v>3</v>
      </c>
      <c r="F61" s="47">
        <v>4</v>
      </c>
      <c r="G61" s="47">
        <v>5</v>
      </c>
      <c r="H61" s="40"/>
    </row>
    <row r="62" spans="1:10" x14ac:dyDescent="0.2">
      <c r="B62" s="42" t="s">
        <v>202</v>
      </c>
      <c r="C62" s="47">
        <v>26</v>
      </c>
      <c r="D62" s="47">
        <v>26</v>
      </c>
      <c r="E62" s="48">
        <v>26</v>
      </c>
      <c r="F62" s="47">
        <v>26</v>
      </c>
      <c r="G62" s="47">
        <v>26</v>
      </c>
      <c r="H62" s="40"/>
    </row>
    <row r="63" spans="1:10" x14ac:dyDescent="0.2">
      <c r="B63" s="42" t="s">
        <v>203</v>
      </c>
      <c r="C63" s="47">
        <v>7.3</v>
      </c>
      <c r="D63" s="47">
        <v>7.3</v>
      </c>
      <c r="E63" s="62">
        <v>7.3</v>
      </c>
      <c r="F63" s="47">
        <v>7.3</v>
      </c>
      <c r="G63" s="47">
        <v>7.3</v>
      </c>
      <c r="H63" s="40"/>
    </row>
    <row r="64" spans="1:10" ht="12.75" customHeight="1" x14ac:dyDescent="0.2"/>
    <row r="65" spans="1:22" ht="13.5" customHeight="1" x14ac:dyDescent="0.2"/>
    <row r="66" spans="1:22" ht="15.75" x14ac:dyDescent="0.25">
      <c r="A66" s="33" t="s">
        <v>204</v>
      </c>
      <c r="G66" s="35"/>
      <c r="H66" s="35"/>
    </row>
    <row r="67" spans="1:22" ht="31.5" x14ac:dyDescent="0.25">
      <c r="A67" s="49"/>
      <c r="G67" s="35"/>
      <c r="H67" s="35"/>
      <c r="J67" s="59" t="s">
        <v>191</v>
      </c>
      <c r="K67" s="60">
        <v>0.1</v>
      </c>
      <c r="U67" s="30"/>
      <c r="V67" s="31"/>
    </row>
    <row r="68" spans="1:22" ht="51" x14ac:dyDescent="0.2">
      <c r="A68" s="36" t="s">
        <v>192</v>
      </c>
      <c r="B68" s="36" t="s">
        <v>193</v>
      </c>
      <c r="C68" s="36" t="s">
        <v>194</v>
      </c>
      <c r="D68" s="36" t="s">
        <v>195</v>
      </c>
      <c r="E68" s="50" t="s">
        <v>196</v>
      </c>
      <c r="F68" s="50" t="s">
        <v>205</v>
      </c>
      <c r="G68" s="50" t="s">
        <v>206</v>
      </c>
      <c r="H68" s="50" t="s">
        <v>175</v>
      </c>
      <c r="I68" s="50" t="s">
        <v>175</v>
      </c>
      <c r="J68" s="36" t="s">
        <v>199</v>
      </c>
      <c r="K68" s="50" t="s">
        <v>344</v>
      </c>
      <c r="L68" s="36" t="s">
        <v>345</v>
      </c>
    </row>
    <row r="69" spans="1:22" x14ac:dyDescent="0.2">
      <c r="A69" s="37" t="s">
        <v>3</v>
      </c>
      <c r="B69" s="37" t="s">
        <v>51</v>
      </c>
      <c r="C69" s="37"/>
      <c r="D69" s="37" t="s">
        <v>342</v>
      </c>
      <c r="E69" s="51"/>
      <c r="F69" s="58">
        <v>8734.6024636058228</v>
      </c>
      <c r="G69" s="58">
        <f>F69/6.5</f>
        <v>1343.7849944008958</v>
      </c>
      <c r="H69" s="64">
        <v>27.445556726378644</v>
      </c>
      <c r="I69" s="58">
        <f t="shared" ref="I69:I100" si="3">$E$60/$E$62/$E$63/G69</f>
        <v>27.445556726378644</v>
      </c>
      <c r="J69" s="38">
        <f t="shared" ref="J69:J100" si="4">I69*(1+$K$67)</f>
        <v>30.19011239901651</v>
      </c>
      <c r="K69" s="99">
        <v>11300</v>
      </c>
      <c r="L69" s="100">
        <f>K69*(1+$K$67)</f>
        <v>12430.000000000002</v>
      </c>
    </row>
    <row r="70" spans="1:22" x14ac:dyDescent="0.2">
      <c r="A70" s="37" t="s">
        <v>4</v>
      </c>
      <c r="B70" s="37" t="s">
        <v>52</v>
      </c>
      <c r="C70" s="37"/>
      <c r="D70" s="37" t="s">
        <v>211</v>
      </c>
      <c r="E70" s="51"/>
      <c r="F70" s="58">
        <v>1023.2080114874232</v>
      </c>
      <c r="G70" s="58">
        <f t="shared" ref="G70:G118" si="5">F70/6.5</f>
        <v>157.41661715191125</v>
      </c>
      <c r="H70" s="64">
        <v>234.28865363238694</v>
      </c>
      <c r="I70" s="58">
        <f t="shared" si="3"/>
        <v>234.28865363238694</v>
      </c>
      <c r="J70" s="38">
        <f t="shared" si="4"/>
        <v>257.71751899562565</v>
      </c>
      <c r="K70" s="99">
        <v>11300</v>
      </c>
      <c r="L70" s="100">
        <f t="shared" ref="L70:L118" si="6">K70*(1+$K$67)</f>
        <v>12430.000000000002</v>
      </c>
    </row>
    <row r="71" spans="1:22" x14ac:dyDescent="0.2">
      <c r="A71" s="37" t="s">
        <v>5</v>
      </c>
      <c r="B71" s="37" t="s">
        <v>53</v>
      </c>
      <c r="C71" s="37"/>
      <c r="D71" s="37" t="s">
        <v>211</v>
      </c>
      <c r="E71" s="51"/>
      <c r="F71" s="58">
        <v>826.31286822060099</v>
      </c>
      <c r="G71" s="58">
        <f t="shared" si="5"/>
        <v>127.12505664932323</v>
      </c>
      <c r="H71" s="64">
        <v>290.11532630913905</v>
      </c>
      <c r="I71" s="58">
        <f t="shared" si="3"/>
        <v>290.11532630913905</v>
      </c>
      <c r="J71" s="38">
        <f t="shared" si="4"/>
        <v>319.12685894005295</v>
      </c>
      <c r="K71" s="99">
        <v>11300</v>
      </c>
      <c r="L71" s="100">
        <f t="shared" si="6"/>
        <v>12430.000000000002</v>
      </c>
    </row>
    <row r="72" spans="1:22" x14ac:dyDescent="0.2">
      <c r="A72" s="37" t="s">
        <v>6</v>
      </c>
      <c r="B72" s="37" t="s">
        <v>54</v>
      </c>
      <c r="C72" s="37"/>
      <c r="D72" s="37" t="s">
        <v>211</v>
      </c>
      <c r="E72" s="51"/>
      <c r="F72" s="58">
        <v>826.31286822060099</v>
      </c>
      <c r="G72" s="58">
        <f t="shared" si="5"/>
        <v>127.12505664932323</v>
      </c>
      <c r="H72" s="64">
        <v>290.11532630913905</v>
      </c>
      <c r="I72" s="58">
        <f t="shared" si="3"/>
        <v>290.11532630913905</v>
      </c>
      <c r="J72" s="38">
        <f t="shared" si="4"/>
        <v>319.12685894005295</v>
      </c>
      <c r="K72" s="99">
        <v>11300</v>
      </c>
      <c r="L72" s="100">
        <f t="shared" si="6"/>
        <v>12430.000000000002</v>
      </c>
    </row>
    <row r="73" spans="1:22" x14ac:dyDescent="0.2">
      <c r="A73" s="37" t="s">
        <v>7</v>
      </c>
      <c r="B73" s="37" t="s">
        <v>55</v>
      </c>
      <c r="C73" s="37"/>
      <c r="D73" s="37" t="s">
        <v>211</v>
      </c>
      <c r="E73" s="51"/>
      <c r="F73" s="58">
        <v>1023.2080114874232</v>
      </c>
      <c r="G73" s="58">
        <f t="shared" si="5"/>
        <v>157.41661715191125</v>
      </c>
      <c r="H73" s="64">
        <v>234.28865363238694</v>
      </c>
      <c r="I73" s="58">
        <f t="shared" si="3"/>
        <v>234.28865363238694</v>
      </c>
      <c r="J73" s="38">
        <f t="shared" si="4"/>
        <v>257.71751899562565</v>
      </c>
      <c r="K73" s="99">
        <v>11300</v>
      </c>
      <c r="L73" s="100">
        <f t="shared" si="6"/>
        <v>12430.000000000002</v>
      </c>
    </row>
    <row r="74" spans="1:22" x14ac:dyDescent="0.2">
      <c r="A74" s="37" t="s">
        <v>8</v>
      </c>
      <c r="B74" s="37" t="s">
        <v>56</v>
      </c>
      <c r="C74" s="37"/>
      <c r="D74" s="37" t="s">
        <v>211</v>
      </c>
      <c r="E74" s="51"/>
      <c r="F74" s="58">
        <v>826.31286822060099</v>
      </c>
      <c r="G74" s="58">
        <f t="shared" si="5"/>
        <v>127.12505664932323</v>
      </c>
      <c r="H74" s="64">
        <v>290.11532630913905</v>
      </c>
      <c r="I74" s="58">
        <f t="shared" si="3"/>
        <v>290.11532630913905</v>
      </c>
      <c r="J74" s="38">
        <f t="shared" si="4"/>
        <v>319.12685894005295</v>
      </c>
      <c r="K74" s="99">
        <v>11300</v>
      </c>
      <c r="L74" s="100">
        <f t="shared" si="6"/>
        <v>12430.000000000002</v>
      </c>
    </row>
    <row r="75" spans="1:22" x14ac:dyDescent="0.2">
      <c r="A75" s="37" t="s">
        <v>9</v>
      </c>
      <c r="B75" s="37" t="s">
        <v>57</v>
      </c>
      <c r="C75" s="37"/>
      <c r="D75" s="37" t="s">
        <v>211</v>
      </c>
      <c r="E75" s="51"/>
      <c r="F75" s="58">
        <v>1023.2080114874232</v>
      </c>
      <c r="G75" s="58">
        <f t="shared" si="5"/>
        <v>157.41661715191125</v>
      </c>
      <c r="H75" s="64">
        <v>234.28865363238694</v>
      </c>
      <c r="I75" s="58">
        <f t="shared" si="3"/>
        <v>234.28865363238694</v>
      </c>
      <c r="J75" s="38">
        <f t="shared" si="4"/>
        <v>257.71751899562565</v>
      </c>
      <c r="K75" s="99">
        <v>11300</v>
      </c>
      <c r="L75" s="100">
        <f t="shared" si="6"/>
        <v>12430.000000000002</v>
      </c>
    </row>
    <row r="76" spans="1:22" x14ac:dyDescent="0.2">
      <c r="A76" s="37" t="s">
        <v>10</v>
      </c>
      <c r="B76" s="37" t="s">
        <v>58</v>
      </c>
      <c r="C76" s="37"/>
      <c r="D76" s="37" t="s">
        <v>342</v>
      </c>
      <c r="E76" s="51"/>
      <c r="F76" s="58">
        <v>8734.6024636058246</v>
      </c>
      <c r="G76" s="58">
        <f t="shared" si="5"/>
        <v>1343.784994400896</v>
      </c>
      <c r="H76" s="64">
        <v>27.445556726378641</v>
      </c>
      <c r="I76" s="58">
        <f t="shared" si="3"/>
        <v>27.445556726378641</v>
      </c>
      <c r="J76" s="38">
        <f t="shared" si="4"/>
        <v>30.190112399016506</v>
      </c>
      <c r="K76" s="99">
        <v>11300</v>
      </c>
      <c r="L76" s="100">
        <f t="shared" si="6"/>
        <v>12430.000000000002</v>
      </c>
    </row>
    <row r="77" spans="1:22" x14ac:dyDescent="0.2">
      <c r="A77" s="37" t="s">
        <v>11</v>
      </c>
      <c r="B77" s="37" t="s">
        <v>59</v>
      </c>
      <c r="C77" s="37"/>
      <c r="D77" s="37" t="s">
        <v>211</v>
      </c>
      <c r="E77" s="51"/>
      <c r="F77" s="58">
        <v>4276.3157894736842</v>
      </c>
      <c r="G77" s="58">
        <f t="shared" si="5"/>
        <v>657.8947368421052</v>
      </c>
      <c r="H77" s="64">
        <v>56.059009483667026</v>
      </c>
      <c r="I77" s="58">
        <f t="shared" si="3"/>
        <v>56.059009483667026</v>
      </c>
      <c r="J77" s="38">
        <f t="shared" si="4"/>
        <v>61.664910432033736</v>
      </c>
      <c r="K77" s="99">
        <v>11300</v>
      </c>
      <c r="L77" s="100">
        <f>K77*(1+$K$67)</f>
        <v>12430.000000000002</v>
      </c>
    </row>
    <row r="78" spans="1:22" x14ac:dyDescent="0.2">
      <c r="A78" s="37" t="s">
        <v>12</v>
      </c>
      <c r="B78" s="37" t="s">
        <v>60</v>
      </c>
      <c r="C78" s="37"/>
      <c r="D78" s="37" t="s">
        <v>211</v>
      </c>
      <c r="E78" s="51"/>
      <c r="F78" s="58">
        <v>1023.2080114874232</v>
      </c>
      <c r="G78" s="58">
        <f t="shared" si="5"/>
        <v>157.41661715191125</v>
      </c>
      <c r="H78" s="64">
        <v>234.28865363238694</v>
      </c>
      <c r="I78" s="58">
        <f t="shared" si="3"/>
        <v>234.28865363238694</v>
      </c>
      <c r="J78" s="38">
        <f t="shared" si="4"/>
        <v>257.71751899562565</v>
      </c>
      <c r="K78" s="99">
        <v>11300</v>
      </c>
      <c r="L78" s="100">
        <f t="shared" si="6"/>
        <v>12430.000000000002</v>
      </c>
    </row>
    <row r="79" spans="1:22" x14ac:dyDescent="0.2">
      <c r="A79" s="37" t="s">
        <v>13</v>
      </c>
      <c r="B79" s="37" t="s">
        <v>61</v>
      </c>
      <c r="C79" s="37"/>
      <c r="D79" s="37" t="s">
        <v>211</v>
      </c>
      <c r="E79" s="51"/>
      <c r="F79" s="58">
        <v>826.31286822060099</v>
      </c>
      <c r="G79" s="58">
        <f t="shared" si="5"/>
        <v>127.12505664932323</v>
      </c>
      <c r="H79" s="64">
        <v>290.11532630913905</v>
      </c>
      <c r="I79" s="58">
        <f t="shared" si="3"/>
        <v>290.11532630913905</v>
      </c>
      <c r="J79" s="38">
        <f t="shared" si="4"/>
        <v>319.12685894005295</v>
      </c>
      <c r="K79" s="99">
        <v>11300</v>
      </c>
      <c r="L79" s="100">
        <f t="shared" si="6"/>
        <v>12430.000000000002</v>
      </c>
    </row>
    <row r="80" spans="1:22" x14ac:dyDescent="0.2">
      <c r="A80" s="37" t="s">
        <v>14</v>
      </c>
      <c r="B80" s="37" t="s">
        <v>62</v>
      </c>
      <c r="C80" s="37"/>
      <c r="D80" s="37" t="s">
        <v>211</v>
      </c>
      <c r="E80" s="51"/>
      <c r="F80" s="58">
        <v>892.44851258581241</v>
      </c>
      <c r="G80" s="58">
        <f t="shared" si="5"/>
        <v>137.29977116704805</v>
      </c>
      <c r="H80" s="64">
        <v>268.61608710923781</v>
      </c>
      <c r="I80" s="58">
        <f t="shared" si="3"/>
        <v>268.61608710923781</v>
      </c>
      <c r="J80" s="38">
        <f t="shared" si="4"/>
        <v>295.47769582016161</v>
      </c>
      <c r="K80" s="99">
        <v>11300</v>
      </c>
      <c r="L80" s="100">
        <f t="shared" si="6"/>
        <v>12430.000000000002</v>
      </c>
    </row>
    <row r="81" spans="1:12" x14ac:dyDescent="0.2">
      <c r="A81" s="37" t="s">
        <v>15</v>
      </c>
      <c r="B81" s="37" t="s">
        <v>63</v>
      </c>
      <c r="C81" s="37"/>
      <c r="D81" s="37" t="s">
        <v>211</v>
      </c>
      <c r="E81" s="51"/>
      <c r="F81" s="58">
        <v>1023.2080114874232</v>
      </c>
      <c r="G81" s="58">
        <f t="shared" si="5"/>
        <v>157.41661715191125</v>
      </c>
      <c r="H81" s="64">
        <v>234.28865363238694</v>
      </c>
      <c r="I81" s="58">
        <f t="shared" si="3"/>
        <v>234.28865363238694</v>
      </c>
      <c r="J81" s="38">
        <f t="shared" si="4"/>
        <v>257.71751899562565</v>
      </c>
      <c r="K81" s="99">
        <v>11300</v>
      </c>
      <c r="L81" s="100">
        <f t="shared" si="6"/>
        <v>12430.000000000002</v>
      </c>
    </row>
    <row r="82" spans="1:12" x14ac:dyDescent="0.2">
      <c r="A82" s="37" t="s">
        <v>16</v>
      </c>
      <c r="B82" s="37" t="s">
        <v>64</v>
      </c>
      <c r="C82" s="37"/>
      <c r="D82" s="37" t="s">
        <v>211</v>
      </c>
      <c r="E82" s="51"/>
      <c r="F82" s="58">
        <v>1023.2080114874232</v>
      </c>
      <c r="G82" s="58">
        <f t="shared" si="5"/>
        <v>157.41661715191125</v>
      </c>
      <c r="H82" s="64">
        <v>234.28865363238694</v>
      </c>
      <c r="I82" s="58">
        <f t="shared" si="3"/>
        <v>234.28865363238694</v>
      </c>
      <c r="J82" s="38">
        <f t="shared" si="4"/>
        <v>257.71751899562565</v>
      </c>
      <c r="K82" s="99">
        <v>11300</v>
      </c>
      <c r="L82" s="100">
        <f t="shared" si="6"/>
        <v>12430.000000000002</v>
      </c>
    </row>
    <row r="83" spans="1:12" x14ac:dyDescent="0.2">
      <c r="A83" s="37" t="s">
        <v>17</v>
      </c>
      <c r="B83" s="37" t="s">
        <v>65</v>
      </c>
      <c r="C83" s="37"/>
      <c r="D83" s="37" t="s">
        <v>211</v>
      </c>
      <c r="E83" s="51"/>
      <c r="F83" s="58">
        <v>826.31286822060099</v>
      </c>
      <c r="G83" s="58">
        <f t="shared" si="5"/>
        <v>127.12505664932323</v>
      </c>
      <c r="H83" s="64">
        <v>290.11532630913905</v>
      </c>
      <c r="I83" s="58">
        <f t="shared" si="3"/>
        <v>290.11532630913905</v>
      </c>
      <c r="J83" s="38">
        <f t="shared" si="4"/>
        <v>319.12685894005295</v>
      </c>
      <c r="K83" s="99">
        <v>11300</v>
      </c>
      <c r="L83" s="100">
        <f t="shared" si="6"/>
        <v>12430.000000000002</v>
      </c>
    </row>
    <row r="84" spans="1:12" x14ac:dyDescent="0.2">
      <c r="A84" s="37" t="s">
        <v>18</v>
      </c>
      <c r="B84" s="37" t="s">
        <v>66</v>
      </c>
      <c r="C84" s="37"/>
      <c r="D84" s="37" t="s">
        <v>211</v>
      </c>
      <c r="E84" s="51"/>
      <c r="F84" s="58">
        <v>1023.2080114874232</v>
      </c>
      <c r="G84" s="58">
        <f t="shared" si="5"/>
        <v>157.41661715191125</v>
      </c>
      <c r="H84" s="64">
        <v>234.28865363238694</v>
      </c>
      <c r="I84" s="58">
        <f t="shared" si="3"/>
        <v>234.28865363238694</v>
      </c>
      <c r="J84" s="38">
        <f t="shared" si="4"/>
        <v>257.71751899562565</v>
      </c>
      <c r="K84" s="99">
        <v>11300</v>
      </c>
      <c r="L84" s="100">
        <f t="shared" si="6"/>
        <v>12430.000000000002</v>
      </c>
    </row>
    <row r="85" spans="1:12" x14ac:dyDescent="0.2">
      <c r="A85" s="37" t="s">
        <v>19</v>
      </c>
      <c r="B85" s="37" t="s">
        <v>67</v>
      </c>
      <c r="C85" s="37"/>
      <c r="D85" s="37" t="s">
        <v>211</v>
      </c>
      <c r="E85" s="51"/>
      <c r="F85" s="58">
        <v>1023.2080114874232</v>
      </c>
      <c r="G85" s="58">
        <f t="shared" si="5"/>
        <v>157.41661715191125</v>
      </c>
      <c r="H85" s="64">
        <v>234.28865363238694</v>
      </c>
      <c r="I85" s="58">
        <f t="shared" si="3"/>
        <v>234.28865363238694</v>
      </c>
      <c r="J85" s="38">
        <f t="shared" si="4"/>
        <v>257.71751899562565</v>
      </c>
      <c r="K85" s="99">
        <v>11300</v>
      </c>
      <c r="L85" s="100">
        <f t="shared" si="6"/>
        <v>12430.000000000002</v>
      </c>
    </row>
    <row r="86" spans="1:12" x14ac:dyDescent="0.2">
      <c r="A86" s="37" t="s">
        <v>20</v>
      </c>
      <c r="B86" s="37" t="s">
        <v>68</v>
      </c>
      <c r="C86" s="37"/>
      <c r="D86" s="37" t="s">
        <v>211</v>
      </c>
      <c r="E86" s="51"/>
      <c r="F86" s="58">
        <v>1023.2080114874232</v>
      </c>
      <c r="G86" s="58">
        <f t="shared" si="5"/>
        <v>157.41661715191125</v>
      </c>
      <c r="H86" s="64">
        <v>234.28865363238694</v>
      </c>
      <c r="I86" s="58">
        <f t="shared" si="3"/>
        <v>234.28865363238694</v>
      </c>
      <c r="J86" s="38">
        <f t="shared" si="4"/>
        <v>257.71751899562565</v>
      </c>
      <c r="K86" s="99">
        <v>11300</v>
      </c>
      <c r="L86" s="100">
        <f t="shared" si="6"/>
        <v>12430.000000000002</v>
      </c>
    </row>
    <row r="87" spans="1:12" x14ac:dyDescent="0.2">
      <c r="A87" s="37" t="s">
        <v>21</v>
      </c>
      <c r="B87" s="37" t="s">
        <v>69</v>
      </c>
      <c r="C87" s="37"/>
      <c r="D87" s="37" t="s">
        <v>211</v>
      </c>
      <c r="E87" s="51"/>
      <c r="F87" s="58">
        <v>826.31286822060099</v>
      </c>
      <c r="G87" s="58">
        <f t="shared" si="5"/>
        <v>127.12505664932323</v>
      </c>
      <c r="H87" s="64">
        <v>290.11532630913905</v>
      </c>
      <c r="I87" s="58">
        <f t="shared" si="3"/>
        <v>290.11532630913905</v>
      </c>
      <c r="J87" s="38">
        <f t="shared" si="4"/>
        <v>319.12685894005295</v>
      </c>
      <c r="K87" s="99">
        <v>11300</v>
      </c>
      <c r="L87" s="100">
        <f t="shared" si="6"/>
        <v>12430.000000000002</v>
      </c>
    </row>
    <row r="88" spans="1:12" x14ac:dyDescent="0.2">
      <c r="A88" s="37" t="s">
        <v>22</v>
      </c>
      <c r="B88" s="37" t="s">
        <v>70</v>
      </c>
      <c r="C88" s="37"/>
      <c r="D88" s="37" t="s">
        <v>211</v>
      </c>
      <c r="E88" s="51"/>
      <c r="F88" s="58">
        <v>1023.2080114874232</v>
      </c>
      <c r="G88" s="58">
        <f t="shared" si="5"/>
        <v>157.41661715191125</v>
      </c>
      <c r="H88" s="64">
        <v>234.28865363238694</v>
      </c>
      <c r="I88" s="58">
        <f t="shared" si="3"/>
        <v>234.28865363238694</v>
      </c>
      <c r="J88" s="38">
        <f t="shared" si="4"/>
        <v>257.71751899562565</v>
      </c>
      <c r="K88" s="99">
        <v>11300</v>
      </c>
      <c r="L88" s="100">
        <f t="shared" si="6"/>
        <v>12430.000000000002</v>
      </c>
    </row>
    <row r="89" spans="1:12" x14ac:dyDescent="0.2">
      <c r="A89" s="37" t="s">
        <v>23</v>
      </c>
      <c r="B89" s="37" t="s">
        <v>71</v>
      </c>
      <c r="C89" s="37"/>
      <c r="D89" s="37" t="s">
        <v>211</v>
      </c>
      <c r="E89" s="51"/>
      <c r="F89" s="58">
        <v>826.31286822060099</v>
      </c>
      <c r="G89" s="58">
        <f t="shared" si="5"/>
        <v>127.12505664932323</v>
      </c>
      <c r="H89" s="64">
        <v>290.11532630913905</v>
      </c>
      <c r="I89" s="58">
        <f t="shared" si="3"/>
        <v>290.11532630913905</v>
      </c>
      <c r="J89" s="38">
        <f t="shared" si="4"/>
        <v>319.12685894005295</v>
      </c>
      <c r="K89" s="99">
        <v>11300</v>
      </c>
      <c r="L89" s="100">
        <f t="shared" si="6"/>
        <v>12430.000000000002</v>
      </c>
    </row>
    <row r="90" spans="1:12" x14ac:dyDescent="0.2">
      <c r="A90" s="37" t="s">
        <v>24</v>
      </c>
      <c r="B90" s="37" t="s">
        <v>72</v>
      </c>
      <c r="C90" s="37"/>
      <c r="D90" s="37" t="s">
        <v>211</v>
      </c>
      <c r="E90" s="51"/>
      <c r="F90" s="58">
        <v>826.31286822060099</v>
      </c>
      <c r="G90" s="58">
        <f t="shared" si="5"/>
        <v>127.12505664932323</v>
      </c>
      <c r="H90" s="64">
        <v>290.11532630913905</v>
      </c>
      <c r="I90" s="58">
        <f t="shared" si="3"/>
        <v>290.11532630913905</v>
      </c>
      <c r="J90" s="38">
        <f t="shared" si="4"/>
        <v>319.12685894005295</v>
      </c>
      <c r="K90" s="99">
        <v>11300</v>
      </c>
      <c r="L90" s="100">
        <f t="shared" si="6"/>
        <v>12430.000000000002</v>
      </c>
    </row>
    <row r="91" spans="1:12" x14ac:dyDescent="0.2">
      <c r="A91" s="37" t="s">
        <v>25</v>
      </c>
      <c r="B91" s="37" t="s">
        <v>239</v>
      </c>
      <c r="C91" s="37"/>
      <c r="D91" s="37" t="s">
        <v>211</v>
      </c>
      <c r="E91" s="51"/>
      <c r="F91" s="58">
        <v>892.44851258581241</v>
      </c>
      <c r="G91" s="58">
        <f t="shared" si="5"/>
        <v>137.29977116704805</v>
      </c>
      <c r="H91" s="64">
        <v>268.61608710923781</v>
      </c>
      <c r="I91" s="58">
        <f t="shared" si="3"/>
        <v>268.61608710923781</v>
      </c>
      <c r="J91" s="38">
        <f t="shared" si="4"/>
        <v>295.47769582016161</v>
      </c>
      <c r="K91" s="99">
        <v>11300</v>
      </c>
      <c r="L91" s="100">
        <f t="shared" si="6"/>
        <v>12430.000000000002</v>
      </c>
    </row>
    <row r="92" spans="1:12" x14ac:dyDescent="0.2">
      <c r="A92" s="37" t="s">
        <v>26</v>
      </c>
      <c r="B92" s="37" t="s">
        <v>74</v>
      </c>
      <c r="C92" s="37"/>
      <c r="D92" s="37" t="s">
        <v>211</v>
      </c>
      <c r="E92" s="51"/>
      <c r="F92" s="58">
        <v>826.31286822060099</v>
      </c>
      <c r="G92" s="58">
        <f t="shared" si="5"/>
        <v>127.12505664932323</v>
      </c>
      <c r="H92" s="64">
        <v>290.11532630913905</v>
      </c>
      <c r="I92" s="58">
        <f t="shared" si="3"/>
        <v>290.11532630913905</v>
      </c>
      <c r="J92" s="38">
        <f t="shared" si="4"/>
        <v>319.12685894005295</v>
      </c>
      <c r="K92" s="99">
        <v>11300</v>
      </c>
      <c r="L92" s="100">
        <f t="shared" si="6"/>
        <v>12430.000000000002</v>
      </c>
    </row>
    <row r="93" spans="1:12" x14ac:dyDescent="0.2">
      <c r="A93" s="37" t="s">
        <v>27</v>
      </c>
      <c r="B93" s="37" t="s">
        <v>75</v>
      </c>
      <c r="C93" s="37"/>
      <c r="D93" s="37" t="s">
        <v>211</v>
      </c>
      <c r="E93" s="51"/>
      <c r="F93" s="58">
        <v>892.44851258581241</v>
      </c>
      <c r="G93" s="58">
        <f t="shared" si="5"/>
        <v>137.29977116704805</v>
      </c>
      <c r="H93" s="64">
        <v>268.61608710923781</v>
      </c>
      <c r="I93" s="58">
        <f t="shared" si="3"/>
        <v>268.61608710923781</v>
      </c>
      <c r="J93" s="38">
        <f t="shared" si="4"/>
        <v>295.47769582016161</v>
      </c>
      <c r="K93" s="99">
        <v>11300</v>
      </c>
      <c r="L93" s="100">
        <f t="shared" si="6"/>
        <v>12430.000000000002</v>
      </c>
    </row>
    <row r="94" spans="1:12" ht="13.5" customHeight="1" x14ac:dyDescent="0.2">
      <c r="A94" s="37" t="s">
        <v>28</v>
      </c>
      <c r="B94" s="37" t="s">
        <v>76</v>
      </c>
      <c r="C94" s="37"/>
      <c r="D94" s="37" t="s">
        <v>342</v>
      </c>
      <c r="E94" s="51"/>
      <c r="F94" s="58">
        <v>20500</v>
      </c>
      <c r="G94" s="58">
        <f t="shared" si="5"/>
        <v>3153.8461538461538</v>
      </c>
      <c r="H94" s="64">
        <v>11.693952555963916</v>
      </c>
      <c r="I94" s="58">
        <f t="shared" si="3"/>
        <v>11.693952555963916</v>
      </c>
      <c r="J94" s="38">
        <f t="shared" si="4"/>
        <v>12.863347811560308</v>
      </c>
      <c r="K94" s="99">
        <v>11300</v>
      </c>
      <c r="L94" s="100">
        <f t="shared" si="6"/>
        <v>12430.000000000002</v>
      </c>
    </row>
    <row r="95" spans="1:12" ht="13.5" customHeight="1" x14ac:dyDescent="0.2">
      <c r="A95" s="37" t="s">
        <v>29</v>
      </c>
      <c r="B95" s="37" t="s">
        <v>77</v>
      </c>
      <c r="C95" s="37"/>
      <c r="D95" s="37" t="s">
        <v>342</v>
      </c>
      <c r="E95" s="51"/>
      <c r="F95" s="58">
        <v>8210.5263157894751</v>
      </c>
      <c r="G95" s="58">
        <f t="shared" si="5"/>
        <v>1263.1578947368423</v>
      </c>
      <c r="H95" s="64">
        <v>29.197400772743233</v>
      </c>
      <c r="I95" s="58">
        <f t="shared" si="3"/>
        <v>29.197400772743233</v>
      </c>
      <c r="J95" s="38">
        <f t="shared" si="4"/>
        <v>32.117140850017556</v>
      </c>
      <c r="K95" s="99">
        <v>11300</v>
      </c>
      <c r="L95" s="100">
        <f t="shared" si="6"/>
        <v>12430.000000000002</v>
      </c>
    </row>
    <row r="96" spans="1:12" ht="13.5" customHeight="1" x14ac:dyDescent="0.2">
      <c r="A96" s="37" t="s">
        <v>30</v>
      </c>
      <c r="B96" s="37" t="s">
        <v>240</v>
      </c>
      <c r="C96" s="37"/>
      <c r="D96" s="37" t="s">
        <v>211</v>
      </c>
      <c r="E96" s="51"/>
      <c r="F96" s="58">
        <v>892.44851258581241</v>
      </c>
      <c r="G96" s="58">
        <f t="shared" si="5"/>
        <v>137.29977116704805</v>
      </c>
      <c r="H96" s="64">
        <v>268.61608710923781</v>
      </c>
      <c r="I96" s="58">
        <f t="shared" si="3"/>
        <v>268.61608710923781</v>
      </c>
      <c r="J96" s="38">
        <f t="shared" si="4"/>
        <v>295.47769582016161</v>
      </c>
      <c r="K96" s="99">
        <v>11300</v>
      </c>
      <c r="L96" s="100">
        <f t="shared" si="6"/>
        <v>12430.000000000002</v>
      </c>
    </row>
    <row r="97" spans="1:13" ht="13.5" customHeight="1" x14ac:dyDescent="0.2">
      <c r="A97" s="37" t="s">
        <v>31</v>
      </c>
      <c r="B97" s="37" t="s">
        <v>79</v>
      </c>
      <c r="C97" s="37"/>
      <c r="D97" s="37" t="s">
        <v>211</v>
      </c>
      <c r="E97" s="51"/>
      <c r="F97" s="58">
        <v>892.44851258581241</v>
      </c>
      <c r="G97" s="58">
        <f t="shared" si="5"/>
        <v>137.29977116704805</v>
      </c>
      <c r="H97" s="64">
        <v>268.61608710923781</v>
      </c>
      <c r="I97" s="58">
        <f t="shared" si="3"/>
        <v>268.61608710923781</v>
      </c>
      <c r="J97" s="38">
        <f t="shared" si="4"/>
        <v>295.47769582016161</v>
      </c>
      <c r="K97" s="99">
        <v>11300</v>
      </c>
      <c r="L97" s="100">
        <f t="shared" si="6"/>
        <v>12430.000000000002</v>
      </c>
    </row>
    <row r="98" spans="1:13" ht="13.5" customHeight="1" x14ac:dyDescent="0.2">
      <c r="A98" s="37" t="s">
        <v>32</v>
      </c>
      <c r="B98" s="37" t="s">
        <v>80</v>
      </c>
      <c r="C98" s="37"/>
      <c r="D98" s="37" t="s">
        <v>211</v>
      </c>
      <c r="E98" s="51"/>
      <c r="F98" s="58">
        <v>2002.5673940949935</v>
      </c>
      <c r="G98" s="58">
        <f t="shared" si="5"/>
        <v>308.08729139922974</v>
      </c>
      <c r="H98" s="64">
        <v>119.7093431682473</v>
      </c>
      <c r="I98" s="58">
        <f t="shared" si="3"/>
        <v>119.7093431682473</v>
      </c>
      <c r="J98" s="38">
        <f t="shared" si="4"/>
        <v>131.68027748507205</v>
      </c>
      <c r="K98" s="99">
        <v>11300</v>
      </c>
      <c r="L98" s="100">
        <f t="shared" si="6"/>
        <v>12430.000000000002</v>
      </c>
    </row>
    <row r="99" spans="1:13" ht="13.5" customHeight="1" x14ac:dyDescent="0.2">
      <c r="A99" s="37" t="s">
        <v>33</v>
      </c>
      <c r="B99" s="37" t="s">
        <v>81</v>
      </c>
      <c r="C99" s="37"/>
      <c r="D99" s="37" t="s">
        <v>342</v>
      </c>
      <c r="E99" s="51"/>
      <c r="F99" s="58">
        <v>27368.42105263158</v>
      </c>
      <c r="G99" s="58">
        <f t="shared" si="5"/>
        <v>4210.5263157894742</v>
      </c>
      <c r="H99" s="64">
        <v>8.7592202318229706</v>
      </c>
      <c r="I99" s="58">
        <f t="shared" si="3"/>
        <v>8.7592202318229706</v>
      </c>
      <c r="J99" s="38">
        <f t="shared" si="4"/>
        <v>9.6351422550052686</v>
      </c>
      <c r="K99" s="99">
        <v>11300</v>
      </c>
      <c r="L99" s="100">
        <f t="shared" si="6"/>
        <v>12430.000000000002</v>
      </c>
    </row>
    <row r="100" spans="1:13" ht="13.5" customHeight="1" x14ac:dyDescent="0.2">
      <c r="A100" s="37" t="s">
        <v>34</v>
      </c>
      <c r="B100" s="37" t="s">
        <v>82</v>
      </c>
      <c r="C100" s="37"/>
      <c r="D100" s="37" t="s">
        <v>342</v>
      </c>
      <c r="E100" s="51"/>
      <c r="F100" s="58">
        <v>9709.3799999999992</v>
      </c>
      <c r="G100" s="58">
        <f t="shared" si="5"/>
        <v>1493.750769230769</v>
      </c>
      <c r="H100" s="64">
        <v>24.690147815541291</v>
      </c>
      <c r="I100" s="58">
        <f t="shared" si="3"/>
        <v>24.690147815541291</v>
      </c>
      <c r="J100" s="38">
        <f t="shared" si="4"/>
        <v>27.159162597095424</v>
      </c>
      <c r="K100" s="99">
        <v>11300</v>
      </c>
      <c r="L100" s="100">
        <f t="shared" si="6"/>
        <v>12430.000000000002</v>
      </c>
    </row>
    <row r="101" spans="1:13" ht="13.5" customHeight="1" x14ac:dyDescent="0.2">
      <c r="A101" s="37" t="s">
        <v>35</v>
      </c>
      <c r="B101" s="37" t="s">
        <v>83</v>
      </c>
      <c r="C101" s="37"/>
      <c r="D101" s="37" t="s">
        <v>342</v>
      </c>
      <c r="E101" s="51"/>
      <c r="F101" s="58">
        <v>27368.42105263158</v>
      </c>
      <c r="G101" s="58">
        <f t="shared" si="5"/>
        <v>4210.5263157894742</v>
      </c>
      <c r="H101" s="64">
        <v>8.7592202318229706</v>
      </c>
      <c r="I101" s="58">
        <f t="shared" ref="I101:I118" si="7">$E$60/$E$62/$E$63/G101</f>
        <v>8.7592202318229706</v>
      </c>
      <c r="J101" s="38">
        <f t="shared" ref="J101:J118" si="8">I101*(1+$K$67)</f>
        <v>9.6351422550052686</v>
      </c>
      <c r="K101" s="99">
        <v>11300</v>
      </c>
      <c r="L101" s="100">
        <f t="shared" si="6"/>
        <v>12430.000000000002</v>
      </c>
      <c r="M101" s="52"/>
    </row>
    <row r="102" spans="1:13" ht="13.5" customHeight="1" x14ac:dyDescent="0.2">
      <c r="A102" s="37" t="s">
        <v>36</v>
      </c>
      <c r="B102" s="37" t="s">
        <v>84</v>
      </c>
      <c r="C102" s="37"/>
      <c r="D102" s="37" t="s">
        <v>342</v>
      </c>
      <c r="E102" s="51"/>
      <c r="F102" s="58">
        <v>13684.21052631579</v>
      </c>
      <c r="G102" s="58">
        <f t="shared" si="5"/>
        <v>2105.2631578947371</v>
      </c>
      <c r="H102" s="64">
        <v>17.518440463645941</v>
      </c>
      <c r="I102" s="58">
        <f t="shared" si="7"/>
        <v>17.518440463645941</v>
      </c>
      <c r="J102" s="38">
        <f t="shared" si="8"/>
        <v>19.270284510010537</v>
      </c>
      <c r="K102" s="99">
        <v>11300</v>
      </c>
      <c r="L102" s="100">
        <f t="shared" si="6"/>
        <v>12430.000000000002</v>
      </c>
    </row>
    <row r="103" spans="1:13" ht="13.5" customHeight="1" x14ac:dyDescent="0.2">
      <c r="A103" s="37" t="s">
        <v>37</v>
      </c>
      <c r="B103" s="37" t="s">
        <v>85</v>
      </c>
      <c r="C103" s="37"/>
      <c r="D103" s="37" t="s">
        <v>211</v>
      </c>
      <c r="E103" s="51"/>
      <c r="F103" s="58">
        <v>855.26315789473688</v>
      </c>
      <c r="G103" s="58">
        <f t="shared" si="5"/>
        <v>131.57894736842107</v>
      </c>
      <c r="H103" s="64">
        <v>280.29504741833506</v>
      </c>
      <c r="I103" s="58">
        <f t="shared" si="7"/>
        <v>280.29504741833506</v>
      </c>
      <c r="J103" s="38">
        <f t="shared" si="8"/>
        <v>308.32455216016859</v>
      </c>
      <c r="K103" s="99">
        <v>11300</v>
      </c>
      <c r="L103" s="100">
        <f t="shared" si="6"/>
        <v>12430.000000000002</v>
      </c>
    </row>
    <row r="104" spans="1:13" ht="13.5" customHeight="1" x14ac:dyDescent="0.2">
      <c r="A104" s="37" t="s">
        <v>38</v>
      </c>
      <c r="B104" s="37" t="s">
        <v>86</v>
      </c>
      <c r="C104" s="37"/>
      <c r="D104" s="37" t="s">
        <v>211</v>
      </c>
      <c r="E104" s="51"/>
      <c r="F104" s="58">
        <v>427.63157894736838</v>
      </c>
      <c r="G104" s="58">
        <f t="shared" si="5"/>
        <v>65.78947368421052</v>
      </c>
      <c r="H104" s="64">
        <v>560.59009483667023</v>
      </c>
      <c r="I104" s="58">
        <f t="shared" si="7"/>
        <v>560.59009483667023</v>
      </c>
      <c r="J104" s="38">
        <f t="shared" si="8"/>
        <v>616.6491043203373</v>
      </c>
      <c r="K104" s="99">
        <v>11300</v>
      </c>
      <c r="L104" s="100">
        <f t="shared" si="6"/>
        <v>12430.000000000002</v>
      </c>
    </row>
    <row r="105" spans="1:13" ht="13.5" customHeight="1" x14ac:dyDescent="0.2">
      <c r="A105" s="37" t="s">
        <v>39</v>
      </c>
      <c r="B105" s="37" t="s">
        <v>87</v>
      </c>
      <c r="C105" s="37"/>
      <c r="D105" s="37" t="s">
        <v>342</v>
      </c>
      <c r="E105" s="51"/>
      <c r="F105" s="58">
        <v>1172.9323308270675</v>
      </c>
      <c r="G105" s="58">
        <f t="shared" si="5"/>
        <v>180.45112781954884</v>
      </c>
      <c r="H105" s="64">
        <v>204.38180540920271</v>
      </c>
      <c r="I105" s="58">
        <f t="shared" si="7"/>
        <v>204.38180540920271</v>
      </c>
      <c r="J105" s="38">
        <f t="shared" si="8"/>
        <v>224.819985950123</v>
      </c>
      <c r="K105" s="99">
        <v>11300</v>
      </c>
      <c r="L105" s="100">
        <f t="shared" si="6"/>
        <v>12430.000000000002</v>
      </c>
    </row>
    <row r="106" spans="1:13" ht="13.5" customHeight="1" x14ac:dyDescent="0.2">
      <c r="A106" s="37" t="s">
        <v>40</v>
      </c>
      <c r="B106" s="37" t="s">
        <v>88</v>
      </c>
      <c r="C106" s="37"/>
      <c r="D106" s="37" t="s">
        <v>342</v>
      </c>
      <c r="E106" s="51"/>
      <c r="F106" s="58">
        <v>1172.9323308270675</v>
      </c>
      <c r="G106" s="58">
        <f t="shared" si="5"/>
        <v>180.45112781954884</v>
      </c>
      <c r="H106" s="64">
        <v>204.38180540920271</v>
      </c>
      <c r="I106" s="58">
        <f t="shared" si="7"/>
        <v>204.38180540920271</v>
      </c>
      <c r="J106" s="38">
        <f t="shared" si="8"/>
        <v>224.819985950123</v>
      </c>
      <c r="K106" s="99">
        <v>11300</v>
      </c>
      <c r="L106" s="100">
        <f t="shared" si="6"/>
        <v>12430.000000000002</v>
      </c>
    </row>
    <row r="107" spans="1:13" ht="13.5" customHeight="1" x14ac:dyDescent="0.2">
      <c r="A107" s="37" t="s">
        <v>41</v>
      </c>
      <c r="B107" s="37" t="s">
        <v>89</v>
      </c>
      <c r="C107" s="37"/>
      <c r="D107" s="37" t="s">
        <v>342</v>
      </c>
      <c r="E107" s="51"/>
      <c r="F107" s="58">
        <v>1172.9323308270675</v>
      </c>
      <c r="G107" s="58">
        <f t="shared" si="5"/>
        <v>180.45112781954884</v>
      </c>
      <c r="H107" s="64">
        <v>204.38180540920271</v>
      </c>
      <c r="I107" s="58">
        <f t="shared" si="7"/>
        <v>204.38180540920271</v>
      </c>
      <c r="J107" s="38">
        <f t="shared" si="8"/>
        <v>224.819985950123</v>
      </c>
      <c r="K107" s="99">
        <v>11300</v>
      </c>
      <c r="L107" s="100">
        <f t="shared" si="6"/>
        <v>12430.000000000002</v>
      </c>
    </row>
    <row r="108" spans="1:13" ht="13.5" customHeight="1" x14ac:dyDescent="0.2">
      <c r="A108" s="37" t="s">
        <v>42</v>
      </c>
      <c r="B108" s="37" t="s">
        <v>90</v>
      </c>
      <c r="C108" s="37"/>
      <c r="D108" s="37" t="s">
        <v>342</v>
      </c>
      <c r="E108" s="51"/>
      <c r="F108" s="58">
        <v>1172.9323308270675</v>
      </c>
      <c r="G108" s="58">
        <f t="shared" si="5"/>
        <v>180.45112781954884</v>
      </c>
      <c r="H108" s="64">
        <v>204.38180540920271</v>
      </c>
      <c r="I108" s="58">
        <f t="shared" si="7"/>
        <v>204.38180540920271</v>
      </c>
      <c r="J108" s="38">
        <f t="shared" si="8"/>
        <v>224.819985950123</v>
      </c>
      <c r="K108" s="99">
        <v>11300</v>
      </c>
      <c r="L108" s="100">
        <f t="shared" si="6"/>
        <v>12430.000000000002</v>
      </c>
    </row>
    <row r="109" spans="1:13" ht="13.5" customHeight="1" x14ac:dyDescent="0.2">
      <c r="A109" s="37" t="s">
        <v>43</v>
      </c>
      <c r="B109" s="37" t="s">
        <v>91</v>
      </c>
      <c r="C109" s="37"/>
      <c r="D109" s="37" t="s">
        <v>342</v>
      </c>
      <c r="E109" s="51"/>
      <c r="F109" s="58">
        <v>1172.9323308270675</v>
      </c>
      <c r="G109" s="58">
        <f t="shared" si="5"/>
        <v>180.45112781954884</v>
      </c>
      <c r="H109" s="64">
        <v>204.38180540920271</v>
      </c>
      <c r="I109" s="58">
        <f t="shared" si="7"/>
        <v>204.38180540920271</v>
      </c>
      <c r="J109" s="38">
        <f t="shared" si="8"/>
        <v>224.819985950123</v>
      </c>
      <c r="K109" s="99">
        <v>11300</v>
      </c>
      <c r="L109" s="100">
        <f t="shared" si="6"/>
        <v>12430.000000000002</v>
      </c>
    </row>
    <row r="110" spans="1:13" ht="13.5" customHeight="1" x14ac:dyDescent="0.2">
      <c r="A110" s="37" t="s">
        <v>44</v>
      </c>
      <c r="B110" s="37" t="s">
        <v>92</v>
      </c>
      <c r="C110" s="37"/>
      <c r="D110" s="37" t="s">
        <v>342</v>
      </c>
      <c r="E110" s="51"/>
      <c r="F110" s="58">
        <v>1172.9323308270675</v>
      </c>
      <c r="G110" s="58">
        <f t="shared" si="5"/>
        <v>180.45112781954884</v>
      </c>
      <c r="H110" s="64">
        <v>204.38180540920271</v>
      </c>
      <c r="I110" s="58">
        <f t="shared" si="7"/>
        <v>204.38180540920271</v>
      </c>
      <c r="J110" s="38">
        <f t="shared" si="8"/>
        <v>224.819985950123</v>
      </c>
      <c r="K110" s="99">
        <v>11300</v>
      </c>
      <c r="L110" s="100">
        <f t="shared" si="6"/>
        <v>12430.000000000002</v>
      </c>
    </row>
    <row r="111" spans="1:13" ht="13.5" customHeight="1" x14ac:dyDescent="0.2">
      <c r="A111" s="37" t="s">
        <v>45</v>
      </c>
      <c r="B111" s="37" t="s">
        <v>93</v>
      </c>
      <c r="C111" s="37"/>
      <c r="D111" s="37" t="s">
        <v>343</v>
      </c>
      <c r="E111" s="51"/>
      <c r="F111" s="58">
        <v>6842.105263157895</v>
      </c>
      <c r="G111" s="58">
        <f t="shared" si="5"/>
        <v>1052.6315789473686</v>
      </c>
      <c r="H111" s="64">
        <v>35.036880927291882</v>
      </c>
      <c r="I111" s="58">
        <f t="shared" si="7"/>
        <v>35.036880927291882</v>
      </c>
      <c r="J111" s="38">
        <f t="shared" si="8"/>
        <v>38.540569020021074</v>
      </c>
      <c r="K111" s="99">
        <v>11300</v>
      </c>
      <c r="L111" s="100">
        <f t="shared" si="6"/>
        <v>12430.000000000002</v>
      </c>
    </row>
    <row r="112" spans="1:13" ht="13.5" customHeight="1" x14ac:dyDescent="0.2">
      <c r="A112" s="37" t="s">
        <v>46</v>
      </c>
      <c r="B112" s="37" t="s">
        <v>94</v>
      </c>
      <c r="C112" s="37"/>
      <c r="D112" s="37" t="s">
        <v>211</v>
      </c>
      <c r="E112" s="51"/>
      <c r="F112" s="58">
        <v>1023.2080114874232</v>
      </c>
      <c r="G112" s="58">
        <f t="shared" si="5"/>
        <v>157.41661715191125</v>
      </c>
      <c r="H112" s="64">
        <v>234.28865363238694</v>
      </c>
      <c r="I112" s="58">
        <f t="shared" si="7"/>
        <v>234.28865363238694</v>
      </c>
      <c r="J112" s="38">
        <f t="shared" si="8"/>
        <v>257.71751899562565</v>
      </c>
      <c r="K112" s="99">
        <v>11300</v>
      </c>
      <c r="L112" s="100">
        <f t="shared" si="6"/>
        <v>12430.000000000002</v>
      </c>
    </row>
    <row r="113" spans="1:29" ht="13.5" customHeight="1" x14ac:dyDescent="0.2">
      <c r="A113" s="37" t="s">
        <v>47</v>
      </c>
      <c r="B113" s="37" t="s">
        <v>95</v>
      </c>
      <c r="C113" s="37"/>
      <c r="D113" s="37" t="s">
        <v>342</v>
      </c>
      <c r="E113" s="51"/>
      <c r="F113" s="58">
        <v>20500</v>
      </c>
      <c r="G113" s="58">
        <f t="shared" si="5"/>
        <v>3153.8461538461538</v>
      </c>
      <c r="H113" s="64">
        <v>11.693952555963916</v>
      </c>
      <c r="I113" s="58">
        <f t="shared" si="7"/>
        <v>11.693952555963916</v>
      </c>
      <c r="J113" s="38">
        <f t="shared" si="8"/>
        <v>12.863347811560308</v>
      </c>
      <c r="K113" s="99">
        <v>11300</v>
      </c>
      <c r="L113" s="100">
        <f t="shared" si="6"/>
        <v>12430.000000000002</v>
      </c>
    </row>
    <row r="114" spans="1:29" ht="13.5" customHeight="1" x14ac:dyDescent="0.2">
      <c r="A114" s="37" t="s">
        <v>48</v>
      </c>
      <c r="B114" s="37" t="s">
        <v>96</v>
      </c>
      <c r="C114" s="37"/>
      <c r="D114" s="37" t="s">
        <v>211</v>
      </c>
      <c r="E114" s="51"/>
      <c r="F114" s="58">
        <v>8210.5263157894733</v>
      </c>
      <c r="G114" s="58">
        <f t="shared" si="5"/>
        <v>1263.1578947368421</v>
      </c>
      <c r="H114" s="64">
        <v>29.19740077274324</v>
      </c>
      <c r="I114" s="58">
        <f t="shared" si="7"/>
        <v>29.19740077274324</v>
      </c>
      <c r="J114" s="38">
        <f t="shared" si="8"/>
        <v>32.11714085001757</v>
      </c>
      <c r="K114" s="99">
        <v>11300</v>
      </c>
      <c r="L114" s="100">
        <f t="shared" si="6"/>
        <v>12430.000000000002</v>
      </c>
    </row>
    <row r="115" spans="1:29" ht="13.5" customHeight="1" x14ac:dyDescent="0.2">
      <c r="A115" s="37" t="s">
        <v>49</v>
      </c>
      <c r="B115" s="37" t="s">
        <v>97</v>
      </c>
      <c r="C115" s="37"/>
      <c r="D115" s="37" t="s">
        <v>343</v>
      </c>
      <c r="E115" s="51"/>
      <c r="F115" s="58">
        <v>11729.323308270676</v>
      </c>
      <c r="G115" s="58">
        <f t="shared" si="5"/>
        <v>1804.5112781954886</v>
      </c>
      <c r="H115" s="64">
        <v>20.438180540920268</v>
      </c>
      <c r="I115" s="58">
        <f t="shared" si="7"/>
        <v>20.438180540920268</v>
      </c>
      <c r="J115" s="38">
        <f t="shared" si="8"/>
        <v>22.481998595012296</v>
      </c>
      <c r="K115" s="99">
        <v>11300</v>
      </c>
      <c r="L115" s="100">
        <f t="shared" si="6"/>
        <v>12430.000000000002</v>
      </c>
    </row>
    <row r="116" spans="1:29" ht="13.5" customHeight="1" x14ac:dyDescent="0.2">
      <c r="A116" s="37" t="s">
        <v>50</v>
      </c>
      <c r="B116" s="37" t="s">
        <v>98</v>
      </c>
      <c r="C116" s="37"/>
      <c r="D116" s="37" t="s">
        <v>343</v>
      </c>
      <c r="E116" s="51"/>
      <c r="F116" s="58">
        <v>11729.323308270676</v>
      </c>
      <c r="G116" s="58">
        <f t="shared" si="5"/>
        <v>1804.5112781954886</v>
      </c>
      <c r="H116" s="64">
        <v>20.438180540920268</v>
      </c>
      <c r="I116" s="58">
        <f t="shared" si="7"/>
        <v>20.438180540920268</v>
      </c>
      <c r="J116" s="38">
        <f t="shared" si="8"/>
        <v>22.481998595012296</v>
      </c>
      <c r="K116" s="99">
        <v>11300</v>
      </c>
      <c r="L116" s="100">
        <f t="shared" si="6"/>
        <v>12430.000000000002</v>
      </c>
    </row>
    <row r="117" spans="1:29" ht="13.5" customHeight="1" x14ac:dyDescent="0.2">
      <c r="A117" s="37" t="s">
        <v>339</v>
      </c>
      <c r="B117" s="37" t="s">
        <v>99</v>
      </c>
      <c r="C117" s="37"/>
      <c r="D117" s="37" t="s">
        <v>211</v>
      </c>
      <c r="E117" s="51"/>
      <c r="F117" s="58">
        <v>855.26315789473688</v>
      </c>
      <c r="G117" s="58">
        <f t="shared" si="5"/>
        <v>131.57894736842107</v>
      </c>
      <c r="H117" s="64">
        <v>280.29504741833506</v>
      </c>
      <c r="I117" s="58">
        <f t="shared" si="7"/>
        <v>280.29504741833506</v>
      </c>
      <c r="J117" s="38">
        <f t="shared" si="8"/>
        <v>308.32455216016859</v>
      </c>
      <c r="K117" s="99">
        <v>11300</v>
      </c>
      <c r="L117" s="100">
        <f t="shared" si="6"/>
        <v>12430.000000000002</v>
      </c>
    </row>
    <row r="118" spans="1:29" ht="13.5" customHeight="1" x14ac:dyDescent="0.2">
      <c r="A118" s="37" t="s">
        <v>340</v>
      </c>
      <c r="B118" s="37" t="s">
        <v>100</v>
      </c>
      <c r="C118" s="37"/>
      <c r="D118" s="37" t="s">
        <v>211</v>
      </c>
      <c r="E118" s="51"/>
      <c r="F118" s="58">
        <v>855.26315789473688</v>
      </c>
      <c r="G118" s="58">
        <f t="shared" si="5"/>
        <v>131.57894736842107</v>
      </c>
      <c r="H118" s="64">
        <v>280.29504741833506</v>
      </c>
      <c r="I118" s="58">
        <f t="shared" si="7"/>
        <v>280.29504741833506</v>
      </c>
      <c r="J118" s="38">
        <f t="shared" si="8"/>
        <v>308.32455216016859</v>
      </c>
      <c r="K118" s="99">
        <v>11300</v>
      </c>
      <c r="L118" s="100">
        <f t="shared" si="6"/>
        <v>12430.000000000002</v>
      </c>
    </row>
    <row r="119" spans="1:29" ht="13.5" customHeight="1" x14ac:dyDescent="0.2">
      <c r="B119" s="40"/>
      <c r="C119" s="40"/>
      <c r="D119" s="40"/>
      <c r="E119" s="41"/>
      <c r="F119" s="40"/>
      <c r="G119" s="40"/>
      <c r="H119" s="40"/>
    </row>
    <row r="120" spans="1:29" ht="13.5" customHeight="1" x14ac:dyDescent="0.2">
      <c r="B120" s="40"/>
      <c r="C120" s="40"/>
      <c r="D120" s="40"/>
      <c r="E120" s="41"/>
      <c r="F120" s="40"/>
      <c r="G120" s="40"/>
      <c r="H120" s="40"/>
    </row>
    <row r="121" spans="1:29" x14ac:dyDescent="0.2">
      <c r="B121" s="42" t="s">
        <v>200</v>
      </c>
      <c r="C121" s="43">
        <v>0.5</v>
      </c>
      <c r="D121" s="44">
        <v>0.85</v>
      </c>
      <c r="E121" s="45">
        <v>1</v>
      </c>
      <c r="F121" s="44">
        <v>1.1499999999999999</v>
      </c>
      <c r="G121" s="44">
        <v>1.2</v>
      </c>
      <c r="H121" s="63"/>
    </row>
    <row r="122" spans="1:29" x14ac:dyDescent="0.2">
      <c r="B122" s="42" t="s">
        <v>201</v>
      </c>
      <c r="C122" s="46">
        <v>4000000</v>
      </c>
      <c r="D122" s="46">
        <v>6500000</v>
      </c>
      <c r="E122" s="46">
        <v>7000000</v>
      </c>
      <c r="F122" s="46">
        <v>8000000</v>
      </c>
      <c r="G122" s="46">
        <v>9000000</v>
      </c>
      <c r="H122" s="61"/>
    </row>
    <row r="123" spans="1:29" x14ac:dyDescent="0.2">
      <c r="B123" s="42" t="s">
        <v>175</v>
      </c>
      <c r="C123" s="47">
        <v>1</v>
      </c>
      <c r="D123" s="47">
        <v>2</v>
      </c>
      <c r="E123" s="48">
        <v>3</v>
      </c>
      <c r="F123" s="47">
        <v>4</v>
      </c>
      <c r="G123" s="47">
        <v>5</v>
      </c>
      <c r="H123" s="40"/>
    </row>
    <row r="124" spans="1:29" x14ac:dyDescent="0.2">
      <c r="B124" s="42" t="s">
        <v>202</v>
      </c>
      <c r="C124" s="47">
        <v>26</v>
      </c>
      <c r="D124" s="47">
        <v>26</v>
      </c>
      <c r="E124" s="48">
        <v>26</v>
      </c>
      <c r="F124" s="47">
        <v>26</v>
      </c>
      <c r="G124" s="47">
        <v>26</v>
      </c>
      <c r="H124" s="40"/>
    </row>
    <row r="125" spans="1:29" x14ac:dyDescent="0.2">
      <c r="B125" s="42" t="s">
        <v>203</v>
      </c>
      <c r="C125" s="47">
        <v>7.3</v>
      </c>
      <c r="D125" s="47">
        <v>7.3</v>
      </c>
      <c r="E125" s="48">
        <v>7.3</v>
      </c>
      <c r="F125" s="47">
        <v>7.3</v>
      </c>
      <c r="G125" s="47">
        <v>7.3</v>
      </c>
      <c r="H125" s="40"/>
    </row>
    <row r="127" spans="1:29" x14ac:dyDescent="0.2">
      <c r="W127" s="53" t="s">
        <v>207</v>
      </c>
      <c r="X127" s="565" t="s">
        <v>208</v>
      </c>
      <c r="Y127" s="566"/>
      <c r="Z127" s="53"/>
      <c r="AA127" s="53"/>
      <c r="AB127" s="53"/>
      <c r="AC127" s="53" t="s">
        <v>209</v>
      </c>
    </row>
    <row r="128" spans="1:29" x14ac:dyDescent="0.2">
      <c r="W128" s="37" t="s">
        <v>210</v>
      </c>
      <c r="X128" s="37"/>
      <c r="Y128" s="37" t="s">
        <v>211</v>
      </c>
      <c r="Z128" s="37">
        <v>8.6999999999999993</v>
      </c>
      <c r="AA128" s="37">
        <v>8</v>
      </c>
      <c r="AB128" s="37">
        <v>8.5</v>
      </c>
      <c r="AC128" s="54">
        <f>SUM(Z128:AB128)/COUNTIF(Z128:AB128,"&gt;0")</f>
        <v>8.4</v>
      </c>
    </row>
    <row r="129" spans="23:29" x14ac:dyDescent="0.2">
      <c r="W129" s="37" t="s">
        <v>212</v>
      </c>
      <c r="X129" s="37" t="s">
        <v>213</v>
      </c>
      <c r="Y129" s="37" t="s">
        <v>214</v>
      </c>
      <c r="Z129" s="37">
        <v>57.5</v>
      </c>
      <c r="AA129" s="37">
        <v>60</v>
      </c>
      <c r="AB129" s="37">
        <v>58</v>
      </c>
      <c r="AC129" s="54">
        <f t="shared" ref="AC129:AC137" si="9">SUM(Z129:AB129)/COUNTIF(Z129:AB129,"&gt;0")</f>
        <v>58.5</v>
      </c>
    </row>
    <row r="130" spans="23:29" x14ac:dyDescent="0.2">
      <c r="W130" s="37" t="s">
        <v>215</v>
      </c>
      <c r="X130" s="37" t="s">
        <v>213</v>
      </c>
      <c r="Y130" s="37" t="s">
        <v>214</v>
      </c>
      <c r="Z130" s="37">
        <v>52.5</v>
      </c>
      <c r="AA130" s="37">
        <v>53</v>
      </c>
      <c r="AB130" s="37"/>
      <c r="AC130" s="54">
        <f t="shared" si="9"/>
        <v>52.75</v>
      </c>
    </row>
    <row r="131" spans="23:29" x14ac:dyDescent="0.2">
      <c r="W131" s="37" t="s">
        <v>216</v>
      </c>
      <c r="X131" s="37" t="s">
        <v>217</v>
      </c>
      <c r="Y131" s="37" t="s">
        <v>214</v>
      </c>
      <c r="Z131" s="37">
        <v>40.5</v>
      </c>
      <c r="AA131" s="37">
        <v>40</v>
      </c>
      <c r="AB131" s="37">
        <v>42</v>
      </c>
      <c r="AC131" s="54">
        <f t="shared" si="9"/>
        <v>40.833333333333336</v>
      </c>
    </row>
    <row r="132" spans="23:29" x14ac:dyDescent="0.2">
      <c r="W132" s="37" t="s">
        <v>218</v>
      </c>
      <c r="X132" s="37"/>
      <c r="Y132" s="37" t="s">
        <v>211</v>
      </c>
      <c r="Z132" s="37">
        <v>10</v>
      </c>
      <c r="AA132" s="37">
        <v>11</v>
      </c>
      <c r="AB132" s="37"/>
      <c r="AC132" s="54">
        <f t="shared" si="9"/>
        <v>10.5</v>
      </c>
    </row>
    <row r="133" spans="23:29" x14ac:dyDescent="0.2">
      <c r="W133" s="37" t="s">
        <v>219</v>
      </c>
      <c r="X133" s="37"/>
      <c r="Y133" s="37" t="s">
        <v>211</v>
      </c>
      <c r="Z133" s="37">
        <v>28</v>
      </c>
      <c r="AA133" s="37">
        <v>25</v>
      </c>
      <c r="AB133" s="37"/>
      <c r="AC133" s="54">
        <f t="shared" si="9"/>
        <v>26.5</v>
      </c>
    </row>
    <row r="134" spans="23:29" x14ac:dyDescent="0.2">
      <c r="W134" s="37" t="s">
        <v>220</v>
      </c>
      <c r="X134" s="37" t="s">
        <v>221</v>
      </c>
      <c r="Y134" s="37" t="s">
        <v>214</v>
      </c>
      <c r="Z134" s="37">
        <v>29.5</v>
      </c>
      <c r="AA134" s="37">
        <v>28</v>
      </c>
      <c r="AB134" s="37"/>
      <c r="AC134" s="54">
        <f t="shared" si="9"/>
        <v>28.75</v>
      </c>
    </row>
    <row r="135" spans="23:29" x14ac:dyDescent="0.2">
      <c r="W135" s="37" t="s">
        <v>222</v>
      </c>
      <c r="X135" s="37" t="s">
        <v>217</v>
      </c>
      <c r="Y135" s="37" t="s">
        <v>214</v>
      </c>
      <c r="Z135" s="37">
        <v>34</v>
      </c>
      <c r="AA135" s="37">
        <v>33</v>
      </c>
      <c r="AB135" s="37">
        <v>35</v>
      </c>
      <c r="AC135" s="54">
        <f t="shared" si="9"/>
        <v>34</v>
      </c>
    </row>
    <row r="136" spans="23:29" x14ac:dyDescent="0.2">
      <c r="W136" s="37" t="s">
        <v>223</v>
      </c>
      <c r="X136" s="37"/>
      <c r="Y136" s="37" t="s">
        <v>211</v>
      </c>
      <c r="Z136" s="37">
        <v>5</v>
      </c>
      <c r="AA136" s="37">
        <v>4.5</v>
      </c>
      <c r="AB136" s="37"/>
      <c r="AC136" s="54">
        <f t="shared" si="9"/>
        <v>4.75</v>
      </c>
    </row>
    <row r="137" spans="23:29" x14ac:dyDescent="0.2">
      <c r="W137" s="37" t="s">
        <v>224</v>
      </c>
      <c r="X137" s="37"/>
      <c r="Y137" s="37" t="s">
        <v>211</v>
      </c>
      <c r="Z137" s="37">
        <v>12</v>
      </c>
      <c r="AA137" s="37">
        <v>15</v>
      </c>
      <c r="AB137" s="37"/>
      <c r="AC137" s="54">
        <f t="shared" si="9"/>
        <v>13.5</v>
      </c>
    </row>
    <row r="138" spans="23:29" x14ac:dyDescent="0.2">
      <c r="W138" s="37" t="s">
        <v>225</v>
      </c>
      <c r="X138" s="37" t="s">
        <v>226</v>
      </c>
      <c r="Y138" s="37" t="s">
        <v>214</v>
      </c>
      <c r="Z138" s="37"/>
      <c r="AA138" s="37"/>
      <c r="AB138" s="37"/>
      <c r="AC138" s="37">
        <v>25</v>
      </c>
    </row>
    <row r="139" spans="23:29" x14ac:dyDescent="0.2">
      <c r="W139" s="37" t="s">
        <v>227</v>
      </c>
      <c r="X139" s="37" t="s">
        <v>228</v>
      </c>
      <c r="Y139" s="37" t="s">
        <v>214</v>
      </c>
      <c r="Z139" s="37"/>
      <c r="AA139" s="37"/>
      <c r="AB139" s="37"/>
      <c r="AC139" s="37">
        <v>25</v>
      </c>
    </row>
    <row r="140" spans="23:29" x14ac:dyDescent="0.2">
      <c r="W140" s="37" t="s">
        <v>229</v>
      </c>
      <c r="X140" s="37" t="s">
        <v>230</v>
      </c>
      <c r="Y140" s="37" t="s">
        <v>231</v>
      </c>
      <c r="Z140" s="37"/>
      <c r="AA140" s="37"/>
      <c r="AB140" s="37"/>
      <c r="AC140" s="37">
        <v>16</v>
      </c>
    </row>
    <row r="141" spans="23:29" x14ac:dyDescent="0.2">
      <c r="W141" s="37" t="s">
        <v>232</v>
      </c>
      <c r="X141" s="37" t="s">
        <v>233</v>
      </c>
      <c r="Y141" s="37" t="s">
        <v>231</v>
      </c>
      <c r="Z141" s="37"/>
      <c r="AA141" s="37"/>
      <c r="AB141" s="37"/>
      <c r="AC141" s="37">
        <v>30</v>
      </c>
    </row>
    <row r="142" spans="23:29" x14ac:dyDescent="0.2">
      <c r="W142" s="37" t="s">
        <v>234</v>
      </c>
      <c r="X142" s="37" t="s">
        <v>235</v>
      </c>
      <c r="Y142" s="37" t="s">
        <v>214</v>
      </c>
      <c r="Z142" s="37"/>
      <c r="AA142" s="37" t="s">
        <v>236</v>
      </c>
      <c r="AB142" s="37"/>
      <c r="AC142" s="37">
        <v>4</v>
      </c>
    </row>
  </sheetData>
  <mergeCells count="2">
    <mergeCell ref="A1:J1"/>
    <mergeCell ref="X127:Y127"/>
  </mergeCells>
  <pageMargins left="0.7" right="0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61" sqref="A61"/>
    </sheetView>
  </sheetViews>
  <sheetFormatPr defaultRowHeight="15" x14ac:dyDescent="0.25"/>
  <cols>
    <col min="1" max="1" width="61.7109375" customWidth="1"/>
    <col min="2" max="5" width="11.5703125" customWidth="1"/>
    <col min="6" max="6" width="13.42578125" customWidth="1"/>
    <col min="7" max="9" width="11.5703125" customWidth="1"/>
  </cols>
  <sheetData>
    <row r="1" spans="1:9" ht="20.25" x14ac:dyDescent="0.3">
      <c r="A1" s="67" t="s">
        <v>244</v>
      </c>
      <c r="B1" s="68"/>
      <c r="C1" s="68"/>
      <c r="D1" s="68"/>
      <c r="E1" s="68"/>
      <c r="F1" s="68"/>
      <c r="G1" s="69"/>
      <c r="H1" s="69"/>
      <c r="I1" s="69"/>
    </row>
    <row r="2" spans="1:9" ht="25.5" x14ac:dyDescent="0.35">
      <c r="A2" s="69"/>
      <c r="B2" s="69"/>
      <c r="C2" s="70" t="s">
        <v>245</v>
      </c>
      <c r="D2" s="69"/>
      <c r="E2" s="69"/>
      <c r="F2" s="69"/>
      <c r="G2" s="69"/>
      <c r="H2" s="69"/>
      <c r="I2" s="69"/>
    </row>
    <row r="3" spans="1:9" x14ac:dyDescent="0.25">
      <c r="A3" s="69"/>
      <c r="B3" s="69"/>
      <c r="C3" s="69"/>
      <c r="D3" s="69"/>
      <c r="E3" s="69"/>
      <c r="F3" s="69"/>
      <c r="G3" s="69"/>
      <c r="H3" s="69"/>
      <c r="I3" s="69"/>
    </row>
    <row r="4" spans="1:9" ht="15.75" x14ac:dyDescent="0.25">
      <c r="A4" s="71" t="s">
        <v>246</v>
      </c>
      <c r="B4" s="69"/>
      <c r="C4" s="69"/>
      <c r="D4" s="69"/>
      <c r="E4" s="69"/>
      <c r="F4" s="69"/>
      <c r="G4" s="69"/>
      <c r="H4" s="69"/>
      <c r="I4" s="69"/>
    </row>
    <row r="5" spans="1:9" x14ac:dyDescent="0.25">
      <c r="A5" s="69" t="s">
        <v>247</v>
      </c>
      <c r="B5" s="69"/>
      <c r="C5" s="69"/>
      <c r="D5" s="69"/>
      <c r="E5" s="69"/>
      <c r="F5" s="72">
        <v>4012500</v>
      </c>
      <c r="G5" s="69" t="s">
        <v>248</v>
      </c>
      <c r="H5" s="69"/>
      <c r="I5" s="69"/>
    </row>
    <row r="6" spans="1:9" x14ac:dyDescent="0.25">
      <c r="A6" s="69"/>
      <c r="B6" s="69"/>
      <c r="C6" s="69"/>
      <c r="D6" s="69"/>
      <c r="E6" s="69"/>
      <c r="F6" s="69"/>
      <c r="G6" s="69"/>
      <c r="H6" s="69"/>
      <c r="I6" s="69"/>
    </row>
    <row r="7" spans="1:9" ht="15.75" x14ac:dyDescent="0.25">
      <c r="A7" s="71" t="s">
        <v>249</v>
      </c>
      <c r="B7" s="69"/>
      <c r="C7" s="69"/>
      <c r="D7" s="69"/>
      <c r="E7" s="69"/>
      <c r="F7" s="73" t="s">
        <v>250</v>
      </c>
      <c r="G7" s="69"/>
      <c r="H7" s="69"/>
      <c r="I7" s="69"/>
    </row>
    <row r="8" spans="1:9" x14ac:dyDescent="0.25">
      <c r="A8" s="73"/>
      <c r="B8" s="69"/>
      <c r="C8" s="69"/>
      <c r="D8" s="69"/>
      <c r="E8" s="69"/>
      <c r="F8" s="69"/>
      <c r="G8" s="69"/>
      <c r="H8" s="69"/>
      <c r="I8" s="69"/>
    </row>
    <row r="9" spans="1:9" x14ac:dyDescent="0.25">
      <c r="A9" s="74" t="s">
        <v>251</v>
      </c>
      <c r="B9" s="69"/>
      <c r="C9" s="69"/>
      <c r="D9" s="69"/>
      <c r="E9" s="69"/>
      <c r="F9" s="69"/>
      <c r="G9" s="69"/>
      <c r="H9" s="69"/>
      <c r="I9" s="69"/>
    </row>
    <row r="10" spans="1:9" x14ac:dyDescent="0.25">
      <c r="A10" s="69"/>
      <c r="B10" s="69"/>
      <c r="C10" s="69"/>
      <c r="D10" s="69"/>
      <c r="E10" s="69"/>
      <c r="F10" s="69"/>
      <c r="G10" s="69"/>
      <c r="H10" s="69"/>
      <c r="I10" s="69"/>
    </row>
    <row r="11" spans="1:9" x14ac:dyDescent="0.25">
      <c r="A11" s="75" t="s">
        <v>252</v>
      </c>
      <c r="B11" s="75" t="s">
        <v>253</v>
      </c>
      <c r="C11" s="76" t="s">
        <v>254</v>
      </c>
      <c r="D11" s="76"/>
      <c r="E11" s="76"/>
      <c r="F11" s="76"/>
      <c r="G11" s="76"/>
      <c r="H11" s="76"/>
      <c r="I11" s="76"/>
    </row>
    <row r="12" spans="1:9" x14ac:dyDescent="0.25">
      <c r="A12" s="77"/>
      <c r="B12" s="77"/>
      <c r="C12" s="78">
        <v>1</v>
      </c>
      <c r="D12" s="78">
        <v>2</v>
      </c>
      <c r="E12" s="78">
        <v>3</v>
      </c>
      <c r="F12" s="78">
        <v>4</v>
      </c>
      <c r="G12" s="78">
        <v>5</v>
      </c>
      <c r="H12" s="78">
        <v>6</v>
      </c>
      <c r="I12" s="78">
        <v>7</v>
      </c>
    </row>
    <row r="13" spans="1:9" x14ac:dyDescent="0.25">
      <c r="A13" s="79" t="s">
        <v>255</v>
      </c>
      <c r="B13" s="80"/>
      <c r="C13" s="81"/>
      <c r="D13" s="81"/>
      <c r="E13" s="81"/>
      <c r="F13" s="81"/>
      <c r="G13" s="81"/>
      <c r="H13" s="81"/>
      <c r="I13" s="81"/>
    </row>
    <row r="14" spans="1:9" x14ac:dyDescent="0.25">
      <c r="A14" s="82" t="s">
        <v>256</v>
      </c>
      <c r="B14" s="83"/>
      <c r="C14" s="84">
        <v>6.5</v>
      </c>
      <c r="D14" s="84">
        <f t="shared" ref="D14:I14" si="0">C14+1.5</f>
        <v>8</v>
      </c>
      <c r="E14" s="84">
        <f t="shared" si="0"/>
        <v>9.5</v>
      </c>
      <c r="F14" s="84">
        <f t="shared" si="0"/>
        <v>11</v>
      </c>
      <c r="G14" s="84">
        <f t="shared" si="0"/>
        <v>12.5</v>
      </c>
      <c r="H14" s="84">
        <f t="shared" si="0"/>
        <v>14</v>
      </c>
      <c r="I14" s="84">
        <f t="shared" si="0"/>
        <v>15.5</v>
      </c>
    </row>
    <row r="15" spans="1:9" x14ac:dyDescent="0.25">
      <c r="A15" s="82" t="s">
        <v>257</v>
      </c>
      <c r="B15" s="85" t="s">
        <v>258</v>
      </c>
      <c r="C15" s="86">
        <f>C14*$F$5</f>
        <v>26081250</v>
      </c>
      <c r="D15" s="86">
        <f t="shared" ref="D15:I15" si="1">D14*$F$5</f>
        <v>32100000</v>
      </c>
      <c r="E15" s="86">
        <f t="shared" si="1"/>
        <v>38118750</v>
      </c>
      <c r="F15" s="86">
        <f t="shared" si="1"/>
        <v>44137500</v>
      </c>
      <c r="G15" s="86">
        <f t="shared" si="1"/>
        <v>50156250</v>
      </c>
      <c r="H15" s="86">
        <f t="shared" si="1"/>
        <v>56175000</v>
      </c>
      <c r="I15" s="86">
        <f t="shared" si="1"/>
        <v>62193750</v>
      </c>
    </row>
    <row r="16" spans="1:9" x14ac:dyDescent="0.25">
      <c r="A16" s="82" t="s">
        <v>259</v>
      </c>
      <c r="B16" s="85"/>
      <c r="C16" s="87">
        <f>C15/26</f>
        <v>1003125</v>
      </c>
      <c r="D16" s="87">
        <f t="shared" ref="D16:I16" si="2">D15/26</f>
        <v>1234615.3846153845</v>
      </c>
      <c r="E16" s="87">
        <f t="shared" si="2"/>
        <v>1466105.7692307692</v>
      </c>
      <c r="F16" s="87">
        <f t="shared" si="2"/>
        <v>1697596.1538461538</v>
      </c>
      <c r="G16" s="87">
        <f t="shared" si="2"/>
        <v>1929086.5384615385</v>
      </c>
      <c r="H16" s="87">
        <f t="shared" si="2"/>
        <v>2160576.923076923</v>
      </c>
      <c r="I16" s="87">
        <f t="shared" si="2"/>
        <v>2392067.3076923075</v>
      </c>
    </row>
    <row r="17" spans="1:9" x14ac:dyDescent="0.25">
      <c r="A17" s="79" t="s">
        <v>260</v>
      </c>
      <c r="B17" s="80"/>
      <c r="C17" s="81"/>
      <c r="D17" s="81"/>
      <c r="E17" s="81"/>
      <c r="F17" s="81"/>
      <c r="G17" s="81"/>
      <c r="H17" s="81"/>
      <c r="I17" s="81"/>
    </row>
    <row r="18" spans="1:9" x14ac:dyDescent="0.25">
      <c r="A18" s="82" t="s">
        <v>256</v>
      </c>
      <c r="B18" s="83"/>
      <c r="C18" s="84">
        <v>3.5</v>
      </c>
      <c r="D18" s="84">
        <f t="shared" ref="D18:I18" si="3">C18+1.5</f>
        <v>5</v>
      </c>
      <c r="E18" s="84">
        <f t="shared" si="3"/>
        <v>6.5</v>
      </c>
      <c r="F18" s="84">
        <f t="shared" si="3"/>
        <v>8</v>
      </c>
      <c r="G18" s="84">
        <f t="shared" si="3"/>
        <v>9.5</v>
      </c>
      <c r="H18" s="84">
        <f t="shared" si="3"/>
        <v>11</v>
      </c>
      <c r="I18" s="84">
        <f t="shared" si="3"/>
        <v>12.5</v>
      </c>
    </row>
    <row r="19" spans="1:9" x14ac:dyDescent="0.25">
      <c r="A19" s="82" t="s">
        <v>257</v>
      </c>
      <c r="B19" s="85" t="s">
        <v>261</v>
      </c>
      <c r="C19" s="86">
        <f>C18*$F$5</f>
        <v>14043750</v>
      </c>
      <c r="D19" s="86">
        <f t="shared" ref="D19:I19" si="4">D18*$F$5</f>
        <v>20062500</v>
      </c>
      <c r="E19" s="86">
        <f t="shared" si="4"/>
        <v>26081250</v>
      </c>
      <c r="F19" s="86">
        <f t="shared" si="4"/>
        <v>32100000</v>
      </c>
      <c r="G19" s="86">
        <f t="shared" si="4"/>
        <v>38118750</v>
      </c>
      <c r="H19" s="86">
        <f t="shared" si="4"/>
        <v>44137500</v>
      </c>
      <c r="I19" s="86">
        <f t="shared" si="4"/>
        <v>50156250</v>
      </c>
    </row>
    <row r="20" spans="1:9" x14ac:dyDescent="0.25">
      <c r="A20" s="82" t="s">
        <v>259</v>
      </c>
      <c r="B20" s="85"/>
      <c r="C20" s="87">
        <f>C19/26</f>
        <v>540144.23076923075</v>
      </c>
      <c r="D20" s="87">
        <f t="shared" ref="D20:I20" si="5">D19/26</f>
        <v>771634.61538461538</v>
      </c>
      <c r="E20" s="87">
        <f t="shared" si="5"/>
        <v>1003125</v>
      </c>
      <c r="F20" s="87">
        <f t="shared" si="5"/>
        <v>1234615.3846153845</v>
      </c>
      <c r="G20" s="87">
        <f t="shared" si="5"/>
        <v>1466105.7692307692</v>
      </c>
      <c r="H20" s="87">
        <f t="shared" si="5"/>
        <v>1697596.1538461538</v>
      </c>
      <c r="I20" s="87">
        <f t="shared" si="5"/>
        <v>1929086.5384615385</v>
      </c>
    </row>
    <row r="21" spans="1:9" x14ac:dyDescent="0.25">
      <c r="A21" s="79" t="s">
        <v>262</v>
      </c>
      <c r="B21" s="80"/>
      <c r="C21" s="88"/>
      <c r="D21" s="88"/>
      <c r="E21" s="88"/>
      <c r="F21" s="88"/>
      <c r="G21" s="88"/>
      <c r="H21" s="88"/>
      <c r="I21" s="88"/>
    </row>
    <row r="22" spans="1:9" x14ac:dyDescent="0.25">
      <c r="A22" s="82" t="s">
        <v>256</v>
      </c>
      <c r="B22" s="83"/>
      <c r="C22" s="84">
        <v>2.5</v>
      </c>
      <c r="D22" s="84">
        <f t="shared" ref="D22:I22" si="6">C22+1</f>
        <v>3.5</v>
      </c>
      <c r="E22" s="84">
        <f t="shared" si="6"/>
        <v>4.5</v>
      </c>
      <c r="F22" s="84">
        <f t="shared" si="6"/>
        <v>5.5</v>
      </c>
      <c r="G22" s="84">
        <f t="shared" si="6"/>
        <v>6.5</v>
      </c>
      <c r="H22" s="84">
        <f t="shared" si="6"/>
        <v>7.5</v>
      </c>
      <c r="I22" s="84">
        <f t="shared" si="6"/>
        <v>8.5</v>
      </c>
    </row>
    <row r="23" spans="1:9" x14ac:dyDescent="0.25">
      <c r="A23" s="82" t="s">
        <v>257</v>
      </c>
      <c r="B23" s="85" t="s">
        <v>263</v>
      </c>
      <c r="C23" s="86">
        <f>C22*$F$5</f>
        <v>10031250</v>
      </c>
      <c r="D23" s="86">
        <f t="shared" ref="D23:I23" si="7">D22*$F$5</f>
        <v>14043750</v>
      </c>
      <c r="E23" s="86">
        <f t="shared" si="7"/>
        <v>18056250</v>
      </c>
      <c r="F23" s="86">
        <f t="shared" si="7"/>
        <v>22068750</v>
      </c>
      <c r="G23" s="86">
        <f t="shared" si="7"/>
        <v>26081250</v>
      </c>
      <c r="H23" s="86">
        <f t="shared" si="7"/>
        <v>30093750</v>
      </c>
      <c r="I23" s="86">
        <f t="shared" si="7"/>
        <v>34106250</v>
      </c>
    </row>
    <row r="24" spans="1:9" x14ac:dyDescent="0.25">
      <c r="A24" s="82" t="s">
        <v>259</v>
      </c>
      <c r="B24" s="85"/>
      <c r="C24" s="87">
        <f>C23/26</f>
        <v>385817.30769230769</v>
      </c>
      <c r="D24" s="87">
        <f t="shared" ref="D24:I24" si="8">D23/26</f>
        <v>540144.23076923075</v>
      </c>
      <c r="E24" s="87">
        <f t="shared" si="8"/>
        <v>694471.15384615387</v>
      </c>
      <c r="F24" s="87">
        <f t="shared" si="8"/>
        <v>848798.07692307688</v>
      </c>
      <c r="G24" s="87">
        <f t="shared" si="8"/>
        <v>1003125</v>
      </c>
      <c r="H24" s="87">
        <f t="shared" si="8"/>
        <v>1157451.923076923</v>
      </c>
      <c r="I24" s="87">
        <f t="shared" si="8"/>
        <v>1311778.8461538462</v>
      </c>
    </row>
    <row r="25" spans="1:9" x14ac:dyDescent="0.25">
      <c r="A25" s="69"/>
      <c r="B25" s="69"/>
      <c r="C25" s="69"/>
      <c r="D25" s="69"/>
      <c r="E25" s="69"/>
      <c r="F25" s="69"/>
      <c r="G25" s="69"/>
      <c r="H25" s="69"/>
      <c r="I25" s="69"/>
    </row>
    <row r="26" spans="1:9" x14ac:dyDescent="0.25">
      <c r="A26" s="74" t="s">
        <v>264</v>
      </c>
      <c r="B26" s="69"/>
      <c r="C26" s="69"/>
      <c r="D26" s="69"/>
      <c r="E26" s="69"/>
      <c r="F26" s="69"/>
      <c r="G26" s="69"/>
      <c r="H26" s="69"/>
      <c r="I26" s="69"/>
    </row>
    <row r="27" spans="1:9" x14ac:dyDescent="0.25">
      <c r="A27" s="73"/>
      <c r="B27" s="69"/>
      <c r="C27" s="69"/>
      <c r="D27" s="69"/>
      <c r="E27" s="69"/>
      <c r="F27" s="69"/>
      <c r="G27" s="69"/>
      <c r="H27" s="69"/>
      <c r="I27" s="69"/>
    </row>
    <row r="28" spans="1:9" x14ac:dyDescent="0.25">
      <c r="A28" s="75" t="s">
        <v>252</v>
      </c>
      <c r="B28" s="75" t="s">
        <v>253</v>
      </c>
      <c r="C28" s="76" t="s">
        <v>254</v>
      </c>
      <c r="D28" s="76"/>
      <c r="E28" s="76"/>
      <c r="F28" s="76"/>
      <c r="G28" s="76"/>
      <c r="H28" s="76"/>
      <c r="I28" s="76"/>
    </row>
    <row r="29" spans="1:9" x14ac:dyDescent="0.25">
      <c r="A29" s="77"/>
      <c r="B29" s="77"/>
      <c r="C29" s="76">
        <v>1</v>
      </c>
      <c r="D29" s="76">
        <v>2</v>
      </c>
      <c r="E29" s="76">
        <v>3</v>
      </c>
      <c r="F29" s="76">
        <v>4</v>
      </c>
      <c r="G29" s="76">
        <v>5</v>
      </c>
      <c r="H29" s="76">
        <v>6</v>
      </c>
      <c r="I29" s="76">
        <v>7</v>
      </c>
    </row>
    <row r="30" spans="1:9" x14ac:dyDescent="0.25">
      <c r="A30" s="79" t="s">
        <v>265</v>
      </c>
      <c r="B30" s="80"/>
      <c r="C30" s="81"/>
      <c r="D30" s="81"/>
      <c r="E30" s="81"/>
      <c r="F30" s="81"/>
      <c r="G30" s="81"/>
      <c r="H30" s="81"/>
      <c r="I30" s="81"/>
    </row>
    <row r="31" spans="1:9" x14ac:dyDescent="0.25">
      <c r="A31" s="82" t="s">
        <v>256</v>
      </c>
      <c r="B31" s="83"/>
      <c r="C31" s="84">
        <v>2.5</v>
      </c>
      <c r="D31" s="84">
        <f t="shared" ref="D31:I31" si="9">C31+0.8</f>
        <v>3.3</v>
      </c>
      <c r="E31" s="84">
        <f t="shared" si="9"/>
        <v>4.0999999999999996</v>
      </c>
      <c r="F31" s="84">
        <f t="shared" si="9"/>
        <v>4.8999999999999995</v>
      </c>
      <c r="G31" s="84">
        <f t="shared" si="9"/>
        <v>5.6999999999999993</v>
      </c>
      <c r="H31" s="84">
        <f t="shared" si="9"/>
        <v>6.4999999999999991</v>
      </c>
      <c r="I31" s="84">
        <f t="shared" si="9"/>
        <v>7.2999999999999989</v>
      </c>
    </row>
    <row r="32" spans="1:9" x14ac:dyDescent="0.25">
      <c r="A32" s="82" t="s">
        <v>257</v>
      </c>
      <c r="B32" s="85" t="s">
        <v>266</v>
      </c>
      <c r="C32" s="86">
        <f>C31*$F$5</f>
        <v>10031250</v>
      </c>
      <c r="D32" s="86">
        <f t="shared" ref="D32:I32" si="10">D31*$F$5</f>
        <v>13241250</v>
      </c>
      <c r="E32" s="86">
        <f t="shared" si="10"/>
        <v>16451249.999999998</v>
      </c>
      <c r="F32" s="86">
        <f t="shared" si="10"/>
        <v>19661249.999999996</v>
      </c>
      <c r="G32" s="86">
        <f t="shared" si="10"/>
        <v>22871249.999999996</v>
      </c>
      <c r="H32" s="86">
        <f t="shared" si="10"/>
        <v>26081249.999999996</v>
      </c>
      <c r="I32" s="86">
        <f t="shared" si="10"/>
        <v>29291249.999999996</v>
      </c>
    </row>
    <row r="33" spans="1:9" x14ac:dyDescent="0.25">
      <c r="A33" s="82" t="s">
        <v>259</v>
      </c>
      <c r="B33" s="85"/>
      <c r="C33" s="87">
        <f>C32/26</f>
        <v>385817.30769230769</v>
      </c>
      <c r="D33" s="87">
        <f t="shared" ref="D33:I33" si="11">D32/26</f>
        <v>509278.84615384613</v>
      </c>
      <c r="E33" s="87">
        <f t="shared" si="11"/>
        <v>632740.38461538451</v>
      </c>
      <c r="F33" s="87">
        <f t="shared" si="11"/>
        <v>756201.92307692289</v>
      </c>
      <c r="G33" s="87">
        <f t="shared" si="11"/>
        <v>879663.46153846139</v>
      </c>
      <c r="H33" s="87">
        <f t="shared" si="11"/>
        <v>1003124.9999999999</v>
      </c>
      <c r="I33" s="87">
        <f t="shared" si="11"/>
        <v>1126586.5384615383</v>
      </c>
    </row>
    <row r="34" spans="1:9" x14ac:dyDescent="0.25">
      <c r="A34" s="79" t="s">
        <v>267</v>
      </c>
      <c r="B34" s="80"/>
      <c r="C34" s="81"/>
      <c r="D34" s="81"/>
      <c r="E34" s="81"/>
      <c r="F34" s="81"/>
      <c r="G34" s="81"/>
      <c r="H34" s="81"/>
      <c r="I34" s="81"/>
    </row>
    <row r="35" spans="1:9" x14ac:dyDescent="0.25">
      <c r="A35" s="82" t="s">
        <v>256</v>
      </c>
      <c r="B35" s="83"/>
      <c r="C35" s="84">
        <v>1.6</v>
      </c>
      <c r="D35" s="84">
        <f t="shared" ref="D35:I35" si="12">C35+0.2</f>
        <v>1.8</v>
      </c>
      <c r="E35" s="84">
        <f t="shared" si="12"/>
        <v>2</v>
      </c>
      <c r="F35" s="84">
        <f t="shared" si="12"/>
        <v>2.2000000000000002</v>
      </c>
      <c r="G35" s="84">
        <f t="shared" si="12"/>
        <v>2.4000000000000004</v>
      </c>
      <c r="H35" s="84">
        <f t="shared" si="12"/>
        <v>2.6000000000000005</v>
      </c>
      <c r="I35" s="84">
        <f t="shared" si="12"/>
        <v>2.8000000000000007</v>
      </c>
    </row>
    <row r="36" spans="1:9" x14ac:dyDescent="0.25">
      <c r="A36" s="82" t="s">
        <v>257</v>
      </c>
      <c r="B36" s="85" t="s">
        <v>268</v>
      </c>
      <c r="C36" s="86">
        <f>C35*$F$5</f>
        <v>6420000</v>
      </c>
      <c r="D36" s="86">
        <f t="shared" ref="D36:I36" si="13">D35*$F$5</f>
        <v>7222500</v>
      </c>
      <c r="E36" s="86">
        <f t="shared" si="13"/>
        <v>8025000</v>
      </c>
      <c r="F36" s="86">
        <f t="shared" si="13"/>
        <v>8827500</v>
      </c>
      <c r="G36" s="86">
        <f t="shared" si="13"/>
        <v>9630000.0000000019</v>
      </c>
      <c r="H36" s="86">
        <f t="shared" si="13"/>
        <v>10432500.000000002</v>
      </c>
      <c r="I36" s="86">
        <f t="shared" si="13"/>
        <v>11235000.000000004</v>
      </c>
    </row>
    <row r="37" spans="1:9" x14ac:dyDescent="0.25">
      <c r="A37" s="82" t="s">
        <v>259</v>
      </c>
      <c r="B37" s="85"/>
      <c r="C37" s="87">
        <f>C36/26</f>
        <v>246923.07692307694</v>
      </c>
      <c r="D37" s="87">
        <f t="shared" ref="D37:I37" si="14">D36/26</f>
        <v>277788.46153846156</v>
      </c>
      <c r="E37" s="87">
        <f t="shared" si="14"/>
        <v>308653.84615384613</v>
      </c>
      <c r="F37" s="87">
        <f t="shared" si="14"/>
        <v>339519.23076923075</v>
      </c>
      <c r="G37" s="87">
        <f t="shared" si="14"/>
        <v>370384.61538461543</v>
      </c>
      <c r="H37" s="87">
        <f t="shared" si="14"/>
        <v>401250.00000000006</v>
      </c>
      <c r="I37" s="87">
        <f t="shared" si="14"/>
        <v>432115.38461538474</v>
      </c>
    </row>
    <row r="38" spans="1:9" x14ac:dyDescent="0.25">
      <c r="A38" s="89" t="s">
        <v>269</v>
      </c>
      <c r="B38" s="80"/>
      <c r="C38" s="88"/>
      <c r="D38" s="88"/>
      <c r="E38" s="88"/>
      <c r="F38" s="88"/>
      <c r="G38" s="88"/>
      <c r="H38" s="88"/>
      <c r="I38" s="88"/>
    </row>
    <row r="39" spans="1:9" x14ac:dyDescent="0.25">
      <c r="A39" s="82" t="s">
        <v>256</v>
      </c>
      <c r="B39" s="83"/>
      <c r="C39" s="84">
        <v>1.3</v>
      </c>
      <c r="D39" s="84">
        <f t="shared" ref="D39:I39" si="15">C39+0.1</f>
        <v>1.4000000000000001</v>
      </c>
      <c r="E39" s="84">
        <f t="shared" si="15"/>
        <v>1.5000000000000002</v>
      </c>
      <c r="F39" s="84">
        <f t="shared" si="15"/>
        <v>1.6000000000000003</v>
      </c>
      <c r="G39" s="84">
        <f t="shared" si="15"/>
        <v>1.7000000000000004</v>
      </c>
      <c r="H39" s="84">
        <f t="shared" si="15"/>
        <v>1.8000000000000005</v>
      </c>
      <c r="I39" s="84">
        <f t="shared" si="15"/>
        <v>1.9000000000000006</v>
      </c>
    </row>
    <row r="40" spans="1:9" x14ac:dyDescent="0.25">
      <c r="A40" s="82" t="s">
        <v>257</v>
      </c>
      <c r="B40" s="85" t="s">
        <v>270</v>
      </c>
      <c r="C40" s="86">
        <f>C39*$F$5</f>
        <v>5216250</v>
      </c>
      <c r="D40" s="86">
        <f t="shared" ref="D40:I40" si="16">D39*$F$5</f>
        <v>5617500.0000000009</v>
      </c>
      <c r="E40" s="86">
        <f t="shared" si="16"/>
        <v>6018750.0000000009</v>
      </c>
      <c r="F40" s="86">
        <f t="shared" si="16"/>
        <v>6420000.0000000009</v>
      </c>
      <c r="G40" s="86">
        <f t="shared" si="16"/>
        <v>6821250.0000000019</v>
      </c>
      <c r="H40" s="86">
        <f t="shared" si="16"/>
        <v>7222500.0000000019</v>
      </c>
      <c r="I40" s="86">
        <f t="shared" si="16"/>
        <v>7623750.0000000019</v>
      </c>
    </row>
    <row r="41" spans="1:9" x14ac:dyDescent="0.25">
      <c r="A41" s="82" t="s">
        <v>259</v>
      </c>
      <c r="B41" s="85"/>
      <c r="C41" s="87">
        <f>C40/26</f>
        <v>200625</v>
      </c>
      <c r="D41" s="87">
        <f t="shared" ref="D41:I41" si="17">D40/26</f>
        <v>216057.69230769234</v>
      </c>
      <c r="E41" s="87">
        <f t="shared" si="17"/>
        <v>231490.38461538465</v>
      </c>
      <c r="F41" s="87">
        <f t="shared" si="17"/>
        <v>246923.07692307697</v>
      </c>
      <c r="G41" s="87">
        <f t="shared" si="17"/>
        <v>262355.76923076931</v>
      </c>
      <c r="H41" s="87">
        <f t="shared" si="17"/>
        <v>277788.46153846162</v>
      </c>
      <c r="I41" s="87">
        <f t="shared" si="17"/>
        <v>293221.15384615393</v>
      </c>
    </row>
    <row r="42" spans="1:9" x14ac:dyDescent="0.25">
      <c r="A42" s="90" t="s">
        <v>271</v>
      </c>
      <c r="B42" s="80"/>
      <c r="C42" s="88"/>
      <c r="D42" s="88"/>
      <c r="E42" s="88"/>
      <c r="F42" s="88"/>
      <c r="G42" s="88"/>
      <c r="H42" s="88"/>
      <c r="I42" s="88"/>
    </row>
    <row r="43" spans="1:9" x14ac:dyDescent="0.25">
      <c r="A43" s="82" t="s">
        <v>256</v>
      </c>
      <c r="B43" s="83"/>
      <c r="C43" s="84">
        <v>1.2</v>
      </c>
      <c r="D43" s="84">
        <f t="shared" ref="D43:I43" si="18">C43+0.2</f>
        <v>1.4</v>
      </c>
      <c r="E43" s="84">
        <f t="shared" si="18"/>
        <v>1.5999999999999999</v>
      </c>
      <c r="F43" s="84">
        <f t="shared" si="18"/>
        <v>1.7999999999999998</v>
      </c>
      <c r="G43" s="84">
        <f t="shared" si="18"/>
        <v>1.9999999999999998</v>
      </c>
      <c r="H43" s="84">
        <f t="shared" si="18"/>
        <v>2.1999999999999997</v>
      </c>
      <c r="I43" s="84">
        <f t="shared" si="18"/>
        <v>2.4</v>
      </c>
    </row>
    <row r="44" spans="1:9" x14ac:dyDescent="0.25">
      <c r="A44" s="82" t="s">
        <v>257</v>
      </c>
      <c r="B44" s="85" t="s">
        <v>272</v>
      </c>
      <c r="C44" s="86">
        <f>C43*$F$5</f>
        <v>4815000</v>
      </c>
      <c r="D44" s="86">
        <f t="shared" ref="D44:I44" si="19">D43*$F$5</f>
        <v>5617500</v>
      </c>
      <c r="E44" s="86">
        <f t="shared" si="19"/>
        <v>6419999.9999999991</v>
      </c>
      <c r="F44" s="86">
        <f t="shared" si="19"/>
        <v>7222499.9999999991</v>
      </c>
      <c r="G44" s="86">
        <f t="shared" si="19"/>
        <v>8024999.9999999991</v>
      </c>
      <c r="H44" s="86">
        <f t="shared" si="19"/>
        <v>8827499.9999999981</v>
      </c>
      <c r="I44" s="86">
        <f t="shared" si="19"/>
        <v>9630000</v>
      </c>
    </row>
    <row r="45" spans="1:9" x14ac:dyDescent="0.25">
      <c r="A45" s="82" t="s">
        <v>259</v>
      </c>
      <c r="B45" s="85"/>
      <c r="C45" s="87">
        <f>C44/26</f>
        <v>185192.30769230769</v>
      </c>
      <c r="D45" s="87">
        <f t="shared" ref="D45:I45" si="20">D44/26</f>
        <v>216057.69230769231</v>
      </c>
      <c r="E45" s="87">
        <f t="shared" si="20"/>
        <v>246923.07692307688</v>
      </c>
      <c r="F45" s="87">
        <f t="shared" si="20"/>
        <v>277788.4615384615</v>
      </c>
      <c r="G45" s="87">
        <f t="shared" si="20"/>
        <v>308653.84615384613</v>
      </c>
      <c r="H45" s="87">
        <f t="shared" si="20"/>
        <v>339519.23076923069</v>
      </c>
      <c r="I45" s="87">
        <f t="shared" si="20"/>
        <v>370384.61538461538</v>
      </c>
    </row>
    <row r="46" spans="1:9" x14ac:dyDescent="0.25">
      <c r="A46" s="79" t="s">
        <v>273</v>
      </c>
      <c r="B46" s="80"/>
      <c r="C46" s="88"/>
      <c r="D46" s="88"/>
      <c r="E46" s="88"/>
      <c r="F46" s="88"/>
      <c r="G46" s="88"/>
      <c r="H46" s="88"/>
      <c r="I46" s="88"/>
    </row>
    <row r="47" spans="1:9" x14ac:dyDescent="0.25">
      <c r="A47" s="82" t="s">
        <v>256</v>
      </c>
      <c r="B47" s="83"/>
      <c r="C47" s="84">
        <v>1</v>
      </c>
      <c r="D47" s="84">
        <f t="shared" ref="D47:I47" si="21">C47+0.1</f>
        <v>1.1000000000000001</v>
      </c>
      <c r="E47" s="84">
        <f t="shared" si="21"/>
        <v>1.2000000000000002</v>
      </c>
      <c r="F47" s="84">
        <f t="shared" si="21"/>
        <v>1.3000000000000003</v>
      </c>
      <c r="G47" s="84">
        <f t="shared" si="21"/>
        <v>1.4000000000000004</v>
      </c>
      <c r="H47" s="84">
        <f t="shared" si="21"/>
        <v>1.5000000000000004</v>
      </c>
      <c r="I47" s="84">
        <f t="shared" si="21"/>
        <v>1.6000000000000005</v>
      </c>
    </row>
    <row r="48" spans="1:9" x14ac:dyDescent="0.25">
      <c r="A48" s="82" t="s">
        <v>257</v>
      </c>
      <c r="B48" s="85" t="s">
        <v>274</v>
      </c>
      <c r="C48" s="86">
        <f>C47*$F$5</f>
        <v>4012500</v>
      </c>
      <c r="D48" s="86">
        <f t="shared" ref="D48:I48" si="22">D47*$F$5</f>
        <v>4413750</v>
      </c>
      <c r="E48" s="86">
        <f t="shared" si="22"/>
        <v>4815000.0000000009</v>
      </c>
      <c r="F48" s="86">
        <f t="shared" si="22"/>
        <v>5216250.0000000009</v>
      </c>
      <c r="G48" s="86">
        <f t="shared" si="22"/>
        <v>5617500.0000000019</v>
      </c>
      <c r="H48" s="86">
        <f t="shared" si="22"/>
        <v>6018750.0000000019</v>
      </c>
      <c r="I48" s="86">
        <f t="shared" si="22"/>
        <v>6420000.0000000019</v>
      </c>
    </row>
    <row r="49" spans="1:9" x14ac:dyDescent="0.25">
      <c r="A49" s="82" t="s">
        <v>259</v>
      </c>
      <c r="B49" s="85"/>
      <c r="C49" s="87">
        <f>C48/26</f>
        <v>154326.92307692306</v>
      </c>
      <c r="D49" s="87">
        <f t="shared" ref="D49:I49" si="23">D48/26</f>
        <v>169759.61538461538</v>
      </c>
      <c r="E49" s="87">
        <f t="shared" si="23"/>
        <v>185192.30769230772</v>
      </c>
      <c r="F49" s="87">
        <f t="shared" si="23"/>
        <v>200625.00000000003</v>
      </c>
      <c r="G49" s="87">
        <f t="shared" si="23"/>
        <v>216057.69230769237</v>
      </c>
      <c r="H49" s="87">
        <f t="shared" si="23"/>
        <v>231490.38461538468</v>
      </c>
      <c r="I49" s="87">
        <f t="shared" si="23"/>
        <v>246923.07692307699</v>
      </c>
    </row>
    <row r="50" spans="1:9" x14ac:dyDescent="0.25">
      <c r="A50" s="69"/>
      <c r="B50" s="69"/>
      <c r="C50" s="69"/>
      <c r="D50" s="69"/>
      <c r="E50" s="69"/>
      <c r="F50" s="69"/>
      <c r="G50" s="69"/>
      <c r="H50" s="69"/>
      <c r="I50" s="69"/>
    </row>
    <row r="51" spans="1:9" x14ac:dyDescent="0.25">
      <c r="A51" s="74" t="s">
        <v>275</v>
      </c>
      <c r="B51" s="69"/>
      <c r="C51" s="69"/>
      <c r="D51" s="69"/>
      <c r="E51" s="69"/>
      <c r="F51" s="91"/>
      <c r="G51" s="69"/>
      <c r="H51" s="69"/>
      <c r="I51" s="69"/>
    </row>
    <row r="52" spans="1:9" x14ac:dyDescent="0.25">
      <c r="A52" s="69"/>
      <c r="B52" s="69"/>
      <c r="C52" s="69"/>
      <c r="D52" s="69"/>
      <c r="E52" s="69"/>
      <c r="F52" s="69"/>
      <c r="G52" s="69"/>
      <c r="H52" s="69"/>
      <c r="I52" s="69"/>
    </row>
    <row r="53" spans="1:9" x14ac:dyDescent="0.25">
      <c r="A53" s="75" t="s">
        <v>252</v>
      </c>
      <c r="B53" s="75" t="s">
        <v>253</v>
      </c>
      <c r="C53" s="76" t="s">
        <v>254</v>
      </c>
      <c r="D53" s="76"/>
      <c r="E53" s="76"/>
      <c r="F53" s="76"/>
      <c r="G53" s="76"/>
      <c r="H53" s="76"/>
      <c r="I53" s="76"/>
    </row>
    <row r="54" spans="1:9" x14ac:dyDescent="0.25">
      <c r="A54" s="77"/>
      <c r="B54" s="77"/>
      <c r="C54" s="76">
        <v>1</v>
      </c>
      <c r="D54" s="76">
        <v>2</v>
      </c>
      <c r="E54" s="76">
        <v>3</v>
      </c>
      <c r="F54" s="76">
        <v>4</v>
      </c>
      <c r="G54" s="76">
        <v>5</v>
      </c>
      <c r="H54" s="76">
        <v>6</v>
      </c>
      <c r="I54" s="76">
        <v>7</v>
      </c>
    </row>
    <row r="55" spans="1:9" x14ac:dyDescent="0.25">
      <c r="A55" s="79" t="s">
        <v>276</v>
      </c>
      <c r="B55" s="80"/>
      <c r="C55" s="81"/>
      <c r="D55" s="81"/>
      <c r="E55" s="81"/>
      <c r="F55" s="81"/>
      <c r="G55" s="81"/>
      <c r="H55" s="81"/>
      <c r="I55" s="81"/>
    </row>
    <row r="56" spans="1:9" x14ac:dyDescent="0.25">
      <c r="A56" s="82" t="s">
        <v>256</v>
      </c>
      <c r="B56" s="83"/>
      <c r="C56" s="84">
        <v>1.17</v>
      </c>
      <c r="D56" s="84">
        <f t="shared" ref="D56:I56" si="24">C56+0.05</f>
        <v>1.22</v>
      </c>
      <c r="E56" s="84">
        <f t="shared" si="24"/>
        <v>1.27</v>
      </c>
      <c r="F56" s="84">
        <f t="shared" si="24"/>
        <v>1.32</v>
      </c>
      <c r="G56" s="84">
        <f t="shared" si="24"/>
        <v>1.37</v>
      </c>
      <c r="H56" s="84">
        <f t="shared" si="24"/>
        <v>1.4200000000000002</v>
      </c>
      <c r="I56" s="84">
        <f t="shared" si="24"/>
        <v>1.4700000000000002</v>
      </c>
    </row>
    <row r="57" spans="1:9" x14ac:dyDescent="0.25">
      <c r="A57" s="82" t="s">
        <v>257</v>
      </c>
      <c r="B57" s="85" t="s">
        <v>277</v>
      </c>
      <c r="C57" s="86">
        <f>C56*$F$5</f>
        <v>4694625</v>
      </c>
      <c r="D57" s="86">
        <f t="shared" ref="D57:I57" si="25">D56*$F$5</f>
        <v>4895250</v>
      </c>
      <c r="E57" s="86">
        <f t="shared" si="25"/>
        <v>5095875</v>
      </c>
      <c r="F57" s="86">
        <f t="shared" si="25"/>
        <v>5296500</v>
      </c>
      <c r="G57" s="86">
        <f t="shared" si="25"/>
        <v>5497125</v>
      </c>
      <c r="H57" s="86">
        <f t="shared" si="25"/>
        <v>5697750.0000000009</v>
      </c>
      <c r="I57" s="86">
        <f t="shared" si="25"/>
        <v>5898375.0000000009</v>
      </c>
    </row>
    <row r="58" spans="1:9" x14ac:dyDescent="0.25">
      <c r="A58" s="82" t="s">
        <v>259</v>
      </c>
      <c r="B58" s="85"/>
      <c r="C58" s="87">
        <f>C57/26</f>
        <v>180562.5</v>
      </c>
      <c r="D58" s="87">
        <f t="shared" ref="D58:I58" si="26">D57/26</f>
        <v>188278.84615384616</v>
      </c>
      <c r="E58" s="87">
        <f t="shared" si="26"/>
        <v>195995.19230769231</v>
      </c>
      <c r="F58" s="87">
        <f t="shared" si="26"/>
        <v>203711.53846153847</v>
      </c>
      <c r="G58" s="87">
        <f t="shared" si="26"/>
        <v>211427.88461538462</v>
      </c>
      <c r="H58" s="87">
        <f t="shared" si="26"/>
        <v>219144.23076923081</v>
      </c>
      <c r="I58" s="87">
        <f t="shared" si="26"/>
        <v>226860.57692307697</v>
      </c>
    </row>
    <row r="59" spans="1:9" x14ac:dyDescent="0.25">
      <c r="A59" s="90" t="s">
        <v>278</v>
      </c>
      <c r="B59" s="80"/>
      <c r="C59" s="88"/>
      <c r="D59" s="88"/>
      <c r="E59" s="88"/>
      <c r="F59" s="88"/>
      <c r="G59" s="88"/>
      <c r="H59" s="88"/>
      <c r="I59" s="88"/>
    </row>
    <row r="60" spans="1:9" x14ac:dyDescent="0.25">
      <c r="A60" s="82" t="s">
        <v>256</v>
      </c>
      <c r="B60" s="83"/>
      <c r="C60" s="84">
        <v>1.1000000000000001</v>
      </c>
      <c r="D60" s="84">
        <f t="shared" ref="D60:I60" si="27">C60+0.07</f>
        <v>1.1700000000000002</v>
      </c>
      <c r="E60" s="84">
        <f t="shared" si="27"/>
        <v>1.2400000000000002</v>
      </c>
      <c r="F60" s="84">
        <f t="shared" si="27"/>
        <v>1.3100000000000003</v>
      </c>
      <c r="G60" s="84">
        <f t="shared" si="27"/>
        <v>1.3800000000000003</v>
      </c>
      <c r="H60" s="84">
        <f t="shared" si="27"/>
        <v>1.4500000000000004</v>
      </c>
      <c r="I60" s="84">
        <f t="shared" si="27"/>
        <v>1.5200000000000005</v>
      </c>
    </row>
    <row r="61" spans="1:9" x14ac:dyDescent="0.25">
      <c r="A61" s="82" t="s">
        <v>257</v>
      </c>
      <c r="B61" s="85" t="s">
        <v>279</v>
      </c>
      <c r="C61" s="86">
        <f>C60*$F$5</f>
        <v>4413750</v>
      </c>
      <c r="D61" s="86">
        <f t="shared" ref="D61:I61" si="28">D60*$F$5</f>
        <v>4694625.0000000009</v>
      </c>
      <c r="E61" s="86">
        <f t="shared" si="28"/>
        <v>4975500.0000000009</v>
      </c>
      <c r="F61" s="86">
        <f t="shared" si="28"/>
        <v>5256375.0000000009</v>
      </c>
      <c r="G61" s="86">
        <f t="shared" si="28"/>
        <v>5537250.0000000009</v>
      </c>
      <c r="H61" s="86">
        <f t="shared" si="28"/>
        <v>5818125.0000000019</v>
      </c>
      <c r="I61" s="86">
        <f t="shared" si="28"/>
        <v>6099000.0000000019</v>
      </c>
    </row>
    <row r="62" spans="1:9" x14ac:dyDescent="0.25">
      <c r="A62" s="82" t="s">
        <v>259</v>
      </c>
      <c r="B62" s="85"/>
      <c r="C62" s="87">
        <f>C61/26</f>
        <v>169759.61538461538</v>
      </c>
      <c r="D62" s="87">
        <f t="shared" ref="D62:I62" si="29">D61/26</f>
        <v>180562.50000000003</v>
      </c>
      <c r="E62" s="87">
        <f t="shared" si="29"/>
        <v>191365.38461538465</v>
      </c>
      <c r="F62" s="87">
        <f t="shared" si="29"/>
        <v>202168.26923076928</v>
      </c>
      <c r="G62" s="87">
        <f t="shared" si="29"/>
        <v>212971.15384615387</v>
      </c>
      <c r="H62" s="87">
        <f t="shared" si="29"/>
        <v>223774.03846153853</v>
      </c>
      <c r="I62" s="87">
        <f t="shared" si="29"/>
        <v>234576.92307692315</v>
      </c>
    </row>
    <row r="63" spans="1:9" x14ac:dyDescent="0.25">
      <c r="A63" s="90" t="s">
        <v>280</v>
      </c>
      <c r="B63" s="80"/>
      <c r="C63" s="88"/>
      <c r="D63" s="88"/>
      <c r="E63" s="88"/>
      <c r="F63" s="88"/>
      <c r="G63" s="88"/>
      <c r="H63" s="88"/>
      <c r="I63" s="88"/>
    </row>
    <row r="64" spans="1:9" x14ac:dyDescent="0.25">
      <c r="A64" s="82" t="s">
        <v>256</v>
      </c>
      <c r="B64" s="83"/>
      <c r="C64" s="84">
        <v>1.2</v>
      </c>
      <c r="D64" s="84">
        <f t="shared" ref="D64:I64" si="30">C64+0.1</f>
        <v>1.3</v>
      </c>
      <c r="E64" s="84">
        <f t="shared" si="30"/>
        <v>1.4000000000000001</v>
      </c>
      <c r="F64" s="84">
        <f t="shared" si="30"/>
        <v>1.5000000000000002</v>
      </c>
      <c r="G64" s="84">
        <f t="shared" si="30"/>
        <v>1.6000000000000003</v>
      </c>
      <c r="H64" s="84">
        <f t="shared" si="30"/>
        <v>1.7000000000000004</v>
      </c>
      <c r="I64" s="84">
        <f t="shared" si="30"/>
        <v>1.8000000000000005</v>
      </c>
    </row>
    <row r="65" spans="1:9" x14ac:dyDescent="0.25">
      <c r="A65" s="82" t="s">
        <v>257</v>
      </c>
      <c r="B65" s="85" t="s">
        <v>281</v>
      </c>
      <c r="C65" s="86">
        <f>C64*$F$5</f>
        <v>4815000</v>
      </c>
      <c r="D65" s="86">
        <f t="shared" ref="D65:I65" si="31">D64*$F$5</f>
        <v>5216250</v>
      </c>
      <c r="E65" s="86">
        <f t="shared" si="31"/>
        <v>5617500.0000000009</v>
      </c>
      <c r="F65" s="86">
        <f t="shared" si="31"/>
        <v>6018750.0000000009</v>
      </c>
      <c r="G65" s="86">
        <f t="shared" si="31"/>
        <v>6420000.0000000009</v>
      </c>
      <c r="H65" s="86">
        <f t="shared" si="31"/>
        <v>6821250.0000000019</v>
      </c>
      <c r="I65" s="86">
        <f t="shared" si="31"/>
        <v>7222500.0000000019</v>
      </c>
    </row>
    <row r="66" spans="1:9" x14ac:dyDescent="0.25">
      <c r="A66" s="82" t="s">
        <v>259</v>
      </c>
      <c r="B66" s="85"/>
      <c r="C66" s="87">
        <f>C65/26</f>
        <v>185192.30769230769</v>
      </c>
      <c r="D66" s="87">
        <f t="shared" ref="D66:I66" si="32">D65/26</f>
        <v>200625</v>
      </c>
      <c r="E66" s="87">
        <f t="shared" si="32"/>
        <v>216057.69230769234</v>
      </c>
      <c r="F66" s="87">
        <f t="shared" si="32"/>
        <v>231490.38461538465</v>
      </c>
      <c r="G66" s="87">
        <f t="shared" si="32"/>
        <v>246923.07692307697</v>
      </c>
      <c r="H66" s="87">
        <f t="shared" si="32"/>
        <v>262355.76923076931</v>
      </c>
      <c r="I66" s="87">
        <f t="shared" si="32"/>
        <v>277788.46153846162</v>
      </c>
    </row>
    <row r="67" spans="1:9" x14ac:dyDescent="0.25">
      <c r="A67" s="90" t="s">
        <v>282</v>
      </c>
      <c r="B67" s="80"/>
      <c r="C67" s="88"/>
      <c r="D67" s="88"/>
      <c r="E67" s="88"/>
      <c r="F67" s="88"/>
      <c r="G67" s="88"/>
      <c r="H67" s="88"/>
      <c r="I67" s="88"/>
    </row>
    <row r="68" spans="1:9" x14ac:dyDescent="0.25">
      <c r="A68" s="82" t="s">
        <v>256</v>
      </c>
      <c r="B68" s="83"/>
      <c r="C68" s="84">
        <v>1.05</v>
      </c>
      <c r="D68" s="84">
        <f t="shared" ref="D68:I68" si="33">C68+0.05</f>
        <v>1.1000000000000001</v>
      </c>
      <c r="E68" s="84">
        <f t="shared" si="33"/>
        <v>1.1500000000000001</v>
      </c>
      <c r="F68" s="84">
        <f t="shared" si="33"/>
        <v>1.2000000000000002</v>
      </c>
      <c r="G68" s="84">
        <f t="shared" si="33"/>
        <v>1.2500000000000002</v>
      </c>
      <c r="H68" s="84">
        <f t="shared" si="33"/>
        <v>1.3000000000000003</v>
      </c>
      <c r="I68" s="84">
        <f t="shared" si="33"/>
        <v>1.3500000000000003</v>
      </c>
    </row>
    <row r="69" spans="1:9" x14ac:dyDescent="0.25">
      <c r="A69" s="82" t="s">
        <v>257</v>
      </c>
      <c r="B69" s="85" t="s">
        <v>283</v>
      </c>
      <c r="C69" s="86">
        <f>C68*$F$5</f>
        <v>4213125</v>
      </c>
      <c r="D69" s="86">
        <f t="shared" ref="D69:I69" si="34">D68*$F$5</f>
        <v>4413750</v>
      </c>
      <c r="E69" s="86">
        <f t="shared" si="34"/>
        <v>4614375.0000000009</v>
      </c>
      <c r="F69" s="86">
        <f t="shared" si="34"/>
        <v>4815000.0000000009</v>
      </c>
      <c r="G69" s="86">
        <f t="shared" si="34"/>
        <v>5015625.0000000009</v>
      </c>
      <c r="H69" s="86">
        <f t="shared" si="34"/>
        <v>5216250.0000000009</v>
      </c>
      <c r="I69" s="86">
        <f t="shared" si="34"/>
        <v>5416875.0000000009</v>
      </c>
    </row>
    <row r="70" spans="1:9" x14ac:dyDescent="0.25">
      <c r="A70" s="82" t="s">
        <v>259</v>
      </c>
      <c r="B70" s="85"/>
      <c r="C70" s="87">
        <f>C69/26</f>
        <v>162043.26923076922</v>
      </c>
      <c r="D70" s="87">
        <f t="shared" ref="D70:I70" si="35">D69/26</f>
        <v>169759.61538461538</v>
      </c>
      <c r="E70" s="87">
        <f t="shared" si="35"/>
        <v>177475.96153846156</v>
      </c>
      <c r="F70" s="87">
        <f t="shared" si="35"/>
        <v>185192.30769230772</v>
      </c>
      <c r="G70" s="87">
        <f t="shared" si="35"/>
        <v>192908.65384615387</v>
      </c>
      <c r="H70" s="87">
        <f t="shared" si="35"/>
        <v>200625.00000000003</v>
      </c>
      <c r="I70" s="87">
        <f t="shared" si="35"/>
        <v>208341.34615384619</v>
      </c>
    </row>
    <row r="71" spans="1:9" x14ac:dyDescent="0.25">
      <c r="A71" s="79" t="s">
        <v>284</v>
      </c>
      <c r="B71" s="80"/>
      <c r="C71" s="88"/>
      <c r="D71" s="88"/>
      <c r="E71" s="88"/>
      <c r="F71" s="88"/>
      <c r="G71" s="88"/>
      <c r="H71" s="88"/>
      <c r="I71" s="88"/>
    </row>
    <row r="72" spans="1:9" x14ac:dyDescent="0.25">
      <c r="A72" s="82" t="s">
        <v>256</v>
      </c>
      <c r="B72" s="83"/>
      <c r="C72" s="84">
        <v>1.05</v>
      </c>
      <c r="D72" s="84">
        <f t="shared" ref="D72:I72" si="36">C72+0.07</f>
        <v>1.1200000000000001</v>
      </c>
      <c r="E72" s="84">
        <f t="shared" si="36"/>
        <v>1.1900000000000002</v>
      </c>
      <c r="F72" s="84">
        <f t="shared" si="36"/>
        <v>1.2600000000000002</v>
      </c>
      <c r="G72" s="84">
        <f t="shared" si="36"/>
        <v>1.3300000000000003</v>
      </c>
      <c r="H72" s="84">
        <f t="shared" si="36"/>
        <v>1.4000000000000004</v>
      </c>
      <c r="I72" s="84">
        <f t="shared" si="36"/>
        <v>1.4700000000000004</v>
      </c>
    </row>
    <row r="73" spans="1:9" x14ac:dyDescent="0.25">
      <c r="A73" s="82" t="s">
        <v>257</v>
      </c>
      <c r="B73" s="85" t="s">
        <v>285</v>
      </c>
      <c r="C73" s="86">
        <f>C72*$F$5</f>
        <v>4213125</v>
      </c>
      <c r="D73" s="86">
        <f t="shared" ref="D73:I73" si="37">D72*$F$5</f>
        <v>4494000</v>
      </c>
      <c r="E73" s="86">
        <f t="shared" si="37"/>
        <v>4774875.0000000009</v>
      </c>
      <c r="F73" s="86">
        <f t="shared" si="37"/>
        <v>5055750.0000000009</v>
      </c>
      <c r="G73" s="86">
        <f t="shared" si="37"/>
        <v>5336625.0000000009</v>
      </c>
      <c r="H73" s="86">
        <f t="shared" si="37"/>
        <v>5617500.0000000019</v>
      </c>
      <c r="I73" s="86">
        <f t="shared" si="37"/>
        <v>5898375.0000000019</v>
      </c>
    </row>
    <row r="74" spans="1:9" x14ac:dyDescent="0.25">
      <c r="A74" s="82" t="s">
        <v>259</v>
      </c>
      <c r="B74" s="85"/>
      <c r="C74" s="87">
        <f>C73/26</f>
        <v>162043.26923076922</v>
      </c>
      <c r="D74" s="87">
        <f t="shared" ref="D74:I74" si="38">D73/26</f>
        <v>172846.15384615384</v>
      </c>
      <c r="E74" s="87">
        <f t="shared" si="38"/>
        <v>183649.0384615385</v>
      </c>
      <c r="F74" s="87">
        <f t="shared" si="38"/>
        <v>194451.92307692312</v>
      </c>
      <c r="G74" s="87">
        <f t="shared" si="38"/>
        <v>205254.80769230772</v>
      </c>
      <c r="H74" s="87">
        <f t="shared" si="38"/>
        <v>216057.69230769237</v>
      </c>
      <c r="I74" s="87">
        <f t="shared" si="38"/>
        <v>226860.57692307699</v>
      </c>
    </row>
    <row r="75" spans="1:9" x14ac:dyDescent="0.25">
      <c r="A75" s="79" t="s">
        <v>286</v>
      </c>
      <c r="B75" s="80"/>
      <c r="C75" s="88"/>
      <c r="D75" s="88"/>
      <c r="E75" s="88"/>
      <c r="F75" s="88"/>
      <c r="G75" s="88"/>
      <c r="H75" s="88"/>
      <c r="I75" s="88"/>
    </row>
    <row r="76" spans="1:9" x14ac:dyDescent="0.25">
      <c r="A76" s="82" t="s">
        <v>256</v>
      </c>
      <c r="B76" s="83"/>
      <c r="C76" s="84">
        <v>1</v>
      </c>
      <c r="D76" s="84">
        <f t="shared" ref="D76:I76" si="39">C76+0.05</f>
        <v>1.05</v>
      </c>
      <c r="E76" s="84">
        <f t="shared" si="39"/>
        <v>1.1000000000000001</v>
      </c>
      <c r="F76" s="84">
        <f t="shared" si="39"/>
        <v>1.1500000000000001</v>
      </c>
      <c r="G76" s="84">
        <f t="shared" si="39"/>
        <v>1.2000000000000002</v>
      </c>
      <c r="H76" s="84">
        <f t="shared" si="39"/>
        <v>1.2500000000000002</v>
      </c>
      <c r="I76" s="84">
        <f t="shared" si="39"/>
        <v>1.3000000000000003</v>
      </c>
    </row>
    <row r="77" spans="1:9" x14ac:dyDescent="0.25">
      <c r="A77" s="82" t="s">
        <v>257</v>
      </c>
      <c r="B77" s="85" t="s">
        <v>287</v>
      </c>
      <c r="C77" s="86">
        <f>C76*$F$5</f>
        <v>4012500</v>
      </c>
      <c r="D77" s="86">
        <f t="shared" ref="D77:I77" si="40">D76*$F$5</f>
        <v>4213125</v>
      </c>
      <c r="E77" s="86">
        <f t="shared" si="40"/>
        <v>4413750</v>
      </c>
      <c r="F77" s="86">
        <f t="shared" si="40"/>
        <v>4614375.0000000009</v>
      </c>
      <c r="G77" s="86">
        <f t="shared" si="40"/>
        <v>4815000.0000000009</v>
      </c>
      <c r="H77" s="86">
        <f t="shared" si="40"/>
        <v>5015625.0000000009</v>
      </c>
      <c r="I77" s="86">
        <f t="shared" si="40"/>
        <v>5216250.0000000009</v>
      </c>
    </row>
    <row r="78" spans="1:9" x14ac:dyDescent="0.25">
      <c r="A78" s="82" t="s">
        <v>259</v>
      </c>
      <c r="B78" s="85"/>
      <c r="C78" s="87">
        <f>C77/26</f>
        <v>154326.92307692306</v>
      </c>
      <c r="D78" s="87">
        <f t="shared" ref="D78:I78" si="41">D77/26</f>
        <v>162043.26923076922</v>
      </c>
      <c r="E78" s="87">
        <f t="shared" si="41"/>
        <v>169759.61538461538</v>
      </c>
      <c r="F78" s="87">
        <f t="shared" si="41"/>
        <v>177475.96153846156</v>
      </c>
      <c r="G78" s="87">
        <f t="shared" si="41"/>
        <v>185192.30769230772</v>
      </c>
      <c r="H78" s="87">
        <f t="shared" si="41"/>
        <v>192908.65384615387</v>
      </c>
      <c r="I78" s="87">
        <f t="shared" si="41"/>
        <v>200625.00000000003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1"/>
  <sheetViews>
    <sheetView topLeftCell="A6" zoomScale="85" zoomScaleNormal="85" zoomScaleSheetLayoutView="70" workbookViewId="0">
      <pane xSplit="3" ySplit="6" topLeftCell="AW75" activePane="bottomRight" state="frozen"/>
      <selection activeCell="A6" sqref="A6"/>
      <selection pane="topRight" activeCell="D6" sqref="D6"/>
      <selection pane="bottomLeft" activeCell="A12" sqref="A12"/>
      <selection pane="bottomRight" activeCell="BA81" sqref="BA81"/>
    </sheetView>
  </sheetViews>
  <sheetFormatPr defaultRowHeight="18.75" x14ac:dyDescent="0.3"/>
  <cols>
    <col min="2" max="2" width="27.28515625" style="28" customWidth="1"/>
    <col min="3" max="3" width="13.7109375" style="1" bestFit="1" customWidth="1"/>
    <col min="4" max="4" width="10.28515625" bestFit="1" customWidth="1"/>
    <col min="5" max="6" width="11.28515625" bestFit="1" customWidth="1"/>
    <col min="7" max="7" width="9.28515625" bestFit="1" customWidth="1"/>
    <col min="8" max="8" width="10.7109375" customWidth="1"/>
    <col min="9" max="9" width="9.28515625" bestFit="1" customWidth="1"/>
    <col min="10" max="10" width="10.7109375" customWidth="1"/>
    <col min="11" max="11" width="9.28515625" bestFit="1" customWidth="1"/>
    <col min="12" max="12" width="9.5703125" bestFit="1" customWidth="1"/>
    <col min="13" max="13" width="10.28515625" bestFit="1" customWidth="1"/>
    <col min="14" max="15" width="9.28515625" bestFit="1" customWidth="1"/>
    <col min="16" max="16" width="9.5703125" bestFit="1" customWidth="1"/>
    <col min="17" max="17" width="11.28515625" customWidth="1"/>
    <col min="18" max="18" width="10.28515625" bestFit="1" customWidth="1"/>
    <col min="19" max="20" width="9.28515625" bestFit="1" customWidth="1"/>
    <col min="21" max="21" width="9.5703125" bestFit="1" customWidth="1"/>
    <col min="22" max="24" width="9.28515625" bestFit="1" customWidth="1"/>
    <col min="25" max="25" width="9.5703125" bestFit="1" customWidth="1"/>
    <col min="26" max="26" width="9.28515625" bestFit="1" customWidth="1"/>
    <col min="27" max="27" width="10.28515625" customWidth="1"/>
    <col min="28" max="28" width="9.28515625" bestFit="1" customWidth="1"/>
    <col min="29" max="29" width="9.5703125" bestFit="1" customWidth="1"/>
    <col min="30" max="30" width="11.28515625" customWidth="1"/>
    <col min="31" max="35" width="9.28515625" bestFit="1" customWidth="1"/>
    <col min="36" max="36" width="11.42578125" bestFit="1" customWidth="1"/>
    <col min="37" max="38" width="9.28515625" bestFit="1" customWidth="1"/>
    <col min="39" max="39" width="9.28515625" style="222" bestFit="1" customWidth="1"/>
    <col min="40" max="47" width="9.28515625" bestFit="1" customWidth="1"/>
    <col min="48" max="48" width="10.5703125" customWidth="1"/>
    <col min="49" max="49" width="9.28515625" bestFit="1" customWidth="1"/>
    <col min="50" max="50" width="9.28515625" customWidth="1"/>
    <col min="51" max="54" width="9.28515625" bestFit="1" customWidth="1"/>
    <col min="55" max="55" width="2.5703125" style="18" customWidth="1"/>
    <col min="57" max="57" width="10" style="389" customWidth="1"/>
    <col min="58" max="63" width="0" hidden="1" customWidth="1"/>
    <col min="64" max="64" width="9.140625" style="389"/>
    <col min="66" max="66" width="10.28515625" customWidth="1"/>
  </cols>
  <sheetData>
    <row r="1" spans="1:70" x14ac:dyDescent="0.3">
      <c r="A1" t="s">
        <v>144</v>
      </c>
    </row>
    <row r="2" spans="1:70" x14ac:dyDescent="0.3">
      <c r="A2" t="s">
        <v>145</v>
      </c>
    </row>
    <row r="3" spans="1:70" x14ac:dyDescent="0.3">
      <c r="A3" t="s">
        <v>146</v>
      </c>
    </row>
    <row r="4" spans="1:70" x14ac:dyDescent="0.3">
      <c r="A4" t="s">
        <v>147</v>
      </c>
    </row>
    <row r="6" spans="1:70" ht="23.25" x14ac:dyDescent="0.35">
      <c r="A6" s="500"/>
      <c r="B6" s="500"/>
      <c r="C6" s="500"/>
      <c r="N6" s="500" t="s">
        <v>143</v>
      </c>
      <c r="O6" s="501"/>
      <c r="P6" s="501"/>
      <c r="Q6" s="501"/>
      <c r="R6" s="501"/>
      <c r="S6" s="501"/>
      <c r="T6" s="501"/>
      <c r="U6" s="501"/>
      <c r="BD6" s="500" t="s">
        <v>160</v>
      </c>
      <c r="BE6" s="500"/>
      <c r="BF6" s="500"/>
      <c r="BG6" s="500"/>
      <c r="BH6" s="500"/>
      <c r="BI6" s="500"/>
      <c r="BJ6" s="500"/>
      <c r="BK6" s="500"/>
      <c r="BL6" s="500"/>
      <c r="BM6" s="500"/>
      <c r="BN6" s="500"/>
      <c r="BO6" s="500"/>
      <c r="BP6" s="500"/>
      <c r="BQ6" s="500"/>
    </row>
    <row r="8" spans="1:70" s="7" customFormat="1" ht="75" customHeight="1" x14ac:dyDescent="0.25">
      <c r="A8" s="502" t="s">
        <v>137</v>
      </c>
      <c r="B8" s="502"/>
      <c r="C8" s="502"/>
      <c r="D8" s="217" t="s">
        <v>51</v>
      </c>
      <c r="E8" s="217" t="s">
        <v>52</v>
      </c>
      <c r="F8" s="217" t="s">
        <v>53</v>
      </c>
      <c r="G8" s="217" t="s">
        <v>54</v>
      </c>
      <c r="H8" s="217" t="s">
        <v>55</v>
      </c>
      <c r="I8" s="217" t="s">
        <v>56</v>
      </c>
      <c r="J8" s="217" t="s">
        <v>57</v>
      </c>
      <c r="K8" s="217" t="s">
        <v>58</v>
      </c>
      <c r="L8" s="217" t="s">
        <v>59</v>
      </c>
      <c r="M8" s="217" t="s">
        <v>60</v>
      </c>
      <c r="N8" s="217" t="s">
        <v>61</v>
      </c>
      <c r="O8" s="217" t="s">
        <v>140</v>
      </c>
      <c r="P8" s="217" t="s">
        <v>63</v>
      </c>
      <c r="Q8" s="217" t="s">
        <v>64</v>
      </c>
      <c r="R8" s="217" t="s">
        <v>65</v>
      </c>
      <c r="S8" s="217" t="s">
        <v>66</v>
      </c>
      <c r="T8" s="217" t="s">
        <v>139</v>
      </c>
      <c r="U8" s="217" t="s">
        <v>68</v>
      </c>
      <c r="V8" s="217" t="s">
        <v>69</v>
      </c>
      <c r="W8" s="217" t="s">
        <v>70</v>
      </c>
      <c r="X8" s="217" t="s">
        <v>71</v>
      </c>
      <c r="Y8" s="217" t="s">
        <v>72</v>
      </c>
      <c r="Z8" s="217" t="s">
        <v>73</v>
      </c>
      <c r="AA8" s="217" t="s">
        <v>74</v>
      </c>
      <c r="AB8" s="217" t="s">
        <v>75</v>
      </c>
      <c r="AC8" s="217" t="s">
        <v>76</v>
      </c>
      <c r="AD8" s="217" t="s">
        <v>77</v>
      </c>
      <c r="AE8" s="217" t="s">
        <v>78</v>
      </c>
      <c r="AF8" s="217" t="s">
        <v>79</v>
      </c>
      <c r="AG8" s="217" t="s">
        <v>80</v>
      </c>
      <c r="AH8" s="217" t="s">
        <v>81</v>
      </c>
      <c r="AI8" s="217" t="s">
        <v>82</v>
      </c>
      <c r="AJ8" s="217" t="s">
        <v>83</v>
      </c>
      <c r="AK8" s="217" t="s">
        <v>84</v>
      </c>
      <c r="AL8" s="217" t="s">
        <v>85</v>
      </c>
      <c r="AM8" s="367" t="s">
        <v>86</v>
      </c>
      <c r="AN8" s="217" t="s">
        <v>87</v>
      </c>
      <c r="AO8" s="217" t="s">
        <v>88</v>
      </c>
      <c r="AP8" s="217" t="s">
        <v>89</v>
      </c>
      <c r="AQ8" s="217" t="s">
        <v>90</v>
      </c>
      <c r="AR8" s="217" t="s">
        <v>91</v>
      </c>
      <c r="AS8" s="217" t="s">
        <v>92</v>
      </c>
      <c r="AT8" s="217" t="s">
        <v>93</v>
      </c>
      <c r="AU8" s="217" t="s">
        <v>94</v>
      </c>
      <c r="AV8" s="217" t="s">
        <v>95</v>
      </c>
      <c r="AW8" s="217" t="s">
        <v>96</v>
      </c>
      <c r="AX8" s="217" t="s">
        <v>399</v>
      </c>
      <c r="AY8" s="217" t="s">
        <v>97</v>
      </c>
      <c r="AZ8" s="217" t="s">
        <v>98</v>
      </c>
      <c r="BA8" s="217" t="s">
        <v>338</v>
      </c>
      <c r="BB8" s="217" t="s">
        <v>100</v>
      </c>
      <c r="BC8" s="19"/>
      <c r="BD8" s="27" t="s">
        <v>161</v>
      </c>
      <c r="BE8" s="390" t="s">
        <v>432</v>
      </c>
      <c r="BF8" s="27" t="s">
        <v>163</v>
      </c>
      <c r="BG8" s="27" t="s">
        <v>164</v>
      </c>
      <c r="BH8" s="27" t="s">
        <v>165</v>
      </c>
      <c r="BI8" s="27" t="s">
        <v>166</v>
      </c>
      <c r="BJ8" s="27" t="s">
        <v>167</v>
      </c>
      <c r="BK8" s="27" t="s">
        <v>168</v>
      </c>
      <c r="BL8" s="399" t="s">
        <v>169</v>
      </c>
      <c r="BM8" s="27" t="s">
        <v>170</v>
      </c>
      <c r="BN8" s="27" t="s">
        <v>171</v>
      </c>
      <c r="BO8" s="27" t="s">
        <v>172</v>
      </c>
      <c r="BP8" s="27" t="s">
        <v>173</v>
      </c>
      <c r="BQ8" s="27" t="s">
        <v>174</v>
      </c>
      <c r="BR8" s="27" t="s">
        <v>341</v>
      </c>
    </row>
    <row r="9" spans="1:70" s="9" customFormat="1" ht="15.75" x14ac:dyDescent="0.25">
      <c r="A9" s="503" t="s">
        <v>138</v>
      </c>
      <c r="B9" s="503"/>
      <c r="C9" s="503"/>
      <c r="D9" s="218" t="s">
        <v>3</v>
      </c>
      <c r="E9" s="218" t="s">
        <v>4</v>
      </c>
      <c r="F9" s="218" t="s">
        <v>5</v>
      </c>
      <c r="G9" s="218" t="s">
        <v>6</v>
      </c>
      <c r="H9" s="218" t="s">
        <v>7</v>
      </c>
      <c r="I9" s="218" t="s">
        <v>8</v>
      </c>
      <c r="J9" s="218" t="s">
        <v>9</v>
      </c>
      <c r="K9" s="218" t="s">
        <v>10</v>
      </c>
      <c r="L9" s="218" t="s">
        <v>11</v>
      </c>
      <c r="M9" s="218" t="s">
        <v>12</v>
      </c>
      <c r="N9" s="218" t="s">
        <v>13</v>
      </c>
      <c r="O9" s="218" t="s">
        <v>14</v>
      </c>
      <c r="P9" s="218" t="s">
        <v>15</v>
      </c>
      <c r="Q9" s="218" t="s">
        <v>16</v>
      </c>
      <c r="R9" s="218" t="s">
        <v>17</v>
      </c>
      <c r="S9" s="218" t="s">
        <v>18</v>
      </c>
      <c r="T9" s="218" t="s">
        <v>19</v>
      </c>
      <c r="U9" s="218" t="s">
        <v>20</v>
      </c>
      <c r="V9" s="218" t="s">
        <v>21</v>
      </c>
      <c r="W9" s="218" t="s">
        <v>22</v>
      </c>
      <c r="X9" s="218" t="s">
        <v>23</v>
      </c>
      <c r="Y9" s="218" t="s">
        <v>24</v>
      </c>
      <c r="Z9" s="218" t="s">
        <v>25</v>
      </c>
      <c r="AA9" s="218" t="s">
        <v>26</v>
      </c>
      <c r="AB9" s="218" t="s">
        <v>27</v>
      </c>
      <c r="AC9" s="218" t="s">
        <v>28</v>
      </c>
      <c r="AD9" s="218" t="s">
        <v>29</v>
      </c>
      <c r="AE9" s="218" t="s">
        <v>30</v>
      </c>
      <c r="AF9" s="218" t="s">
        <v>31</v>
      </c>
      <c r="AG9" s="218" t="s">
        <v>32</v>
      </c>
      <c r="AH9" s="218" t="s">
        <v>33</v>
      </c>
      <c r="AI9" s="218" t="s">
        <v>34</v>
      </c>
      <c r="AJ9" s="218" t="s">
        <v>35</v>
      </c>
      <c r="AK9" s="218" t="s">
        <v>36</v>
      </c>
      <c r="AL9" s="218" t="s">
        <v>37</v>
      </c>
      <c r="AM9" s="368" t="s">
        <v>38</v>
      </c>
      <c r="AN9" s="218" t="s">
        <v>39</v>
      </c>
      <c r="AO9" s="218" t="s">
        <v>40</v>
      </c>
      <c r="AP9" s="218" t="s">
        <v>41</v>
      </c>
      <c r="AQ9" s="218" t="s">
        <v>42</v>
      </c>
      <c r="AR9" s="218" t="s">
        <v>43</v>
      </c>
      <c r="AS9" s="218" t="s">
        <v>44</v>
      </c>
      <c r="AT9" s="218" t="s">
        <v>45</v>
      </c>
      <c r="AU9" s="218" t="s">
        <v>46</v>
      </c>
      <c r="AV9" s="218" t="s">
        <v>47</v>
      </c>
      <c r="AW9" s="218" t="s">
        <v>48</v>
      </c>
      <c r="AX9" s="218" t="s">
        <v>398</v>
      </c>
      <c r="AY9" s="218" t="s">
        <v>49</v>
      </c>
      <c r="AZ9" s="218" t="s">
        <v>50</v>
      </c>
      <c r="BA9" s="218" t="s">
        <v>339</v>
      </c>
      <c r="BB9" s="218" t="s">
        <v>340</v>
      </c>
      <c r="BC9" s="20"/>
      <c r="BD9" s="17"/>
      <c r="BE9" s="391"/>
      <c r="BF9" s="17"/>
      <c r="BG9" s="17"/>
      <c r="BH9" s="17"/>
      <c r="BI9" s="17"/>
      <c r="BJ9" s="17"/>
      <c r="BK9" s="17"/>
      <c r="BL9" s="391"/>
      <c r="BM9" s="17"/>
      <c r="BN9" s="17"/>
      <c r="BO9" s="17"/>
      <c r="BP9" s="17"/>
      <c r="BQ9" s="17"/>
      <c r="BR9" s="17"/>
    </row>
    <row r="10" spans="1:70" s="7" customFormat="1" ht="15.75" x14ac:dyDescent="0.25">
      <c r="A10" s="499" t="s">
        <v>142</v>
      </c>
      <c r="B10" s="499"/>
      <c r="C10" s="499"/>
      <c r="D10" s="219">
        <f t="shared" ref="D10:AI10" si="0">SUBTOTAL(9,D12:D216)</f>
        <v>0</v>
      </c>
      <c r="E10" s="219">
        <f t="shared" si="0"/>
        <v>600</v>
      </c>
      <c r="F10" s="219">
        <f t="shared" si="0"/>
        <v>900</v>
      </c>
      <c r="G10" s="219">
        <f t="shared" si="0"/>
        <v>0</v>
      </c>
      <c r="H10" s="219">
        <f t="shared" si="0"/>
        <v>0</v>
      </c>
      <c r="I10" s="219">
        <f t="shared" si="0"/>
        <v>0</v>
      </c>
      <c r="J10" s="219">
        <f t="shared" si="0"/>
        <v>0</v>
      </c>
      <c r="K10" s="219">
        <f t="shared" si="0"/>
        <v>0</v>
      </c>
      <c r="L10" s="219">
        <f t="shared" si="0"/>
        <v>0</v>
      </c>
      <c r="M10" s="219">
        <f t="shared" si="0"/>
        <v>0</v>
      </c>
      <c r="N10" s="219">
        <f t="shared" si="0"/>
        <v>0</v>
      </c>
      <c r="O10" s="219">
        <f t="shared" si="0"/>
        <v>0</v>
      </c>
      <c r="P10" s="219">
        <f t="shared" si="0"/>
        <v>0</v>
      </c>
      <c r="Q10" s="219">
        <f t="shared" si="0"/>
        <v>0</v>
      </c>
      <c r="R10" s="219">
        <f t="shared" si="0"/>
        <v>0</v>
      </c>
      <c r="S10" s="219">
        <f t="shared" si="0"/>
        <v>0</v>
      </c>
      <c r="T10" s="219">
        <f t="shared" si="0"/>
        <v>0</v>
      </c>
      <c r="U10" s="219">
        <f t="shared" si="0"/>
        <v>0</v>
      </c>
      <c r="V10" s="219">
        <f t="shared" si="0"/>
        <v>0</v>
      </c>
      <c r="W10" s="219">
        <f t="shared" si="0"/>
        <v>0</v>
      </c>
      <c r="X10" s="219">
        <f t="shared" si="0"/>
        <v>0</v>
      </c>
      <c r="Y10" s="219">
        <f t="shared" si="0"/>
        <v>0</v>
      </c>
      <c r="Z10" s="219">
        <f t="shared" si="0"/>
        <v>0</v>
      </c>
      <c r="AA10" s="219">
        <f t="shared" si="0"/>
        <v>0</v>
      </c>
      <c r="AB10" s="219">
        <f t="shared" si="0"/>
        <v>0</v>
      </c>
      <c r="AC10" s="219">
        <f t="shared" si="0"/>
        <v>300</v>
      </c>
      <c r="AD10" s="219">
        <f t="shared" si="0"/>
        <v>1380</v>
      </c>
      <c r="AE10" s="219">
        <f t="shared" si="0"/>
        <v>0</v>
      </c>
      <c r="AF10" s="219">
        <f t="shared" si="0"/>
        <v>0</v>
      </c>
      <c r="AG10" s="219">
        <f t="shared" si="0"/>
        <v>0</v>
      </c>
      <c r="AH10" s="219">
        <f t="shared" si="0"/>
        <v>33.333333333333336</v>
      </c>
      <c r="AI10" s="219">
        <f t="shared" si="0"/>
        <v>0</v>
      </c>
      <c r="AJ10" s="219">
        <f t="shared" ref="AJ10:BB10" si="1">SUBTOTAL(9,AJ12:AJ216)</f>
        <v>810</v>
      </c>
      <c r="AK10" s="219">
        <f t="shared" si="1"/>
        <v>1040</v>
      </c>
      <c r="AL10" s="219">
        <f t="shared" si="1"/>
        <v>0</v>
      </c>
      <c r="AM10" s="369">
        <f t="shared" si="1"/>
        <v>510</v>
      </c>
      <c r="AN10" s="219">
        <f t="shared" si="1"/>
        <v>0</v>
      </c>
      <c r="AO10" s="219">
        <f t="shared" si="1"/>
        <v>0</v>
      </c>
      <c r="AP10" s="219">
        <f t="shared" si="1"/>
        <v>0</v>
      </c>
      <c r="AQ10" s="219">
        <f t="shared" si="1"/>
        <v>0</v>
      </c>
      <c r="AR10" s="219">
        <f t="shared" si="1"/>
        <v>0</v>
      </c>
      <c r="AS10" s="219">
        <f t="shared" si="1"/>
        <v>0</v>
      </c>
      <c r="AT10" s="219">
        <f t="shared" si="1"/>
        <v>0</v>
      </c>
      <c r="AU10" s="219">
        <f t="shared" si="1"/>
        <v>0</v>
      </c>
      <c r="AV10" s="219">
        <f t="shared" si="1"/>
        <v>0</v>
      </c>
      <c r="AW10" s="219">
        <f t="shared" si="1"/>
        <v>0</v>
      </c>
      <c r="AX10" s="219">
        <f t="shared" si="1"/>
        <v>0</v>
      </c>
      <c r="AY10" s="219">
        <f t="shared" si="1"/>
        <v>0</v>
      </c>
      <c r="AZ10" s="219">
        <f t="shared" si="1"/>
        <v>0</v>
      </c>
      <c r="BA10" s="219">
        <f t="shared" si="1"/>
        <v>0</v>
      </c>
      <c r="BB10" s="219">
        <f t="shared" si="1"/>
        <v>0</v>
      </c>
      <c r="BC10" s="219">
        <f>SUBTOTAL(9,BC12:BC34)</f>
        <v>0</v>
      </c>
      <c r="BD10" s="274">
        <f>SUBTOTAL(9,BD12:BD216)</f>
        <v>0</v>
      </c>
      <c r="BE10" s="392">
        <f t="shared" ref="BE10:BR10" si="2">SUBTOTAL(9,BE12:BE216)</f>
        <v>255.5</v>
      </c>
      <c r="BF10" s="274">
        <f t="shared" si="2"/>
        <v>0</v>
      </c>
      <c r="BG10" s="274">
        <f t="shared" si="2"/>
        <v>0</v>
      </c>
      <c r="BH10" s="274">
        <f t="shared" si="2"/>
        <v>0</v>
      </c>
      <c r="BI10" s="274">
        <f t="shared" si="2"/>
        <v>0</v>
      </c>
      <c r="BJ10" s="274">
        <f t="shared" si="2"/>
        <v>0</v>
      </c>
      <c r="BK10" s="274">
        <f t="shared" si="2"/>
        <v>0</v>
      </c>
      <c r="BL10" s="392">
        <f t="shared" si="2"/>
        <v>99.5</v>
      </c>
      <c r="BM10" s="274">
        <f t="shared" si="2"/>
        <v>0</v>
      </c>
      <c r="BN10" s="274">
        <f t="shared" si="2"/>
        <v>0</v>
      </c>
      <c r="BO10" s="274">
        <f t="shared" si="2"/>
        <v>0</v>
      </c>
      <c r="BP10" s="274">
        <f t="shared" si="2"/>
        <v>0</v>
      </c>
      <c r="BQ10" s="274">
        <f t="shared" si="2"/>
        <v>4</v>
      </c>
      <c r="BR10" s="274">
        <f t="shared" si="2"/>
        <v>0</v>
      </c>
    </row>
    <row r="11" spans="1:70" s="7" customFormat="1" ht="15.75" x14ac:dyDescent="0.25">
      <c r="A11" s="220" t="s">
        <v>0</v>
      </c>
      <c r="B11" s="220" t="s">
        <v>1</v>
      </c>
      <c r="C11" s="221" t="s">
        <v>2</v>
      </c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9"/>
      <c r="AJ11" s="219"/>
      <c r="AK11" s="219"/>
      <c r="AL11" s="219"/>
      <c r="AM11" s="369"/>
      <c r="AN11" s="219"/>
      <c r="AO11" s="219"/>
      <c r="AP11" s="219"/>
      <c r="AQ11" s="219"/>
      <c r="AR11" s="219"/>
      <c r="AS11" s="219"/>
      <c r="AT11" s="219"/>
      <c r="AU11" s="219"/>
      <c r="AV11" s="219"/>
      <c r="AW11" s="219"/>
      <c r="AX11" s="219"/>
      <c r="AY11" s="219"/>
      <c r="AZ11" s="219"/>
      <c r="BA11" s="219"/>
      <c r="BB11" s="219"/>
      <c r="BC11" s="20"/>
      <c r="BD11" s="97"/>
      <c r="BE11" s="393"/>
      <c r="BF11" s="97"/>
      <c r="BG11" s="97"/>
      <c r="BH11" s="97"/>
      <c r="BI11" s="97"/>
      <c r="BJ11" s="97"/>
      <c r="BK11" s="97"/>
      <c r="BL11" s="393"/>
      <c r="BM11" s="97"/>
      <c r="BN11" s="97"/>
      <c r="BO11" s="97"/>
      <c r="BP11" s="97"/>
      <c r="BQ11" s="97"/>
      <c r="BR11" s="97"/>
    </row>
    <row r="12" spans="1:70" ht="17.25" x14ac:dyDescent="0.3">
      <c r="A12" s="224" t="s">
        <v>101</v>
      </c>
      <c r="B12" s="215" t="str">
        <f>VLOOKUP(A12,'Mã NV'!$A$1:$C$27,2,0)</f>
        <v>Nguyễn Văn Chiến</v>
      </c>
      <c r="C12" s="207" t="s">
        <v>436</v>
      </c>
      <c r="D12" s="325"/>
      <c r="E12" s="325"/>
      <c r="F12" s="325"/>
      <c r="G12" s="325"/>
      <c r="H12" s="325"/>
      <c r="I12" s="325"/>
      <c r="J12" s="325"/>
      <c r="K12" s="325"/>
      <c r="L12" s="325"/>
      <c r="M12" s="325"/>
      <c r="N12" s="326"/>
      <c r="O12" s="325"/>
      <c r="P12" s="325"/>
      <c r="Q12" s="325"/>
      <c r="R12" s="325"/>
      <c r="S12" s="325"/>
      <c r="T12" s="325"/>
      <c r="U12" s="325"/>
      <c r="V12" s="325"/>
      <c r="W12" s="325"/>
      <c r="X12" s="325"/>
      <c r="Y12" s="325"/>
      <c r="Z12" s="325"/>
      <c r="AA12" s="325"/>
      <c r="AB12" s="325"/>
      <c r="AC12" s="325"/>
      <c r="AD12" s="325"/>
      <c r="AE12" s="325"/>
      <c r="AF12" s="325"/>
      <c r="AG12" s="325"/>
      <c r="AH12" s="325"/>
      <c r="AI12" s="325"/>
      <c r="AJ12" s="325"/>
      <c r="AK12" s="325"/>
      <c r="AL12" s="325"/>
      <c r="AM12" s="370"/>
      <c r="AN12" s="325"/>
      <c r="AO12" s="325"/>
      <c r="AP12" s="325"/>
      <c r="AQ12" s="325"/>
      <c r="AR12" s="325"/>
      <c r="AS12" s="325"/>
      <c r="AT12" s="325"/>
      <c r="AU12" s="325"/>
      <c r="AV12" s="325"/>
      <c r="AW12" s="325"/>
      <c r="AX12" s="325"/>
      <c r="AY12" s="325"/>
      <c r="AZ12" s="325"/>
      <c r="BA12" s="325"/>
      <c r="BB12" s="325"/>
      <c r="BC12" s="344"/>
      <c r="BD12" s="345"/>
      <c r="BE12" s="394">
        <v>1.5</v>
      </c>
      <c r="BF12" s="345"/>
      <c r="BG12" s="345"/>
      <c r="BH12" s="345"/>
      <c r="BI12" s="345"/>
      <c r="BJ12" s="345"/>
      <c r="BK12" s="345"/>
      <c r="BL12" s="400"/>
      <c r="BM12" s="345"/>
      <c r="BN12" s="345"/>
      <c r="BO12" s="345"/>
      <c r="BP12" s="345"/>
      <c r="BQ12" s="345"/>
      <c r="BR12" s="345"/>
    </row>
    <row r="13" spans="1:70" ht="17.25" x14ac:dyDescent="0.3">
      <c r="A13" s="224" t="s">
        <v>102</v>
      </c>
      <c r="B13" s="215" t="str">
        <f>VLOOKUP(A13,'Mã NV'!$A$1:$C$27,2,0)</f>
        <v>Ngô Văn Thanh</v>
      </c>
      <c r="C13" s="207" t="s">
        <v>436</v>
      </c>
      <c r="D13" s="325"/>
      <c r="E13" s="256"/>
      <c r="F13" s="256"/>
      <c r="G13" s="256"/>
      <c r="H13" s="256"/>
      <c r="I13" s="325"/>
      <c r="J13" s="325"/>
      <c r="K13" s="325"/>
      <c r="L13" s="325"/>
      <c r="M13" s="325"/>
      <c r="N13" s="326"/>
      <c r="O13" s="325"/>
      <c r="P13" s="325"/>
      <c r="Q13" s="325"/>
      <c r="R13" s="326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5"/>
      <c r="AH13" s="325"/>
      <c r="AI13" s="325"/>
      <c r="AJ13" s="325"/>
      <c r="AK13" s="325"/>
      <c r="AL13" s="325"/>
      <c r="AM13" s="370"/>
      <c r="AN13" s="325"/>
      <c r="AO13" s="325"/>
      <c r="AP13" s="325"/>
      <c r="AQ13" s="325"/>
      <c r="AR13" s="325"/>
      <c r="AS13" s="325"/>
      <c r="AT13" s="325"/>
      <c r="AU13" s="325"/>
      <c r="AV13" s="325"/>
      <c r="AW13" s="325"/>
      <c r="AX13" s="325"/>
      <c r="AY13" s="325"/>
      <c r="AZ13" s="325"/>
      <c r="BA13" s="325"/>
      <c r="BB13" s="325"/>
      <c r="BC13" s="344"/>
      <c r="BD13" s="345"/>
      <c r="BE13" s="394">
        <v>1.5</v>
      </c>
      <c r="BF13" s="345"/>
      <c r="BG13" s="345"/>
      <c r="BH13" s="345"/>
      <c r="BI13" s="345"/>
      <c r="BJ13" s="345"/>
      <c r="BK13" s="345"/>
      <c r="BL13" s="400"/>
      <c r="BM13" s="345"/>
      <c r="BN13" s="345"/>
      <c r="BO13" s="345"/>
      <c r="BP13" s="345"/>
      <c r="BQ13" s="345"/>
      <c r="BR13" s="345"/>
    </row>
    <row r="14" spans="1:70" ht="17.25" x14ac:dyDescent="0.3">
      <c r="A14" s="224" t="s">
        <v>103</v>
      </c>
      <c r="B14" s="215" t="str">
        <f>VLOOKUP(A14,'Mã NV'!$A$1:$C$27,2,0)</f>
        <v>Võ Văn Giàu</v>
      </c>
      <c r="C14" s="207" t="s">
        <v>436</v>
      </c>
      <c r="D14" s="325"/>
      <c r="E14" s="256"/>
      <c r="F14" s="256">
        <v>100</v>
      </c>
      <c r="G14" s="325"/>
      <c r="H14" s="325"/>
      <c r="I14" s="325"/>
      <c r="J14" s="325"/>
      <c r="K14" s="325"/>
      <c r="L14" s="325"/>
      <c r="M14" s="325"/>
      <c r="N14" s="326"/>
      <c r="O14" s="325"/>
      <c r="P14" s="325"/>
      <c r="Q14" s="325"/>
      <c r="R14" s="326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5"/>
      <c r="AJ14" s="325"/>
      <c r="AK14" s="325"/>
      <c r="AL14" s="325"/>
      <c r="AM14" s="370"/>
      <c r="AN14" s="325"/>
      <c r="AO14" s="325"/>
      <c r="AP14" s="325"/>
      <c r="AQ14" s="325"/>
      <c r="AR14" s="325"/>
      <c r="AS14" s="325"/>
      <c r="AT14" s="325"/>
      <c r="AU14" s="325"/>
      <c r="AV14" s="325"/>
      <c r="AW14" s="325"/>
      <c r="AX14" s="325"/>
      <c r="AY14" s="325"/>
      <c r="AZ14" s="325"/>
      <c r="BA14" s="325"/>
      <c r="BB14" s="325"/>
      <c r="BC14" s="344"/>
      <c r="BD14" s="345"/>
      <c r="BE14" s="394">
        <v>1.5</v>
      </c>
      <c r="BF14" s="345"/>
      <c r="BG14" s="345"/>
      <c r="BH14" s="345"/>
      <c r="BI14" s="345"/>
      <c r="BJ14" s="345"/>
      <c r="BK14" s="345"/>
      <c r="BL14" s="400"/>
      <c r="BM14" s="345"/>
      <c r="BN14" s="345"/>
      <c r="BO14" s="345"/>
      <c r="BP14" s="345"/>
      <c r="BQ14" s="345"/>
      <c r="BR14" s="345"/>
    </row>
    <row r="15" spans="1:70" ht="17.25" x14ac:dyDescent="0.3">
      <c r="A15" s="224" t="s">
        <v>105</v>
      </c>
      <c r="B15" s="215" t="str">
        <f>VLOOKUP(A15,'Mã NV'!$A$1:$C$27,2,0)</f>
        <v>Lê Phi Trung</v>
      </c>
      <c r="C15" s="207" t="s">
        <v>436</v>
      </c>
      <c r="D15" s="325"/>
      <c r="E15" s="325">
        <v>150</v>
      </c>
      <c r="F15" s="325"/>
      <c r="G15" s="325"/>
      <c r="H15" s="325"/>
      <c r="I15" s="325"/>
      <c r="J15" s="325"/>
      <c r="K15" s="325"/>
      <c r="L15" s="325"/>
      <c r="M15" s="325"/>
      <c r="N15" s="326"/>
      <c r="O15" s="325"/>
      <c r="P15" s="325"/>
      <c r="Q15" s="325"/>
      <c r="R15" s="326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325"/>
      <c r="AG15" s="325"/>
      <c r="AH15" s="325"/>
      <c r="AI15" s="325"/>
      <c r="AJ15" s="325"/>
      <c r="AK15" s="325"/>
      <c r="AL15" s="325"/>
      <c r="AM15" s="370"/>
      <c r="AN15" s="325"/>
      <c r="AO15" s="325"/>
      <c r="AP15" s="325"/>
      <c r="AQ15" s="325"/>
      <c r="AR15" s="325"/>
      <c r="AS15" s="325"/>
      <c r="AT15" s="325"/>
      <c r="AU15" s="325"/>
      <c r="AV15" s="325"/>
      <c r="AW15" s="325"/>
      <c r="AX15" s="325"/>
      <c r="AY15" s="325"/>
      <c r="AZ15" s="325"/>
      <c r="BA15" s="325"/>
      <c r="BB15" s="325"/>
      <c r="BC15" s="344"/>
      <c r="BD15" s="345"/>
      <c r="BE15" s="394">
        <v>7</v>
      </c>
      <c r="BF15" s="345"/>
      <c r="BG15" s="345"/>
      <c r="BH15" s="345"/>
      <c r="BI15" s="345"/>
      <c r="BJ15" s="345"/>
      <c r="BK15" s="345"/>
      <c r="BL15" s="400">
        <v>2.5</v>
      </c>
      <c r="BM15" s="345"/>
      <c r="BN15" s="345"/>
      <c r="BO15" s="345"/>
      <c r="BP15" s="345"/>
      <c r="BQ15" s="345"/>
      <c r="BR15" s="345"/>
    </row>
    <row r="16" spans="1:70" ht="17.25" x14ac:dyDescent="0.3">
      <c r="A16" s="224" t="s">
        <v>106</v>
      </c>
      <c r="B16" s="215" t="str">
        <f>VLOOKUP(A16,'Mã NV'!$A$1:$C$27,2,0)</f>
        <v>Lâm Văn Thương</v>
      </c>
      <c r="C16" s="207" t="s">
        <v>436</v>
      </c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26"/>
      <c r="O16" s="325"/>
      <c r="P16" s="325"/>
      <c r="Q16" s="325"/>
      <c r="R16" s="326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5"/>
      <c r="AM16" s="370"/>
      <c r="AN16" s="325"/>
      <c r="AO16" s="325"/>
      <c r="AP16" s="325"/>
      <c r="AQ16" s="325"/>
      <c r="AR16" s="325"/>
      <c r="AS16" s="325"/>
      <c r="AT16" s="325"/>
      <c r="AU16" s="325"/>
      <c r="AV16" s="325"/>
      <c r="AW16" s="325"/>
      <c r="AX16" s="325"/>
      <c r="AY16" s="325"/>
      <c r="AZ16" s="325"/>
      <c r="BA16" s="325"/>
      <c r="BB16" s="325"/>
      <c r="BC16" s="344"/>
      <c r="BD16" s="345"/>
      <c r="BE16" s="394">
        <v>1.5</v>
      </c>
      <c r="BF16" s="345"/>
      <c r="BG16" s="345"/>
      <c r="BH16" s="345"/>
      <c r="BI16" s="345"/>
      <c r="BJ16" s="345"/>
      <c r="BK16" s="345"/>
      <c r="BL16" s="400"/>
      <c r="BM16" s="345"/>
      <c r="BN16" s="345"/>
      <c r="BO16" s="345"/>
      <c r="BP16" s="345"/>
      <c r="BQ16" s="345"/>
      <c r="BR16" s="345"/>
    </row>
    <row r="17" spans="1:70" ht="17.25" x14ac:dyDescent="0.3">
      <c r="A17" s="224" t="s">
        <v>107</v>
      </c>
      <c r="B17" s="215" t="str">
        <f>VLOOKUP(A17,'Mã NV'!$A$1:$C$27,2,0)</f>
        <v>Võ Văn Có</v>
      </c>
      <c r="C17" s="207" t="s">
        <v>436</v>
      </c>
      <c r="D17" s="325"/>
      <c r="E17" s="325"/>
      <c r="F17" s="325">
        <v>100</v>
      </c>
      <c r="G17" s="325"/>
      <c r="H17" s="325"/>
      <c r="I17" s="325"/>
      <c r="J17" s="325"/>
      <c r="K17" s="325"/>
      <c r="L17" s="325"/>
      <c r="M17" s="325"/>
      <c r="N17" s="326"/>
      <c r="O17" s="325"/>
      <c r="P17" s="325"/>
      <c r="Q17" s="325"/>
      <c r="R17" s="326"/>
      <c r="S17" s="325"/>
      <c r="T17" s="325"/>
      <c r="U17" s="325"/>
      <c r="V17" s="325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70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AZ17" s="325"/>
      <c r="BA17" s="325"/>
      <c r="BB17" s="325"/>
      <c r="BC17" s="344"/>
      <c r="BD17" s="345"/>
      <c r="BE17" s="394">
        <v>1.5</v>
      </c>
      <c r="BF17" s="345"/>
      <c r="BG17" s="345"/>
      <c r="BH17" s="345"/>
      <c r="BI17" s="345"/>
      <c r="BJ17" s="345"/>
      <c r="BK17" s="345"/>
      <c r="BL17" s="400"/>
      <c r="BM17" s="345"/>
      <c r="BN17" s="345"/>
      <c r="BO17" s="345"/>
      <c r="BP17" s="345"/>
      <c r="BQ17" s="345"/>
      <c r="BR17" s="345"/>
    </row>
    <row r="18" spans="1:70" ht="17.25" x14ac:dyDescent="0.3">
      <c r="A18" s="224" t="s">
        <v>108</v>
      </c>
      <c r="B18" s="215" t="str">
        <f>VLOOKUP(A18,'Mã NV'!$A$1:$C$27,2,0)</f>
        <v>Lê Minh Nghĩa</v>
      </c>
      <c r="C18" s="207" t="s">
        <v>436</v>
      </c>
      <c r="D18" s="325"/>
      <c r="E18" s="325"/>
      <c r="F18" s="325"/>
      <c r="G18" s="325"/>
      <c r="H18" s="325"/>
      <c r="I18" s="325"/>
      <c r="J18" s="325"/>
      <c r="K18" s="325"/>
      <c r="L18" s="325"/>
      <c r="M18" s="325"/>
      <c r="N18" s="326"/>
      <c r="O18" s="325"/>
      <c r="P18" s="325"/>
      <c r="Q18" s="325"/>
      <c r="R18" s="326"/>
      <c r="S18" s="325"/>
      <c r="T18" s="325"/>
      <c r="U18" s="325"/>
      <c r="V18" s="325"/>
      <c r="W18" s="325"/>
      <c r="X18" s="325"/>
      <c r="Y18" s="325"/>
      <c r="Z18" s="325"/>
      <c r="AA18" s="325"/>
      <c r="AB18" s="325"/>
      <c r="AC18" s="325"/>
      <c r="AD18" s="325"/>
      <c r="AE18" s="325"/>
      <c r="AF18" s="325"/>
      <c r="AG18" s="325"/>
      <c r="AH18" s="325"/>
      <c r="AI18" s="325"/>
      <c r="AJ18" s="325"/>
      <c r="AK18" s="325"/>
      <c r="AL18" s="325"/>
      <c r="AM18" s="370"/>
      <c r="AN18" s="325"/>
      <c r="AO18" s="325"/>
      <c r="AP18" s="325"/>
      <c r="AQ18" s="325"/>
      <c r="AR18" s="325"/>
      <c r="AS18" s="325"/>
      <c r="AT18" s="325"/>
      <c r="AU18" s="325"/>
      <c r="AV18" s="325"/>
      <c r="AW18" s="325"/>
      <c r="AX18" s="325"/>
      <c r="AY18" s="325"/>
      <c r="AZ18" s="325"/>
      <c r="BA18" s="325"/>
      <c r="BB18" s="325"/>
      <c r="BC18" s="344"/>
      <c r="BD18" s="345"/>
      <c r="BE18" s="394">
        <v>1.5</v>
      </c>
      <c r="BF18" s="345"/>
      <c r="BG18" s="345"/>
      <c r="BH18" s="345"/>
      <c r="BI18" s="345"/>
      <c r="BJ18" s="345"/>
      <c r="BK18" s="345"/>
      <c r="BL18" s="400"/>
      <c r="BM18" s="345"/>
      <c r="BN18" s="345"/>
      <c r="BO18" s="345"/>
      <c r="BP18" s="345"/>
      <c r="BQ18" s="345"/>
      <c r="BR18" s="345"/>
    </row>
    <row r="19" spans="1:70" ht="17.25" x14ac:dyDescent="0.3">
      <c r="A19" s="224" t="s">
        <v>109</v>
      </c>
      <c r="B19" s="215" t="str">
        <f>VLOOKUP(A19,'Mã NV'!$A$1:$C$27,2,0)</f>
        <v>Trần Văn Tây</v>
      </c>
      <c r="C19" s="207" t="s">
        <v>436</v>
      </c>
      <c r="D19" s="325"/>
      <c r="E19" s="325"/>
      <c r="F19" s="325">
        <v>100</v>
      </c>
      <c r="G19" s="325"/>
      <c r="H19" s="325"/>
      <c r="I19" s="325"/>
      <c r="J19" s="325"/>
      <c r="K19" s="325"/>
      <c r="L19" s="325"/>
      <c r="M19" s="325"/>
      <c r="N19" s="326"/>
      <c r="O19" s="325"/>
      <c r="P19" s="325"/>
      <c r="Q19" s="325"/>
      <c r="R19" s="326"/>
      <c r="S19" s="325"/>
      <c r="T19" s="325"/>
      <c r="U19" s="325"/>
      <c r="V19" s="325"/>
      <c r="W19" s="325"/>
      <c r="X19" s="325"/>
      <c r="Y19" s="325"/>
      <c r="Z19" s="325"/>
      <c r="AA19" s="325"/>
      <c r="AB19" s="325"/>
      <c r="AC19" s="325"/>
      <c r="AD19" s="325"/>
      <c r="AE19" s="325"/>
      <c r="AF19" s="325"/>
      <c r="AG19" s="325"/>
      <c r="AH19" s="325"/>
      <c r="AI19" s="325"/>
      <c r="AJ19" s="325"/>
      <c r="AK19" s="325"/>
      <c r="AL19" s="325"/>
      <c r="AM19" s="370"/>
      <c r="AN19" s="325"/>
      <c r="AO19" s="325"/>
      <c r="AP19" s="325"/>
      <c r="AQ19" s="325"/>
      <c r="AR19" s="325"/>
      <c r="AS19" s="325"/>
      <c r="AT19" s="325"/>
      <c r="AU19" s="325"/>
      <c r="AV19" s="325"/>
      <c r="AW19" s="325"/>
      <c r="AX19" s="325"/>
      <c r="AY19" s="325"/>
      <c r="AZ19" s="325"/>
      <c r="BA19" s="325"/>
      <c r="BB19" s="325"/>
      <c r="BC19" s="344"/>
      <c r="BD19" s="345"/>
      <c r="BE19" s="394">
        <v>1.5</v>
      </c>
      <c r="BF19" s="345"/>
      <c r="BG19" s="345"/>
      <c r="BH19" s="345"/>
      <c r="BI19" s="345"/>
      <c r="BJ19" s="345"/>
      <c r="BK19" s="345"/>
      <c r="BL19" s="400"/>
      <c r="BM19" s="345"/>
      <c r="BN19" s="345"/>
      <c r="BO19" s="345"/>
      <c r="BP19" s="345"/>
      <c r="BQ19" s="345"/>
      <c r="BR19" s="345"/>
    </row>
    <row r="20" spans="1:70" ht="17.25" x14ac:dyDescent="0.3">
      <c r="A20" s="224" t="s">
        <v>110</v>
      </c>
      <c r="B20" s="215" t="str">
        <f>VLOOKUP(A20,'Mã NV'!$A$1:$C$27,2,0)</f>
        <v>Huỳnh Huy Phụng</v>
      </c>
      <c r="C20" s="207" t="s">
        <v>436</v>
      </c>
      <c r="D20" s="325"/>
      <c r="E20" s="325"/>
      <c r="F20" s="325">
        <v>100</v>
      </c>
      <c r="G20" s="325"/>
      <c r="H20" s="325"/>
      <c r="I20" s="325"/>
      <c r="J20" s="325"/>
      <c r="K20" s="325"/>
      <c r="L20" s="325"/>
      <c r="M20" s="325"/>
      <c r="N20" s="326"/>
      <c r="O20" s="325"/>
      <c r="P20" s="325"/>
      <c r="Q20" s="325"/>
      <c r="R20" s="326"/>
      <c r="S20" s="325"/>
      <c r="T20" s="325"/>
      <c r="U20" s="325"/>
      <c r="V20" s="325"/>
      <c r="W20" s="325"/>
      <c r="X20" s="325"/>
      <c r="Y20" s="325"/>
      <c r="Z20" s="325"/>
      <c r="AA20" s="325"/>
      <c r="AB20" s="325"/>
      <c r="AC20" s="325"/>
      <c r="AD20" s="325"/>
      <c r="AE20" s="325"/>
      <c r="AF20" s="325"/>
      <c r="AG20" s="325"/>
      <c r="AH20" s="325"/>
      <c r="AI20" s="325"/>
      <c r="AJ20" s="325"/>
      <c r="AK20" s="325"/>
      <c r="AL20" s="325"/>
      <c r="AM20" s="370"/>
      <c r="AN20" s="325"/>
      <c r="AO20" s="325"/>
      <c r="AP20" s="325"/>
      <c r="AQ20" s="325"/>
      <c r="AR20" s="325"/>
      <c r="AS20" s="325"/>
      <c r="AT20" s="325"/>
      <c r="AU20" s="325"/>
      <c r="AV20" s="256"/>
      <c r="AW20" s="325"/>
      <c r="AX20" s="325"/>
      <c r="AY20" s="325"/>
      <c r="AZ20" s="325"/>
      <c r="BA20" s="325"/>
      <c r="BB20" s="325"/>
      <c r="BC20" s="344"/>
      <c r="BD20" s="345"/>
      <c r="BE20" s="394">
        <v>7</v>
      </c>
      <c r="BF20" s="345"/>
      <c r="BG20" s="345"/>
      <c r="BH20" s="345"/>
      <c r="BI20" s="345"/>
      <c r="BJ20" s="345"/>
      <c r="BK20" s="345"/>
      <c r="BL20" s="400">
        <v>2.5</v>
      </c>
      <c r="BM20" s="345"/>
      <c r="BN20" s="345"/>
      <c r="BO20" s="345"/>
      <c r="BP20" s="345"/>
      <c r="BQ20" s="345"/>
      <c r="BR20" s="345"/>
    </row>
    <row r="21" spans="1:70" ht="17.25" x14ac:dyDescent="0.3">
      <c r="A21" s="224" t="s">
        <v>111</v>
      </c>
      <c r="B21" s="215" t="str">
        <f>VLOOKUP(A21,'Mã NV'!$A$1:$C$27,2,0)</f>
        <v>Võ Quang Tuấn</v>
      </c>
      <c r="C21" s="207" t="s">
        <v>436</v>
      </c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6"/>
      <c r="O21" s="325"/>
      <c r="P21" s="325"/>
      <c r="Q21" s="325"/>
      <c r="R21" s="326"/>
      <c r="S21" s="325"/>
      <c r="T21" s="325"/>
      <c r="U21" s="325"/>
      <c r="V21" s="325"/>
      <c r="W21" s="325"/>
      <c r="X21" s="325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25"/>
      <c r="AK21" s="325"/>
      <c r="AL21" s="325"/>
      <c r="AM21" s="370"/>
      <c r="AN21" s="325"/>
      <c r="AO21" s="325"/>
      <c r="AP21" s="325"/>
      <c r="AQ21" s="325"/>
      <c r="AR21" s="325"/>
      <c r="AS21" s="325"/>
      <c r="AT21" s="325"/>
      <c r="AU21" s="325"/>
      <c r="AV21" s="325"/>
      <c r="AW21" s="325"/>
      <c r="AX21" s="325"/>
      <c r="AY21" s="325"/>
      <c r="AZ21" s="325"/>
      <c r="BA21" s="325"/>
      <c r="BB21" s="325"/>
      <c r="BC21" s="344"/>
      <c r="BD21" s="345"/>
      <c r="BE21" s="394"/>
      <c r="BF21" s="345"/>
      <c r="BG21" s="345"/>
      <c r="BH21" s="345"/>
      <c r="BI21" s="345"/>
      <c r="BJ21" s="345"/>
      <c r="BK21" s="345"/>
      <c r="BL21" s="400"/>
      <c r="BM21" s="345"/>
      <c r="BN21" s="345"/>
      <c r="BO21" s="345"/>
      <c r="BP21" s="345"/>
      <c r="BQ21" s="345"/>
      <c r="BR21" s="345"/>
    </row>
    <row r="22" spans="1:70" ht="17.25" x14ac:dyDescent="0.3">
      <c r="A22" s="224" t="s">
        <v>112</v>
      </c>
      <c r="B22" s="215" t="str">
        <f>VLOOKUP(A22,'Mã NV'!$A$1:$C$27,2,0)</f>
        <v>Lê Hiệp</v>
      </c>
      <c r="C22" s="207" t="s">
        <v>436</v>
      </c>
      <c r="D22" s="325"/>
      <c r="E22" s="256">
        <v>150</v>
      </c>
      <c r="F22" s="256"/>
      <c r="G22" s="325"/>
      <c r="H22" s="325"/>
      <c r="I22" s="325"/>
      <c r="J22" s="325"/>
      <c r="K22" s="325"/>
      <c r="L22" s="325"/>
      <c r="M22" s="325"/>
      <c r="N22" s="326"/>
      <c r="O22" s="325"/>
      <c r="P22" s="325"/>
      <c r="Q22" s="325"/>
      <c r="R22" s="326"/>
      <c r="S22" s="325"/>
      <c r="T22" s="325"/>
      <c r="U22" s="325"/>
      <c r="V22" s="325"/>
      <c r="W22" s="325"/>
      <c r="X22" s="325"/>
      <c r="Y22" s="325"/>
      <c r="Z22" s="325"/>
      <c r="AA22" s="325"/>
      <c r="AB22" s="325"/>
      <c r="AC22" s="325"/>
      <c r="AD22" s="325"/>
      <c r="AE22" s="325"/>
      <c r="AF22" s="325"/>
      <c r="AG22" s="325"/>
      <c r="AH22" s="325"/>
      <c r="AI22" s="325"/>
      <c r="AJ22" s="325"/>
      <c r="AK22" s="325"/>
      <c r="AL22" s="325"/>
      <c r="AM22" s="370"/>
      <c r="AN22" s="325"/>
      <c r="AO22" s="325"/>
      <c r="AP22" s="325"/>
      <c r="AQ22" s="325"/>
      <c r="AR22" s="325"/>
      <c r="AS22" s="325"/>
      <c r="AT22" s="325"/>
      <c r="AU22" s="325"/>
      <c r="AV22" s="325"/>
      <c r="AW22" s="325"/>
      <c r="AX22" s="325"/>
      <c r="AY22" s="325"/>
      <c r="AZ22" s="325"/>
      <c r="BA22" s="325"/>
      <c r="BB22" s="325"/>
      <c r="BC22" s="344"/>
      <c r="BD22" s="345"/>
      <c r="BE22" s="394">
        <v>1.5</v>
      </c>
      <c r="BF22" s="345"/>
      <c r="BG22" s="345"/>
      <c r="BH22" s="345"/>
      <c r="BI22" s="345"/>
      <c r="BJ22" s="345"/>
      <c r="BK22" s="345"/>
      <c r="BL22" s="400"/>
      <c r="BM22" s="345"/>
      <c r="BN22" s="345"/>
      <c r="BO22" s="345"/>
      <c r="BP22" s="345"/>
      <c r="BQ22" s="345"/>
      <c r="BR22" s="345"/>
    </row>
    <row r="23" spans="1:70" ht="17.25" x14ac:dyDescent="0.3">
      <c r="A23" s="224" t="s">
        <v>113</v>
      </c>
      <c r="B23" s="215" t="str">
        <f>VLOOKUP(A23,'Mã NV'!$A$1:$C$27,2,0)</f>
        <v>Lê Văn Bi</v>
      </c>
      <c r="C23" s="207" t="s">
        <v>436</v>
      </c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6"/>
      <c r="O23" s="325"/>
      <c r="P23" s="325"/>
      <c r="Q23" s="325"/>
      <c r="R23" s="326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/>
      <c r="AD23" s="327"/>
      <c r="AE23" s="325"/>
      <c r="AF23" s="325"/>
      <c r="AG23" s="325"/>
      <c r="AH23" s="325"/>
      <c r="AI23" s="325"/>
      <c r="AJ23" s="325"/>
      <c r="AK23" s="325"/>
      <c r="AL23" s="325"/>
      <c r="AM23" s="370"/>
      <c r="AN23" s="325"/>
      <c r="AO23" s="325"/>
      <c r="AP23" s="325"/>
      <c r="AQ23" s="325"/>
      <c r="AR23" s="325"/>
      <c r="AS23" s="325"/>
      <c r="AT23" s="325"/>
      <c r="AU23" s="325"/>
      <c r="AV23" s="325"/>
      <c r="AW23" s="325"/>
      <c r="AX23" s="325"/>
      <c r="AY23" s="325"/>
      <c r="AZ23" s="325"/>
      <c r="BA23" s="325"/>
      <c r="BB23" s="325"/>
      <c r="BC23" s="344"/>
      <c r="BD23" s="345"/>
      <c r="BE23" s="394">
        <v>1.5</v>
      </c>
      <c r="BF23" s="345"/>
      <c r="BG23" s="345"/>
      <c r="BH23" s="345"/>
      <c r="BI23" s="345"/>
      <c r="BJ23" s="345"/>
      <c r="BK23" s="345"/>
      <c r="BL23" s="400"/>
      <c r="BM23" s="345"/>
      <c r="BN23" s="345"/>
      <c r="BO23" s="345"/>
      <c r="BP23" s="345"/>
      <c r="BQ23" s="345"/>
      <c r="BR23" s="345"/>
    </row>
    <row r="24" spans="1:70" ht="17.25" x14ac:dyDescent="0.3">
      <c r="A24" s="224" t="s">
        <v>114</v>
      </c>
      <c r="B24" s="215" t="str">
        <f>VLOOKUP(A24,'Mã NV'!$A$1:$C$27,2,0)</f>
        <v>Tạ Chí Thuận</v>
      </c>
      <c r="C24" s="207" t="s">
        <v>436</v>
      </c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6"/>
      <c r="O24" s="325"/>
      <c r="P24" s="325"/>
      <c r="Q24" s="325"/>
      <c r="R24" s="326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/>
      <c r="AD24" s="325"/>
      <c r="AE24" s="325"/>
      <c r="AF24" s="325"/>
      <c r="AG24" s="325"/>
      <c r="AH24" s="325"/>
      <c r="AI24" s="325"/>
      <c r="AJ24" s="325"/>
      <c r="AK24" s="325"/>
      <c r="AL24" s="325"/>
      <c r="AM24" s="370"/>
      <c r="AN24" s="325"/>
      <c r="AO24" s="325"/>
      <c r="AP24" s="325"/>
      <c r="AQ24" s="325"/>
      <c r="AR24" s="325"/>
      <c r="AS24" s="325"/>
      <c r="AT24" s="325"/>
      <c r="AU24" s="325"/>
      <c r="AV24" s="325"/>
      <c r="AW24" s="325"/>
      <c r="AX24" s="325"/>
      <c r="AY24" s="325"/>
      <c r="AZ24" s="325"/>
      <c r="BA24" s="325"/>
      <c r="BB24" s="325"/>
      <c r="BC24" s="344"/>
      <c r="BD24" s="345"/>
      <c r="BE24" s="394"/>
      <c r="BF24" s="345"/>
      <c r="BG24" s="345"/>
      <c r="BH24" s="345"/>
      <c r="BI24" s="345"/>
      <c r="BJ24" s="345"/>
      <c r="BK24" s="345"/>
      <c r="BL24" s="400"/>
      <c r="BM24" s="345"/>
      <c r="BN24" s="345"/>
      <c r="BO24" s="345"/>
      <c r="BP24" s="345"/>
      <c r="BQ24" s="345"/>
      <c r="BR24" s="345"/>
    </row>
    <row r="25" spans="1:70" ht="17.25" x14ac:dyDescent="0.3">
      <c r="A25" s="224" t="s">
        <v>115</v>
      </c>
      <c r="B25" s="215" t="str">
        <f>VLOOKUP(A25,'Mã NV'!$A$1:$C$27,2,0)</f>
        <v>Trần Anh Dũ</v>
      </c>
      <c r="C25" s="207" t="s">
        <v>436</v>
      </c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6"/>
      <c r="O25" s="325"/>
      <c r="P25" s="325"/>
      <c r="Q25" s="325"/>
      <c r="R25" s="326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70"/>
      <c r="AN25" s="325"/>
      <c r="AO25" s="325"/>
      <c r="AP25" s="325"/>
      <c r="AQ25" s="325"/>
      <c r="AR25" s="325"/>
      <c r="AS25" s="325"/>
      <c r="AT25" s="325"/>
      <c r="AU25" s="325"/>
      <c r="AV25" s="256"/>
      <c r="AW25" s="325"/>
      <c r="AX25" s="325"/>
      <c r="AY25" s="325"/>
      <c r="AZ25" s="325"/>
      <c r="BA25" s="325"/>
      <c r="BB25" s="325"/>
      <c r="BC25" s="344"/>
      <c r="BD25" s="345"/>
      <c r="BE25" s="394">
        <v>1.5</v>
      </c>
      <c r="BF25" s="345"/>
      <c r="BG25" s="345"/>
      <c r="BH25" s="345"/>
      <c r="BI25" s="345"/>
      <c r="BJ25" s="345"/>
      <c r="BK25" s="345"/>
      <c r="BL25" s="400"/>
      <c r="BM25" s="345"/>
      <c r="BN25" s="345"/>
      <c r="BO25" s="345"/>
      <c r="BP25" s="345"/>
      <c r="BQ25" s="345"/>
      <c r="BR25" s="345"/>
    </row>
    <row r="26" spans="1:70" ht="17.25" x14ac:dyDescent="0.3">
      <c r="A26" s="224" t="s">
        <v>116</v>
      </c>
      <c r="B26" s="215" t="str">
        <f>VLOOKUP(A26,'Mã NV'!$A$1:$C$27,2,0)</f>
        <v>Thạch Ngọc Tiến</v>
      </c>
      <c r="C26" s="207" t="s">
        <v>436</v>
      </c>
      <c r="D26" s="325"/>
      <c r="E26" s="256"/>
      <c r="F26" s="256"/>
      <c r="G26" s="325"/>
      <c r="H26" s="325"/>
      <c r="I26" s="325"/>
      <c r="J26" s="325"/>
      <c r="K26" s="325"/>
      <c r="L26" s="325"/>
      <c r="M26" s="325"/>
      <c r="N26" s="326"/>
      <c r="O26" s="325"/>
      <c r="P26" s="325"/>
      <c r="Q26" s="325"/>
      <c r="R26" s="326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5"/>
      <c r="AF26" s="325"/>
      <c r="AG26" s="325"/>
      <c r="AH26" s="325"/>
      <c r="AI26" s="325"/>
      <c r="AJ26" s="325"/>
      <c r="AK26" s="325"/>
      <c r="AL26" s="325"/>
      <c r="AM26" s="370"/>
      <c r="AN26" s="325"/>
      <c r="AO26" s="325"/>
      <c r="AP26" s="325"/>
      <c r="AQ26" s="325"/>
      <c r="AR26" s="325"/>
      <c r="AS26" s="325"/>
      <c r="AT26" s="325"/>
      <c r="AU26" s="325"/>
      <c r="AV26" s="325"/>
      <c r="AW26" s="325"/>
      <c r="AX26" s="325"/>
      <c r="AY26" s="325"/>
      <c r="AZ26" s="325"/>
      <c r="BA26" s="325"/>
      <c r="BB26" s="325"/>
      <c r="BC26" s="344"/>
      <c r="BD26" s="345"/>
      <c r="BE26" s="394"/>
      <c r="BF26" s="345"/>
      <c r="BG26" s="345"/>
      <c r="BH26" s="345"/>
      <c r="BI26" s="345"/>
      <c r="BJ26" s="345"/>
      <c r="BK26" s="345"/>
      <c r="BL26" s="400"/>
      <c r="BM26" s="345"/>
      <c r="BN26" s="345"/>
      <c r="BO26" s="345"/>
      <c r="BP26" s="345"/>
      <c r="BQ26" s="345"/>
      <c r="BR26" s="345"/>
    </row>
    <row r="27" spans="1:70" ht="17.25" x14ac:dyDescent="0.3">
      <c r="A27" s="224" t="s">
        <v>117</v>
      </c>
      <c r="B27" s="215" t="str">
        <f>VLOOKUP(A27,'Mã NV'!$A$1:$C$27,2,0)</f>
        <v>Nguyễn Tuấn Vinh</v>
      </c>
      <c r="C27" s="207" t="s">
        <v>436</v>
      </c>
      <c r="D27" s="325"/>
      <c r="E27" s="256">
        <v>150</v>
      </c>
      <c r="F27" s="256"/>
      <c r="G27" s="325"/>
      <c r="H27" s="325"/>
      <c r="I27" s="325"/>
      <c r="J27" s="325"/>
      <c r="K27" s="325"/>
      <c r="L27" s="325"/>
      <c r="M27" s="325"/>
      <c r="N27" s="326"/>
      <c r="O27" s="325"/>
      <c r="P27" s="325"/>
      <c r="Q27" s="325"/>
      <c r="R27" s="326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5"/>
      <c r="AF27" s="325"/>
      <c r="AG27" s="325"/>
      <c r="AH27" s="325"/>
      <c r="AI27" s="325"/>
      <c r="AJ27" s="325"/>
      <c r="AK27" s="325"/>
      <c r="AL27" s="325"/>
      <c r="AM27" s="370"/>
      <c r="AN27" s="325"/>
      <c r="AO27" s="325"/>
      <c r="AP27" s="325"/>
      <c r="AQ27" s="325"/>
      <c r="AR27" s="325"/>
      <c r="AS27" s="325"/>
      <c r="AT27" s="325"/>
      <c r="AU27" s="325"/>
      <c r="AV27" s="325"/>
      <c r="AW27" s="325"/>
      <c r="AX27" s="325"/>
      <c r="AY27" s="325"/>
      <c r="AZ27" s="325"/>
      <c r="BA27" s="325"/>
      <c r="BB27" s="325"/>
      <c r="BC27" s="344"/>
      <c r="BD27" s="345"/>
      <c r="BE27" s="394">
        <v>1.5</v>
      </c>
      <c r="BF27" s="345"/>
      <c r="BG27" s="345"/>
      <c r="BH27" s="345"/>
      <c r="BI27" s="345"/>
      <c r="BJ27" s="345"/>
      <c r="BK27" s="345"/>
      <c r="BL27" s="400"/>
      <c r="BM27" s="345"/>
      <c r="BN27" s="345"/>
      <c r="BO27" s="345"/>
      <c r="BP27" s="345"/>
      <c r="BQ27" s="345"/>
      <c r="BR27" s="345"/>
    </row>
    <row r="28" spans="1:70" ht="17.25" x14ac:dyDescent="0.3">
      <c r="A28" s="224" t="s">
        <v>118</v>
      </c>
      <c r="B28" s="215" t="str">
        <f>VLOOKUP(A28,'Mã NV'!$A$1:$C$27,2,0)</f>
        <v>Trần Thanh Nguyên</v>
      </c>
      <c r="C28" s="207" t="s">
        <v>436</v>
      </c>
      <c r="D28" s="325"/>
      <c r="E28" s="256"/>
      <c r="F28" s="256">
        <v>100</v>
      </c>
      <c r="G28" s="325"/>
      <c r="H28" s="325"/>
      <c r="I28" s="325"/>
      <c r="J28" s="325"/>
      <c r="K28" s="325"/>
      <c r="L28" s="325"/>
      <c r="M28" s="325"/>
      <c r="N28" s="326"/>
      <c r="O28" s="325"/>
      <c r="P28" s="325"/>
      <c r="Q28" s="325"/>
      <c r="R28" s="326"/>
      <c r="S28" s="325"/>
      <c r="T28" s="325"/>
      <c r="U28" s="325"/>
      <c r="V28" s="325"/>
      <c r="W28" s="325"/>
      <c r="X28" s="325"/>
      <c r="Y28" s="325"/>
      <c r="Z28" s="325"/>
      <c r="AA28" s="325"/>
      <c r="AB28" s="325"/>
      <c r="AC28" s="325"/>
      <c r="AD28" s="325"/>
      <c r="AE28" s="325"/>
      <c r="AF28" s="325"/>
      <c r="AG28" s="325"/>
      <c r="AH28" s="325"/>
      <c r="AI28" s="325"/>
      <c r="AJ28" s="325"/>
      <c r="AK28" s="325"/>
      <c r="AL28" s="325"/>
      <c r="AM28" s="370"/>
      <c r="AN28" s="325"/>
      <c r="AO28" s="325"/>
      <c r="AP28" s="325"/>
      <c r="AQ28" s="325"/>
      <c r="AR28" s="325"/>
      <c r="AS28" s="325"/>
      <c r="AT28" s="325"/>
      <c r="AU28" s="325"/>
      <c r="AV28" s="325"/>
      <c r="AW28" s="325"/>
      <c r="AX28" s="325"/>
      <c r="AY28" s="325"/>
      <c r="AZ28" s="325"/>
      <c r="BA28" s="325"/>
      <c r="BB28" s="325"/>
      <c r="BC28" s="344"/>
      <c r="BD28" s="345"/>
      <c r="BE28" s="394">
        <v>5.5</v>
      </c>
      <c r="BF28" s="345"/>
      <c r="BG28" s="345"/>
      <c r="BH28" s="345"/>
      <c r="BI28" s="345"/>
      <c r="BJ28" s="345"/>
      <c r="BK28" s="345"/>
      <c r="BL28" s="400">
        <v>2.5</v>
      </c>
      <c r="BM28" s="345"/>
      <c r="BN28" s="345"/>
      <c r="BO28" s="345"/>
      <c r="BP28" s="345"/>
      <c r="BQ28" s="345"/>
      <c r="BR28" s="345"/>
    </row>
    <row r="29" spans="1:70" ht="17.25" x14ac:dyDescent="0.3">
      <c r="A29" s="224" t="s">
        <v>119</v>
      </c>
      <c r="B29" s="215" t="str">
        <f>VLOOKUP(A29,'Mã NV'!$A$1:$C$27,2,0)</f>
        <v>Lê Nhật Trường Giang</v>
      </c>
      <c r="C29" s="207" t="s">
        <v>436</v>
      </c>
      <c r="D29" s="325"/>
      <c r="E29" s="256">
        <v>150</v>
      </c>
      <c r="F29" s="256"/>
      <c r="G29" s="325"/>
      <c r="H29" s="325"/>
      <c r="I29" s="325"/>
      <c r="J29" s="325"/>
      <c r="K29" s="325"/>
      <c r="L29" s="325"/>
      <c r="M29" s="325"/>
      <c r="N29" s="326"/>
      <c r="O29" s="325"/>
      <c r="P29" s="325"/>
      <c r="Q29" s="325"/>
      <c r="R29" s="326"/>
      <c r="S29" s="325"/>
      <c r="T29" s="325"/>
      <c r="U29" s="325"/>
      <c r="V29" s="325"/>
      <c r="W29" s="325"/>
      <c r="X29" s="325"/>
      <c r="Y29" s="325"/>
      <c r="Z29" s="325"/>
      <c r="AA29" s="325"/>
      <c r="AB29" s="325"/>
      <c r="AC29" s="325"/>
      <c r="AD29" s="325"/>
      <c r="AE29" s="325"/>
      <c r="AF29" s="325"/>
      <c r="AG29" s="325"/>
      <c r="AH29" s="325"/>
      <c r="AI29" s="325"/>
      <c r="AJ29" s="325"/>
      <c r="AK29" s="325"/>
      <c r="AL29" s="325"/>
      <c r="AM29" s="370"/>
      <c r="AN29" s="325"/>
      <c r="AO29" s="325"/>
      <c r="AP29" s="325"/>
      <c r="AQ29" s="325"/>
      <c r="AR29" s="325"/>
      <c r="AS29" s="325"/>
      <c r="AT29" s="325"/>
      <c r="AU29" s="325"/>
      <c r="AV29" s="325"/>
      <c r="AW29" s="325"/>
      <c r="AX29" s="325"/>
      <c r="AY29" s="325"/>
      <c r="AZ29" s="325"/>
      <c r="BA29" s="325"/>
      <c r="BB29" s="325"/>
      <c r="BC29" s="344"/>
      <c r="BD29" s="345"/>
      <c r="BE29" s="394">
        <v>1.5</v>
      </c>
      <c r="BF29" s="345"/>
      <c r="BG29" s="345"/>
      <c r="BH29" s="345"/>
      <c r="BI29" s="345"/>
      <c r="BJ29" s="345"/>
      <c r="BK29" s="345"/>
      <c r="BL29" s="400"/>
      <c r="BM29" s="345"/>
      <c r="BN29" s="345"/>
      <c r="BO29" s="345"/>
      <c r="BP29" s="345"/>
      <c r="BQ29" s="345"/>
      <c r="BR29" s="345"/>
    </row>
    <row r="30" spans="1:70" ht="17.25" x14ac:dyDescent="0.3">
      <c r="A30" s="224" t="s">
        <v>120</v>
      </c>
      <c r="B30" s="215" t="str">
        <f>VLOOKUP(A30,'Mã NV'!$A$1:$C$27,2,0)</f>
        <v>Thạch Ngọc Thắng</v>
      </c>
      <c r="C30" s="207" t="s">
        <v>436</v>
      </c>
      <c r="D30" s="325"/>
      <c r="E30" s="256"/>
      <c r="F30" s="256"/>
      <c r="G30" s="325"/>
      <c r="H30" s="325"/>
      <c r="I30" s="325"/>
      <c r="J30" s="325"/>
      <c r="K30" s="325"/>
      <c r="L30" s="325"/>
      <c r="M30" s="325"/>
      <c r="N30" s="326"/>
      <c r="O30" s="325"/>
      <c r="P30" s="325"/>
      <c r="Q30" s="325"/>
      <c r="R30" s="326"/>
      <c r="S30" s="325"/>
      <c r="T30" s="325"/>
      <c r="U30" s="325"/>
      <c r="V30" s="325"/>
      <c r="W30" s="325"/>
      <c r="X30" s="325"/>
      <c r="Y30" s="325"/>
      <c r="Z30" s="325"/>
      <c r="AA30" s="325"/>
      <c r="AB30" s="325"/>
      <c r="AC30" s="325"/>
      <c r="AD30" s="325"/>
      <c r="AE30" s="325"/>
      <c r="AF30" s="325"/>
      <c r="AG30" s="325"/>
      <c r="AH30" s="325"/>
      <c r="AI30" s="325"/>
      <c r="AJ30" s="325"/>
      <c r="AK30" s="325"/>
      <c r="AL30" s="325"/>
      <c r="AM30" s="370"/>
      <c r="AN30" s="325"/>
      <c r="AO30" s="325"/>
      <c r="AP30" s="325"/>
      <c r="AQ30" s="325"/>
      <c r="AR30" s="325"/>
      <c r="AS30" s="325"/>
      <c r="AT30" s="325"/>
      <c r="AU30" s="325"/>
      <c r="AV30" s="325"/>
      <c r="AW30" s="325"/>
      <c r="AX30" s="325"/>
      <c r="AY30" s="325"/>
      <c r="AZ30" s="325"/>
      <c r="BA30" s="325"/>
      <c r="BB30" s="325"/>
      <c r="BC30" s="344"/>
      <c r="BD30" s="345"/>
      <c r="BE30" s="394"/>
      <c r="BF30" s="345"/>
      <c r="BG30" s="345"/>
      <c r="BH30" s="345"/>
      <c r="BI30" s="345"/>
      <c r="BJ30" s="345"/>
      <c r="BK30" s="345"/>
      <c r="BL30" s="400"/>
      <c r="BM30" s="345"/>
      <c r="BN30" s="345"/>
      <c r="BO30" s="345"/>
      <c r="BP30" s="345"/>
      <c r="BQ30" s="345"/>
      <c r="BR30" s="345"/>
    </row>
    <row r="31" spans="1:70" ht="17.25" x14ac:dyDescent="0.3">
      <c r="A31" s="224" t="s">
        <v>121</v>
      </c>
      <c r="B31" s="215" t="str">
        <f>VLOOKUP(A31,'Mã NV'!$A$1:$C$27,2,0)</f>
        <v>Dương Tấn Đạt</v>
      </c>
      <c r="C31" s="207" t="s">
        <v>436</v>
      </c>
      <c r="D31" s="325"/>
      <c r="E31" s="256"/>
      <c r="F31" s="256"/>
      <c r="G31" s="325"/>
      <c r="H31" s="325"/>
      <c r="I31" s="325"/>
      <c r="J31" s="325"/>
      <c r="K31" s="325"/>
      <c r="L31" s="325"/>
      <c r="M31" s="325"/>
      <c r="N31" s="326"/>
      <c r="O31" s="325"/>
      <c r="P31" s="325"/>
      <c r="Q31" s="325"/>
      <c r="R31" s="326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/>
      <c r="AD31" s="325"/>
      <c r="AE31" s="325"/>
      <c r="AF31" s="325"/>
      <c r="AG31" s="325"/>
      <c r="AH31" s="325"/>
      <c r="AI31" s="325"/>
      <c r="AJ31" s="325"/>
      <c r="AK31" s="325"/>
      <c r="AL31" s="325"/>
      <c r="AM31" s="370"/>
      <c r="AN31" s="325"/>
      <c r="AO31" s="325"/>
      <c r="AP31" s="325"/>
      <c r="AQ31" s="325"/>
      <c r="AR31" s="325"/>
      <c r="AS31" s="325"/>
      <c r="AT31" s="325"/>
      <c r="AU31" s="325"/>
      <c r="AV31" s="325"/>
      <c r="AW31" s="325"/>
      <c r="AX31" s="325"/>
      <c r="AY31" s="325"/>
      <c r="AZ31" s="325"/>
      <c r="BA31" s="325"/>
      <c r="BB31" s="325"/>
      <c r="BC31" s="344"/>
      <c r="BD31" s="345"/>
      <c r="BE31" s="394"/>
      <c r="BF31" s="345"/>
      <c r="BG31" s="345"/>
      <c r="BH31" s="345"/>
      <c r="BI31" s="345"/>
      <c r="BJ31" s="345"/>
      <c r="BK31" s="345"/>
      <c r="BL31" s="400"/>
      <c r="BM31" s="345"/>
      <c r="BN31" s="345"/>
      <c r="BO31" s="345"/>
      <c r="BP31" s="345"/>
      <c r="BQ31" s="345"/>
      <c r="BR31" s="345"/>
    </row>
    <row r="32" spans="1:70" ht="17.25" x14ac:dyDescent="0.3">
      <c r="A32" s="224" t="s">
        <v>407</v>
      </c>
      <c r="B32" s="215" t="str">
        <f>VLOOKUP(A32,'Mã NV'!$A$1:$C$27,2,0)</f>
        <v>Nguyễn Thanh Hùng</v>
      </c>
      <c r="C32" s="207" t="s">
        <v>436</v>
      </c>
      <c r="D32" s="325"/>
      <c r="E32" s="256"/>
      <c r="F32" s="256"/>
      <c r="G32" s="325"/>
      <c r="H32" s="325"/>
      <c r="I32" s="325"/>
      <c r="J32" s="325"/>
      <c r="K32" s="325"/>
      <c r="L32" s="325"/>
      <c r="M32" s="325"/>
      <c r="N32" s="326"/>
      <c r="O32" s="325"/>
      <c r="P32" s="325"/>
      <c r="Q32" s="325"/>
      <c r="R32" s="326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25"/>
      <c r="AH32" s="325"/>
      <c r="AI32" s="325"/>
      <c r="AJ32" s="325"/>
      <c r="AK32" s="325"/>
      <c r="AL32" s="325"/>
      <c r="AM32" s="370"/>
      <c r="AN32" s="325"/>
      <c r="AO32" s="325"/>
      <c r="AP32" s="325"/>
      <c r="AQ32" s="325"/>
      <c r="AR32" s="325"/>
      <c r="AS32" s="325"/>
      <c r="AT32" s="325"/>
      <c r="AU32" s="325"/>
      <c r="AV32" s="325"/>
      <c r="AW32" s="325"/>
      <c r="AX32" s="325"/>
      <c r="AY32" s="325"/>
      <c r="AZ32" s="325"/>
      <c r="BA32" s="325"/>
      <c r="BB32" s="325"/>
      <c r="BC32" s="344"/>
      <c r="BD32" s="345"/>
      <c r="BE32" s="394">
        <v>7</v>
      </c>
      <c r="BF32" s="345"/>
      <c r="BG32" s="345"/>
      <c r="BH32" s="345"/>
      <c r="BI32" s="345"/>
      <c r="BJ32" s="345"/>
      <c r="BK32" s="345"/>
      <c r="BL32" s="400">
        <v>2.5</v>
      </c>
      <c r="BM32" s="345"/>
      <c r="BN32" s="345"/>
      <c r="BO32" s="345"/>
      <c r="BP32" s="345"/>
      <c r="BQ32" s="345"/>
      <c r="BR32" s="345"/>
    </row>
    <row r="33" spans="1:70" ht="17.25" x14ac:dyDescent="0.3">
      <c r="A33" s="224" t="s">
        <v>409</v>
      </c>
      <c r="B33" s="215" t="str">
        <f>VLOOKUP(A33,'Mã NV'!$A$1:$C$27,2,0)</f>
        <v>Đặng Văn Luân</v>
      </c>
      <c r="C33" s="207" t="s">
        <v>436</v>
      </c>
      <c r="D33" s="325"/>
      <c r="E33" s="256"/>
      <c r="F33" s="256"/>
      <c r="G33" s="325"/>
      <c r="H33" s="325"/>
      <c r="I33" s="325"/>
      <c r="J33" s="325"/>
      <c r="K33" s="325"/>
      <c r="L33" s="325"/>
      <c r="M33" s="325"/>
      <c r="N33" s="326"/>
      <c r="O33" s="325"/>
      <c r="P33" s="325"/>
      <c r="Q33" s="325"/>
      <c r="R33" s="326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25"/>
      <c r="AH33" s="325"/>
      <c r="AI33" s="325"/>
      <c r="AJ33" s="325"/>
      <c r="AK33" s="325"/>
      <c r="AL33" s="325"/>
      <c r="AM33" s="370"/>
      <c r="AN33" s="325"/>
      <c r="AO33" s="325"/>
      <c r="AP33" s="325"/>
      <c r="AQ33" s="325"/>
      <c r="AR33" s="325"/>
      <c r="AS33" s="325"/>
      <c r="AT33" s="325"/>
      <c r="AU33" s="325"/>
      <c r="AV33" s="325"/>
      <c r="AW33" s="325"/>
      <c r="AX33" s="325"/>
      <c r="AY33" s="325"/>
      <c r="AZ33" s="325"/>
      <c r="BA33" s="325"/>
      <c r="BB33" s="325"/>
      <c r="BC33" s="344"/>
      <c r="BD33" s="345"/>
      <c r="BE33" s="394">
        <v>1.5</v>
      </c>
      <c r="BF33" s="345"/>
      <c r="BG33" s="345"/>
      <c r="BH33" s="345"/>
      <c r="BI33" s="345"/>
      <c r="BJ33" s="345"/>
      <c r="BK33" s="345"/>
      <c r="BL33" s="400"/>
      <c r="BM33" s="345"/>
      <c r="BN33" s="345"/>
      <c r="BO33" s="345"/>
      <c r="BP33" s="345"/>
      <c r="BQ33" s="345"/>
      <c r="BR33" s="345"/>
    </row>
    <row r="34" spans="1:70" ht="17.25" x14ac:dyDescent="0.3">
      <c r="A34" s="224" t="s">
        <v>410</v>
      </c>
      <c r="B34" s="215" t="str">
        <f>VLOOKUP(A34,'Mã NV'!$A$1:$C$27,2,0)</f>
        <v>Phan Thanh Minh</v>
      </c>
      <c r="C34" s="207" t="s">
        <v>436</v>
      </c>
      <c r="D34" s="325"/>
      <c r="E34" s="256"/>
      <c r="F34" s="256">
        <v>100</v>
      </c>
      <c r="G34" s="325"/>
      <c r="H34" s="325"/>
      <c r="I34" s="325"/>
      <c r="J34" s="325"/>
      <c r="K34" s="325"/>
      <c r="L34" s="325"/>
      <c r="M34" s="325"/>
      <c r="N34" s="326"/>
      <c r="O34" s="325"/>
      <c r="P34" s="325"/>
      <c r="Q34" s="325"/>
      <c r="R34" s="326"/>
      <c r="S34" s="325"/>
      <c r="T34" s="325"/>
      <c r="U34" s="325"/>
      <c r="V34" s="325"/>
      <c r="W34" s="325"/>
      <c r="X34" s="325"/>
      <c r="Y34" s="325"/>
      <c r="Z34" s="325"/>
      <c r="AA34" s="325"/>
      <c r="AB34" s="325"/>
      <c r="AC34" s="325"/>
      <c r="AD34" s="325"/>
      <c r="AE34" s="325"/>
      <c r="AF34" s="325"/>
      <c r="AG34" s="325"/>
      <c r="AH34" s="325"/>
      <c r="AI34" s="325"/>
      <c r="AJ34" s="325"/>
      <c r="AK34" s="325"/>
      <c r="AL34" s="325"/>
      <c r="AM34" s="370"/>
      <c r="AN34" s="325"/>
      <c r="AO34" s="325"/>
      <c r="AP34" s="325"/>
      <c r="AQ34" s="325"/>
      <c r="AR34" s="325"/>
      <c r="AS34" s="325"/>
      <c r="AT34" s="325"/>
      <c r="AU34" s="325"/>
      <c r="AV34" s="325"/>
      <c r="AW34" s="325"/>
      <c r="AX34" s="325"/>
      <c r="AY34" s="325"/>
      <c r="AZ34" s="325"/>
      <c r="BA34" s="325"/>
      <c r="BB34" s="325"/>
      <c r="BC34" s="344"/>
      <c r="BD34" s="345"/>
      <c r="BE34" s="394">
        <v>1.5</v>
      </c>
      <c r="BF34" s="345"/>
      <c r="BG34" s="345"/>
      <c r="BH34" s="345"/>
      <c r="BI34" s="345"/>
      <c r="BJ34" s="345"/>
      <c r="BK34" s="345"/>
      <c r="BL34" s="400"/>
      <c r="BM34" s="345"/>
      <c r="BN34" s="345"/>
      <c r="BO34" s="345"/>
      <c r="BP34" s="345"/>
      <c r="BQ34" s="345"/>
      <c r="BR34" s="345"/>
    </row>
    <row r="35" spans="1:70" s="354" customFormat="1" ht="17.25" x14ac:dyDescent="0.3">
      <c r="A35" s="346" t="s">
        <v>101</v>
      </c>
      <c r="B35" s="347" t="str">
        <f>VLOOKUP(A35,'Mã NV'!$A$1:$C$27,2,0)</f>
        <v>Nguyễn Văn Chiến</v>
      </c>
      <c r="C35" s="348" t="s">
        <v>437</v>
      </c>
      <c r="D35" s="349"/>
      <c r="E35" s="350"/>
      <c r="F35" s="350"/>
      <c r="G35" s="349"/>
      <c r="H35" s="349"/>
      <c r="I35" s="349"/>
      <c r="J35" s="349"/>
      <c r="K35" s="349"/>
      <c r="L35" s="349"/>
      <c r="M35" s="349"/>
      <c r="N35" s="351"/>
      <c r="O35" s="349"/>
      <c r="P35" s="349"/>
      <c r="Q35" s="349"/>
      <c r="R35" s="351"/>
      <c r="S35" s="349"/>
      <c r="T35" s="349"/>
      <c r="U35" s="349"/>
      <c r="V35" s="349"/>
      <c r="W35" s="349"/>
      <c r="X35" s="349"/>
      <c r="Y35" s="349"/>
      <c r="Z35" s="349"/>
      <c r="AA35" s="349"/>
      <c r="AB35" s="349"/>
      <c r="AC35" s="349"/>
      <c r="AD35" s="349"/>
      <c r="AE35" s="349"/>
      <c r="AF35" s="349"/>
      <c r="AG35" s="349"/>
      <c r="AH35" s="349"/>
      <c r="AI35" s="349"/>
      <c r="AJ35" s="349"/>
      <c r="AK35" s="349"/>
      <c r="AL35" s="349"/>
      <c r="AM35" s="370"/>
      <c r="AN35" s="349"/>
      <c r="AO35" s="349"/>
      <c r="AP35" s="349"/>
      <c r="AQ35" s="349"/>
      <c r="AR35" s="349"/>
      <c r="AS35" s="349"/>
      <c r="AT35" s="349"/>
      <c r="AU35" s="349"/>
      <c r="AV35" s="349"/>
      <c r="AW35" s="349"/>
      <c r="AX35" s="349"/>
      <c r="AY35" s="349"/>
      <c r="AZ35" s="349"/>
      <c r="BA35" s="349"/>
      <c r="BB35" s="349"/>
      <c r="BC35" s="352"/>
      <c r="BD35" s="353"/>
      <c r="BE35" s="396"/>
      <c r="BF35" s="353"/>
      <c r="BG35" s="353"/>
      <c r="BH35" s="353"/>
      <c r="BI35" s="353"/>
      <c r="BJ35" s="353"/>
      <c r="BK35" s="353"/>
      <c r="BL35" s="401">
        <v>3.5</v>
      </c>
      <c r="BM35" s="353"/>
      <c r="BN35" s="353"/>
      <c r="BO35" s="353"/>
      <c r="BP35" s="353"/>
      <c r="BQ35" s="353"/>
      <c r="BR35" s="353"/>
    </row>
    <row r="36" spans="1:70" ht="17.25" x14ac:dyDescent="0.3">
      <c r="A36" s="224" t="s">
        <v>102</v>
      </c>
      <c r="B36" s="215" t="str">
        <f>VLOOKUP(A36,'Mã NV'!$A$1:$C$27,2,0)</f>
        <v>Ngô Văn Thanh</v>
      </c>
      <c r="C36" s="207" t="s">
        <v>437</v>
      </c>
      <c r="D36" s="325"/>
      <c r="E36" s="256"/>
      <c r="F36" s="256"/>
      <c r="G36" s="325"/>
      <c r="H36" s="325"/>
      <c r="I36" s="325"/>
      <c r="J36" s="325"/>
      <c r="K36" s="325"/>
      <c r="L36" s="325"/>
      <c r="M36" s="325"/>
      <c r="N36" s="326"/>
      <c r="O36" s="325"/>
      <c r="P36" s="325"/>
      <c r="Q36" s="325"/>
      <c r="R36" s="326"/>
      <c r="S36" s="325"/>
      <c r="T36" s="325"/>
      <c r="U36" s="325"/>
      <c r="V36" s="325"/>
      <c r="W36" s="325"/>
      <c r="X36" s="325"/>
      <c r="Y36" s="325"/>
      <c r="Z36" s="325"/>
      <c r="AA36" s="325"/>
      <c r="AB36" s="325"/>
      <c r="AC36" s="325"/>
      <c r="AD36" s="325"/>
      <c r="AE36" s="325"/>
      <c r="AF36" s="325"/>
      <c r="AG36" s="325"/>
      <c r="AH36" s="325"/>
      <c r="AI36" s="325"/>
      <c r="AJ36" s="325"/>
      <c r="AK36" s="325"/>
      <c r="AL36" s="325"/>
      <c r="AM36" s="370">
        <v>25</v>
      </c>
      <c r="AN36" s="325"/>
      <c r="AO36" s="325"/>
      <c r="AP36" s="325"/>
      <c r="AQ36" s="325"/>
      <c r="AR36" s="325"/>
      <c r="AS36" s="325"/>
      <c r="AT36" s="325"/>
      <c r="AU36" s="325"/>
      <c r="AV36" s="325"/>
      <c r="AW36" s="325"/>
      <c r="AX36" s="325"/>
      <c r="AY36" s="325"/>
      <c r="AZ36" s="325"/>
      <c r="BA36" s="325"/>
      <c r="BB36" s="325"/>
      <c r="BC36" s="344"/>
      <c r="BD36" s="345"/>
      <c r="BE36" s="394"/>
      <c r="BF36" s="345"/>
      <c r="BG36" s="345"/>
      <c r="BH36" s="345"/>
      <c r="BI36" s="345"/>
      <c r="BJ36" s="345"/>
      <c r="BK36" s="345"/>
      <c r="BL36" s="400"/>
      <c r="BM36" s="345"/>
      <c r="BN36" s="345"/>
      <c r="BO36" s="345"/>
      <c r="BP36" s="345"/>
      <c r="BQ36" s="345"/>
      <c r="BR36" s="345"/>
    </row>
    <row r="37" spans="1:70" ht="17.25" x14ac:dyDescent="0.3">
      <c r="A37" s="224" t="s">
        <v>103</v>
      </c>
      <c r="B37" s="215" t="str">
        <f>VLOOKUP(A37,'Mã NV'!$A$1:$C$27,2,0)</f>
        <v>Võ Văn Giàu</v>
      </c>
      <c r="C37" s="207" t="s">
        <v>437</v>
      </c>
      <c r="D37" s="325"/>
      <c r="E37" s="256"/>
      <c r="F37" s="256"/>
      <c r="G37" s="325"/>
      <c r="H37" s="325"/>
      <c r="I37" s="325"/>
      <c r="J37" s="325"/>
      <c r="K37" s="325"/>
      <c r="L37" s="325"/>
      <c r="M37" s="325"/>
      <c r="N37" s="326"/>
      <c r="O37" s="325"/>
      <c r="P37" s="325"/>
      <c r="Q37" s="325"/>
      <c r="R37" s="326"/>
      <c r="S37" s="325"/>
      <c r="T37" s="325"/>
      <c r="U37" s="325"/>
      <c r="V37" s="325"/>
      <c r="W37" s="325"/>
      <c r="X37" s="325"/>
      <c r="Y37" s="325"/>
      <c r="Z37" s="325"/>
      <c r="AA37" s="325"/>
      <c r="AB37" s="325"/>
      <c r="AC37" s="325"/>
      <c r="AD37" s="325"/>
      <c r="AE37" s="325"/>
      <c r="AF37" s="325"/>
      <c r="AG37" s="325"/>
      <c r="AH37" s="325"/>
      <c r="AI37" s="325"/>
      <c r="AJ37" s="325"/>
      <c r="AK37" s="325"/>
      <c r="AL37" s="325"/>
      <c r="AM37" s="370"/>
      <c r="AN37" s="325"/>
      <c r="AO37" s="325"/>
      <c r="AP37" s="325"/>
      <c r="AQ37" s="325"/>
      <c r="AR37" s="325"/>
      <c r="AS37" s="325"/>
      <c r="AT37" s="325"/>
      <c r="AU37" s="325"/>
      <c r="AV37" s="325"/>
      <c r="AW37" s="325"/>
      <c r="AX37" s="325"/>
      <c r="AY37" s="325"/>
      <c r="AZ37" s="325"/>
      <c r="BA37" s="325"/>
      <c r="BB37" s="325"/>
      <c r="BC37" s="344"/>
      <c r="BD37" s="345"/>
      <c r="BE37" s="394">
        <v>8</v>
      </c>
      <c r="BF37" s="345"/>
      <c r="BG37" s="345"/>
      <c r="BH37" s="345"/>
      <c r="BI37" s="345"/>
      <c r="BJ37" s="345"/>
      <c r="BK37" s="345"/>
      <c r="BL37" s="400"/>
      <c r="BM37" s="345"/>
      <c r="BN37" s="345"/>
      <c r="BO37" s="345"/>
      <c r="BP37" s="345"/>
      <c r="BQ37" s="345"/>
      <c r="BR37" s="345"/>
    </row>
    <row r="38" spans="1:70" ht="17.25" x14ac:dyDescent="0.3">
      <c r="A38" s="224" t="s">
        <v>105</v>
      </c>
      <c r="B38" s="215" t="str">
        <f>VLOOKUP(A38,'Mã NV'!$A$1:$C$27,2,0)</f>
        <v>Lê Phi Trung</v>
      </c>
      <c r="C38" s="207" t="s">
        <v>437</v>
      </c>
      <c r="D38" s="325"/>
      <c r="E38" s="256"/>
      <c r="F38" s="256"/>
      <c r="G38" s="325"/>
      <c r="H38" s="325"/>
      <c r="I38" s="325"/>
      <c r="J38" s="325"/>
      <c r="K38" s="325"/>
      <c r="L38" s="325"/>
      <c r="M38" s="325"/>
      <c r="N38" s="326"/>
      <c r="O38" s="325"/>
      <c r="P38" s="325"/>
      <c r="Q38" s="325"/>
      <c r="R38" s="326"/>
      <c r="S38" s="325"/>
      <c r="T38" s="325"/>
      <c r="U38" s="325"/>
      <c r="V38" s="325"/>
      <c r="W38" s="325"/>
      <c r="X38" s="325"/>
      <c r="Y38" s="325"/>
      <c r="Z38" s="325"/>
      <c r="AA38" s="325"/>
      <c r="AB38" s="325"/>
      <c r="AC38" s="325"/>
      <c r="AD38" s="325"/>
      <c r="AE38" s="325"/>
      <c r="AF38" s="325"/>
      <c r="AG38" s="325"/>
      <c r="AH38" s="325"/>
      <c r="AI38" s="325"/>
      <c r="AJ38" s="325"/>
      <c r="AK38" s="325"/>
      <c r="AL38" s="325"/>
      <c r="AM38" s="370">
        <v>25</v>
      </c>
      <c r="AN38" s="325"/>
      <c r="AO38" s="325"/>
      <c r="AP38" s="325"/>
      <c r="AQ38" s="325"/>
      <c r="AR38" s="325"/>
      <c r="AS38" s="325"/>
      <c r="AT38" s="325"/>
      <c r="AU38" s="325"/>
      <c r="AV38" s="325"/>
      <c r="AW38" s="325"/>
      <c r="AX38" s="325"/>
      <c r="AY38" s="325"/>
      <c r="AZ38" s="325"/>
      <c r="BA38" s="325"/>
      <c r="BB38" s="325"/>
      <c r="BC38" s="344"/>
      <c r="BD38" s="345"/>
      <c r="BE38" s="394">
        <v>12</v>
      </c>
      <c r="BF38" s="345"/>
      <c r="BG38" s="345"/>
      <c r="BH38" s="345"/>
      <c r="BI38" s="345"/>
      <c r="BJ38" s="345"/>
      <c r="BK38" s="345"/>
      <c r="BL38" s="400"/>
      <c r="BM38" s="345"/>
      <c r="BN38" s="345"/>
      <c r="BO38" s="345"/>
      <c r="BP38" s="345"/>
      <c r="BQ38" s="345"/>
      <c r="BR38" s="345"/>
    </row>
    <row r="39" spans="1:70" ht="17.25" x14ac:dyDescent="0.3">
      <c r="A39" s="224" t="s">
        <v>106</v>
      </c>
      <c r="B39" s="215" t="str">
        <f>VLOOKUP(A39,'Mã NV'!$A$1:$C$27,2,0)</f>
        <v>Lâm Văn Thương</v>
      </c>
      <c r="C39" s="207" t="s">
        <v>437</v>
      </c>
      <c r="D39" s="325"/>
      <c r="E39" s="256"/>
      <c r="F39" s="256"/>
      <c r="G39" s="325"/>
      <c r="H39" s="325"/>
      <c r="I39" s="325"/>
      <c r="J39" s="325"/>
      <c r="K39" s="325"/>
      <c r="L39" s="325"/>
      <c r="M39" s="325"/>
      <c r="N39" s="326"/>
      <c r="O39" s="325"/>
      <c r="P39" s="325"/>
      <c r="Q39" s="325"/>
      <c r="R39" s="326"/>
      <c r="S39" s="325"/>
      <c r="T39" s="325"/>
      <c r="U39" s="325"/>
      <c r="V39" s="325"/>
      <c r="W39" s="325"/>
      <c r="X39" s="325"/>
      <c r="Y39" s="325"/>
      <c r="Z39" s="325"/>
      <c r="AA39" s="325"/>
      <c r="AB39" s="325"/>
      <c r="AC39" s="325"/>
      <c r="AD39" s="325"/>
      <c r="AE39" s="325"/>
      <c r="AF39" s="325"/>
      <c r="AG39" s="325"/>
      <c r="AH39" s="325"/>
      <c r="AI39" s="325"/>
      <c r="AJ39" s="325"/>
      <c r="AK39" s="325"/>
      <c r="AL39" s="325"/>
      <c r="AM39" s="370">
        <v>25</v>
      </c>
      <c r="AN39" s="325"/>
      <c r="AO39" s="325"/>
      <c r="AP39" s="325"/>
      <c r="AQ39" s="325"/>
      <c r="AR39" s="325"/>
      <c r="AS39" s="325"/>
      <c r="AT39" s="325"/>
      <c r="AU39" s="325"/>
      <c r="AV39" s="325"/>
      <c r="AW39" s="325"/>
      <c r="AX39" s="325"/>
      <c r="AY39" s="325"/>
      <c r="AZ39" s="325"/>
      <c r="BA39" s="325"/>
      <c r="BB39" s="325"/>
      <c r="BC39" s="344"/>
      <c r="BD39" s="345"/>
      <c r="BE39" s="394"/>
      <c r="BF39" s="345"/>
      <c r="BG39" s="345"/>
      <c r="BH39" s="345"/>
      <c r="BI39" s="345"/>
      <c r="BJ39" s="345"/>
      <c r="BK39" s="345"/>
      <c r="BL39" s="400"/>
      <c r="BM39" s="345"/>
      <c r="BN39" s="345"/>
      <c r="BO39" s="345"/>
      <c r="BP39" s="345"/>
      <c r="BQ39" s="345"/>
      <c r="BR39" s="345"/>
    </row>
    <row r="40" spans="1:70" ht="17.25" x14ac:dyDescent="0.3">
      <c r="A40" s="224" t="s">
        <v>107</v>
      </c>
      <c r="B40" s="215" t="str">
        <f>VLOOKUP(A40,'Mã NV'!$A$1:$C$27,2,0)</f>
        <v>Võ Văn Có</v>
      </c>
      <c r="C40" s="348" t="s">
        <v>437</v>
      </c>
      <c r="D40" s="325"/>
      <c r="E40" s="256"/>
      <c r="F40" s="256"/>
      <c r="G40" s="325"/>
      <c r="H40" s="325"/>
      <c r="I40" s="325"/>
      <c r="J40" s="325"/>
      <c r="K40" s="325"/>
      <c r="L40" s="325"/>
      <c r="M40" s="325"/>
      <c r="N40" s="326"/>
      <c r="O40" s="325"/>
      <c r="P40" s="325"/>
      <c r="Q40" s="325"/>
      <c r="R40" s="326"/>
      <c r="S40" s="325"/>
      <c r="T40" s="325"/>
      <c r="U40" s="325"/>
      <c r="V40" s="325"/>
      <c r="W40" s="325"/>
      <c r="X40" s="325"/>
      <c r="Y40" s="325"/>
      <c r="Z40" s="325"/>
      <c r="AA40" s="325"/>
      <c r="AB40" s="325"/>
      <c r="AC40" s="325"/>
      <c r="AD40" s="325"/>
      <c r="AE40" s="325"/>
      <c r="AF40" s="325"/>
      <c r="AG40" s="325"/>
      <c r="AH40" s="325"/>
      <c r="AI40" s="325"/>
      <c r="AJ40" s="325"/>
      <c r="AK40" s="325"/>
      <c r="AL40" s="325"/>
      <c r="AM40" s="370"/>
      <c r="AN40" s="325"/>
      <c r="AO40" s="325"/>
      <c r="AP40" s="325"/>
      <c r="AQ40" s="325"/>
      <c r="AR40" s="325"/>
      <c r="AS40" s="325"/>
      <c r="AT40" s="325"/>
      <c r="AU40" s="325"/>
      <c r="AV40" s="325"/>
      <c r="AW40" s="325"/>
      <c r="AX40" s="325"/>
      <c r="AY40" s="325"/>
      <c r="AZ40" s="325"/>
      <c r="BA40" s="325"/>
      <c r="BB40" s="325"/>
      <c r="BC40" s="344"/>
      <c r="BD40" s="345"/>
      <c r="BE40" s="394">
        <v>8</v>
      </c>
      <c r="BF40" s="345"/>
      <c r="BG40" s="345"/>
      <c r="BH40" s="345"/>
      <c r="BI40" s="345"/>
      <c r="BJ40" s="345"/>
      <c r="BK40" s="345"/>
      <c r="BL40" s="400">
        <v>2</v>
      </c>
      <c r="BM40" s="345"/>
      <c r="BN40" s="345"/>
      <c r="BO40" s="345"/>
      <c r="BP40" s="345"/>
      <c r="BQ40" s="345"/>
      <c r="BR40" s="345"/>
    </row>
    <row r="41" spans="1:70" ht="17.25" x14ac:dyDescent="0.3">
      <c r="A41" s="224" t="s">
        <v>108</v>
      </c>
      <c r="B41" s="215" t="str">
        <f>VLOOKUP(A41,'Mã NV'!$A$1:$C$27,2,0)</f>
        <v>Lê Minh Nghĩa</v>
      </c>
      <c r="C41" s="207" t="s">
        <v>437</v>
      </c>
      <c r="D41" s="325"/>
      <c r="E41" s="256"/>
      <c r="F41" s="256"/>
      <c r="G41" s="325"/>
      <c r="H41" s="325"/>
      <c r="I41" s="325"/>
      <c r="J41" s="325"/>
      <c r="K41" s="325"/>
      <c r="L41" s="325"/>
      <c r="M41" s="325"/>
      <c r="N41" s="326"/>
      <c r="O41" s="325"/>
      <c r="P41" s="325"/>
      <c r="Q41" s="325"/>
      <c r="R41" s="326"/>
      <c r="S41" s="325"/>
      <c r="T41" s="325"/>
      <c r="U41" s="325"/>
      <c r="V41" s="325"/>
      <c r="W41" s="325"/>
      <c r="X41" s="325"/>
      <c r="Y41" s="325"/>
      <c r="Z41" s="325"/>
      <c r="AA41" s="325"/>
      <c r="AB41" s="325"/>
      <c r="AC41" s="325"/>
      <c r="AD41" s="325"/>
      <c r="AE41" s="325"/>
      <c r="AF41" s="325"/>
      <c r="AG41" s="325"/>
      <c r="AH41" s="325"/>
      <c r="AI41" s="325"/>
      <c r="AJ41" s="325"/>
      <c r="AK41" s="325"/>
      <c r="AL41" s="325"/>
      <c r="AM41" s="370"/>
      <c r="AN41" s="325"/>
      <c r="AO41" s="325"/>
      <c r="AP41" s="325"/>
      <c r="AQ41" s="325"/>
      <c r="AR41" s="325"/>
      <c r="AS41" s="325"/>
      <c r="AT41" s="325"/>
      <c r="AU41" s="325"/>
      <c r="AV41" s="325"/>
      <c r="AW41" s="325"/>
      <c r="AX41" s="325"/>
      <c r="AY41" s="325"/>
      <c r="AZ41" s="325"/>
      <c r="BA41" s="325"/>
      <c r="BB41" s="325"/>
      <c r="BC41" s="344"/>
      <c r="BD41" s="345"/>
      <c r="BE41" s="394">
        <v>8</v>
      </c>
      <c r="BF41" s="345"/>
      <c r="BG41" s="345"/>
      <c r="BH41" s="345"/>
      <c r="BI41" s="345"/>
      <c r="BJ41" s="345"/>
      <c r="BK41" s="345"/>
      <c r="BL41" s="400">
        <v>1.5</v>
      </c>
      <c r="BM41" s="345"/>
      <c r="BN41" s="345"/>
      <c r="BO41" s="345"/>
      <c r="BP41" s="345"/>
      <c r="BQ41" s="345"/>
      <c r="BR41" s="345"/>
    </row>
    <row r="42" spans="1:70" ht="17.25" x14ac:dyDescent="0.3">
      <c r="A42" s="224" t="s">
        <v>109</v>
      </c>
      <c r="B42" s="215" t="str">
        <f>VLOOKUP(A42,'Mã NV'!$A$1:$C$27,2,0)</f>
        <v>Trần Văn Tây</v>
      </c>
      <c r="C42" s="207" t="s">
        <v>437</v>
      </c>
      <c r="D42" s="325"/>
      <c r="E42" s="256"/>
      <c r="F42" s="256"/>
      <c r="G42" s="325"/>
      <c r="H42" s="325"/>
      <c r="I42" s="325"/>
      <c r="J42" s="325"/>
      <c r="K42" s="325"/>
      <c r="L42" s="325"/>
      <c r="M42" s="325"/>
      <c r="N42" s="326"/>
      <c r="O42" s="325"/>
      <c r="P42" s="325"/>
      <c r="Q42" s="325"/>
      <c r="R42" s="326"/>
      <c r="S42" s="325"/>
      <c r="T42" s="325"/>
      <c r="U42" s="325"/>
      <c r="V42" s="325"/>
      <c r="W42" s="325"/>
      <c r="X42" s="325"/>
      <c r="Y42" s="325"/>
      <c r="Z42" s="325"/>
      <c r="AA42" s="325"/>
      <c r="AB42" s="325"/>
      <c r="AC42" s="325"/>
      <c r="AD42" s="325"/>
      <c r="AE42" s="325"/>
      <c r="AF42" s="325"/>
      <c r="AG42" s="325"/>
      <c r="AH42" s="325"/>
      <c r="AI42" s="325"/>
      <c r="AJ42" s="325"/>
      <c r="AK42" s="325"/>
      <c r="AL42" s="325"/>
      <c r="AM42" s="370"/>
      <c r="AN42" s="325"/>
      <c r="AO42" s="325"/>
      <c r="AP42" s="325"/>
      <c r="AQ42" s="325"/>
      <c r="AR42" s="325"/>
      <c r="AS42" s="325"/>
      <c r="AT42" s="325"/>
      <c r="AU42" s="325"/>
      <c r="AV42" s="325"/>
      <c r="AW42" s="325"/>
      <c r="AX42" s="325"/>
      <c r="AY42" s="325"/>
      <c r="AZ42" s="325"/>
      <c r="BA42" s="325"/>
      <c r="BB42" s="325"/>
      <c r="BC42" s="344"/>
      <c r="BD42" s="345"/>
      <c r="BE42" s="394">
        <v>8</v>
      </c>
      <c r="BF42" s="345"/>
      <c r="BG42" s="345"/>
      <c r="BH42" s="345"/>
      <c r="BI42" s="345"/>
      <c r="BJ42" s="345"/>
      <c r="BK42" s="345"/>
      <c r="BL42" s="400"/>
      <c r="BM42" s="345"/>
      <c r="BN42" s="345"/>
      <c r="BO42" s="345"/>
      <c r="BP42" s="345"/>
      <c r="BQ42" s="345"/>
      <c r="BR42" s="345"/>
    </row>
    <row r="43" spans="1:70" ht="17.25" x14ac:dyDescent="0.3">
      <c r="A43" s="224" t="s">
        <v>110</v>
      </c>
      <c r="B43" s="215" t="str">
        <f>VLOOKUP(A43,'Mã NV'!$A$1:$C$27,2,0)</f>
        <v>Huỳnh Huy Phụng</v>
      </c>
      <c r="C43" s="207" t="s">
        <v>437</v>
      </c>
      <c r="D43" s="325"/>
      <c r="E43" s="256"/>
      <c r="F43" s="256"/>
      <c r="G43" s="325"/>
      <c r="H43" s="325"/>
      <c r="I43" s="325"/>
      <c r="J43" s="325"/>
      <c r="K43" s="325"/>
      <c r="L43" s="325"/>
      <c r="M43" s="325"/>
      <c r="N43" s="326"/>
      <c r="O43" s="325"/>
      <c r="P43" s="325"/>
      <c r="Q43" s="325"/>
      <c r="R43" s="326"/>
      <c r="S43" s="325"/>
      <c r="T43" s="325"/>
      <c r="U43" s="325"/>
      <c r="V43" s="325"/>
      <c r="W43" s="325"/>
      <c r="X43" s="325"/>
      <c r="Y43" s="325"/>
      <c r="Z43" s="325"/>
      <c r="AA43" s="325"/>
      <c r="AB43" s="325"/>
      <c r="AC43" s="325"/>
      <c r="AD43" s="325"/>
      <c r="AE43" s="325"/>
      <c r="AF43" s="325"/>
      <c r="AG43" s="325"/>
      <c r="AH43" s="325"/>
      <c r="AI43" s="325"/>
      <c r="AJ43" s="325"/>
      <c r="AK43" s="325"/>
      <c r="AL43" s="325"/>
      <c r="AM43" s="370"/>
      <c r="AN43" s="325"/>
      <c r="AO43" s="325"/>
      <c r="AP43" s="325"/>
      <c r="AQ43" s="325"/>
      <c r="AR43" s="325"/>
      <c r="AS43" s="325"/>
      <c r="AT43" s="325"/>
      <c r="AU43" s="325"/>
      <c r="AV43" s="325"/>
      <c r="AW43" s="325"/>
      <c r="AX43" s="325"/>
      <c r="AY43" s="325"/>
      <c r="AZ43" s="325"/>
      <c r="BA43" s="325"/>
      <c r="BB43" s="325"/>
      <c r="BC43" s="344"/>
      <c r="BD43" s="345"/>
      <c r="BE43" s="394">
        <v>8</v>
      </c>
      <c r="BF43" s="345"/>
      <c r="BG43" s="345"/>
      <c r="BH43" s="345"/>
      <c r="BI43" s="345"/>
      <c r="BJ43" s="345"/>
      <c r="BK43" s="345"/>
      <c r="BL43" s="400">
        <v>3.5</v>
      </c>
      <c r="BM43" s="345"/>
      <c r="BN43" s="345"/>
      <c r="BO43" s="345"/>
      <c r="BP43" s="345"/>
      <c r="BQ43" s="345"/>
      <c r="BR43" s="345"/>
    </row>
    <row r="44" spans="1:70" ht="17.25" x14ac:dyDescent="0.3">
      <c r="A44" s="224" t="s">
        <v>111</v>
      </c>
      <c r="B44" s="215" t="str">
        <f>VLOOKUP(A44,'Mã NV'!$A$1:$C$27,2,0)</f>
        <v>Võ Quang Tuấn</v>
      </c>
      <c r="C44" s="207" t="s">
        <v>437</v>
      </c>
      <c r="D44" s="325"/>
      <c r="E44" s="256"/>
      <c r="F44" s="256"/>
      <c r="G44" s="325"/>
      <c r="H44" s="325"/>
      <c r="I44" s="325"/>
      <c r="J44" s="325"/>
      <c r="K44" s="325"/>
      <c r="L44" s="325"/>
      <c r="M44" s="325"/>
      <c r="N44" s="326"/>
      <c r="O44" s="325"/>
      <c r="P44" s="325"/>
      <c r="Q44" s="325"/>
      <c r="R44" s="326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25"/>
      <c r="AD44" s="325"/>
      <c r="AE44" s="325"/>
      <c r="AF44" s="325"/>
      <c r="AG44" s="325"/>
      <c r="AH44" s="325"/>
      <c r="AI44" s="325"/>
      <c r="AJ44" s="325"/>
      <c r="AK44" s="325"/>
      <c r="AL44" s="325"/>
      <c r="AM44" s="370"/>
      <c r="AN44" s="325"/>
      <c r="AO44" s="325"/>
      <c r="AP44" s="325"/>
      <c r="AQ44" s="325"/>
      <c r="AR44" s="325"/>
      <c r="AS44" s="325"/>
      <c r="AT44" s="325"/>
      <c r="AU44" s="325"/>
      <c r="AV44" s="325"/>
      <c r="AW44" s="325"/>
      <c r="AX44" s="325"/>
      <c r="AY44" s="325"/>
      <c r="AZ44" s="325"/>
      <c r="BA44" s="325"/>
      <c r="BB44" s="325"/>
      <c r="BC44" s="344"/>
      <c r="BD44" s="345"/>
      <c r="BE44" s="394"/>
      <c r="BF44" s="345"/>
      <c r="BG44" s="345"/>
      <c r="BH44" s="345"/>
      <c r="BI44" s="345"/>
      <c r="BJ44" s="345"/>
      <c r="BK44" s="345"/>
      <c r="BL44" s="400"/>
      <c r="BM44" s="345"/>
      <c r="BN44" s="345"/>
      <c r="BO44" s="345"/>
      <c r="BP44" s="345"/>
      <c r="BQ44" s="345"/>
      <c r="BR44" s="345"/>
    </row>
    <row r="45" spans="1:70" ht="17.25" x14ac:dyDescent="0.3">
      <c r="A45" s="224" t="s">
        <v>112</v>
      </c>
      <c r="B45" s="215" t="str">
        <f>VLOOKUP(A45,'Mã NV'!$A$1:$C$27,2,0)</f>
        <v>Lê Hiệp</v>
      </c>
      <c r="C45" s="348" t="s">
        <v>437</v>
      </c>
      <c r="D45" s="325"/>
      <c r="E45" s="256"/>
      <c r="F45" s="256"/>
      <c r="G45" s="325"/>
      <c r="H45" s="325"/>
      <c r="I45" s="325"/>
      <c r="J45" s="325"/>
      <c r="K45" s="325"/>
      <c r="L45" s="325"/>
      <c r="M45" s="325"/>
      <c r="N45" s="326"/>
      <c r="O45" s="325"/>
      <c r="P45" s="325"/>
      <c r="Q45" s="325"/>
      <c r="R45" s="326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25"/>
      <c r="AD45" s="325"/>
      <c r="AE45" s="325"/>
      <c r="AF45" s="325"/>
      <c r="AG45" s="325"/>
      <c r="AH45" s="325"/>
      <c r="AI45" s="325"/>
      <c r="AJ45" s="325"/>
      <c r="AK45" s="325"/>
      <c r="AL45" s="325"/>
      <c r="AM45" s="370"/>
      <c r="AN45" s="325"/>
      <c r="AO45" s="325"/>
      <c r="AP45" s="325"/>
      <c r="AQ45" s="325"/>
      <c r="AR45" s="325"/>
      <c r="AS45" s="325"/>
      <c r="AT45" s="325"/>
      <c r="AU45" s="325"/>
      <c r="AV45" s="325"/>
      <c r="AW45" s="325"/>
      <c r="AX45" s="325"/>
      <c r="AY45" s="325"/>
      <c r="AZ45" s="325"/>
      <c r="BA45" s="325"/>
      <c r="BB45" s="325"/>
      <c r="BC45" s="344"/>
      <c r="BD45" s="345"/>
      <c r="BE45" s="394">
        <v>16</v>
      </c>
      <c r="BF45" s="345"/>
      <c r="BG45" s="345"/>
      <c r="BH45" s="345"/>
      <c r="BI45" s="345"/>
      <c r="BJ45" s="345"/>
      <c r="BK45" s="345"/>
      <c r="BL45" s="400"/>
      <c r="BM45" s="345"/>
      <c r="BN45" s="345"/>
      <c r="BO45" s="345"/>
      <c r="BP45" s="345"/>
      <c r="BQ45" s="345"/>
      <c r="BR45" s="345"/>
    </row>
    <row r="46" spans="1:70" ht="17.25" x14ac:dyDescent="0.3">
      <c r="A46" s="224" t="s">
        <v>113</v>
      </c>
      <c r="B46" s="215" t="str">
        <f>VLOOKUP(A46,'Mã NV'!$A$1:$C$27,2,0)</f>
        <v>Lê Văn Bi</v>
      </c>
      <c r="C46" s="207" t="s">
        <v>437</v>
      </c>
      <c r="D46" s="325"/>
      <c r="E46" s="256"/>
      <c r="F46" s="256"/>
      <c r="G46" s="325"/>
      <c r="H46" s="325"/>
      <c r="I46" s="325"/>
      <c r="J46" s="325"/>
      <c r="K46" s="325"/>
      <c r="L46" s="325"/>
      <c r="M46" s="325"/>
      <c r="N46" s="326"/>
      <c r="O46" s="325"/>
      <c r="P46" s="325"/>
      <c r="Q46" s="325"/>
      <c r="R46" s="326"/>
      <c r="S46" s="325"/>
      <c r="T46" s="325"/>
      <c r="U46" s="325"/>
      <c r="V46" s="325"/>
      <c r="W46" s="325"/>
      <c r="X46" s="325"/>
      <c r="Y46" s="325"/>
      <c r="Z46" s="325"/>
      <c r="AA46" s="325"/>
      <c r="AB46" s="325"/>
      <c r="AC46" s="325"/>
      <c r="AD46" s="325"/>
      <c r="AE46" s="325"/>
      <c r="AF46" s="325"/>
      <c r="AG46" s="325"/>
      <c r="AH46" s="325"/>
      <c r="AI46" s="325"/>
      <c r="AJ46" s="325"/>
      <c r="AK46" s="325"/>
      <c r="AL46" s="325"/>
      <c r="AM46" s="370">
        <v>25</v>
      </c>
      <c r="AN46" s="325"/>
      <c r="AO46" s="325"/>
      <c r="AP46" s="325"/>
      <c r="AQ46" s="325"/>
      <c r="AR46" s="325"/>
      <c r="AS46" s="325"/>
      <c r="AT46" s="325"/>
      <c r="AU46" s="325"/>
      <c r="AV46" s="325"/>
      <c r="AW46" s="325"/>
      <c r="AX46" s="325"/>
      <c r="AY46" s="325"/>
      <c r="AZ46" s="325"/>
      <c r="BA46" s="325"/>
      <c r="BB46" s="325"/>
      <c r="BC46" s="344"/>
      <c r="BD46" s="345"/>
      <c r="BE46" s="394"/>
      <c r="BF46" s="345"/>
      <c r="BG46" s="345"/>
      <c r="BH46" s="345"/>
      <c r="BI46" s="345"/>
      <c r="BJ46" s="345"/>
      <c r="BK46" s="345"/>
      <c r="BL46" s="400"/>
      <c r="BM46" s="345"/>
      <c r="BN46" s="345"/>
      <c r="BO46" s="345"/>
      <c r="BP46" s="345"/>
      <c r="BQ46" s="345"/>
      <c r="BR46" s="345"/>
    </row>
    <row r="47" spans="1:70" ht="17.25" x14ac:dyDescent="0.3">
      <c r="A47" s="224" t="s">
        <v>114</v>
      </c>
      <c r="B47" s="215" t="str">
        <f>VLOOKUP(A47,'Mã NV'!$A$1:$C$27,2,0)</f>
        <v>Tạ Chí Thuận</v>
      </c>
      <c r="C47" s="207" t="s">
        <v>437</v>
      </c>
      <c r="D47" s="325"/>
      <c r="E47" s="256"/>
      <c r="F47" s="256"/>
      <c r="G47" s="325"/>
      <c r="H47" s="325"/>
      <c r="I47" s="325"/>
      <c r="J47" s="325"/>
      <c r="K47" s="325"/>
      <c r="L47" s="325"/>
      <c r="M47" s="325"/>
      <c r="N47" s="326"/>
      <c r="O47" s="325"/>
      <c r="P47" s="325"/>
      <c r="Q47" s="325"/>
      <c r="R47" s="326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25"/>
      <c r="AD47" s="325"/>
      <c r="AE47" s="325"/>
      <c r="AF47" s="325"/>
      <c r="AG47" s="325"/>
      <c r="AH47" s="325"/>
      <c r="AI47" s="325"/>
      <c r="AJ47" s="325"/>
      <c r="AK47" s="325"/>
      <c r="AL47" s="325"/>
      <c r="AM47" s="370"/>
      <c r="AN47" s="325"/>
      <c r="AO47" s="325"/>
      <c r="AP47" s="325"/>
      <c r="AQ47" s="325"/>
      <c r="AR47" s="325"/>
      <c r="AS47" s="325"/>
      <c r="AT47" s="325"/>
      <c r="AU47" s="325"/>
      <c r="AV47" s="325"/>
      <c r="AW47" s="325"/>
      <c r="AX47" s="325"/>
      <c r="AY47" s="325"/>
      <c r="AZ47" s="325"/>
      <c r="BA47" s="325"/>
      <c r="BB47" s="325"/>
      <c r="BC47" s="344"/>
      <c r="BD47" s="345"/>
      <c r="BE47" s="394"/>
      <c r="BF47" s="345"/>
      <c r="BG47" s="345"/>
      <c r="BH47" s="345"/>
      <c r="BI47" s="345"/>
      <c r="BJ47" s="345"/>
      <c r="BK47" s="345"/>
      <c r="BL47" s="400"/>
      <c r="BM47" s="345"/>
      <c r="BN47" s="345"/>
      <c r="BO47" s="345"/>
      <c r="BP47" s="345"/>
      <c r="BQ47" s="345"/>
      <c r="BR47" s="345"/>
    </row>
    <row r="48" spans="1:70" ht="17.25" x14ac:dyDescent="0.3">
      <c r="A48" s="224" t="s">
        <v>115</v>
      </c>
      <c r="B48" s="215" t="str">
        <f>VLOOKUP(A48,'Mã NV'!$A$1:$C$27,2,0)</f>
        <v>Trần Anh Dũ</v>
      </c>
      <c r="C48" s="207" t="s">
        <v>437</v>
      </c>
      <c r="D48" s="325"/>
      <c r="E48" s="256"/>
      <c r="F48" s="256"/>
      <c r="G48" s="325"/>
      <c r="H48" s="325"/>
      <c r="I48" s="325"/>
      <c r="J48" s="325"/>
      <c r="K48" s="325"/>
      <c r="L48" s="325"/>
      <c r="M48" s="325"/>
      <c r="N48" s="326"/>
      <c r="O48" s="325"/>
      <c r="P48" s="325"/>
      <c r="Q48" s="325"/>
      <c r="R48" s="326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25"/>
      <c r="AD48" s="325"/>
      <c r="AE48" s="325"/>
      <c r="AF48" s="325"/>
      <c r="AG48" s="325"/>
      <c r="AH48" s="325"/>
      <c r="AI48" s="325"/>
      <c r="AJ48" s="325"/>
      <c r="AK48" s="325"/>
      <c r="AL48" s="325"/>
      <c r="AM48" s="370"/>
      <c r="AN48" s="325"/>
      <c r="AO48" s="325"/>
      <c r="AP48" s="325"/>
      <c r="AQ48" s="325"/>
      <c r="AR48" s="325"/>
      <c r="AS48" s="325"/>
      <c r="AT48" s="325"/>
      <c r="AU48" s="325"/>
      <c r="AV48" s="325"/>
      <c r="AW48" s="325"/>
      <c r="AX48" s="325"/>
      <c r="AY48" s="325"/>
      <c r="AZ48" s="325"/>
      <c r="BA48" s="325"/>
      <c r="BB48" s="325"/>
      <c r="BC48" s="344"/>
      <c r="BD48" s="345"/>
      <c r="BE48" s="394"/>
      <c r="BF48" s="345"/>
      <c r="BG48" s="345"/>
      <c r="BH48" s="345"/>
      <c r="BI48" s="345"/>
      <c r="BJ48" s="345"/>
      <c r="BK48" s="345"/>
      <c r="BL48" s="400">
        <v>3.5</v>
      </c>
      <c r="BM48" s="345"/>
      <c r="BN48" s="345"/>
      <c r="BO48" s="345"/>
      <c r="BP48" s="345"/>
      <c r="BQ48" s="345"/>
      <c r="BR48" s="345"/>
    </row>
    <row r="49" spans="1:70" ht="17.25" x14ac:dyDescent="0.3">
      <c r="A49" s="224" t="s">
        <v>116</v>
      </c>
      <c r="B49" s="215" t="str">
        <f>VLOOKUP(A49,'Mã NV'!$A$1:$C$27,2,0)</f>
        <v>Thạch Ngọc Tiến</v>
      </c>
      <c r="C49" s="207" t="s">
        <v>437</v>
      </c>
      <c r="D49" s="325"/>
      <c r="E49" s="256"/>
      <c r="F49" s="256"/>
      <c r="G49" s="325"/>
      <c r="H49" s="325"/>
      <c r="I49" s="325"/>
      <c r="J49" s="325"/>
      <c r="K49" s="325"/>
      <c r="L49" s="325"/>
      <c r="M49" s="325"/>
      <c r="N49" s="326"/>
      <c r="O49" s="325"/>
      <c r="P49" s="325"/>
      <c r="Q49" s="325"/>
      <c r="R49" s="326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25"/>
      <c r="AD49" s="325"/>
      <c r="AE49" s="325"/>
      <c r="AF49" s="325"/>
      <c r="AG49" s="325"/>
      <c r="AH49" s="325"/>
      <c r="AI49" s="325"/>
      <c r="AJ49" s="325"/>
      <c r="AK49" s="325"/>
      <c r="AL49" s="325"/>
      <c r="AM49" s="370"/>
      <c r="AN49" s="325"/>
      <c r="AO49" s="325"/>
      <c r="AP49" s="325"/>
      <c r="AQ49" s="325"/>
      <c r="AR49" s="325"/>
      <c r="AS49" s="325"/>
      <c r="AT49" s="325"/>
      <c r="AU49" s="325"/>
      <c r="AV49" s="325"/>
      <c r="AW49" s="325"/>
      <c r="AX49" s="325"/>
      <c r="AY49" s="325"/>
      <c r="AZ49" s="325"/>
      <c r="BA49" s="325"/>
      <c r="BB49" s="325"/>
      <c r="BC49" s="344"/>
      <c r="BD49" s="345"/>
      <c r="BE49" s="394"/>
      <c r="BF49" s="345"/>
      <c r="BG49" s="345"/>
      <c r="BH49" s="345"/>
      <c r="BI49" s="345"/>
      <c r="BJ49" s="345"/>
      <c r="BK49" s="345"/>
      <c r="BL49" s="400">
        <v>10</v>
      </c>
      <c r="BM49" s="345"/>
      <c r="BN49" s="345"/>
      <c r="BO49" s="345"/>
      <c r="BP49" s="345"/>
      <c r="BQ49" s="345"/>
      <c r="BR49" s="345"/>
    </row>
    <row r="50" spans="1:70" ht="17.25" x14ac:dyDescent="0.3">
      <c r="A50" s="224" t="s">
        <v>117</v>
      </c>
      <c r="B50" s="215" t="str">
        <f>VLOOKUP(A50,'Mã NV'!$A$1:$C$27,2,0)</f>
        <v>Nguyễn Tuấn Vinh</v>
      </c>
      <c r="C50" s="348" t="s">
        <v>437</v>
      </c>
      <c r="D50" s="325"/>
      <c r="E50" s="256"/>
      <c r="F50" s="256"/>
      <c r="G50" s="325"/>
      <c r="H50" s="325"/>
      <c r="I50" s="325"/>
      <c r="J50" s="325"/>
      <c r="K50" s="325"/>
      <c r="L50" s="325"/>
      <c r="M50" s="325"/>
      <c r="N50" s="326"/>
      <c r="O50" s="325"/>
      <c r="P50" s="325"/>
      <c r="Q50" s="325"/>
      <c r="R50" s="326"/>
      <c r="S50" s="325"/>
      <c r="T50" s="325"/>
      <c r="U50" s="325"/>
      <c r="V50" s="325"/>
      <c r="W50" s="325"/>
      <c r="X50" s="325"/>
      <c r="Y50" s="325"/>
      <c r="Z50" s="325"/>
      <c r="AA50" s="325"/>
      <c r="AB50" s="325"/>
      <c r="AC50" s="325"/>
      <c r="AD50" s="325"/>
      <c r="AE50" s="325"/>
      <c r="AF50" s="325"/>
      <c r="AG50" s="325"/>
      <c r="AH50" s="325"/>
      <c r="AI50" s="325"/>
      <c r="AJ50" s="325"/>
      <c r="AK50" s="325"/>
      <c r="AL50" s="325"/>
      <c r="AM50" s="370">
        <v>25</v>
      </c>
      <c r="AN50" s="325"/>
      <c r="AO50" s="325"/>
      <c r="AP50" s="325"/>
      <c r="AQ50" s="325"/>
      <c r="AR50" s="325"/>
      <c r="AS50" s="325"/>
      <c r="AT50" s="325"/>
      <c r="AU50" s="325"/>
      <c r="AV50" s="325"/>
      <c r="AW50" s="325"/>
      <c r="AX50" s="325"/>
      <c r="AY50" s="325"/>
      <c r="AZ50" s="325"/>
      <c r="BA50" s="325"/>
      <c r="BB50" s="325"/>
      <c r="BC50" s="344"/>
      <c r="BD50" s="345"/>
      <c r="BE50" s="394"/>
      <c r="BF50" s="345"/>
      <c r="BG50" s="345"/>
      <c r="BH50" s="345"/>
      <c r="BI50" s="345"/>
      <c r="BJ50" s="345"/>
      <c r="BK50" s="345"/>
      <c r="BL50" s="400">
        <v>8</v>
      </c>
      <c r="BM50" s="345"/>
      <c r="BN50" s="345"/>
      <c r="BO50" s="345"/>
      <c r="BP50" s="345"/>
      <c r="BQ50" s="345"/>
      <c r="BR50" s="345"/>
    </row>
    <row r="51" spans="1:70" ht="17.25" x14ac:dyDescent="0.3">
      <c r="A51" s="224" t="s">
        <v>118</v>
      </c>
      <c r="B51" s="215" t="str">
        <f>VLOOKUP(A51,'Mã NV'!$A$1:$C$27,2,0)</f>
        <v>Trần Thanh Nguyên</v>
      </c>
      <c r="C51" s="207" t="s">
        <v>437</v>
      </c>
      <c r="D51" s="325"/>
      <c r="E51" s="256"/>
      <c r="F51" s="256"/>
      <c r="G51" s="325"/>
      <c r="H51" s="325"/>
      <c r="I51" s="325"/>
      <c r="J51" s="325"/>
      <c r="K51" s="325"/>
      <c r="L51" s="325"/>
      <c r="M51" s="325"/>
      <c r="N51" s="326"/>
      <c r="O51" s="325"/>
      <c r="P51" s="325"/>
      <c r="Q51" s="325"/>
      <c r="R51" s="326"/>
      <c r="S51" s="325"/>
      <c r="T51" s="325"/>
      <c r="U51" s="325"/>
      <c r="V51" s="325"/>
      <c r="W51" s="325"/>
      <c r="X51" s="325"/>
      <c r="Y51" s="325"/>
      <c r="Z51" s="325"/>
      <c r="AA51" s="325"/>
      <c r="AB51" s="325"/>
      <c r="AC51" s="325"/>
      <c r="AD51" s="325"/>
      <c r="AE51" s="325"/>
      <c r="AF51" s="325"/>
      <c r="AG51" s="325"/>
      <c r="AH51" s="325"/>
      <c r="AI51" s="325"/>
      <c r="AJ51" s="325"/>
      <c r="AK51" s="325"/>
      <c r="AL51" s="325"/>
      <c r="AM51" s="370"/>
      <c r="AN51" s="325"/>
      <c r="AO51" s="325"/>
      <c r="AP51" s="325"/>
      <c r="AQ51" s="325"/>
      <c r="AR51" s="325"/>
      <c r="AS51" s="325"/>
      <c r="AT51" s="325"/>
      <c r="AU51" s="325"/>
      <c r="AV51" s="325"/>
      <c r="AW51" s="325"/>
      <c r="AX51" s="325"/>
      <c r="AY51" s="325"/>
      <c r="AZ51" s="325"/>
      <c r="BA51" s="325"/>
      <c r="BB51" s="325"/>
      <c r="BC51" s="344"/>
      <c r="BD51" s="345"/>
      <c r="BE51" s="394">
        <v>8</v>
      </c>
      <c r="BF51" s="345"/>
      <c r="BG51" s="345"/>
      <c r="BH51" s="345"/>
      <c r="BI51" s="345"/>
      <c r="BJ51" s="345"/>
      <c r="BK51" s="345"/>
      <c r="BL51" s="400">
        <v>8</v>
      </c>
      <c r="BM51" s="345"/>
      <c r="BN51" s="345"/>
      <c r="BO51" s="345"/>
      <c r="BP51" s="345"/>
      <c r="BQ51" s="345"/>
      <c r="BR51" s="345"/>
    </row>
    <row r="52" spans="1:70" ht="17.25" x14ac:dyDescent="0.3">
      <c r="A52" s="224" t="s">
        <v>119</v>
      </c>
      <c r="B52" s="215" t="str">
        <f>VLOOKUP(A52,'Mã NV'!$A$1:$C$27,2,0)</f>
        <v>Lê Nhật Trường Giang</v>
      </c>
      <c r="C52" s="207" t="s">
        <v>437</v>
      </c>
      <c r="D52" s="325"/>
      <c r="E52" s="256"/>
      <c r="F52" s="256"/>
      <c r="G52" s="325"/>
      <c r="H52" s="325"/>
      <c r="I52" s="325"/>
      <c r="J52" s="325"/>
      <c r="K52" s="325"/>
      <c r="L52" s="325"/>
      <c r="M52" s="325"/>
      <c r="N52" s="326"/>
      <c r="O52" s="325"/>
      <c r="P52" s="325"/>
      <c r="Q52" s="325"/>
      <c r="R52" s="326"/>
      <c r="S52" s="325"/>
      <c r="T52" s="325"/>
      <c r="U52" s="325"/>
      <c r="V52" s="325"/>
      <c r="W52" s="325"/>
      <c r="X52" s="325"/>
      <c r="Y52" s="325"/>
      <c r="Z52" s="325"/>
      <c r="AA52" s="325"/>
      <c r="AB52" s="325"/>
      <c r="AC52" s="325"/>
      <c r="AD52" s="325"/>
      <c r="AE52" s="325"/>
      <c r="AF52" s="325"/>
      <c r="AG52" s="325"/>
      <c r="AH52" s="325"/>
      <c r="AI52" s="325"/>
      <c r="AJ52" s="325"/>
      <c r="AK52" s="325"/>
      <c r="AL52" s="325"/>
      <c r="AM52" s="370">
        <v>25</v>
      </c>
      <c r="AN52" s="325"/>
      <c r="AO52" s="325"/>
      <c r="AP52" s="325"/>
      <c r="AQ52" s="325"/>
      <c r="AR52" s="325"/>
      <c r="AS52" s="325"/>
      <c r="AT52" s="325"/>
      <c r="AU52" s="325"/>
      <c r="AV52" s="325"/>
      <c r="AW52" s="325"/>
      <c r="AX52" s="325"/>
      <c r="AY52" s="325"/>
      <c r="AZ52" s="325"/>
      <c r="BA52" s="325"/>
      <c r="BB52" s="325"/>
      <c r="BC52" s="344"/>
      <c r="BD52" s="345"/>
      <c r="BE52" s="394"/>
      <c r="BF52" s="345"/>
      <c r="BG52" s="345"/>
      <c r="BH52" s="345"/>
      <c r="BI52" s="345"/>
      <c r="BJ52" s="345"/>
      <c r="BK52" s="345"/>
      <c r="BL52" s="400">
        <v>10</v>
      </c>
      <c r="BM52" s="345"/>
      <c r="BN52" s="345"/>
      <c r="BO52" s="345"/>
      <c r="BP52" s="345"/>
      <c r="BQ52" s="345"/>
      <c r="BR52" s="345"/>
    </row>
    <row r="53" spans="1:70" ht="17.25" x14ac:dyDescent="0.3">
      <c r="A53" s="224" t="s">
        <v>120</v>
      </c>
      <c r="B53" s="215" t="str">
        <f>VLOOKUP(A53,'Mã NV'!$A$1:$C$27,2,0)</f>
        <v>Thạch Ngọc Thắng</v>
      </c>
      <c r="C53" s="207" t="s">
        <v>437</v>
      </c>
      <c r="D53" s="325"/>
      <c r="E53" s="256"/>
      <c r="F53" s="256"/>
      <c r="G53" s="325"/>
      <c r="H53" s="325"/>
      <c r="I53" s="325"/>
      <c r="J53" s="325"/>
      <c r="K53" s="325"/>
      <c r="L53" s="325"/>
      <c r="M53" s="325"/>
      <c r="N53" s="326"/>
      <c r="O53" s="325"/>
      <c r="P53" s="325"/>
      <c r="Q53" s="325"/>
      <c r="R53" s="326"/>
      <c r="S53" s="325"/>
      <c r="T53" s="325"/>
      <c r="U53" s="325"/>
      <c r="V53" s="325"/>
      <c r="W53" s="325"/>
      <c r="X53" s="325"/>
      <c r="Y53" s="325"/>
      <c r="Z53" s="325"/>
      <c r="AA53" s="325"/>
      <c r="AB53" s="325"/>
      <c r="AC53" s="325"/>
      <c r="AD53" s="325"/>
      <c r="AE53" s="325"/>
      <c r="AF53" s="325"/>
      <c r="AG53" s="325"/>
      <c r="AH53" s="325"/>
      <c r="AI53" s="325"/>
      <c r="AJ53" s="325"/>
      <c r="AK53" s="325"/>
      <c r="AL53" s="325"/>
      <c r="AM53" s="370"/>
      <c r="AN53" s="325"/>
      <c r="AO53" s="325"/>
      <c r="AP53" s="325"/>
      <c r="AQ53" s="325"/>
      <c r="AR53" s="325"/>
      <c r="AS53" s="325"/>
      <c r="AT53" s="325"/>
      <c r="AU53" s="325"/>
      <c r="AV53" s="325"/>
      <c r="AW53" s="325"/>
      <c r="AX53" s="325"/>
      <c r="AY53" s="325"/>
      <c r="AZ53" s="325"/>
      <c r="BA53" s="325"/>
      <c r="BB53" s="325"/>
      <c r="BC53" s="344"/>
      <c r="BD53" s="345"/>
      <c r="BE53" s="394">
        <v>8</v>
      </c>
      <c r="BF53" s="345"/>
      <c r="BG53" s="345"/>
      <c r="BH53" s="345"/>
      <c r="BI53" s="345"/>
      <c r="BJ53" s="345"/>
      <c r="BK53" s="345"/>
      <c r="BL53" s="400">
        <v>1.5</v>
      </c>
      <c r="BM53" s="345"/>
      <c r="BN53" s="345"/>
      <c r="BO53" s="345"/>
      <c r="BP53" s="345"/>
      <c r="BQ53" s="345"/>
      <c r="BR53" s="345"/>
    </row>
    <row r="54" spans="1:70" ht="17.25" x14ac:dyDescent="0.3">
      <c r="A54" s="224" t="s">
        <v>121</v>
      </c>
      <c r="B54" s="215" t="str">
        <f>VLOOKUP(A54,'Mã NV'!$A$1:$C$27,2,0)</f>
        <v>Dương Tấn Đạt</v>
      </c>
      <c r="C54" s="207" t="s">
        <v>437</v>
      </c>
      <c r="D54" s="325"/>
      <c r="E54" s="256"/>
      <c r="F54" s="256"/>
      <c r="G54" s="325"/>
      <c r="H54" s="325"/>
      <c r="I54" s="325"/>
      <c r="J54" s="325"/>
      <c r="K54" s="325"/>
      <c r="L54" s="325"/>
      <c r="M54" s="325"/>
      <c r="N54" s="326"/>
      <c r="O54" s="325"/>
      <c r="P54" s="325"/>
      <c r="Q54" s="325"/>
      <c r="R54" s="326"/>
      <c r="S54" s="325"/>
      <c r="T54" s="325"/>
      <c r="U54" s="325"/>
      <c r="V54" s="325"/>
      <c r="W54" s="325"/>
      <c r="X54" s="325"/>
      <c r="Y54" s="325"/>
      <c r="Z54" s="325"/>
      <c r="AA54" s="325"/>
      <c r="AB54" s="325"/>
      <c r="AC54" s="325"/>
      <c r="AD54" s="325"/>
      <c r="AE54" s="325"/>
      <c r="AF54" s="325"/>
      <c r="AG54" s="325"/>
      <c r="AH54" s="325"/>
      <c r="AI54" s="325"/>
      <c r="AJ54" s="325"/>
      <c r="AK54" s="325"/>
      <c r="AL54" s="325"/>
      <c r="AM54" s="370"/>
      <c r="AN54" s="325"/>
      <c r="AO54" s="325"/>
      <c r="AP54" s="325"/>
      <c r="AQ54" s="325"/>
      <c r="AR54" s="325"/>
      <c r="AS54" s="325"/>
      <c r="AT54" s="325"/>
      <c r="AU54" s="325"/>
      <c r="AV54" s="325"/>
      <c r="AW54" s="325"/>
      <c r="AX54" s="325"/>
      <c r="AY54" s="325"/>
      <c r="AZ54" s="325"/>
      <c r="BA54" s="325"/>
      <c r="BB54" s="325"/>
      <c r="BC54" s="344"/>
      <c r="BD54" s="345"/>
      <c r="BE54" s="394">
        <v>8</v>
      </c>
      <c r="BF54" s="345"/>
      <c r="BG54" s="345"/>
      <c r="BH54" s="345"/>
      <c r="BI54" s="345"/>
      <c r="BJ54" s="345"/>
      <c r="BK54" s="345"/>
      <c r="BL54" s="400"/>
      <c r="BM54" s="345"/>
      <c r="BN54" s="345"/>
      <c r="BO54" s="345"/>
      <c r="BP54" s="345"/>
      <c r="BQ54" s="345"/>
      <c r="BR54" s="345"/>
    </row>
    <row r="55" spans="1:70" ht="17.25" x14ac:dyDescent="0.3">
      <c r="A55" s="224" t="s">
        <v>407</v>
      </c>
      <c r="B55" s="215" t="str">
        <f>VLOOKUP(A55,'Mã NV'!$A$1:$C$27,2,0)</f>
        <v>Nguyễn Thanh Hùng</v>
      </c>
      <c r="C55" s="348" t="s">
        <v>437</v>
      </c>
      <c r="D55" s="325"/>
      <c r="E55" s="256"/>
      <c r="F55" s="256"/>
      <c r="G55" s="325"/>
      <c r="H55" s="325"/>
      <c r="I55" s="325"/>
      <c r="J55" s="325"/>
      <c r="K55" s="325"/>
      <c r="L55" s="325"/>
      <c r="M55" s="325"/>
      <c r="N55" s="326"/>
      <c r="O55" s="325"/>
      <c r="P55" s="325"/>
      <c r="Q55" s="325"/>
      <c r="R55" s="326"/>
      <c r="S55" s="325"/>
      <c r="T55" s="325"/>
      <c r="U55" s="325"/>
      <c r="V55" s="325"/>
      <c r="W55" s="325"/>
      <c r="X55" s="325"/>
      <c r="Y55" s="325"/>
      <c r="Z55" s="325"/>
      <c r="AA55" s="325"/>
      <c r="AB55" s="325"/>
      <c r="AC55" s="325"/>
      <c r="AD55" s="325"/>
      <c r="AE55" s="325"/>
      <c r="AF55" s="325"/>
      <c r="AG55" s="325"/>
      <c r="AH55" s="325"/>
      <c r="AI55" s="325"/>
      <c r="AJ55" s="325"/>
      <c r="AK55" s="325"/>
      <c r="AL55" s="325"/>
      <c r="AM55" s="370"/>
      <c r="AN55" s="325"/>
      <c r="AO55" s="325"/>
      <c r="AP55" s="325"/>
      <c r="AQ55" s="325"/>
      <c r="AR55" s="325"/>
      <c r="AS55" s="325"/>
      <c r="AT55" s="325"/>
      <c r="AU55" s="325"/>
      <c r="AV55" s="325"/>
      <c r="AW55" s="325"/>
      <c r="AX55" s="325"/>
      <c r="AY55" s="325"/>
      <c r="AZ55" s="325"/>
      <c r="BA55" s="325"/>
      <c r="BB55" s="325"/>
      <c r="BC55" s="344"/>
      <c r="BD55" s="345"/>
      <c r="BE55" s="395">
        <v>4</v>
      </c>
      <c r="BF55" s="345"/>
      <c r="BG55" s="345"/>
      <c r="BH55" s="345"/>
      <c r="BI55" s="345"/>
      <c r="BJ55" s="345"/>
      <c r="BK55" s="345"/>
      <c r="BL55" s="400">
        <v>9.5</v>
      </c>
      <c r="BM55" s="345"/>
      <c r="BN55" s="345"/>
      <c r="BO55" s="345"/>
      <c r="BP55" s="345"/>
      <c r="BQ55" s="345"/>
      <c r="BR55" s="345"/>
    </row>
    <row r="56" spans="1:70" ht="17.25" x14ac:dyDescent="0.3">
      <c r="A56" s="224" t="s">
        <v>409</v>
      </c>
      <c r="B56" s="215" t="str">
        <f>VLOOKUP(A56,'Mã NV'!$A$1:$C$27,2,0)</f>
        <v>Đặng Văn Luân</v>
      </c>
      <c r="C56" s="207" t="s">
        <v>437</v>
      </c>
      <c r="D56" s="325"/>
      <c r="E56" s="256"/>
      <c r="F56" s="256"/>
      <c r="G56" s="325"/>
      <c r="H56" s="325"/>
      <c r="I56" s="325"/>
      <c r="J56" s="325"/>
      <c r="K56" s="325"/>
      <c r="L56" s="325"/>
      <c r="M56" s="325"/>
      <c r="N56" s="326"/>
      <c r="O56" s="325"/>
      <c r="P56" s="325"/>
      <c r="Q56" s="325"/>
      <c r="R56" s="326"/>
      <c r="S56" s="325"/>
      <c r="T56" s="325"/>
      <c r="U56" s="325"/>
      <c r="V56" s="325"/>
      <c r="W56" s="325"/>
      <c r="X56" s="325"/>
      <c r="Y56" s="325"/>
      <c r="Z56" s="325"/>
      <c r="AA56" s="325"/>
      <c r="AB56" s="325"/>
      <c r="AC56" s="325"/>
      <c r="AD56" s="325"/>
      <c r="AE56" s="325"/>
      <c r="AF56" s="325"/>
      <c r="AG56" s="325"/>
      <c r="AH56" s="325"/>
      <c r="AI56" s="325"/>
      <c r="AJ56" s="325"/>
      <c r="AK56" s="325"/>
      <c r="AL56" s="325"/>
      <c r="AM56" s="370"/>
      <c r="AN56" s="325"/>
      <c r="AO56" s="325"/>
      <c r="AP56" s="325"/>
      <c r="AQ56" s="325"/>
      <c r="AR56" s="325"/>
      <c r="AS56" s="325"/>
      <c r="AT56" s="325"/>
      <c r="AU56" s="325"/>
      <c r="AV56" s="325"/>
      <c r="AW56" s="325"/>
      <c r="AX56" s="325"/>
      <c r="AY56" s="325"/>
      <c r="AZ56" s="325"/>
      <c r="BA56" s="325"/>
      <c r="BB56" s="325"/>
      <c r="BC56" s="344"/>
      <c r="BD56" s="345"/>
      <c r="BE56" s="394"/>
      <c r="BF56" s="345"/>
      <c r="BG56" s="345"/>
      <c r="BH56" s="345"/>
      <c r="BI56" s="345"/>
      <c r="BJ56" s="345"/>
      <c r="BK56" s="345"/>
      <c r="BL56" s="400"/>
      <c r="BM56" s="345"/>
      <c r="BN56" s="345"/>
      <c r="BO56" s="345"/>
      <c r="BP56" s="345"/>
      <c r="BQ56" s="345"/>
      <c r="BR56" s="345"/>
    </row>
    <row r="57" spans="1:70" ht="17.25" x14ac:dyDescent="0.3">
      <c r="A57" s="224" t="s">
        <v>410</v>
      </c>
      <c r="B57" s="215" t="str">
        <f>VLOOKUP(A57,'Mã NV'!$A$1:$C$27,2,0)</f>
        <v>Phan Thanh Minh</v>
      </c>
      <c r="C57" s="207" t="s">
        <v>437</v>
      </c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25"/>
      <c r="AB57" s="325"/>
      <c r="AC57" s="325"/>
      <c r="AD57" s="325"/>
      <c r="AE57" s="325"/>
      <c r="AF57" s="325"/>
      <c r="AG57" s="325"/>
      <c r="AH57" s="325"/>
      <c r="AI57" s="325"/>
      <c r="AJ57" s="325"/>
      <c r="AK57" s="325"/>
      <c r="AL57" s="325"/>
      <c r="AM57" s="325"/>
      <c r="AN57" s="325"/>
      <c r="AO57" s="325"/>
      <c r="AP57" s="325"/>
      <c r="AQ57" s="325"/>
      <c r="AR57" s="325"/>
      <c r="AS57" s="325"/>
      <c r="AT57" s="325"/>
      <c r="AU57" s="325"/>
      <c r="AV57" s="325"/>
      <c r="AW57" s="325"/>
      <c r="AX57" s="325"/>
      <c r="AY57" s="325"/>
      <c r="AZ57" s="325"/>
      <c r="BA57" s="325"/>
      <c r="BB57" s="325"/>
      <c r="BC57" s="325"/>
      <c r="BD57" s="325"/>
      <c r="BE57" s="325"/>
      <c r="BF57" s="345"/>
      <c r="BG57" s="345"/>
      <c r="BH57" s="345"/>
      <c r="BI57" s="345"/>
      <c r="BJ57" s="345"/>
      <c r="BK57" s="345"/>
      <c r="BL57" s="325"/>
      <c r="BM57" s="325"/>
      <c r="BN57" s="325"/>
      <c r="BO57" s="325"/>
      <c r="BP57" s="325"/>
      <c r="BQ57" s="325"/>
      <c r="BR57" s="325"/>
    </row>
    <row r="58" spans="1:70" s="359" customFormat="1" ht="17.25" x14ac:dyDescent="0.3">
      <c r="A58" s="356" t="s">
        <v>101</v>
      </c>
      <c r="B58" s="357" t="str">
        <f>VLOOKUP(A58,'Mã NV'!$A$1:$C$27,2,0)</f>
        <v>Nguyễn Văn Chiến</v>
      </c>
      <c r="C58" s="358" t="s">
        <v>438</v>
      </c>
      <c r="D58" s="361"/>
      <c r="E58" s="361"/>
      <c r="F58" s="361"/>
      <c r="G58" s="361"/>
      <c r="H58" s="361"/>
      <c r="I58" s="361"/>
      <c r="J58" s="361"/>
      <c r="K58" s="361"/>
      <c r="L58" s="361"/>
      <c r="M58" s="361"/>
      <c r="N58" s="361"/>
      <c r="O58" s="361"/>
      <c r="P58" s="361"/>
      <c r="Q58" s="361"/>
      <c r="R58" s="361"/>
      <c r="S58" s="361"/>
      <c r="T58" s="361"/>
      <c r="U58" s="361"/>
      <c r="V58" s="361"/>
      <c r="W58" s="361"/>
      <c r="X58" s="361"/>
      <c r="Y58" s="361"/>
      <c r="Z58" s="361"/>
      <c r="AA58" s="361"/>
      <c r="AB58" s="361"/>
      <c r="AC58" s="404">
        <v>37.5</v>
      </c>
      <c r="AD58" s="404">
        <v>172.5</v>
      </c>
      <c r="AE58" s="361"/>
      <c r="AF58" s="361"/>
      <c r="AG58" s="361"/>
      <c r="AH58" s="361"/>
      <c r="AI58" s="361"/>
      <c r="AJ58" s="404">
        <v>60</v>
      </c>
      <c r="AK58" s="404">
        <v>33.333333333333336</v>
      </c>
      <c r="AL58" s="361"/>
      <c r="AM58" s="273"/>
      <c r="AN58" s="361"/>
      <c r="AO58" s="361"/>
      <c r="AP58" s="361"/>
      <c r="AQ58" s="361"/>
      <c r="AR58" s="361"/>
      <c r="AS58" s="361"/>
      <c r="AT58" s="361"/>
      <c r="AU58" s="361"/>
      <c r="AV58" s="361"/>
      <c r="AW58" s="361"/>
      <c r="AX58" s="361"/>
      <c r="AY58" s="361"/>
      <c r="AZ58" s="361"/>
      <c r="BA58" s="361"/>
      <c r="BB58" s="361"/>
      <c r="BC58" s="361"/>
      <c r="BD58" s="361"/>
      <c r="BE58" s="397"/>
      <c r="BF58" s="361"/>
      <c r="BG58" s="361"/>
      <c r="BH58" s="361"/>
      <c r="BI58" s="361"/>
      <c r="BJ58" s="361"/>
      <c r="BK58" s="361"/>
      <c r="BL58" s="397">
        <v>0.5</v>
      </c>
      <c r="BM58" s="361"/>
      <c r="BN58" s="361"/>
      <c r="BO58" s="361"/>
      <c r="BP58" s="361"/>
      <c r="BQ58" s="361"/>
      <c r="BR58" s="361"/>
    </row>
    <row r="59" spans="1:70" ht="17.25" x14ac:dyDescent="0.3">
      <c r="A59" s="224" t="s">
        <v>102</v>
      </c>
      <c r="B59" s="215" t="str">
        <f>VLOOKUP(A59,'Mã NV'!$A$1:$C$27,2,0)</f>
        <v>Ngô Văn Thanh</v>
      </c>
      <c r="C59" s="360" t="s">
        <v>438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04">
        <v>106.66666666666667</v>
      </c>
      <c r="AL59" s="2"/>
      <c r="AM59" s="404">
        <v>33.333333333333336</v>
      </c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3"/>
      <c r="BD59" s="2"/>
      <c r="BE59" s="398">
        <v>8</v>
      </c>
      <c r="BF59" s="2"/>
      <c r="BG59" s="2"/>
      <c r="BH59" s="2"/>
      <c r="BI59" s="2"/>
      <c r="BJ59" s="2"/>
      <c r="BK59" s="2"/>
      <c r="BL59" s="398"/>
      <c r="BM59" s="2"/>
      <c r="BN59" s="2"/>
      <c r="BO59" s="2"/>
      <c r="BP59" s="2"/>
      <c r="BQ59" s="2"/>
      <c r="BR59" s="2"/>
    </row>
    <row r="60" spans="1:70" s="222" customFormat="1" ht="17.25" x14ac:dyDescent="0.3">
      <c r="A60" s="473" t="s">
        <v>103</v>
      </c>
      <c r="B60" s="474" t="str">
        <f>VLOOKUP(A60,'Mã NV'!$A$1:$C$27,2,0)</f>
        <v>Võ Văn Giàu</v>
      </c>
      <c r="C60" s="475" t="s">
        <v>438</v>
      </c>
      <c r="D60" s="273"/>
      <c r="E60" s="273"/>
      <c r="F60" s="476">
        <v>50</v>
      </c>
      <c r="G60" s="273"/>
      <c r="H60" s="273"/>
      <c r="I60" s="273"/>
      <c r="J60" s="273"/>
      <c r="K60" s="273"/>
      <c r="L60" s="273"/>
      <c r="M60" s="273"/>
      <c r="N60" s="273"/>
      <c r="O60" s="273"/>
      <c r="P60" s="273"/>
      <c r="Q60" s="273"/>
      <c r="R60" s="273"/>
      <c r="S60" s="273"/>
      <c r="T60" s="273"/>
      <c r="U60" s="273"/>
      <c r="V60" s="273"/>
      <c r="W60" s="273"/>
      <c r="X60" s="273"/>
      <c r="Y60" s="273"/>
      <c r="Z60" s="273"/>
      <c r="AA60" s="273"/>
      <c r="AB60" s="273"/>
      <c r="AC60" s="476">
        <v>37.5</v>
      </c>
      <c r="AD60" s="476">
        <v>172.5</v>
      </c>
      <c r="AE60" s="273"/>
      <c r="AF60" s="273"/>
      <c r="AG60" s="273"/>
      <c r="AH60" s="273"/>
      <c r="AI60" s="273"/>
      <c r="AJ60" s="273"/>
      <c r="AK60" s="476">
        <v>75</v>
      </c>
      <c r="AL60" s="273"/>
      <c r="AM60" s="273"/>
      <c r="AN60" s="273"/>
      <c r="AO60" s="273"/>
      <c r="AP60" s="273"/>
      <c r="AQ60" s="273"/>
      <c r="AR60" s="273"/>
      <c r="AS60" s="273"/>
      <c r="AT60" s="273"/>
      <c r="AU60" s="273"/>
      <c r="AV60" s="273"/>
      <c r="AW60" s="273"/>
      <c r="AX60" s="273"/>
      <c r="AY60" s="273"/>
      <c r="AZ60" s="273"/>
      <c r="BA60" s="273"/>
      <c r="BB60" s="273"/>
      <c r="BC60" s="273"/>
      <c r="BD60" s="273"/>
      <c r="BE60" s="477">
        <v>5</v>
      </c>
      <c r="BF60" s="273"/>
      <c r="BG60" s="273"/>
      <c r="BH60" s="273"/>
      <c r="BI60" s="273"/>
      <c r="BJ60" s="273"/>
      <c r="BK60" s="273"/>
      <c r="BL60" s="477">
        <v>4.5</v>
      </c>
      <c r="BM60" s="273"/>
      <c r="BN60" s="273"/>
      <c r="BO60" s="273"/>
      <c r="BP60" s="273"/>
      <c r="BQ60" s="273"/>
      <c r="BR60" s="273"/>
    </row>
    <row r="61" spans="1:70" ht="17.25" x14ac:dyDescent="0.3">
      <c r="A61" s="224" t="s">
        <v>105</v>
      </c>
      <c r="B61" s="215" t="str">
        <f>VLOOKUP(A61,'Mã NV'!$A$1:$C$27,2,0)</f>
        <v>Lê Phi Trung</v>
      </c>
      <c r="C61" s="360" t="s">
        <v>438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04">
        <v>106.66666666666667</v>
      </c>
      <c r="AL61" s="2"/>
      <c r="AM61" s="404">
        <v>33.333333333333336</v>
      </c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3"/>
      <c r="BD61" s="2"/>
      <c r="BE61" s="398">
        <v>6.5</v>
      </c>
      <c r="BF61" s="2"/>
      <c r="BG61" s="2"/>
      <c r="BH61" s="2"/>
      <c r="BI61" s="2"/>
      <c r="BJ61" s="2"/>
      <c r="BK61" s="2"/>
      <c r="BL61" s="398"/>
      <c r="BM61" s="2"/>
      <c r="BN61" s="2"/>
      <c r="BO61" s="2"/>
      <c r="BP61" s="2"/>
      <c r="BQ61" s="2">
        <v>4</v>
      </c>
      <c r="BR61" s="2"/>
    </row>
    <row r="62" spans="1:70" ht="17.25" x14ac:dyDescent="0.3">
      <c r="A62" s="224" t="s">
        <v>106</v>
      </c>
      <c r="B62" s="215" t="str">
        <f>VLOOKUP(A62,'Mã NV'!$A$1:$C$27,2,0)</f>
        <v>Lâm Văn Thương</v>
      </c>
      <c r="C62" s="360" t="s">
        <v>438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04">
        <v>106.66666666666667</v>
      </c>
      <c r="AL62" s="2"/>
      <c r="AM62" s="404">
        <v>26.666666666666668</v>
      </c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3"/>
      <c r="BD62" s="2"/>
      <c r="BE62" s="398">
        <v>10.5</v>
      </c>
      <c r="BF62" s="2"/>
      <c r="BG62" s="2"/>
      <c r="BH62" s="2"/>
      <c r="BI62" s="2"/>
      <c r="BJ62" s="2"/>
      <c r="BK62" s="2"/>
      <c r="BL62" s="398"/>
      <c r="BM62" s="2"/>
      <c r="BN62" s="2"/>
      <c r="BO62" s="2"/>
      <c r="BP62" s="2"/>
      <c r="BQ62" s="2"/>
      <c r="BR62" s="2"/>
    </row>
    <row r="63" spans="1:70" ht="17.25" x14ac:dyDescent="0.3">
      <c r="A63" s="224" t="s">
        <v>107</v>
      </c>
      <c r="B63" s="215" t="str">
        <f>VLOOKUP(A63,'Mã NV'!$A$1:$C$27,2,0)</f>
        <v>Võ Văn Có</v>
      </c>
      <c r="C63" s="360" t="s">
        <v>438</v>
      </c>
      <c r="D63" s="2"/>
      <c r="E63" s="2"/>
      <c r="F63" s="404">
        <v>50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404">
        <v>37.5</v>
      </c>
      <c r="AD63" s="404">
        <v>172.5</v>
      </c>
      <c r="AE63" s="2"/>
      <c r="AF63" s="2"/>
      <c r="AG63" s="2"/>
      <c r="AH63" s="2"/>
      <c r="AI63" s="2"/>
      <c r="AJ63" s="2"/>
      <c r="AK63" s="404">
        <v>75</v>
      </c>
      <c r="AL63" s="2"/>
      <c r="AM63" s="27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3"/>
      <c r="BD63" s="2"/>
      <c r="BE63" s="398">
        <v>5</v>
      </c>
      <c r="BF63" s="2"/>
      <c r="BG63" s="2"/>
      <c r="BH63" s="2"/>
      <c r="BI63" s="2"/>
      <c r="BJ63" s="2"/>
      <c r="BK63" s="2"/>
      <c r="BL63" s="398">
        <v>4.5</v>
      </c>
      <c r="BM63" s="2"/>
      <c r="BN63" s="2"/>
      <c r="BO63" s="2"/>
      <c r="BP63" s="2"/>
      <c r="BQ63" s="2"/>
      <c r="BR63" s="2"/>
    </row>
    <row r="64" spans="1:70" ht="17.25" x14ac:dyDescent="0.3">
      <c r="A64" s="224" t="s">
        <v>108</v>
      </c>
      <c r="B64" s="215" t="str">
        <f>VLOOKUP(A64,'Mã NV'!$A$1:$C$27,2,0)</f>
        <v>Lê Minh Nghĩa</v>
      </c>
      <c r="C64" s="360" t="s">
        <v>438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73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3"/>
      <c r="BD64" s="2"/>
      <c r="BE64" s="398"/>
      <c r="BF64" s="2"/>
      <c r="BG64" s="2"/>
      <c r="BH64" s="2"/>
      <c r="BI64" s="2"/>
      <c r="BJ64" s="2"/>
      <c r="BK64" s="2"/>
      <c r="BL64" s="398"/>
      <c r="BM64" s="2"/>
      <c r="BN64" s="2"/>
      <c r="BO64" s="2"/>
      <c r="BP64" s="2"/>
      <c r="BQ64" s="2"/>
      <c r="BR64" s="2"/>
    </row>
    <row r="65" spans="1:70" ht="17.25" x14ac:dyDescent="0.3">
      <c r="A65" s="224" t="s">
        <v>109</v>
      </c>
      <c r="B65" s="215" t="str">
        <f>VLOOKUP(A65,'Mã NV'!$A$1:$C$27,2,0)</f>
        <v>Trần Văn Tây</v>
      </c>
      <c r="C65" s="360" t="s">
        <v>438</v>
      </c>
      <c r="D65" s="2"/>
      <c r="E65" s="2"/>
      <c r="F65" s="404">
        <v>50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404">
        <v>37.5</v>
      </c>
      <c r="AD65" s="404">
        <v>172.5</v>
      </c>
      <c r="AE65" s="2"/>
      <c r="AF65" s="2"/>
      <c r="AG65" s="2"/>
      <c r="AH65" s="2"/>
      <c r="AI65" s="2"/>
      <c r="AJ65" s="404">
        <v>60</v>
      </c>
      <c r="AK65" s="404">
        <v>33.333333333333336</v>
      </c>
      <c r="AL65" s="2"/>
      <c r="AM65" s="273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3"/>
      <c r="BD65" s="2"/>
      <c r="BE65" s="398">
        <v>9</v>
      </c>
      <c r="BF65" s="2"/>
      <c r="BG65" s="2"/>
      <c r="BH65" s="2"/>
      <c r="BI65" s="2"/>
      <c r="BJ65" s="2"/>
      <c r="BK65" s="2"/>
      <c r="BL65" s="398">
        <v>4.5</v>
      </c>
      <c r="BM65" s="2"/>
      <c r="BN65" s="2"/>
      <c r="BO65" s="2"/>
      <c r="BP65" s="2"/>
      <c r="BQ65" s="2"/>
      <c r="BR65" s="2"/>
    </row>
    <row r="66" spans="1:70" ht="17.25" x14ac:dyDescent="0.3">
      <c r="A66" s="224" t="s">
        <v>110</v>
      </c>
      <c r="B66" s="215" t="str">
        <f>VLOOKUP(A66,'Mã NV'!$A$1:$C$27,2,0)</f>
        <v>Huỳnh Huy Phụng</v>
      </c>
      <c r="C66" s="360" t="s">
        <v>438</v>
      </c>
      <c r="D66" s="2"/>
      <c r="E66" s="2"/>
      <c r="F66" s="404">
        <v>50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04">
        <v>37.5</v>
      </c>
      <c r="AD66" s="404">
        <v>172.5</v>
      </c>
      <c r="AE66" s="2"/>
      <c r="AF66" s="2"/>
      <c r="AG66" s="2"/>
      <c r="AH66" s="2"/>
      <c r="AI66" s="2"/>
      <c r="AJ66" s="2"/>
      <c r="AK66" s="404">
        <v>75</v>
      </c>
      <c r="AL66" s="2"/>
      <c r="AM66" s="273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3"/>
      <c r="BD66" s="2"/>
      <c r="BE66" s="398">
        <v>12</v>
      </c>
      <c r="BF66" s="2"/>
      <c r="BG66" s="2"/>
      <c r="BH66" s="2"/>
      <c r="BI66" s="2"/>
      <c r="BJ66" s="2"/>
      <c r="BK66" s="2"/>
      <c r="BL66" s="398">
        <v>4.5</v>
      </c>
      <c r="BM66" s="2"/>
      <c r="BN66" s="2"/>
      <c r="BO66" s="2"/>
      <c r="BP66" s="2"/>
      <c r="BQ66" s="2"/>
      <c r="BR66" s="2"/>
    </row>
    <row r="67" spans="1:70" ht="17.25" x14ac:dyDescent="0.3">
      <c r="A67" s="224" t="s">
        <v>111</v>
      </c>
      <c r="B67" s="215" t="str">
        <f>VLOOKUP(A67,'Mã NV'!$A$1:$C$27,2,0)</f>
        <v>Võ Quang Tuấn</v>
      </c>
      <c r="C67" s="360" t="s">
        <v>438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73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3"/>
      <c r="BD67" s="2"/>
      <c r="BE67" s="398"/>
      <c r="BF67" s="2"/>
      <c r="BG67" s="2"/>
      <c r="BH67" s="2"/>
      <c r="BI67" s="2"/>
      <c r="BJ67" s="2"/>
      <c r="BK67" s="2"/>
      <c r="BL67" s="398"/>
      <c r="BM67" s="2"/>
      <c r="BN67" s="2"/>
      <c r="BO67" s="2"/>
      <c r="BP67" s="2"/>
      <c r="BQ67" s="2"/>
      <c r="BR67" s="2"/>
    </row>
    <row r="68" spans="1:70" ht="17.25" x14ac:dyDescent="0.3">
      <c r="A68" s="224" t="s">
        <v>112</v>
      </c>
      <c r="B68" s="215" t="str">
        <f>VLOOKUP(A68,'Mã NV'!$A$1:$C$27,2,0)</f>
        <v>Lê Hiệp</v>
      </c>
      <c r="C68" s="360" t="s">
        <v>438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04">
        <v>105</v>
      </c>
      <c r="AK68" s="2"/>
      <c r="AL68" s="2"/>
      <c r="AM68" s="404">
        <v>26.666666666666668</v>
      </c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3"/>
      <c r="BD68" s="2"/>
      <c r="BE68" s="398">
        <v>5</v>
      </c>
      <c r="BF68" s="2"/>
      <c r="BG68" s="2"/>
      <c r="BH68" s="2"/>
      <c r="BI68" s="2"/>
      <c r="BJ68" s="2"/>
      <c r="BK68" s="2"/>
      <c r="BL68" s="398">
        <v>4</v>
      </c>
      <c r="BM68" s="2"/>
      <c r="BN68" s="2"/>
      <c r="BO68" s="2"/>
      <c r="BP68" s="2"/>
      <c r="BQ68" s="2"/>
      <c r="BR68" s="2"/>
    </row>
    <row r="69" spans="1:70" ht="17.25" x14ac:dyDescent="0.3">
      <c r="A69" s="224" t="s">
        <v>113</v>
      </c>
      <c r="B69" s="215" t="str">
        <f>VLOOKUP(A69,'Mã NV'!$A$1:$C$27,2,0)</f>
        <v>Lê Văn Bi</v>
      </c>
      <c r="C69" s="360" t="s">
        <v>438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404">
        <v>106.66666666666667</v>
      </c>
      <c r="AL69" s="2"/>
      <c r="AM69" s="404">
        <v>26.666666666666668</v>
      </c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3"/>
      <c r="BD69" s="2"/>
      <c r="BE69" s="398">
        <v>10.5</v>
      </c>
      <c r="BF69" s="2"/>
      <c r="BG69" s="2"/>
      <c r="BH69" s="2"/>
      <c r="BI69" s="2"/>
      <c r="BJ69" s="2"/>
      <c r="BK69" s="2"/>
      <c r="BL69" s="398"/>
      <c r="BM69" s="2"/>
      <c r="BN69" s="2"/>
      <c r="BO69" s="2"/>
      <c r="BP69" s="2"/>
      <c r="BQ69" s="2"/>
      <c r="BR69" s="2"/>
    </row>
    <row r="70" spans="1:70" ht="17.25" x14ac:dyDescent="0.3">
      <c r="A70" s="224" t="s">
        <v>114</v>
      </c>
      <c r="B70" s="215" t="str">
        <f>VLOOKUP(A70,'Mã NV'!$A$1:$C$27,2,0)</f>
        <v>Tạ Chí Thuận</v>
      </c>
      <c r="C70" s="360" t="s">
        <v>438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73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3"/>
      <c r="BD70" s="2"/>
      <c r="BE70" s="398"/>
      <c r="BF70" s="2"/>
      <c r="BG70" s="2"/>
      <c r="BH70" s="2"/>
      <c r="BI70" s="2"/>
      <c r="BJ70" s="2"/>
      <c r="BK70" s="2"/>
      <c r="BL70" s="398"/>
      <c r="BM70" s="2"/>
      <c r="BN70" s="2"/>
      <c r="BO70" s="2"/>
      <c r="BP70" s="2"/>
      <c r="BQ70" s="2"/>
      <c r="BR70" s="2"/>
    </row>
    <row r="71" spans="1:70" ht="17.25" x14ac:dyDescent="0.3">
      <c r="A71" s="224" t="s">
        <v>115</v>
      </c>
      <c r="B71" s="215" t="str">
        <f>VLOOKUP(A71,'Mã NV'!$A$1:$C$27,2,0)</f>
        <v>Trần Anh Dũ</v>
      </c>
      <c r="C71" s="360" t="s">
        <v>438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04">
        <v>105</v>
      </c>
      <c r="AK71" s="2"/>
      <c r="AL71" s="2"/>
      <c r="AM71" s="404">
        <v>33.333333333333336</v>
      </c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3"/>
      <c r="BD71" s="2"/>
      <c r="BE71" s="398">
        <v>1</v>
      </c>
      <c r="BF71" s="2"/>
      <c r="BG71" s="2"/>
      <c r="BH71" s="2"/>
      <c r="BI71" s="2"/>
      <c r="BJ71" s="2"/>
      <c r="BK71" s="2"/>
      <c r="BL71" s="398"/>
      <c r="BM71" s="2"/>
      <c r="BN71" s="2"/>
      <c r="BO71" s="2"/>
      <c r="BP71" s="2"/>
      <c r="BQ71" s="2"/>
      <c r="BR71" s="2"/>
    </row>
    <row r="72" spans="1:70" ht="17.25" x14ac:dyDescent="0.3">
      <c r="A72" s="224" t="s">
        <v>116</v>
      </c>
      <c r="B72" s="215" t="str">
        <f>VLOOKUP(A72,'Mã NV'!$A$1:$C$27,2,0)</f>
        <v>Thạch Ngọc Tiến</v>
      </c>
      <c r="C72" s="360" t="s">
        <v>438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04">
        <v>105</v>
      </c>
      <c r="AK72" s="2"/>
      <c r="AL72" s="2"/>
      <c r="AM72" s="404">
        <v>33.333333333333336</v>
      </c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3"/>
      <c r="BD72" s="2"/>
      <c r="BE72" s="398">
        <v>1</v>
      </c>
      <c r="BF72" s="2"/>
      <c r="BG72" s="2"/>
      <c r="BH72" s="2"/>
      <c r="BI72" s="2"/>
      <c r="BJ72" s="2"/>
      <c r="BK72" s="2"/>
      <c r="BL72" s="398"/>
      <c r="BM72" s="2"/>
      <c r="BN72" s="2"/>
      <c r="BO72" s="2"/>
      <c r="BP72" s="2"/>
      <c r="BQ72" s="2"/>
      <c r="BR72" s="2"/>
    </row>
    <row r="73" spans="1:70" ht="17.25" x14ac:dyDescent="0.3">
      <c r="A73" s="224" t="s">
        <v>117</v>
      </c>
      <c r="B73" s="215" t="str">
        <f>VLOOKUP(A73,'Mã NV'!$A$1:$C$27,2,0)</f>
        <v>Nguyễn Tuấn Vinh</v>
      </c>
      <c r="C73" s="360" t="s">
        <v>438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404">
        <v>33.333333333333336</v>
      </c>
      <c r="AI73" s="2"/>
      <c r="AJ73" s="2"/>
      <c r="AK73" s="404">
        <v>106.66666666666667</v>
      </c>
      <c r="AL73" s="2"/>
      <c r="AM73" s="404">
        <v>33.333333333333336</v>
      </c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3"/>
      <c r="BD73" s="2"/>
      <c r="BE73" s="398"/>
      <c r="BF73" s="2"/>
      <c r="BG73" s="2"/>
      <c r="BH73" s="2"/>
      <c r="BI73" s="2"/>
      <c r="BJ73" s="2"/>
      <c r="BK73" s="2"/>
      <c r="BL73" s="398"/>
      <c r="BM73" s="2"/>
      <c r="BN73" s="2"/>
      <c r="BO73" s="2"/>
      <c r="BP73" s="2"/>
      <c r="BQ73" s="2"/>
      <c r="BR73" s="2"/>
    </row>
    <row r="74" spans="1:70" ht="17.25" x14ac:dyDescent="0.3">
      <c r="A74" s="224" t="s">
        <v>118</v>
      </c>
      <c r="B74" s="215" t="str">
        <f>VLOOKUP(A74,'Mã NV'!$A$1:$C$27,2,0)</f>
        <v>Trần Thanh Nguyên</v>
      </c>
      <c r="C74" s="360" t="s">
        <v>438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04">
        <v>105</v>
      </c>
      <c r="AK74" s="2"/>
      <c r="AL74" s="2"/>
      <c r="AM74" s="404">
        <v>33.333333333333336</v>
      </c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3"/>
      <c r="BD74" s="2"/>
      <c r="BE74" s="398">
        <v>1</v>
      </c>
      <c r="BF74" s="2"/>
      <c r="BG74" s="2"/>
      <c r="BH74" s="2"/>
      <c r="BI74" s="2"/>
      <c r="BJ74" s="2"/>
      <c r="BK74" s="2"/>
      <c r="BL74" s="398"/>
      <c r="BM74" s="2"/>
      <c r="BN74" s="2"/>
      <c r="BO74" s="2"/>
      <c r="BP74" s="2"/>
      <c r="BQ74" s="2"/>
      <c r="BR74" s="2"/>
    </row>
    <row r="75" spans="1:70" ht="17.25" x14ac:dyDescent="0.3">
      <c r="A75" s="224" t="s">
        <v>119</v>
      </c>
      <c r="B75" s="215" t="str">
        <f>VLOOKUP(A75,'Mã NV'!$A$1:$C$27,2,0)</f>
        <v>Lê Nhật Trường Giang</v>
      </c>
      <c r="C75" s="360" t="s">
        <v>438</v>
      </c>
      <c r="D75" s="404"/>
      <c r="E75" s="404"/>
      <c r="F75" s="404">
        <v>50</v>
      </c>
      <c r="G75" s="2"/>
      <c r="H75" s="2"/>
      <c r="I75" s="2"/>
      <c r="J75" s="2"/>
      <c r="K75" s="2"/>
      <c r="L75" s="2"/>
      <c r="M75" s="2"/>
      <c r="N75" s="2"/>
      <c r="O75" s="2"/>
      <c r="P75" s="404"/>
      <c r="Q75" s="2"/>
      <c r="R75" s="404"/>
      <c r="S75" s="2"/>
      <c r="T75" s="2"/>
      <c r="U75" s="2"/>
      <c r="V75" s="2"/>
      <c r="W75" s="2"/>
      <c r="X75" s="2"/>
      <c r="Y75" s="2"/>
      <c r="Z75" s="2"/>
      <c r="AA75" s="2"/>
      <c r="AB75" s="2"/>
      <c r="AC75" s="404">
        <v>37.5</v>
      </c>
      <c r="AD75" s="404">
        <v>172.5</v>
      </c>
      <c r="AE75" s="2"/>
      <c r="AF75" s="2"/>
      <c r="AG75" s="2"/>
      <c r="AH75" s="2"/>
      <c r="AI75" s="2"/>
      <c r="AJ75" s="404">
        <v>60</v>
      </c>
      <c r="AK75" s="404">
        <v>33.333333333333336</v>
      </c>
      <c r="AL75" s="2"/>
      <c r="AM75" s="404">
        <v>26.666666666666668</v>
      </c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3"/>
      <c r="BD75" s="2"/>
      <c r="BE75" s="398">
        <v>8</v>
      </c>
      <c r="BF75" s="2"/>
      <c r="BG75" s="2"/>
      <c r="BH75" s="2"/>
      <c r="BI75" s="2"/>
      <c r="BJ75" s="2"/>
      <c r="BK75" s="2"/>
      <c r="BL75" s="398">
        <v>5</v>
      </c>
      <c r="BM75" s="2"/>
      <c r="BN75" s="2"/>
      <c r="BO75" s="2"/>
      <c r="BP75" s="2"/>
      <c r="BQ75" s="2"/>
      <c r="BR75" s="2"/>
    </row>
    <row r="76" spans="1:70" ht="17.25" x14ac:dyDescent="0.3">
      <c r="A76" s="224" t="s">
        <v>120</v>
      </c>
      <c r="B76" s="215" t="str">
        <f>VLOOKUP(A76,'Mã NV'!$A$1:$C$27,2,0)</f>
        <v>Thạch Ngọc Thắng</v>
      </c>
      <c r="C76" s="360" t="s">
        <v>438</v>
      </c>
      <c r="D76" s="2"/>
      <c r="E76" s="2"/>
      <c r="F76" s="404">
        <v>50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404">
        <v>75</v>
      </c>
      <c r="AL76" s="2"/>
      <c r="AM76" s="404">
        <v>26.666666666666668</v>
      </c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3"/>
      <c r="BD76" s="2"/>
      <c r="BE76" s="398"/>
      <c r="BF76" s="2"/>
      <c r="BG76" s="2"/>
      <c r="BH76" s="2"/>
      <c r="BI76" s="2"/>
      <c r="BJ76" s="2"/>
      <c r="BK76" s="2"/>
      <c r="BL76" s="398">
        <v>0.5</v>
      </c>
      <c r="BM76" s="2"/>
      <c r="BN76" s="2"/>
      <c r="BO76" s="2"/>
      <c r="BP76" s="2"/>
      <c r="BQ76" s="2"/>
      <c r="BR76" s="2"/>
    </row>
    <row r="77" spans="1:70" ht="17.25" x14ac:dyDescent="0.3">
      <c r="A77" s="224" t="s">
        <v>121</v>
      </c>
      <c r="B77" s="215" t="str">
        <f>VLOOKUP(A77,'Mã NV'!$A$1:$C$27,2,0)</f>
        <v>Dương Tấn Đạt</v>
      </c>
      <c r="C77" s="360" t="s">
        <v>438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73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3"/>
      <c r="BD77" s="2"/>
      <c r="BE77" s="398"/>
      <c r="BF77" s="2"/>
      <c r="BG77" s="2"/>
      <c r="BH77" s="2"/>
      <c r="BI77" s="2"/>
      <c r="BJ77" s="2"/>
      <c r="BK77" s="2"/>
      <c r="BL77" s="398"/>
      <c r="BM77" s="2"/>
      <c r="BN77" s="2"/>
      <c r="BO77" s="2"/>
      <c r="BP77" s="2"/>
      <c r="BQ77" s="2"/>
      <c r="BR77" s="2"/>
    </row>
    <row r="78" spans="1:70" ht="17.25" x14ac:dyDescent="0.3">
      <c r="A78" s="224" t="s">
        <v>407</v>
      </c>
      <c r="B78" s="215" t="str">
        <f>VLOOKUP(A78,'Mã NV'!$A$1:$C$27,2,0)</f>
        <v>Nguyễn Thanh Hùng</v>
      </c>
      <c r="C78" s="360" t="s">
        <v>438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04">
        <v>37.5</v>
      </c>
      <c r="AD78" s="404">
        <v>172.5</v>
      </c>
      <c r="AE78" s="2"/>
      <c r="AF78" s="2"/>
      <c r="AG78" s="2"/>
      <c r="AH78" s="2"/>
      <c r="AI78" s="2"/>
      <c r="AJ78" s="2"/>
      <c r="AK78" s="404">
        <v>106.66666666666667</v>
      </c>
      <c r="AL78" s="2"/>
      <c r="AM78" s="273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3"/>
      <c r="BD78" s="2"/>
      <c r="BE78" s="398">
        <v>3.5</v>
      </c>
      <c r="BF78" s="2"/>
      <c r="BG78" s="2"/>
      <c r="BH78" s="2"/>
      <c r="BI78" s="2"/>
      <c r="BJ78" s="2"/>
      <c r="BK78" s="2"/>
      <c r="BL78" s="398">
        <v>0.5</v>
      </c>
      <c r="BM78" s="2"/>
      <c r="BN78" s="2"/>
      <c r="BO78" s="2"/>
      <c r="BP78" s="2"/>
      <c r="BQ78" s="2"/>
      <c r="BR78" s="2"/>
    </row>
    <row r="79" spans="1:70" ht="17.25" x14ac:dyDescent="0.3">
      <c r="A79" s="224" t="s">
        <v>409</v>
      </c>
      <c r="B79" s="215" t="str">
        <f>VLOOKUP(A79,'Mã NV'!$A$1:$C$27,2,0)</f>
        <v>Đặng Văn Luân</v>
      </c>
      <c r="C79" s="360" t="s">
        <v>438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04">
        <v>37.5</v>
      </c>
      <c r="AD79" s="404">
        <v>172.5</v>
      </c>
      <c r="AE79" s="2"/>
      <c r="AF79" s="2"/>
      <c r="AG79" s="2"/>
      <c r="AH79" s="2"/>
      <c r="AI79" s="2"/>
      <c r="AJ79" s="404">
        <v>105</v>
      </c>
      <c r="AK79" s="2"/>
      <c r="AL79" s="2"/>
      <c r="AM79" s="273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3"/>
      <c r="BD79" s="2"/>
      <c r="BE79" s="398">
        <v>1</v>
      </c>
      <c r="BF79" s="2"/>
      <c r="BG79" s="2"/>
      <c r="BH79" s="2"/>
      <c r="BI79" s="2"/>
      <c r="BJ79" s="2"/>
      <c r="BK79" s="2"/>
      <c r="BL79" s="398"/>
      <c r="BM79" s="2"/>
      <c r="BN79" s="2"/>
      <c r="BO79" s="2"/>
      <c r="BP79" s="2"/>
      <c r="BQ79" s="2"/>
      <c r="BR79" s="2"/>
    </row>
    <row r="80" spans="1:70" ht="17.25" x14ac:dyDescent="0.3">
      <c r="A80" s="224" t="s">
        <v>410</v>
      </c>
      <c r="B80" s="215" t="str">
        <f>VLOOKUP(A80,'Mã NV'!$A$1:$C$27,2,0)</f>
        <v>Phan Thanh Minh</v>
      </c>
      <c r="C80" s="360" t="s">
        <v>438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404">
        <v>105</v>
      </c>
      <c r="AK80" s="2"/>
      <c r="AL80" s="2"/>
      <c r="AM80" s="404">
        <v>26.666666666666668</v>
      </c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3"/>
      <c r="BD80" s="2"/>
      <c r="BE80" s="398">
        <v>1</v>
      </c>
      <c r="BF80" s="2"/>
      <c r="BG80" s="2"/>
      <c r="BH80" s="2"/>
      <c r="BI80" s="2"/>
      <c r="BJ80" s="2"/>
      <c r="BK80" s="2"/>
      <c r="BL80" s="398"/>
      <c r="BM80" s="2"/>
      <c r="BN80" s="2"/>
      <c r="BO80" s="2"/>
      <c r="BP80" s="2"/>
      <c r="BQ80" s="2"/>
      <c r="BR80" s="2"/>
    </row>
    <row r="81" spans="1:70" ht="17.25" x14ac:dyDescent="0.3">
      <c r="A81" s="224" t="s">
        <v>412</v>
      </c>
      <c r="B81" s="215" t="str">
        <f>VLOOKUP(A81,'Mã NV'!$A$1:$C$27,2,0)</f>
        <v>Danh Vươl</v>
      </c>
      <c r="C81" s="360" t="s">
        <v>442</v>
      </c>
      <c r="D81" s="493"/>
      <c r="E81" s="493"/>
      <c r="F81" s="493"/>
      <c r="G81" s="493"/>
      <c r="H81" s="493"/>
      <c r="I81" s="493"/>
      <c r="J81" s="493"/>
      <c r="K81" s="493"/>
      <c r="L81" s="493"/>
      <c r="M81" s="493"/>
      <c r="N81" s="493"/>
      <c r="O81" s="493"/>
      <c r="P81" s="493"/>
      <c r="Q81" s="493"/>
      <c r="R81" s="493"/>
      <c r="S81" s="493"/>
      <c r="T81" s="493"/>
      <c r="U81" s="493"/>
      <c r="V81" s="493"/>
      <c r="W81" s="493"/>
      <c r="X81" s="493"/>
      <c r="Y81" s="493"/>
      <c r="Z81" s="493"/>
      <c r="AA81" s="493"/>
      <c r="AB81" s="493"/>
      <c r="AC81" s="493"/>
      <c r="AD81" s="493"/>
      <c r="AE81" s="493"/>
      <c r="AF81" s="493"/>
      <c r="AG81" s="493"/>
      <c r="AH81" s="493"/>
      <c r="AI81" s="493"/>
      <c r="AJ81" s="493"/>
      <c r="AK81" s="493"/>
      <c r="AL81" s="493"/>
      <c r="AM81" s="493"/>
      <c r="AN81" s="493"/>
      <c r="AO81" s="493"/>
      <c r="AP81" s="493"/>
      <c r="AQ81" s="493"/>
      <c r="AR81" s="493"/>
      <c r="AS81" s="493"/>
      <c r="AT81" s="493"/>
      <c r="AU81" s="493"/>
      <c r="AV81" s="493"/>
      <c r="AW81" s="493"/>
      <c r="AX81" s="493"/>
      <c r="AY81" s="493"/>
      <c r="AZ81" s="493"/>
      <c r="BA81" s="493"/>
      <c r="BB81" s="493"/>
      <c r="BC81" s="493"/>
      <c r="BD81" s="493"/>
      <c r="BE81" s="493">
        <v>24</v>
      </c>
      <c r="BF81" s="493"/>
      <c r="BG81" s="493"/>
      <c r="BH81" s="493"/>
      <c r="BI81" s="493"/>
      <c r="BJ81" s="493"/>
      <c r="BK81" s="493"/>
      <c r="BL81" s="493"/>
      <c r="BM81" s="493"/>
      <c r="BN81" s="493"/>
      <c r="BO81" s="493"/>
      <c r="BP81" s="493"/>
      <c r="BQ81" s="493"/>
      <c r="BR81" s="493"/>
    </row>
  </sheetData>
  <autoFilter ref="A11:BR80"/>
  <mergeCells count="6">
    <mergeCell ref="A10:C10"/>
    <mergeCell ref="A6:C6"/>
    <mergeCell ref="N6:U6"/>
    <mergeCell ref="BD6:BQ6"/>
    <mergeCell ref="A8:C8"/>
    <mergeCell ref="A9:C9"/>
  </mergeCells>
  <pageMargins left="0.7" right="0.7" top="0.75" bottom="0.75" header="0.3" footer="0.3"/>
  <pageSetup paperSize="9" scale="2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054"/>
  <sheetViews>
    <sheetView topLeftCell="C10" zoomScale="115" zoomScaleNormal="115" workbookViewId="0">
      <selection activeCell="C13" sqref="C13:W669"/>
    </sheetView>
  </sheetViews>
  <sheetFormatPr defaultColWidth="8.7109375" defaultRowHeight="15.75" x14ac:dyDescent="0.25"/>
  <cols>
    <col min="1" max="1" width="13.28515625" style="131" hidden="1" customWidth="1"/>
    <col min="2" max="2" width="12.28515625" style="131" hidden="1" customWidth="1"/>
    <col min="3" max="3" width="8.7109375" style="131"/>
    <col min="4" max="4" width="14" style="131" bestFit="1" customWidth="1"/>
    <col min="5" max="5" width="14.5703125" style="151" customWidth="1"/>
    <col min="6" max="6" width="10.7109375" style="166" bestFit="1" customWidth="1"/>
    <col min="7" max="7" width="10.42578125" style="159" bestFit="1" customWidth="1"/>
    <col min="8" max="8" width="10.28515625" style="253" customWidth="1"/>
    <col min="9" max="9" width="19.7109375" style="162" customWidth="1"/>
    <col min="10" max="10" width="12" style="148" bestFit="1" customWidth="1"/>
    <col min="11" max="16384" width="8.7109375" style="131"/>
  </cols>
  <sheetData>
    <row r="1" spans="1:10" hidden="1" x14ac:dyDescent="0.25">
      <c r="A1" s="131" t="s">
        <v>353</v>
      </c>
      <c r="B1" s="131" t="s">
        <v>354</v>
      </c>
      <c r="H1" s="159"/>
    </row>
    <row r="2" spans="1:10" hidden="1" x14ac:dyDescent="0.25">
      <c r="A2" s="131" t="s">
        <v>355</v>
      </c>
      <c r="B2" s="131" t="s">
        <v>354</v>
      </c>
      <c r="H2" s="159"/>
    </row>
    <row r="3" spans="1:10" hidden="1" x14ac:dyDescent="0.25">
      <c r="A3" s="131" t="s">
        <v>356</v>
      </c>
      <c r="B3" s="131" t="s">
        <v>357</v>
      </c>
      <c r="H3" s="159"/>
    </row>
    <row r="4" spans="1:10" hidden="1" x14ac:dyDescent="0.25">
      <c r="A4" s="131" t="s">
        <v>358</v>
      </c>
      <c r="B4" s="131" t="s">
        <v>357</v>
      </c>
      <c r="H4" s="159"/>
    </row>
    <row r="5" spans="1:10" hidden="1" x14ac:dyDescent="0.25">
      <c r="A5" s="131" t="s">
        <v>359</v>
      </c>
      <c r="B5" s="131" t="s">
        <v>357</v>
      </c>
      <c r="H5" s="159"/>
    </row>
    <row r="6" spans="1:10" hidden="1" x14ac:dyDescent="0.25">
      <c r="A6" s="131" t="s">
        <v>360</v>
      </c>
      <c r="B6" s="131" t="s">
        <v>361</v>
      </c>
      <c r="H6" s="159"/>
    </row>
    <row r="7" spans="1:10" hidden="1" x14ac:dyDescent="0.25">
      <c r="A7" s="131" t="s">
        <v>362</v>
      </c>
      <c r="B7" s="131" t="s">
        <v>357</v>
      </c>
      <c r="H7" s="159"/>
    </row>
    <row r="8" spans="1:10" hidden="1" x14ac:dyDescent="0.25">
      <c r="A8" s="131" t="s">
        <v>363</v>
      </c>
      <c r="B8" s="131" t="s">
        <v>357</v>
      </c>
      <c r="H8" s="159"/>
    </row>
    <row r="9" spans="1:10" hidden="1" x14ac:dyDescent="0.25">
      <c r="A9" s="131" t="s">
        <v>364</v>
      </c>
      <c r="B9" s="131" t="s">
        <v>354</v>
      </c>
      <c r="H9" s="159"/>
    </row>
    <row r="10" spans="1:10" x14ac:dyDescent="0.25">
      <c r="C10" s="504" t="s">
        <v>148</v>
      </c>
      <c r="D10" s="504"/>
      <c r="E10" s="504"/>
      <c r="F10" s="504"/>
      <c r="G10" s="504"/>
      <c r="H10" s="505"/>
      <c r="I10" s="504"/>
      <c r="J10" s="504"/>
    </row>
    <row r="12" spans="1:10" x14ac:dyDescent="0.25">
      <c r="C12" s="149" t="s">
        <v>365</v>
      </c>
      <c r="D12" s="149" t="s">
        <v>366</v>
      </c>
      <c r="E12" s="165" t="s">
        <v>2</v>
      </c>
      <c r="F12" s="167" t="s">
        <v>367</v>
      </c>
      <c r="G12" s="160" t="s">
        <v>368</v>
      </c>
      <c r="H12" s="252" t="s">
        <v>369</v>
      </c>
      <c r="I12" s="160" t="s">
        <v>370</v>
      </c>
      <c r="J12" s="150" t="s">
        <v>371</v>
      </c>
    </row>
    <row r="13" spans="1:10" x14ac:dyDescent="0.25">
      <c r="H13" s="251"/>
      <c r="J13" s="152"/>
    </row>
    <row r="14" spans="1:10" x14ac:dyDescent="0.25">
      <c r="H14" s="251"/>
      <c r="J14" s="152"/>
    </row>
    <row r="15" spans="1:10" x14ac:dyDescent="0.25">
      <c r="H15" s="251"/>
      <c r="J15" s="152"/>
    </row>
    <row r="16" spans="1:10" x14ac:dyDescent="0.25">
      <c r="H16" s="251"/>
      <c r="J16" s="152"/>
    </row>
    <row r="17" spans="8:10" x14ac:dyDescent="0.25">
      <c r="H17" s="251"/>
      <c r="J17" s="152"/>
    </row>
    <row r="18" spans="8:10" x14ac:dyDescent="0.25">
      <c r="H18" s="251"/>
      <c r="J18" s="152"/>
    </row>
    <row r="19" spans="8:10" x14ac:dyDescent="0.25">
      <c r="H19" s="251"/>
      <c r="J19" s="152"/>
    </row>
    <row r="20" spans="8:10" x14ac:dyDescent="0.25">
      <c r="H20" s="251"/>
      <c r="J20" s="152"/>
    </row>
    <row r="21" spans="8:10" x14ac:dyDescent="0.25">
      <c r="H21" s="251"/>
      <c r="J21" s="152"/>
    </row>
    <row r="22" spans="8:10" x14ac:dyDescent="0.25">
      <c r="H22" s="251"/>
      <c r="J22" s="152"/>
    </row>
    <row r="23" spans="8:10" x14ac:dyDescent="0.25">
      <c r="H23" s="251"/>
      <c r="J23" s="152"/>
    </row>
    <row r="24" spans="8:10" x14ac:dyDescent="0.25">
      <c r="H24" s="251"/>
      <c r="J24" s="152"/>
    </row>
    <row r="25" spans="8:10" x14ac:dyDescent="0.25">
      <c r="H25" s="251"/>
      <c r="J25" s="152"/>
    </row>
    <row r="26" spans="8:10" x14ac:dyDescent="0.25">
      <c r="H26" s="251"/>
      <c r="J26" s="152"/>
    </row>
    <row r="27" spans="8:10" x14ac:dyDescent="0.25">
      <c r="H27" s="251"/>
      <c r="J27" s="152"/>
    </row>
    <row r="28" spans="8:10" x14ac:dyDescent="0.25">
      <c r="H28" s="251"/>
      <c r="J28" s="152"/>
    </row>
    <row r="29" spans="8:10" x14ac:dyDescent="0.25">
      <c r="H29" s="251"/>
      <c r="J29" s="152"/>
    </row>
    <row r="30" spans="8:10" x14ac:dyDescent="0.25">
      <c r="H30" s="251"/>
      <c r="J30" s="152"/>
    </row>
    <row r="31" spans="8:10" x14ac:dyDescent="0.25">
      <c r="H31" s="251"/>
      <c r="J31" s="152"/>
    </row>
    <row r="32" spans="8:10" x14ac:dyDescent="0.25">
      <c r="H32" s="251"/>
      <c r="J32" s="152"/>
    </row>
    <row r="33" spans="8:10" x14ac:dyDescent="0.25">
      <c r="H33" s="251"/>
      <c r="J33" s="152"/>
    </row>
    <row r="34" spans="8:10" x14ac:dyDescent="0.25">
      <c r="H34" s="251"/>
      <c r="J34" s="152"/>
    </row>
    <row r="35" spans="8:10" x14ac:dyDescent="0.25">
      <c r="H35" s="251"/>
      <c r="J35" s="152"/>
    </row>
    <row r="36" spans="8:10" x14ac:dyDescent="0.25">
      <c r="H36" s="251"/>
      <c r="J36" s="152"/>
    </row>
    <row r="37" spans="8:10" x14ac:dyDescent="0.25">
      <c r="H37" s="251"/>
      <c r="J37" s="152"/>
    </row>
    <row r="38" spans="8:10" x14ac:dyDescent="0.25">
      <c r="H38" s="251"/>
      <c r="J38" s="152"/>
    </row>
    <row r="39" spans="8:10" x14ac:dyDescent="0.25">
      <c r="H39" s="251"/>
      <c r="J39" s="152"/>
    </row>
    <row r="40" spans="8:10" x14ac:dyDescent="0.25">
      <c r="H40" s="251"/>
      <c r="J40" s="152"/>
    </row>
    <row r="41" spans="8:10" x14ac:dyDescent="0.25">
      <c r="H41" s="251"/>
      <c r="J41" s="152"/>
    </row>
    <row r="42" spans="8:10" x14ac:dyDescent="0.25">
      <c r="H42" s="251"/>
      <c r="J42" s="152"/>
    </row>
    <row r="43" spans="8:10" x14ac:dyDescent="0.25">
      <c r="H43" s="251"/>
      <c r="J43" s="152"/>
    </row>
    <row r="44" spans="8:10" x14ac:dyDescent="0.25">
      <c r="H44" s="251"/>
      <c r="J44" s="152"/>
    </row>
    <row r="45" spans="8:10" x14ac:dyDescent="0.25">
      <c r="H45" s="251"/>
      <c r="J45" s="152"/>
    </row>
    <row r="46" spans="8:10" x14ac:dyDescent="0.25">
      <c r="H46" s="251"/>
      <c r="J46" s="152"/>
    </row>
    <row r="47" spans="8:10" x14ac:dyDescent="0.25">
      <c r="H47" s="251"/>
      <c r="J47" s="152"/>
    </row>
    <row r="48" spans="8:10" x14ac:dyDescent="0.25">
      <c r="H48" s="251"/>
      <c r="J48" s="152"/>
    </row>
    <row r="49" spans="8:10" x14ac:dyDescent="0.25">
      <c r="H49" s="251"/>
      <c r="J49" s="152"/>
    </row>
    <row r="50" spans="8:10" x14ac:dyDescent="0.25">
      <c r="H50" s="251"/>
      <c r="J50" s="152"/>
    </row>
    <row r="51" spans="8:10" x14ac:dyDescent="0.25">
      <c r="H51" s="251"/>
      <c r="J51" s="152"/>
    </row>
    <row r="52" spans="8:10" x14ac:dyDescent="0.25">
      <c r="H52" s="251"/>
      <c r="J52" s="152"/>
    </row>
    <row r="53" spans="8:10" x14ac:dyDescent="0.25">
      <c r="H53" s="251"/>
      <c r="J53" s="152"/>
    </row>
    <row r="54" spans="8:10" x14ac:dyDescent="0.25">
      <c r="H54" s="251"/>
      <c r="J54" s="152"/>
    </row>
    <row r="55" spans="8:10" x14ac:dyDescent="0.25">
      <c r="H55" s="251"/>
      <c r="J55" s="152"/>
    </row>
    <row r="56" spans="8:10" x14ac:dyDescent="0.25">
      <c r="H56" s="251"/>
      <c r="J56" s="152"/>
    </row>
    <row r="57" spans="8:10" x14ac:dyDescent="0.25">
      <c r="H57" s="251"/>
      <c r="J57" s="152"/>
    </row>
    <row r="58" spans="8:10" x14ac:dyDescent="0.25">
      <c r="H58" s="251"/>
      <c r="J58" s="152"/>
    </row>
    <row r="59" spans="8:10" x14ac:dyDescent="0.25">
      <c r="H59" s="251"/>
      <c r="J59" s="152"/>
    </row>
    <row r="60" spans="8:10" x14ac:dyDescent="0.25">
      <c r="H60" s="251"/>
      <c r="J60" s="152"/>
    </row>
    <row r="61" spans="8:10" x14ac:dyDescent="0.25">
      <c r="H61" s="251"/>
      <c r="J61" s="152"/>
    </row>
    <row r="62" spans="8:10" x14ac:dyDescent="0.25">
      <c r="H62" s="251"/>
      <c r="J62" s="152"/>
    </row>
    <row r="63" spans="8:10" x14ac:dyDescent="0.25">
      <c r="H63" s="251"/>
      <c r="J63" s="152"/>
    </row>
    <row r="64" spans="8:10" x14ac:dyDescent="0.25">
      <c r="H64" s="251"/>
      <c r="J64" s="152"/>
    </row>
    <row r="65" spans="4:10" x14ac:dyDescent="0.25">
      <c r="H65" s="251"/>
      <c r="J65" s="152"/>
    </row>
    <row r="66" spans="4:10" x14ac:dyDescent="0.25">
      <c r="H66" s="251"/>
      <c r="J66" s="152"/>
    </row>
    <row r="67" spans="4:10" x14ac:dyDescent="0.25">
      <c r="H67" s="251"/>
      <c r="J67" s="152"/>
    </row>
    <row r="68" spans="4:10" x14ac:dyDescent="0.25">
      <c r="D68" s="151"/>
      <c r="H68" s="251"/>
      <c r="J68" s="152"/>
    </row>
    <row r="69" spans="4:10" x14ac:dyDescent="0.25">
      <c r="H69" s="251"/>
      <c r="J69" s="152"/>
    </row>
    <row r="70" spans="4:10" x14ac:dyDescent="0.25">
      <c r="H70" s="251"/>
      <c r="J70" s="152"/>
    </row>
    <row r="71" spans="4:10" x14ac:dyDescent="0.25">
      <c r="H71" s="251"/>
      <c r="J71" s="152"/>
    </row>
    <row r="72" spans="4:10" x14ac:dyDescent="0.25">
      <c r="H72" s="251"/>
      <c r="J72" s="152"/>
    </row>
    <row r="73" spans="4:10" x14ac:dyDescent="0.25">
      <c r="H73" s="251"/>
      <c r="J73" s="152"/>
    </row>
    <row r="74" spans="4:10" x14ac:dyDescent="0.25">
      <c r="H74" s="251"/>
      <c r="J74" s="152"/>
    </row>
    <row r="75" spans="4:10" x14ac:dyDescent="0.25">
      <c r="H75" s="251"/>
      <c r="J75" s="152"/>
    </row>
    <row r="76" spans="4:10" x14ac:dyDescent="0.25">
      <c r="H76" s="251"/>
      <c r="J76" s="152"/>
    </row>
    <row r="77" spans="4:10" x14ac:dyDescent="0.25">
      <c r="H77" s="251"/>
      <c r="J77" s="152"/>
    </row>
    <row r="78" spans="4:10" x14ac:dyDescent="0.25">
      <c r="H78" s="251"/>
      <c r="J78" s="152"/>
    </row>
    <row r="79" spans="4:10" x14ac:dyDescent="0.25">
      <c r="H79" s="251"/>
      <c r="J79" s="152"/>
    </row>
    <row r="80" spans="4:10" x14ac:dyDescent="0.25">
      <c r="H80" s="251"/>
      <c r="J80" s="152"/>
    </row>
    <row r="81" spans="8:10" x14ac:dyDescent="0.25">
      <c r="H81" s="251"/>
      <c r="J81" s="152"/>
    </row>
    <row r="82" spans="8:10" x14ac:dyDescent="0.25">
      <c r="H82" s="251"/>
      <c r="J82" s="152"/>
    </row>
    <row r="83" spans="8:10" x14ac:dyDescent="0.25">
      <c r="H83" s="251"/>
      <c r="J83" s="152"/>
    </row>
    <row r="84" spans="8:10" x14ac:dyDescent="0.25">
      <c r="H84" s="251"/>
      <c r="J84" s="152"/>
    </row>
    <row r="85" spans="8:10" x14ac:dyDescent="0.25">
      <c r="H85" s="251"/>
      <c r="J85" s="152"/>
    </row>
    <row r="86" spans="8:10" x14ac:dyDescent="0.25">
      <c r="H86" s="251"/>
      <c r="J86" s="152"/>
    </row>
    <row r="87" spans="8:10" x14ac:dyDescent="0.25">
      <c r="H87" s="251"/>
      <c r="J87" s="152"/>
    </row>
    <row r="88" spans="8:10" x14ac:dyDescent="0.25">
      <c r="H88" s="251"/>
      <c r="J88" s="152"/>
    </row>
    <row r="89" spans="8:10" x14ac:dyDescent="0.25">
      <c r="H89" s="251"/>
      <c r="J89" s="152"/>
    </row>
    <row r="90" spans="8:10" x14ac:dyDescent="0.25">
      <c r="H90" s="251"/>
      <c r="J90" s="152"/>
    </row>
    <row r="91" spans="8:10" x14ac:dyDescent="0.25">
      <c r="H91" s="251"/>
      <c r="J91" s="152"/>
    </row>
    <row r="92" spans="8:10" x14ac:dyDescent="0.25">
      <c r="H92" s="251"/>
      <c r="J92" s="152"/>
    </row>
    <row r="93" spans="8:10" x14ac:dyDescent="0.25">
      <c r="H93" s="251"/>
      <c r="J93" s="152"/>
    </row>
    <row r="94" spans="8:10" x14ac:dyDescent="0.25">
      <c r="H94" s="251"/>
      <c r="J94" s="152"/>
    </row>
    <row r="95" spans="8:10" x14ac:dyDescent="0.25">
      <c r="H95" s="251"/>
      <c r="J95" s="152"/>
    </row>
    <row r="96" spans="8:10" x14ac:dyDescent="0.25">
      <c r="H96" s="251"/>
      <c r="J96" s="152"/>
    </row>
    <row r="97" spans="8:10" x14ac:dyDescent="0.25">
      <c r="H97" s="251"/>
      <c r="J97" s="152"/>
    </row>
    <row r="98" spans="8:10" x14ac:dyDescent="0.25">
      <c r="H98" s="251"/>
      <c r="J98" s="152"/>
    </row>
    <row r="99" spans="8:10" x14ac:dyDescent="0.25">
      <c r="H99" s="251"/>
      <c r="J99" s="152"/>
    </row>
    <row r="100" spans="8:10" x14ac:dyDescent="0.25">
      <c r="H100" s="251"/>
      <c r="J100" s="152"/>
    </row>
    <row r="101" spans="8:10" x14ac:dyDescent="0.25">
      <c r="H101" s="251"/>
      <c r="J101" s="152"/>
    </row>
    <row r="102" spans="8:10" x14ac:dyDescent="0.25">
      <c r="H102" s="251"/>
      <c r="J102" s="152"/>
    </row>
    <row r="103" spans="8:10" x14ac:dyDescent="0.25">
      <c r="H103" s="251"/>
      <c r="J103" s="152"/>
    </row>
    <row r="104" spans="8:10" x14ac:dyDescent="0.25">
      <c r="H104" s="251"/>
      <c r="J104" s="152"/>
    </row>
    <row r="105" spans="8:10" x14ac:dyDescent="0.25">
      <c r="H105" s="251"/>
      <c r="J105" s="152"/>
    </row>
    <row r="106" spans="8:10" x14ac:dyDescent="0.25">
      <c r="H106" s="251"/>
      <c r="J106" s="152"/>
    </row>
    <row r="107" spans="8:10" x14ac:dyDescent="0.25">
      <c r="H107" s="251"/>
      <c r="J107" s="152"/>
    </row>
    <row r="108" spans="8:10" x14ac:dyDescent="0.25">
      <c r="H108" s="251"/>
      <c r="J108" s="152"/>
    </row>
    <row r="109" spans="8:10" x14ac:dyDescent="0.25">
      <c r="H109" s="251"/>
      <c r="J109" s="152"/>
    </row>
    <row r="110" spans="8:10" x14ac:dyDescent="0.25">
      <c r="H110" s="251"/>
      <c r="J110" s="152"/>
    </row>
    <row r="111" spans="8:10" x14ac:dyDescent="0.25">
      <c r="H111" s="251"/>
      <c r="J111" s="152"/>
    </row>
    <row r="112" spans="8:10" x14ac:dyDescent="0.25">
      <c r="H112" s="251"/>
      <c r="J112" s="152"/>
    </row>
    <row r="113" spans="8:10" x14ac:dyDescent="0.25">
      <c r="H113" s="251"/>
      <c r="J113" s="152"/>
    </row>
    <row r="114" spans="8:10" x14ac:dyDescent="0.25">
      <c r="H114" s="251"/>
      <c r="J114" s="152"/>
    </row>
    <row r="115" spans="8:10" x14ac:dyDescent="0.25">
      <c r="H115" s="251"/>
      <c r="J115" s="152"/>
    </row>
    <row r="116" spans="8:10" x14ac:dyDescent="0.25">
      <c r="H116" s="251"/>
      <c r="J116" s="152"/>
    </row>
    <row r="117" spans="8:10" x14ac:dyDescent="0.25">
      <c r="H117" s="251"/>
      <c r="J117" s="152"/>
    </row>
    <row r="118" spans="8:10" x14ac:dyDescent="0.25">
      <c r="H118" s="251"/>
      <c r="J118" s="152"/>
    </row>
    <row r="119" spans="8:10" x14ac:dyDescent="0.25">
      <c r="H119" s="251"/>
      <c r="J119" s="152"/>
    </row>
    <row r="120" spans="8:10" x14ac:dyDescent="0.25">
      <c r="H120" s="251"/>
      <c r="J120" s="152"/>
    </row>
    <row r="121" spans="8:10" x14ac:dyDescent="0.25">
      <c r="H121" s="251"/>
      <c r="J121" s="152"/>
    </row>
    <row r="122" spans="8:10" x14ac:dyDescent="0.25">
      <c r="H122" s="251"/>
      <c r="J122" s="152"/>
    </row>
    <row r="123" spans="8:10" x14ac:dyDescent="0.25">
      <c r="H123" s="251"/>
      <c r="J123" s="152"/>
    </row>
    <row r="124" spans="8:10" x14ac:dyDescent="0.25">
      <c r="H124" s="251"/>
      <c r="J124" s="152"/>
    </row>
    <row r="125" spans="8:10" x14ac:dyDescent="0.25">
      <c r="H125" s="251"/>
      <c r="J125" s="152"/>
    </row>
    <row r="126" spans="8:10" x14ac:dyDescent="0.25">
      <c r="H126" s="251"/>
      <c r="J126" s="152"/>
    </row>
    <row r="127" spans="8:10" x14ac:dyDescent="0.25">
      <c r="H127" s="251"/>
      <c r="J127" s="152"/>
    </row>
    <row r="128" spans="8:10" x14ac:dyDescent="0.25">
      <c r="H128" s="251"/>
      <c r="J128" s="152"/>
    </row>
    <row r="129" spans="8:10" x14ac:dyDescent="0.25">
      <c r="H129" s="251"/>
      <c r="J129" s="152"/>
    </row>
    <row r="130" spans="8:10" x14ac:dyDescent="0.25">
      <c r="H130" s="251"/>
      <c r="J130" s="152"/>
    </row>
    <row r="131" spans="8:10" x14ac:dyDescent="0.25">
      <c r="H131" s="251"/>
      <c r="J131" s="152"/>
    </row>
    <row r="132" spans="8:10" x14ac:dyDescent="0.25">
      <c r="H132" s="251"/>
      <c r="J132" s="152"/>
    </row>
    <row r="133" spans="8:10" x14ac:dyDescent="0.25">
      <c r="H133" s="251"/>
      <c r="J133" s="152"/>
    </row>
    <row r="134" spans="8:10" x14ac:dyDescent="0.25">
      <c r="H134" s="251"/>
      <c r="J134" s="152"/>
    </row>
    <row r="135" spans="8:10" x14ac:dyDescent="0.25">
      <c r="H135" s="251"/>
      <c r="J135" s="152"/>
    </row>
    <row r="136" spans="8:10" x14ac:dyDescent="0.25">
      <c r="H136" s="251"/>
      <c r="J136" s="152"/>
    </row>
    <row r="137" spans="8:10" x14ac:dyDescent="0.25">
      <c r="H137" s="251"/>
      <c r="J137" s="152"/>
    </row>
    <row r="138" spans="8:10" x14ac:dyDescent="0.25">
      <c r="H138" s="251"/>
      <c r="J138" s="152"/>
    </row>
    <row r="139" spans="8:10" x14ac:dyDescent="0.25">
      <c r="H139" s="251"/>
      <c r="J139" s="152"/>
    </row>
    <row r="140" spans="8:10" x14ac:dyDescent="0.25">
      <c r="H140" s="251"/>
      <c r="J140" s="152"/>
    </row>
    <row r="141" spans="8:10" x14ac:dyDescent="0.25">
      <c r="H141" s="251"/>
      <c r="J141" s="152"/>
    </row>
    <row r="142" spans="8:10" x14ac:dyDescent="0.25">
      <c r="H142" s="251"/>
      <c r="J142" s="152"/>
    </row>
    <row r="143" spans="8:10" x14ac:dyDescent="0.25">
      <c r="H143" s="251"/>
      <c r="J143" s="152"/>
    </row>
    <row r="144" spans="8:10" x14ac:dyDescent="0.25">
      <c r="H144" s="251"/>
      <c r="J144" s="152"/>
    </row>
    <row r="145" spans="4:10" x14ac:dyDescent="0.25">
      <c r="H145" s="251"/>
      <c r="J145" s="152"/>
    </row>
    <row r="146" spans="4:10" x14ac:dyDescent="0.25">
      <c r="H146" s="251"/>
      <c r="J146" s="152"/>
    </row>
    <row r="147" spans="4:10" x14ac:dyDescent="0.25">
      <c r="H147" s="251"/>
      <c r="J147" s="152"/>
    </row>
    <row r="148" spans="4:10" x14ac:dyDescent="0.25">
      <c r="H148" s="251"/>
      <c r="J148" s="152"/>
    </row>
    <row r="149" spans="4:10" x14ac:dyDescent="0.25">
      <c r="H149" s="251"/>
      <c r="J149" s="152"/>
    </row>
    <row r="150" spans="4:10" x14ac:dyDescent="0.25">
      <c r="D150" s="261"/>
      <c r="H150" s="251"/>
      <c r="J150" s="152"/>
    </row>
    <row r="151" spans="4:10" x14ac:dyDescent="0.25">
      <c r="H151" s="251"/>
      <c r="J151" s="152"/>
    </row>
    <row r="152" spans="4:10" x14ac:dyDescent="0.25">
      <c r="H152" s="251"/>
      <c r="J152" s="152"/>
    </row>
    <row r="153" spans="4:10" x14ac:dyDescent="0.25">
      <c r="H153" s="251"/>
      <c r="J153" s="152"/>
    </row>
    <row r="154" spans="4:10" x14ac:dyDescent="0.25">
      <c r="H154" s="251"/>
      <c r="J154" s="152"/>
    </row>
    <row r="155" spans="4:10" x14ac:dyDescent="0.25">
      <c r="H155" s="251"/>
      <c r="J155" s="152"/>
    </row>
    <row r="156" spans="4:10" x14ac:dyDescent="0.25">
      <c r="H156" s="251"/>
      <c r="J156" s="152"/>
    </row>
    <row r="157" spans="4:10" x14ac:dyDescent="0.25">
      <c r="H157" s="251"/>
      <c r="J157" s="152"/>
    </row>
    <row r="158" spans="4:10" x14ac:dyDescent="0.25">
      <c r="H158" s="251"/>
      <c r="J158" s="152"/>
    </row>
    <row r="159" spans="4:10" x14ac:dyDescent="0.25">
      <c r="H159" s="251"/>
      <c r="J159" s="152"/>
    </row>
    <row r="160" spans="4:10" x14ac:dyDescent="0.25">
      <c r="H160" s="251"/>
      <c r="J160" s="152"/>
    </row>
    <row r="161" spans="8:10" x14ac:dyDescent="0.25">
      <c r="H161" s="251"/>
      <c r="J161" s="152"/>
    </row>
    <row r="162" spans="8:10" x14ac:dyDescent="0.25">
      <c r="H162" s="251"/>
      <c r="J162" s="152"/>
    </row>
    <row r="163" spans="8:10" x14ac:dyDescent="0.25">
      <c r="H163" s="251"/>
      <c r="J163" s="152"/>
    </row>
    <row r="164" spans="8:10" x14ac:dyDescent="0.25">
      <c r="H164" s="251"/>
      <c r="J164" s="152"/>
    </row>
    <row r="165" spans="8:10" x14ac:dyDescent="0.25">
      <c r="H165" s="251"/>
      <c r="J165" s="152"/>
    </row>
    <row r="166" spans="8:10" x14ac:dyDescent="0.25">
      <c r="H166" s="251"/>
      <c r="J166" s="152"/>
    </row>
    <row r="167" spans="8:10" x14ac:dyDescent="0.25">
      <c r="H167" s="251"/>
      <c r="J167" s="152"/>
    </row>
    <row r="168" spans="8:10" x14ac:dyDescent="0.25">
      <c r="H168" s="251"/>
      <c r="J168" s="152"/>
    </row>
    <row r="169" spans="8:10" x14ac:dyDescent="0.25">
      <c r="H169" s="251"/>
      <c r="J169" s="152"/>
    </row>
    <row r="170" spans="8:10" x14ac:dyDescent="0.25">
      <c r="H170" s="251"/>
      <c r="J170" s="152"/>
    </row>
    <row r="171" spans="8:10" x14ac:dyDescent="0.25">
      <c r="H171" s="251"/>
      <c r="J171" s="152"/>
    </row>
    <row r="172" spans="8:10" x14ac:dyDescent="0.25">
      <c r="H172" s="251"/>
      <c r="J172" s="152"/>
    </row>
    <row r="173" spans="8:10" x14ac:dyDescent="0.25">
      <c r="H173" s="251"/>
      <c r="J173" s="152"/>
    </row>
    <row r="174" spans="8:10" x14ac:dyDescent="0.25">
      <c r="H174" s="251"/>
      <c r="J174" s="152"/>
    </row>
    <row r="175" spans="8:10" x14ac:dyDescent="0.25">
      <c r="H175" s="251"/>
      <c r="J175" s="152"/>
    </row>
    <row r="176" spans="8:10" x14ac:dyDescent="0.25">
      <c r="H176" s="251"/>
      <c r="J176" s="152"/>
    </row>
    <row r="177" spans="4:10" x14ac:dyDescent="0.25">
      <c r="H177" s="251"/>
      <c r="J177" s="152"/>
    </row>
    <row r="178" spans="4:10" x14ac:dyDescent="0.25">
      <c r="H178" s="251"/>
      <c r="J178" s="152"/>
    </row>
    <row r="179" spans="4:10" x14ac:dyDescent="0.25">
      <c r="H179" s="251"/>
      <c r="J179" s="152"/>
    </row>
    <row r="180" spans="4:10" x14ac:dyDescent="0.25">
      <c r="H180" s="251"/>
      <c r="J180" s="152"/>
    </row>
    <row r="181" spans="4:10" x14ac:dyDescent="0.25">
      <c r="H181" s="251"/>
      <c r="J181" s="152"/>
    </row>
    <row r="182" spans="4:10" x14ac:dyDescent="0.25">
      <c r="D182" s="216"/>
      <c r="H182" s="251"/>
      <c r="J182" s="152"/>
    </row>
    <row r="183" spans="4:10" x14ac:dyDescent="0.25">
      <c r="H183" s="251"/>
      <c r="J183" s="152"/>
    </row>
    <row r="184" spans="4:10" x14ac:dyDescent="0.25">
      <c r="H184" s="251"/>
      <c r="J184" s="152"/>
    </row>
    <row r="185" spans="4:10" x14ac:dyDescent="0.25">
      <c r="H185" s="251"/>
      <c r="J185" s="152"/>
    </row>
    <row r="186" spans="4:10" x14ac:dyDescent="0.25">
      <c r="H186" s="251"/>
      <c r="J186" s="152"/>
    </row>
    <row r="187" spans="4:10" x14ac:dyDescent="0.25">
      <c r="H187" s="251"/>
      <c r="J187" s="152"/>
    </row>
    <row r="188" spans="4:10" x14ac:dyDescent="0.25">
      <c r="H188" s="251"/>
      <c r="J188" s="152"/>
    </row>
    <row r="189" spans="4:10" x14ac:dyDescent="0.25">
      <c r="H189" s="251"/>
      <c r="J189" s="152"/>
    </row>
    <row r="190" spans="4:10" x14ac:dyDescent="0.25">
      <c r="H190" s="251"/>
      <c r="J190" s="152"/>
    </row>
    <row r="191" spans="4:10" x14ac:dyDescent="0.25">
      <c r="H191" s="251"/>
      <c r="J191" s="152"/>
    </row>
    <row r="192" spans="4:10" x14ac:dyDescent="0.25">
      <c r="H192" s="251"/>
      <c r="J192" s="152"/>
    </row>
    <row r="193" spans="8:10" x14ac:dyDescent="0.25">
      <c r="H193" s="251"/>
      <c r="J193" s="152"/>
    </row>
    <row r="194" spans="8:10" x14ac:dyDescent="0.25">
      <c r="H194" s="251"/>
      <c r="J194" s="152"/>
    </row>
    <row r="195" spans="8:10" x14ac:dyDescent="0.25">
      <c r="H195" s="251"/>
      <c r="J195" s="152"/>
    </row>
    <row r="196" spans="8:10" x14ac:dyDescent="0.25">
      <c r="H196" s="251"/>
      <c r="J196" s="152"/>
    </row>
    <row r="197" spans="8:10" x14ac:dyDescent="0.25">
      <c r="H197" s="251"/>
      <c r="J197" s="152"/>
    </row>
    <row r="198" spans="8:10" x14ac:dyDescent="0.25">
      <c r="H198" s="251"/>
      <c r="J198" s="152"/>
    </row>
    <row r="199" spans="8:10" x14ac:dyDescent="0.25">
      <c r="H199" s="251"/>
      <c r="J199" s="152"/>
    </row>
    <row r="200" spans="8:10" x14ac:dyDescent="0.25">
      <c r="H200" s="251"/>
      <c r="J200" s="152"/>
    </row>
    <row r="201" spans="8:10" x14ac:dyDescent="0.25">
      <c r="H201" s="251"/>
      <c r="J201" s="152"/>
    </row>
    <row r="202" spans="8:10" x14ac:dyDescent="0.25">
      <c r="H202" s="251"/>
      <c r="J202" s="152"/>
    </row>
    <row r="203" spans="8:10" x14ac:dyDescent="0.25">
      <c r="H203" s="251"/>
      <c r="J203" s="152"/>
    </row>
    <row r="204" spans="8:10" x14ac:dyDescent="0.25">
      <c r="H204" s="251"/>
      <c r="J204" s="152"/>
    </row>
    <row r="205" spans="8:10" x14ac:dyDescent="0.25">
      <c r="H205" s="251"/>
      <c r="J205" s="152"/>
    </row>
    <row r="206" spans="8:10" x14ac:dyDescent="0.25">
      <c r="H206" s="251"/>
      <c r="J206" s="152"/>
    </row>
    <row r="207" spans="8:10" x14ac:dyDescent="0.25">
      <c r="H207" s="251"/>
      <c r="J207" s="152"/>
    </row>
    <row r="208" spans="8:10" x14ac:dyDescent="0.25">
      <c r="H208" s="251"/>
      <c r="J208" s="152"/>
    </row>
    <row r="209" spans="8:10" x14ac:dyDescent="0.25">
      <c r="H209" s="251"/>
      <c r="J209" s="152"/>
    </row>
    <row r="210" spans="8:10" x14ac:dyDescent="0.25">
      <c r="H210" s="251"/>
      <c r="J210" s="152"/>
    </row>
    <row r="211" spans="8:10" x14ac:dyDescent="0.25">
      <c r="H211" s="251"/>
      <c r="J211" s="152"/>
    </row>
    <row r="212" spans="8:10" x14ac:dyDescent="0.25">
      <c r="H212" s="251"/>
      <c r="J212" s="152"/>
    </row>
    <row r="213" spans="8:10" ht="13.5" customHeight="1" x14ac:dyDescent="0.25">
      <c r="H213" s="251"/>
      <c r="J213" s="152"/>
    </row>
    <row r="214" spans="8:10" x14ac:dyDescent="0.25">
      <c r="H214" s="251"/>
      <c r="J214" s="152"/>
    </row>
    <row r="215" spans="8:10" x14ac:dyDescent="0.25">
      <c r="H215" s="251"/>
      <c r="J215" s="152"/>
    </row>
    <row r="216" spans="8:10" x14ac:dyDescent="0.25">
      <c r="H216" s="251"/>
      <c r="J216" s="152"/>
    </row>
    <row r="217" spans="8:10" x14ac:dyDescent="0.25">
      <c r="H217" s="251"/>
      <c r="J217" s="152"/>
    </row>
    <row r="218" spans="8:10" x14ac:dyDescent="0.25">
      <c r="H218" s="251"/>
      <c r="J218" s="152"/>
    </row>
    <row r="219" spans="8:10" x14ac:dyDescent="0.25">
      <c r="H219" s="251"/>
      <c r="J219" s="152"/>
    </row>
    <row r="220" spans="8:10" x14ac:dyDescent="0.25">
      <c r="H220" s="251"/>
      <c r="J220" s="152"/>
    </row>
    <row r="221" spans="8:10" x14ac:dyDescent="0.25">
      <c r="H221" s="251"/>
      <c r="J221" s="152"/>
    </row>
    <row r="222" spans="8:10" x14ac:dyDescent="0.25">
      <c r="H222" s="251"/>
      <c r="J222" s="152"/>
    </row>
    <row r="223" spans="8:10" x14ac:dyDescent="0.25">
      <c r="H223" s="251"/>
      <c r="J223" s="152"/>
    </row>
    <row r="224" spans="8:10" x14ac:dyDescent="0.25">
      <c r="H224" s="251"/>
      <c r="J224" s="152"/>
    </row>
    <row r="225" spans="4:10" x14ac:dyDescent="0.25">
      <c r="H225" s="251"/>
      <c r="J225" s="152"/>
    </row>
    <row r="226" spans="4:10" x14ac:dyDescent="0.25">
      <c r="H226" s="251"/>
      <c r="J226" s="152"/>
    </row>
    <row r="227" spans="4:10" x14ac:dyDescent="0.25">
      <c r="H227" s="251"/>
      <c r="J227" s="152"/>
    </row>
    <row r="228" spans="4:10" x14ac:dyDescent="0.25">
      <c r="H228" s="251"/>
      <c r="J228" s="152"/>
    </row>
    <row r="229" spans="4:10" x14ac:dyDescent="0.25">
      <c r="H229" s="251"/>
      <c r="J229" s="152"/>
    </row>
    <row r="230" spans="4:10" x14ac:dyDescent="0.25">
      <c r="D230" s="250"/>
      <c r="H230" s="251"/>
      <c r="J230" s="152"/>
    </row>
    <row r="231" spans="4:10" x14ac:dyDescent="0.25">
      <c r="H231" s="251"/>
      <c r="J231" s="152"/>
    </row>
    <row r="232" spans="4:10" x14ac:dyDescent="0.25">
      <c r="H232" s="251"/>
      <c r="J232" s="152"/>
    </row>
    <row r="233" spans="4:10" x14ac:dyDescent="0.25">
      <c r="H233" s="251"/>
      <c r="J233" s="152"/>
    </row>
    <row r="234" spans="4:10" x14ac:dyDescent="0.25">
      <c r="H234" s="251"/>
      <c r="J234" s="152"/>
    </row>
    <row r="235" spans="4:10" x14ac:dyDescent="0.25">
      <c r="H235" s="251"/>
      <c r="J235" s="152"/>
    </row>
    <row r="236" spans="4:10" x14ac:dyDescent="0.25">
      <c r="H236" s="251"/>
      <c r="J236" s="152"/>
    </row>
    <row r="237" spans="4:10" x14ac:dyDescent="0.25">
      <c r="H237" s="251"/>
      <c r="J237" s="152"/>
    </row>
    <row r="238" spans="4:10" x14ac:dyDescent="0.25">
      <c r="H238" s="251"/>
      <c r="J238" s="152"/>
    </row>
    <row r="239" spans="4:10" x14ac:dyDescent="0.25">
      <c r="H239" s="251"/>
      <c r="J239" s="152"/>
    </row>
    <row r="240" spans="4:10" x14ac:dyDescent="0.25">
      <c r="H240" s="251"/>
      <c r="J240" s="152"/>
    </row>
    <row r="241" spans="8:10" x14ac:dyDescent="0.25">
      <c r="H241" s="251"/>
      <c r="J241" s="152"/>
    </row>
    <row r="242" spans="8:10" x14ac:dyDescent="0.25">
      <c r="H242" s="251"/>
      <c r="J242" s="152"/>
    </row>
    <row r="243" spans="8:10" x14ac:dyDescent="0.25">
      <c r="H243" s="251"/>
      <c r="J243" s="152"/>
    </row>
    <row r="244" spans="8:10" x14ac:dyDescent="0.25">
      <c r="H244" s="251"/>
      <c r="J244" s="152"/>
    </row>
    <row r="245" spans="8:10" x14ac:dyDescent="0.25">
      <c r="H245" s="251"/>
      <c r="J245" s="152"/>
    </row>
    <row r="246" spans="8:10" x14ac:dyDescent="0.25">
      <c r="H246" s="251"/>
      <c r="J246" s="152"/>
    </row>
    <row r="247" spans="8:10" x14ac:dyDescent="0.25">
      <c r="H247" s="251"/>
      <c r="J247" s="152"/>
    </row>
    <row r="248" spans="8:10" x14ac:dyDescent="0.25">
      <c r="H248" s="251"/>
      <c r="J248" s="152"/>
    </row>
    <row r="249" spans="8:10" x14ac:dyDescent="0.25">
      <c r="H249" s="251"/>
      <c r="J249" s="152"/>
    </row>
    <row r="250" spans="8:10" x14ac:dyDescent="0.25">
      <c r="H250" s="251"/>
      <c r="J250" s="152"/>
    </row>
    <row r="251" spans="8:10" x14ac:dyDescent="0.25">
      <c r="H251" s="251"/>
      <c r="J251" s="152"/>
    </row>
    <row r="252" spans="8:10" x14ac:dyDescent="0.25">
      <c r="H252" s="251"/>
      <c r="J252" s="152"/>
    </row>
    <row r="253" spans="8:10" x14ac:dyDescent="0.25">
      <c r="H253" s="251"/>
      <c r="J253" s="152"/>
    </row>
    <row r="254" spans="8:10" x14ac:dyDescent="0.25">
      <c r="H254" s="251"/>
      <c r="J254" s="152"/>
    </row>
    <row r="255" spans="8:10" x14ac:dyDescent="0.25">
      <c r="H255" s="251"/>
      <c r="J255" s="152"/>
    </row>
    <row r="256" spans="8:10" x14ac:dyDescent="0.25">
      <c r="H256" s="251"/>
      <c r="J256" s="152"/>
    </row>
    <row r="257" spans="4:10" x14ac:dyDescent="0.25">
      <c r="H257" s="251"/>
      <c r="J257" s="152"/>
    </row>
    <row r="258" spans="4:10" x14ac:dyDescent="0.25">
      <c r="H258" s="251"/>
      <c r="J258" s="152"/>
    </row>
    <row r="259" spans="4:10" x14ac:dyDescent="0.25">
      <c r="H259" s="251"/>
      <c r="J259" s="152"/>
    </row>
    <row r="260" spans="4:10" x14ac:dyDescent="0.25">
      <c r="H260" s="251"/>
      <c r="J260" s="152"/>
    </row>
    <row r="261" spans="4:10" x14ac:dyDescent="0.25">
      <c r="H261" s="251"/>
      <c r="J261" s="152"/>
    </row>
    <row r="262" spans="4:10" x14ac:dyDescent="0.25">
      <c r="H262" s="251"/>
      <c r="J262" s="152"/>
    </row>
    <row r="263" spans="4:10" x14ac:dyDescent="0.25">
      <c r="H263" s="251"/>
      <c r="J263" s="152"/>
    </row>
    <row r="264" spans="4:10" x14ac:dyDescent="0.25">
      <c r="H264" s="251"/>
      <c r="J264" s="152"/>
    </row>
    <row r="265" spans="4:10" x14ac:dyDescent="0.25">
      <c r="H265" s="251"/>
      <c r="J265" s="152"/>
    </row>
    <row r="266" spans="4:10" x14ac:dyDescent="0.25">
      <c r="H266" s="251"/>
      <c r="J266" s="152"/>
    </row>
    <row r="267" spans="4:10" x14ac:dyDescent="0.25">
      <c r="H267" s="251"/>
      <c r="J267" s="152"/>
    </row>
    <row r="268" spans="4:10" x14ac:dyDescent="0.25">
      <c r="H268" s="251"/>
      <c r="J268" s="152"/>
    </row>
    <row r="269" spans="4:10" x14ac:dyDescent="0.25">
      <c r="H269" s="251"/>
      <c r="J269" s="152"/>
    </row>
    <row r="270" spans="4:10" x14ac:dyDescent="0.25">
      <c r="H270" s="251"/>
      <c r="J270" s="152"/>
    </row>
    <row r="271" spans="4:10" x14ac:dyDescent="0.25">
      <c r="D271" s="216"/>
      <c r="H271" s="251"/>
      <c r="J271" s="152"/>
    </row>
    <row r="272" spans="4:10" x14ac:dyDescent="0.25">
      <c r="H272" s="251"/>
      <c r="J272" s="152"/>
    </row>
    <row r="273" spans="8:10" x14ac:dyDescent="0.25">
      <c r="H273" s="251"/>
      <c r="J273" s="152"/>
    </row>
    <row r="274" spans="8:10" x14ac:dyDescent="0.25">
      <c r="H274" s="251"/>
      <c r="J274" s="152"/>
    </row>
    <row r="275" spans="8:10" x14ac:dyDescent="0.25">
      <c r="H275" s="251"/>
      <c r="J275" s="152"/>
    </row>
    <row r="276" spans="8:10" x14ac:dyDescent="0.25">
      <c r="H276" s="251"/>
      <c r="J276" s="152"/>
    </row>
    <row r="277" spans="8:10" x14ac:dyDescent="0.25">
      <c r="H277" s="251"/>
      <c r="J277" s="152"/>
    </row>
    <row r="278" spans="8:10" x14ac:dyDescent="0.25">
      <c r="H278" s="251"/>
      <c r="J278" s="152"/>
    </row>
    <row r="279" spans="8:10" x14ac:dyDescent="0.25">
      <c r="H279" s="251"/>
      <c r="J279" s="152"/>
    </row>
    <row r="280" spans="8:10" x14ac:dyDescent="0.25">
      <c r="H280" s="251"/>
      <c r="J280" s="152"/>
    </row>
    <row r="281" spans="8:10" x14ac:dyDescent="0.25">
      <c r="H281" s="251"/>
      <c r="J281" s="152"/>
    </row>
    <row r="282" spans="8:10" x14ac:dyDescent="0.25">
      <c r="H282" s="251"/>
      <c r="J282" s="152"/>
    </row>
    <row r="283" spans="8:10" x14ac:dyDescent="0.25">
      <c r="H283" s="251"/>
      <c r="J283" s="152"/>
    </row>
    <row r="284" spans="8:10" x14ac:dyDescent="0.25">
      <c r="H284" s="251"/>
      <c r="J284" s="152"/>
    </row>
    <row r="285" spans="8:10" x14ac:dyDescent="0.25">
      <c r="H285" s="251"/>
      <c r="J285" s="152"/>
    </row>
    <row r="286" spans="8:10" x14ac:dyDescent="0.25">
      <c r="H286" s="251"/>
      <c r="J286" s="152"/>
    </row>
    <row r="287" spans="8:10" x14ac:dyDescent="0.25">
      <c r="H287" s="251"/>
      <c r="J287" s="152"/>
    </row>
    <row r="288" spans="8:10" x14ac:dyDescent="0.25">
      <c r="H288" s="251"/>
      <c r="J288" s="152"/>
    </row>
    <row r="289" spans="8:10" x14ac:dyDescent="0.25">
      <c r="H289" s="251"/>
      <c r="J289" s="152"/>
    </row>
    <row r="290" spans="8:10" x14ac:dyDescent="0.25">
      <c r="H290" s="251"/>
      <c r="J290" s="152"/>
    </row>
    <row r="291" spans="8:10" x14ac:dyDescent="0.25">
      <c r="H291" s="251"/>
      <c r="J291" s="152"/>
    </row>
    <row r="292" spans="8:10" x14ac:dyDescent="0.25">
      <c r="H292" s="251"/>
      <c r="J292" s="152"/>
    </row>
    <row r="293" spans="8:10" x14ac:dyDescent="0.25">
      <c r="H293" s="251"/>
      <c r="J293" s="152"/>
    </row>
    <row r="294" spans="8:10" x14ac:dyDescent="0.25">
      <c r="H294" s="251"/>
      <c r="J294" s="152"/>
    </row>
    <row r="295" spans="8:10" x14ac:dyDescent="0.25">
      <c r="H295" s="251"/>
      <c r="J295" s="152"/>
    </row>
    <row r="296" spans="8:10" x14ac:dyDescent="0.25">
      <c r="H296" s="251"/>
      <c r="J296" s="152"/>
    </row>
    <row r="297" spans="8:10" x14ac:dyDescent="0.25">
      <c r="H297" s="251"/>
      <c r="J297" s="152"/>
    </row>
    <row r="298" spans="8:10" x14ac:dyDescent="0.25">
      <c r="H298" s="251"/>
      <c r="J298" s="152"/>
    </row>
    <row r="299" spans="8:10" x14ac:dyDescent="0.25">
      <c r="H299" s="251"/>
      <c r="J299" s="152"/>
    </row>
    <row r="300" spans="8:10" x14ac:dyDescent="0.25">
      <c r="H300" s="251"/>
      <c r="J300" s="152"/>
    </row>
    <row r="301" spans="8:10" x14ac:dyDescent="0.25">
      <c r="H301" s="251"/>
      <c r="J301" s="152"/>
    </row>
    <row r="302" spans="8:10" x14ac:dyDescent="0.25">
      <c r="H302" s="251"/>
      <c r="J302" s="152"/>
    </row>
    <row r="303" spans="8:10" x14ac:dyDescent="0.25">
      <c r="H303" s="251"/>
      <c r="J303" s="152"/>
    </row>
    <row r="304" spans="8:10" x14ac:dyDescent="0.25">
      <c r="H304" s="251"/>
      <c r="J304" s="152"/>
    </row>
    <row r="305" spans="8:10" x14ac:dyDescent="0.25">
      <c r="H305" s="251"/>
      <c r="J305" s="152"/>
    </row>
    <row r="306" spans="8:10" x14ac:dyDescent="0.25">
      <c r="H306" s="251"/>
      <c r="J306" s="152"/>
    </row>
    <row r="307" spans="8:10" x14ac:dyDescent="0.25">
      <c r="H307" s="251"/>
      <c r="J307" s="152"/>
    </row>
    <row r="308" spans="8:10" x14ac:dyDescent="0.25">
      <c r="H308" s="251"/>
      <c r="J308" s="152"/>
    </row>
    <row r="309" spans="8:10" x14ac:dyDescent="0.25">
      <c r="H309" s="251"/>
      <c r="J309" s="152"/>
    </row>
    <row r="310" spans="8:10" x14ac:dyDescent="0.25">
      <c r="H310" s="251"/>
      <c r="J310" s="152"/>
    </row>
    <row r="311" spans="8:10" x14ac:dyDescent="0.25">
      <c r="H311" s="251"/>
      <c r="J311" s="152"/>
    </row>
    <row r="312" spans="8:10" x14ac:dyDescent="0.25">
      <c r="H312" s="251"/>
      <c r="J312" s="152"/>
    </row>
    <row r="313" spans="8:10" x14ac:dyDescent="0.25">
      <c r="H313" s="251"/>
      <c r="J313" s="152"/>
    </row>
    <row r="314" spans="8:10" x14ac:dyDescent="0.25">
      <c r="H314" s="251"/>
      <c r="J314" s="152"/>
    </row>
    <row r="315" spans="8:10" x14ac:dyDescent="0.25">
      <c r="H315" s="251"/>
      <c r="J315" s="152"/>
    </row>
    <row r="316" spans="8:10" x14ac:dyDescent="0.25">
      <c r="H316" s="251"/>
      <c r="J316" s="152"/>
    </row>
    <row r="317" spans="8:10" x14ac:dyDescent="0.25">
      <c r="H317" s="251"/>
      <c r="J317" s="152"/>
    </row>
    <row r="318" spans="8:10" x14ac:dyDescent="0.25">
      <c r="H318" s="251"/>
      <c r="J318" s="152"/>
    </row>
    <row r="319" spans="8:10" x14ac:dyDescent="0.25">
      <c r="H319" s="251"/>
      <c r="J319" s="152"/>
    </row>
    <row r="320" spans="8:10" x14ac:dyDescent="0.25">
      <c r="H320" s="251"/>
      <c r="J320" s="152"/>
    </row>
    <row r="321" spans="8:10" x14ac:dyDescent="0.25">
      <c r="H321" s="251"/>
      <c r="J321" s="152"/>
    </row>
    <row r="322" spans="8:10" x14ac:dyDescent="0.25">
      <c r="H322" s="251"/>
      <c r="J322" s="152"/>
    </row>
    <row r="323" spans="8:10" x14ac:dyDescent="0.25">
      <c r="H323" s="251"/>
      <c r="J323" s="152"/>
    </row>
    <row r="324" spans="8:10" x14ac:dyDescent="0.25">
      <c r="H324" s="251"/>
      <c r="J324" s="152"/>
    </row>
    <row r="325" spans="8:10" x14ac:dyDescent="0.25">
      <c r="H325" s="251"/>
      <c r="J325" s="152"/>
    </row>
    <row r="326" spans="8:10" x14ac:dyDescent="0.25">
      <c r="H326" s="251"/>
      <c r="J326" s="152"/>
    </row>
    <row r="327" spans="8:10" x14ac:dyDescent="0.25">
      <c r="H327" s="251"/>
      <c r="J327" s="152"/>
    </row>
    <row r="328" spans="8:10" x14ac:dyDescent="0.25">
      <c r="H328" s="251"/>
      <c r="J328" s="152"/>
    </row>
    <row r="329" spans="8:10" x14ac:dyDescent="0.25">
      <c r="H329" s="251"/>
      <c r="J329" s="152"/>
    </row>
    <row r="330" spans="8:10" x14ac:dyDescent="0.25">
      <c r="H330" s="251"/>
      <c r="J330" s="152"/>
    </row>
    <row r="331" spans="8:10" x14ac:dyDescent="0.25">
      <c r="H331" s="251"/>
      <c r="J331" s="152"/>
    </row>
    <row r="332" spans="8:10" x14ac:dyDescent="0.25">
      <c r="H332" s="251"/>
      <c r="J332" s="152"/>
    </row>
    <row r="333" spans="8:10" x14ac:dyDescent="0.25">
      <c r="H333" s="251"/>
      <c r="J333" s="152"/>
    </row>
    <row r="334" spans="8:10" x14ac:dyDescent="0.25">
      <c r="H334" s="251"/>
      <c r="J334" s="152"/>
    </row>
    <row r="335" spans="8:10" x14ac:dyDescent="0.25">
      <c r="H335" s="251"/>
      <c r="J335" s="152"/>
    </row>
    <row r="336" spans="8:10" x14ac:dyDescent="0.25">
      <c r="H336" s="251"/>
      <c r="J336" s="152"/>
    </row>
    <row r="337" spans="8:10" x14ac:dyDescent="0.25">
      <c r="H337" s="251"/>
      <c r="J337" s="152"/>
    </row>
    <row r="338" spans="8:10" x14ac:dyDescent="0.25">
      <c r="H338" s="251"/>
      <c r="J338" s="152"/>
    </row>
    <row r="339" spans="8:10" x14ac:dyDescent="0.25">
      <c r="H339" s="251"/>
      <c r="J339" s="152"/>
    </row>
    <row r="340" spans="8:10" x14ac:dyDescent="0.25">
      <c r="H340" s="251"/>
      <c r="J340" s="152"/>
    </row>
    <row r="341" spans="8:10" x14ac:dyDescent="0.25">
      <c r="H341" s="251"/>
      <c r="J341" s="152"/>
    </row>
    <row r="342" spans="8:10" x14ac:dyDescent="0.25">
      <c r="H342" s="251"/>
      <c r="J342" s="152"/>
    </row>
    <row r="343" spans="8:10" x14ac:dyDescent="0.25">
      <c r="H343" s="251"/>
      <c r="J343" s="152"/>
    </row>
    <row r="344" spans="8:10" x14ac:dyDescent="0.25">
      <c r="H344" s="251"/>
      <c r="J344" s="152"/>
    </row>
    <row r="345" spans="8:10" x14ac:dyDescent="0.25">
      <c r="H345" s="251"/>
      <c r="J345" s="152"/>
    </row>
    <row r="346" spans="8:10" x14ac:dyDescent="0.25">
      <c r="H346" s="251"/>
      <c r="J346" s="152"/>
    </row>
    <row r="347" spans="8:10" x14ac:dyDescent="0.25">
      <c r="H347" s="251"/>
      <c r="J347" s="152"/>
    </row>
    <row r="348" spans="8:10" x14ac:dyDescent="0.25">
      <c r="H348" s="251"/>
      <c r="J348" s="152"/>
    </row>
    <row r="349" spans="8:10" x14ac:dyDescent="0.25">
      <c r="H349" s="251"/>
      <c r="J349" s="152"/>
    </row>
    <row r="350" spans="8:10" x14ac:dyDescent="0.25">
      <c r="H350" s="251"/>
      <c r="J350" s="152"/>
    </row>
    <row r="351" spans="8:10" x14ac:dyDescent="0.25">
      <c r="H351" s="251"/>
      <c r="J351" s="152"/>
    </row>
    <row r="352" spans="8:10" x14ac:dyDescent="0.25">
      <c r="H352" s="251"/>
      <c r="J352" s="152"/>
    </row>
    <row r="353" spans="8:10" x14ac:dyDescent="0.25">
      <c r="H353" s="251"/>
      <c r="J353" s="152"/>
    </row>
    <row r="354" spans="8:10" x14ac:dyDescent="0.25">
      <c r="H354" s="251"/>
      <c r="J354" s="152"/>
    </row>
    <row r="355" spans="8:10" x14ac:dyDescent="0.25">
      <c r="H355" s="251"/>
      <c r="J355" s="152"/>
    </row>
    <row r="356" spans="8:10" x14ac:dyDescent="0.25">
      <c r="H356" s="251"/>
      <c r="J356" s="152"/>
    </row>
    <row r="357" spans="8:10" x14ac:dyDescent="0.25">
      <c r="H357" s="251"/>
      <c r="J357" s="152"/>
    </row>
    <row r="358" spans="8:10" x14ac:dyDescent="0.25">
      <c r="H358" s="251"/>
      <c r="J358" s="152"/>
    </row>
    <row r="359" spans="8:10" x14ac:dyDescent="0.25">
      <c r="H359" s="251"/>
      <c r="J359" s="152"/>
    </row>
    <row r="360" spans="8:10" x14ac:dyDescent="0.25">
      <c r="H360" s="251"/>
      <c r="J360" s="152"/>
    </row>
    <row r="361" spans="8:10" x14ac:dyDescent="0.25">
      <c r="H361" s="251"/>
      <c r="J361" s="152"/>
    </row>
    <row r="362" spans="8:10" x14ac:dyDescent="0.25">
      <c r="H362" s="251"/>
      <c r="J362" s="152"/>
    </row>
    <row r="363" spans="8:10" x14ac:dyDescent="0.25">
      <c r="H363" s="251"/>
      <c r="J363" s="152"/>
    </row>
    <row r="364" spans="8:10" x14ac:dyDescent="0.25">
      <c r="H364" s="251"/>
      <c r="J364" s="152"/>
    </row>
    <row r="365" spans="8:10" x14ac:dyDescent="0.25">
      <c r="H365" s="251"/>
      <c r="J365" s="152"/>
    </row>
    <row r="366" spans="8:10" x14ac:dyDescent="0.25">
      <c r="H366" s="251"/>
      <c r="J366" s="152"/>
    </row>
    <row r="367" spans="8:10" x14ac:dyDescent="0.25">
      <c r="H367" s="251"/>
      <c r="J367" s="152"/>
    </row>
    <row r="368" spans="8:10" x14ac:dyDescent="0.25">
      <c r="H368" s="251"/>
      <c r="J368" s="152"/>
    </row>
    <row r="369" spans="8:10" x14ac:dyDescent="0.25">
      <c r="H369" s="251"/>
      <c r="J369" s="152"/>
    </row>
    <row r="370" spans="8:10" x14ac:dyDescent="0.25">
      <c r="H370" s="251"/>
      <c r="J370" s="152"/>
    </row>
    <row r="371" spans="8:10" x14ac:dyDescent="0.25">
      <c r="H371" s="251"/>
      <c r="J371" s="152"/>
    </row>
    <row r="372" spans="8:10" x14ac:dyDescent="0.25">
      <c r="H372" s="251"/>
      <c r="J372" s="152"/>
    </row>
    <row r="373" spans="8:10" x14ac:dyDescent="0.25">
      <c r="H373" s="251"/>
      <c r="J373" s="152"/>
    </row>
    <row r="374" spans="8:10" x14ac:dyDescent="0.25">
      <c r="H374" s="251"/>
      <c r="J374" s="152"/>
    </row>
    <row r="375" spans="8:10" x14ac:dyDescent="0.25">
      <c r="H375" s="251"/>
      <c r="J375" s="152"/>
    </row>
    <row r="376" spans="8:10" x14ac:dyDescent="0.25">
      <c r="H376" s="251"/>
      <c r="J376" s="152"/>
    </row>
    <row r="377" spans="8:10" x14ac:dyDescent="0.25">
      <c r="H377" s="251"/>
      <c r="J377" s="152"/>
    </row>
    <row r="378" spans="8:10" x14ac:dyDescent="0.25">
      <c r="H378" s="251"/>
      <c r="J378" s="152"/>
    </row>
    <row r="379" spans="8:10" x14ac:dyDescent="0.25">
      <c r="H379" s="251"/>
      <c r="J379" s="152"/>
    </row>
    <row r="380" spans="8:10" x14ac:dyDescent="0.25">
      <c r="H380" s="251"/>
      <c r="J380" s="152"/>
    </row>
    <row r="381" spans="8:10" x14ac:dyDescent="0.25">
      <c r="H381" s="251"/>
      <c r="J381" s="152"/>
    </row>
    <row r="382" spans="8:10" x14ac:dyDescent="0.25">
      <c r="H382" s="251"/>
      <c r="J382" s="152"/>
    </row>
    <row r="383" spans="8:10" x14ac:dyDescent="0.25">
      <c r="H383" s="251"/>
      <c r="J383" s="152"/>
    </row>
    <row r="384" spans="8:10" x14ac:dyDescent="0.25">
      <c r="H384" s="251"/>
      <c r="J384" s="152"/>
    </row>
    <row r="385" spans="8:10" x14ac:dyDescent="0.25">
      <c r="H385" s="251"/>
      <c r="J385" s="152"/>
    </row>
    <row r="386" spans="8:10" x14ac:dyDescent="0.25">
      <c r="H386" s="251"/>
      <c r="J386" s="152"/>
    </row>
    <row r="387" spans="8:10" x14ac:dyDescent="0.25">
      <c r="H387" s="251"/>
      <c r="J387" s="152"/>
    </row>
    <row r="388" spans="8:10" x14ac:dyDescent="0.25">
      <c r="H388" s="251"/>
      <c r="J388" s="152"/>
    </row>
    <row r="389" spans="8:10" x14ac:dyDescent="0.25">
      <c r="H389" s="251"/>
      <c r="J389" s="152"/>
    </row>
    <row r="390" spans="8:10" x14ac:dyDescent="0.25">
      <c r="H390" s="251"/>
      <c r="J390" s="152"/>
    </row>
    <row r="391" spans="8:10" x14ac:dyDescent="0.25">
      <c r="H391" s="251"/>
      <c r="J391" s="152"/>
    </row>
    <row r="392" spans="8:10" x14ac:dyDescent="0.25">
      <c r="H392" s="251"/>
      <c r="J392" s="152"/>
    </row>
    <row r="393" spans="8:10" x14ac:dyDescent="0.25">
      <c r="H393" s="251"/>
      <c r="J393" s="152"/>
    </row>
    <row r="394" spans="8:10" x14ac:dyDescent="0.25">
      <c r="H394" s="251"/>
      <c r="J394" s="152"/>
    </row>
    <row r="395" spans="8:10" x14ac:dyDescent="0.25">
      <c r="H395" s="251"/>
      <c r="J395" s="152"/>
    </row>
    <row r="396" spans="8:10" x14ac:dyDescent="0.25">
      <c r="H396" s="251"/>
      <c r="J396" s="152"/>
    </row>
    <row r="397" spans="8:10" x14ac:dyDescent="0.25">
      <c r="H397" s="251"/>
      <c r="J397" s="152"/>
    </row>
    <row r="398" spans="8:10" x14ac:dyDescent="0.25">
      <c r="H398" s="251"/>
      <c r="J398" s="152"/>
    </row>
    <row r="399" spans="8:10" x14ac:dyDescent="0.25">
      <c r="H399" s="251"/>
      <c r="J399" s="152"/>
    </row>
    <row r="400" spans="8:10" x14ac:dyDescent="0.25">
      <c r="H400" s="251"/>
      <c r="J400" s="152"/>
    </row>
    <row r="401" spans="8:10" x14ac:dyDescent="0.25">
      <c r="H401" s="251"/>
      <c r="J401" s="152"/>
    </row>
    <row r="402" spans="8:10" x14ac:dyDescent="0.25">
      <c r="H402" s="251"/>
      <c r="J402" s="152"/>
    </row>
    <row r="403" spans="8:10" x14ac:dyDescent="0.25">
      <c r="H403" s="251"/>
      <c r="J403" s="152"/>
    </row>
    <row r="404" spans="8:10" x14ac:dyDescent="0.25">
      <c r="H404" s="251"/>
      <c r="J404" s="152"/>
    </row>
    <row r="405" spans="8:10" x14ac:dyDescent="0.25">
      <c r="H405" s="251"/>
      <c r="J405" s="152"/>
    </row>
    <row r="406" spans="8:10" x14ac:dyDescent="0.25">
      <c r="H406" s="251"/>
      <c r="J406" s="152"/>
    </row>
    <row r="407" spans="8:10" x14ac:dyDescent="0.25">
      <c r="H407" s="251"/>
      <c r="J407" s="152"/>
    </row>
    <row r="408" spans="8:10" x14ac:dyDescent="0.25">
      <c r="H408" s="251"/>
      <c r="J408" s="152"/>
    </row>
    <row r="409" spans="8:10" x14ac:dyDescent="0.25">
      <c r="H409" s="251"/>
      <c r="J409" s="152"/>
    </row>
    <row r="410" spans="8:10" x14ac:dyDescent="0.25">
      <c r="H410" s="251"/>
      <c r="J410" s="152"/>
    </row>
    <row r="411" spans="8:10" x14ac:dyDescent="0.25">
      <c r="H411" s="251"/>
      <c r="J411" s="152"/>
    </row>
    <row r="412" spans="8:10" x14ac:dyDescent="0.25">
      <c r="H412" s="251"/>
      <c r="J412" s="152"/>
    </row>
    <row r="413" spans="8:10" x14ac:dyDescent="0.25">
      <c r="H413" s="251"/>
      <c r="J413" s="152"/>
    </row>
    <row r="414" spans="8:10" x14ac:dyDescent="0.25">
      <c r="H414" s="251"/>
      <c r="J414" s="152"/>
    </row>
    <row r="415" spans="8:10" x14ac:dyDescent="0.25">
      <c r="H415" s="251"/>
      <c r="J415" s="152"/>
    </row>
    <row r="416" spans="8:10" x14ac:dyDescent="0.25">
      <c r="H416" s="251"/>
      <c r="J416" s="152"/>
    </row>
    <row r="417" spans="8:10" x14ac:dyDescent="0.25">
      <c r="H417" s="251"/>
      <c r="J417" s="152"/>
    </row>
    <row r="418" spans="8:10" x14ac:dyDescent="0.25">
      <c r="H418" s="251"/>
      <c r="J418" s="152"/>
    </row>
    <row r="419" spans="8:10" x14ac:dyDescent="0.25">
      <c r="H419" s="251"/>
      <c r="J419" s="152"/>
    </row>
    <row r="420" spans="8:10" x14ac:dyDescent="0.25">
      <c r="H420" s="251"/>
      <c r="J420" s="152"/>
    </row>
    <row r="421" spans="8:10" x14ac:dyDescent="0.25">
      <c r="H421" s="251"/>
      <c r="J421" s="152"/>
    </row>
    <row r="422" spans="8:10" x14ac:dyDescent="0.25">
      <c r="H422" s="251"/>
      <c r="J422" s="152"/>
    </row>
    <row r="423" spans="8:10" x14ac:dyDescent="0.25">
      <c r="H423" s="251"/>
      <c r="J423" s="152"/>
    </row>
    <row r="424" spans="8:10" x14ac:dyDescent="0.25">
      <c r="H424" s="251"/>
      <c r="J424" s="152"/>
    </row>
    <row r="425" spans="8:10" x14ac:dyDescent="0.25">
      <c r="H425" s="251"/>
      <c r="J425" s="152"/>
    </row>
    <row r="426" spans="8:10" x14ac:dyDescent="0.25">
      <c r="H426" s="251"/>
      <c r="J426" s="152"/>
    </row>
    <row r="427" spans="8:10" x14ac:dyDescent="0.25">
      <c r="H427" s="251"/>
      <c r="J427" s="152"/>
    </row>
    <row r="428" spans="8:10" x14ac:dyDescent="0.25">
      <c r="H428" s="251"/>
      <c r="J428" s="152"/>
    </row>
    <row r="429" spans="8:10" x14ac:dyDescent="0.25">
      <c r="H429" s="251"/>
      <c r="J429" s="152"/>
    </row>
    <row r="430" spans="8:10" x14ac:dyDescent="0.25">
      <c r="H430" s="251"/>
      <c r="J430" s="152"/>
    </row>
    <row r="431" spans="8:10" x14ac:dyDescent="0.25">
      <c r="H431" s="251"/>
      <c r="J431" s="152"/>
    </row>
    <row r="432" spans="8:10" x14ac:dyDescent="0.25">
      <c r="H432" s="251"/>
      <c r="J432" s="152"/>
    </row>
    <row r="433" spans="8:10" x14ac:dyDescent="0.25">
      <c r="H433" s="251"/>
      <c r="J433" s="152"/>
    </row>
    <row r="434" spans="8:10" x14ac:dyDescent="0.25">
      <c r="H434" s="251"/>
      <c r="J434" s="152"/>
    </row>
    <row r="435" spans="8:10" x14ac:dyDescent="0.25">
      <c r="H435" s="251"/>
      <c r="J435" s="152"/>
    </row>
    <row r="436" spans="8:10" x14ac:dyDescent="0.25">
      <c r="H436" s="251"/>
      <c r="J436" s="152"/>
    </row>
    <row r="437" spans="8:10" x14ac:dyDescent="0.25">
      <c r="H437" s="251"/>
      <c r="J437" s="152"/>
    </row>
    <row r="438" spans="8:10" x14ac:dyDescent="0.25">
      <c r="H438" s="251"/>
      <c r="J438" s="152"/>
    </row>
    <row r="439" spans="8:10" x14ac:dyDescent="0.25">
      <c r="H439" s="251"/>
      <c r="J439" s="152"/>
    </row>
    <row r="440" spans="8:10" x14ac:dyDescent="0.25">
      <c r="H440" s="251"/>
      <c r="J440" s="152"/>
    </row>
    <row r="441" spans="8:10" x14ac:dyDescent="0.25">
      <c r="H441" s="251"/>
      <c r="J441" s="152"/>
    </row>
    <row r="442" spans="8:10" x14ac:dyDescent="0.25">
      <c r="H442" s="251"/>
      <c r="J442" s="152"/>
    </row>
    <row r="443" spans="8:10" x14ac:dyDescent="0.25">
      <c r="H443" s="251"/>
      <c r="J443" s="152"/>
    </row>
    <row r="444" spans="8:10" x14ac:dyDescent="0.25">
      <c r="H444" s="251"/>
      <c r="J444" s="152"/>
    </row>
    <row r="445" spans="8:10" x14ac:dyDescent="0.25">
      <c r="H445" s="251"/>
      <c r="J445" s="152"/>
    </row>
    <row r="446" spans="8:10" x14ac:dyDescent="0.25">
      <c r="H446" s="251"/>
      <c r="J446" s="152"/>
    </row>
    <row r="447" spans="8:10" x14ac:dyDescent="0.25">
      <c r="H447" s="251"/>
      <c r="J447" s="152"/>
    </row>
    <row r="448" spans="8:10" x14ac:dyDescent="0.25">
      <c r="H448" s="251"/>
      <c r="J448" s="152"/>
    </row>
    <row r="449" spans="8:10" x14ac:dyDescent="0.25">
      <c r="H449" s="251"/>
      <c r="J449" s="152"/>
    </row>
    <row r="450" spans="8:10" x14ac:dyDescent="0.25">
      <c r="H450" s="251"/>
      <c r="J450" s="152"/>
    </row>
    <row r="451" spans="8:10" x14ac:dyDescent="0.25">
      <c r="H451" s="251"/>
      <c r="J451" s="152"/>
    </row>
    <row r="452" spans="8:10" x14ac:dyDescent="0.25">
      <c r="H452" s="251"/>
      <c r="J452" s="152"/>
    </row>
    <row r="453" spans="8:10" x14ac:dyDescent="0.25">
      <c r="H453" s="251"/>
      <c r="J453" s="152"/>
    </row>
    <row r="454" spans="8:10" x14ac:dyDescent="0.25">
      <c r="H454" s="251"/>
      <c r="J454" s="152"/>
    </row>
    <row r="455" spans="8:10" x14ac:dyDescent="0.25">
      <c r="H455" s="251"/>
      <c r="J455" s="152"/>
    </row>
    <row r="456" spans="8:10" x14ac:dyDescent="0.25">
      <c r="H456" s="251"/>
      <c r="J456" s="152"/>
    </row>
    <row r="457" spans="8:10" x14ac:dyDescent="0.25">
      <c r="H457" s="251"/>
      <c r="J457" s="152"/>
    </row>
    <row r="458" spans="8:10" x14ac:dyDescent="0.25">
      <c r="H458" s="251"/>
      <c r="J458" s="152"/>
    </row>
    <row r="459" spans="8:10" x14ac:dyDescent="0.25">
      <c r="H459" s="251"/>
      <c r="J459" s="152"/>
    </row>
    <row r="460" spans="8:10" x14ac:dyDescent="0.25">
      <c r="H460" s="251"/>
      <c r="J460" s="152"/>
    </row>
    <row r="461" spans="8:10" x14ac:dyDescent="0.25">
      <c r="H461" s="251"/>
      <c r="J461" s="152"/>
    </row>
    <row r="462" spans="8:10" x14ac:dyDescent="0.25">
      <c r="H462" s="251"/>
      <c r="J462" s="152"/>
    </row>
    <row r="463" spans="8:10" x14ac:dyDescent="0.25">
      <c r="H463" s="251"/>
      <c r="J463" s="152"/>
    </row>
    <row r="464" spans="8:10" x14ac:dyDescent="0.25">
      <c r="H464" s="251"/>
      <c r="J464" s="152"/>
    </row>
    <row r="465" spans="8:10" x14ac:dyDescent="0.25">
      <c r="H465" s="251"/>
      <c r="J465" s="152"/>
    </row>
    <row r="466" spans="8:10" x14ac:dyDescent="0.25">
      <c r="H466" s="251"/>
      <c r="J466" s="152"/>
    </row>
    <row r="467" spans="8:10" x14ac:dyDescent="0.25">
      <c r="H467" s="251"/>
      <c r="J467" s="152"/>
    </row>
    <row r="468" spans="8:10" x14ac:dyDescent="0.25">
      <c r="H468" s="251"/>
      <c r="J468" s="152"/>
    </row>
    <row r="469" spans="8:10" x14ac:dyDescent="0.25">
      <c r="H469" s="251"/>
      <c r="J469" s="152"/>
    </row>
    <row r="470" spans="8:10" x14ac:dyDescent="0.25">
      <c r="H470" s="251"/>
      <c r="J470" s="152"/>
    </row>
    <row r="471" spans="8:10" x14ac:dyDescent="0.25">
      <c r="H471" s="251"/>
      <c r="J471" s="152"/>
    </row>
    <row r="472" spans="8:10" x14ac:dyDescent="0.25">
      <c r="H472" s="251"/>
      <c r="J472" s="152"/>
    </row>
    <row r="473" spans="8:10" x14ac:dyDescent="0.25">
      <c r="H473" s="251"/>
      <c r="J473" s="152"/>
    </row>
    <row r="474" spans="8:10" x14ac:dyDescent="0.25">
      <c r="H474" s="251"/>
      <c r="J474" s="152"/>
    </row>
    <row r="475" spans="8:10" x14ac:dyDescent="0.25">
      <c r="H475" s="251"/>
      <c r="J475" s="152"/>
    </row>
    <row r="476" spans="8:10" x14ac:dyDescent="0.25">
      <c r="H476" s="251"/>
      <c r="J476" s="152"/>
    </row>
    <row r="477" spans="8:10" x14ac:dyDescent="0.25">
      <c r="H477" s="251"/>
      <c r="J477" s="152"/>
    </row>
    <row r="478" spans="8:10" x14ac:dyDescent="0.25">
      <c r="H478" s="251"/>
      <c r="J478" s="152"/>
    </row>
    <row r="479" spans="8:10" x14ac:dyDescent="0.25">
      <c r="H479" s="251"/>
      <c r="J479" s="152"/>
    </row>
    <row r="480" spans="8:10" x14ac:dyDescent="0.25">
      <c r="H480" s="251"/>
      <c r="J480" s="152"/>
    </row>
    <row r="481" spans="8:10" x14ac:dyDescent="0.25">
      <c r="H481" s="251"/>
      <c r="J481" s="152"/>
    </row>
    <row r="482" spans="8:10" x14ac:dyDescent="0.25">
      <c r="H482" s="251"/>
      <c r="J482" s="152"/>
    </row>
    <row r="483" spans="8:10" x14ac:dyDescent="0.25">
      <c r="H483" s="251"/>
      <c r="J483" s="152"/>
    </row>
    <row r="484" spans="8:10" x14ac:dyDescent="0.25">
      <c r="H484" s="251"/>
      <c r="J484" s="152"/>
    </row>
    <row r="485" spans="8:10" x14ac:dyDescent="0.25">
      <c r="H485" s="251"/>
      <c r="J485" s="152"/>
    </row>
    <row r="486" spans="8:10" x14ac:dyDescent="0.25">
      <c r="H486" s="251"/>
      <c r="J486" s="152"/>
    </row>
    <row r="487" spans="8:10" x14ac:dyDescent="0.25">
      <c r="H487" s="251"/>
      <c r="J487" s="152"/>
    </row>
    <row r="488" spans="8:10" x14ac:dyDescent="0.25">
      <c r="H488" s="251"/>
      <c r="J488" s="152"/>
    </row>
    <row r="489" spans="8:10" x14ac:dyDescent="0.25">
      <c r="H489" s="251"/>
      <c r="J489" s="152"/>
    </row>
    <row r="490" spans="8:10" x14ac:dyDescent="0.25">
      <c r="H490" s="251"/>
      <c r="J490" s="152"/>
    </row>
    <row r="491" spans="8:10" x14ac:dyDescent="0.25">
      <c r="H491" s="251"/>
      <c r="J491" s="152"/>
    </row>
    <row r="492" spans="8:10" x14ac:dyDescent="0.25">
      <c r="H492" s="251"/>
      <c r="J492" s="152"/>
    </row>
    <row r="493" spans="8:10" x14ac:dyDescent="0.25">
      <c r="H493" s="251"/>
      <c r="J493" s="152"/>
    </row>
    <row r="494" spans="8:10" x14ac:dyDescent="0.25">
      <c r="H494" s="251"/>
      <c r="J494" s="152"/>
    </row>
    <row r="495" spans="8:10" x14ac:dyDescent="0.25">
      <c r="H495" s="251"/>
      <c r="J495" s="152"/>
    </row>
    <row r="496" spans="8:10" x14ac:dyDescent="0.25">
      <c r="H496" s="251"/>
      <c r="J496" s="152"/>
    </row>
    <row r="497" spans="8:10" x14ac:dyDescent="0.25">
      <c r="H497" s="251"/>
      <c r="J497" s="152"/>
    </row>
    <row r="498" spans="8:10" x14ac:dyDescent="0.25">
      <c r="H498" s="251"/>
      <c r="J498" s="152"/>
    </row>
    <row r="499" spans="8:10" x14ac:dyDescent="0.25">
      <c r="H499" s="251"/>
      <c r="J499" s="152"/>
    </row>
    <row r="500" spans="8:10" x14ac:dyDescent="0.25">
      <c r="H500" s="251"/>
      <c r="J500" s="152"/>
    </row>
    <row r="501" spans="8:10" x14ac:dyDescent="0.25">
      <c r="H501" s="251"/>
      <c r="J501" s="152"/>
    </row>
    <row r="502" spans="8:10" x14ac:dyDescent="0.25">
      <c r="H502" s="251"/>
      <c r="J502" s="152"/>
    </row>
    <row r="503" spans="8:10" x14ac:dyDescent="0.25">
      <c r="H503" s="251"/>
      <c r="J503" s="152"/>
    </row>
    <row r="504" spans="8:10" x14ac:dyDescent="0.25">
      <c r="H504" s="251"/>
      <c r="J504" s="152"/>
    </row>
    <row r="505" spans="8:10" x14ac:dyDescent="0.25">
      <c r="H505" s="251"/>
      <c r="J505" s="152"/>
    </row>
    <row r="506" spans="8:10" x14ac:dyDescent="0.25">
      <c r="H506" s="251"/>
      <c r="J506" s="152"/>
    </row>
    <row r="507" spans="8:10" x14ac:dyDescent="0.25">
      <c r="H507" s="251"/>
      <c r="J507" s="152"/>
    </row>
    <row r="508" spans="8:10" x14ac:dyDescent="0.25">
      <c r="H508" s="251"/>
      <c r="J508" s="152"/>
    </row>
    <row r="509" spans="8:10" x14ac:dyDescent="0.25">
      <c r="H509" s="251"/>
      <c r="J509" s="152"/>
    </row>
    <row r="510" spans="8:10" x14ac:dyDescent="0.25">
      <c r="H510" s="251"/>
      <c r="J510" s="152"/>
    </row>
    <row r="511" spans="8:10" x14ac:dyDescent="0.25">
      <c r="H511" s="251"/>
      <c r="J511" s="152"/>
    </row>
    <row r="512" spans="8:10" x14ac:dyDescent="0.25">
      <c r="H512" s="251"/>
      <c r="J512" s="152"/>
    </row>
    <row r="513" spans="8:10" x14ac:dyDescent="0.25">
      <c r="H513" s="251"/>
      <c r="J513" s="152"/>
    </row>
    <row r="514" spans="8:10" x14ac:dyDescent="0.25">
      <c r="H514" s="251"/>
      <c r="J514" s="152"/>
    </row>
    <row r="515" spans="8:10" x14ac:dyDescent="0.25">
      <c r="H515" s="251"/>
      <c r="J515" s="152"/>
    </row>
    <row r="516" spans="8:10" x14ac:dyDescent="0.25">
      <c r="H516" s="251"/>
      <c r="J516" s="152"/>
    </row>
    <row r="517" spans="8:10" x14ac:dyDescent="0.25">
      <c r="H517" s="251"/>
      <c r="J517" s="152"/>
    </row>
    <row r="518" spans="8:10" x14ac:dyDescent="0.25">
      <c r="H518" s="251"/>
      <c r="J518" s="152"/>
    </row>
    <row r="519" spans="8:10" x14ac:dyDescent="0.25">
      <c r="H519" s="251"/>
      <c r="J519" s="152"/>
    </row>
    <row r="520" spans="8:10" x14ac:dyDescent="0.25">
      <c r="H520" s="251"/>
      <c r="J520" s="152"/>
    </row>
    <row r="521" spans="8:10" x14ac:dyDescent="0.25">
      <c r="H521" s="251"/>
      <c r="J521" s="152"/>
    </row>
    <row r="522" spans="8:10" x14ac:dyDescent="0.25">
      <c r="H522" s="251"/>
      <c r="J522" s="152"/>
    </row>
    <row r="523" spans="8:10" x14ac:dyDescent="0.25">
      <c r="H523" s="251"/>
      <c r="J523" s="152"/>
    </row>
    <row r="524" spans="8:10" x14ac:dyDescent="0.25">
      <c r="H524" s="251"/>
      <c r="J524" s="152"/>
    </row>
    <row r="525" spans="8:10" x14ac:dyDescent="0.25">
      <c r="H525" s="251"/>
      <c r="J525" s="152"/>
    </row>
    <row r="526" spans="8:10" x14ac:dyDescent="0.25">
      <c r="H526" s="251"/>
      <c r="J526" s="152"/>
    </row>
    <row r="527" spans="8:10" x14ac:dyDescent="0.25">
      <c r="H527" s="251"/>
      <c r="J527" s="152"/>
    </row>
    <row r="528" spans="8:10" x14ac:dyDescent="0.25">
      <c r="H528" s="251"/>
      <c r="J528" s="152"/>
    </row>
    <row r="529" spans="8:10" x14ac:dyDescent="0.25">
      <c r="H529" s="251"/>
      <c r="J529" s="152"/>
    </row>
    <row r="530" spans="8:10" x14ac:dyDescent="0.25">
      <c r="H530" s="251"/>
      <c r="J530" s="152"/>
    </row>
    <row r="531" spans="8:10" x14ac:dyDescent="0.25">
      <c r="H531" s="251"/>
      <c r="J531" s="152"/>
    </row>
    <row r="532" spans="8:10" x14ac:dyDescent="0.25">
      <c r="H532" s="251"/>
      <c r="J532" s="152"/>
    </row>
    <row r="533" spans="8:10" x14ac:dyDescent="0.25">
      <c r="H533" s="251"/>
      <c r="J533" s="152"/>
    </row>
    <row r="534" spans="8:10" x14ac:dyDescent="0.25">
      <c r="H534" s="251"/>
      <c r="J534" s="152"/>
    </row>
    <row r="535" spans="8:10" x14ac:dyDescent="0.25">
      <c r="H535" s="251"/>
      <c r="J535" s="152"/>
    </row>
    <row r="536" spans="8:10" x14ac:dyDescent="0.25">
      <c r="H536" s="251"/>
      <c r="J536" s="152"/>
    </row>
    <row r="537" spans="8:10" x14ac:dyDescent="0.25">
      <c r="H537" s="251"/>
      <c r="J537" s="152"/>
    </row>
    <row r="538" spans="8:10" x14ac:dyDescent="0.25">
      <c r="H538" s="251"/>
      <c r="J538" s="152"/>
    </row>
    <row r="539" spans="8:10" x14ac:dyDescent="0.25">
      <c r="H539" s="251"/>
      <c r="J539" s="152"/>
    </row>
    <row r="540" spans="8:10" x14ac:dyDescent="0.25">
      <c r="H540" s="251"/>
      <c r="J540" s="152"/>
    </row>
    <row r="541" spans="8:10" x14ac:dyDescent="0.25">
      <c r="H541" s="251"/>
      <c r="J541" s="152"/>
    </row>
    <row r="542" spans="8:10" x14ac:dyDescent="0.25">
      <c r="H542" s="251"/>
      <c r="J542" s="152"/>
    </row>
    <row r="543" spans="8:10" x14ac:dyDescent="0.25">
      <c r="H543" s="251"/>
      <c r="J543" s="152"/>
    </row>
    <row r="544" spans="8:10" x14ac:dyDescent="0.25">
      <c r="H544" s="251"/>
      <c r="J544" s="152"/>
    </row>
    <row r="545" spans="7:10" x14ac:dyDescent="0.25">
      <c r="H545" s="251"/>
      <c r="J545" s="152"/>
    </row>
    <row r="546" spans="7:10" x14ac:dyDescent="0.25">
      <c r="H546" s="251"/>
      <c r="J546" s="152"/>
    </row>
    <row r="547" spans="7:10" x14ac:dyDescent="0.25">
      <c r="H547" s="251"/>
      <c r="J547" s="152"/>
    </row>
    <row r="548" spans="7:10" x14ac:dyDescent="0.25">
      <c r="H548" s="251"/>
      <c r="J548" s="152"/>
    </row>
    <row r="549" spans="7:10" x14ac:dyDescent="0.25">
      <c r="H549" s="251"/>
      <c r="J549" s="152"/>
    </row>
    <row r="550" spans="7:10" x14ac:dyDescent="0.25">
      <c r="H550" s="251"/>
      <c r="J550" s="152"/>
    </row>
    <row r="551" spans="7:10" x14ac:dyDescent="0.25">
      <c r="H551" s="251"/>
      <c r="J551" s="152"/>
    </row>
    <row r="552" spans="7:10" x14ac:dyDescent="0.25">
      <c r="H552" s="251"/>
      <c r="J552" s="152"/>
    </row>
    <row r="553" spans="7:10" x14ac:dyDescent="0.25">
      <c r="H553" s="251"/>
      <c r="J553" s="152"/>
    </row>
    <row r="554" spans="7:10" x14ac:dyDescent="0.25">
      <c r="H554" s="251"/>
      <c r="J554" s="152"/>
    </row>
    <row r="555" spans="7:10" x14ac:dyDescent="0.25">
      <c r="H555" s="251"/>
      <c r="J555" s="152"/>
    </row>
    <row r="556" spans="7:10" x14ac:dyDescent="0.25">
      <c r="H556" s="251"/>
      <c r="J556" s="152"/>
    </row>
    <row r="557" spans="7:10" x14ac:dyDescent="0.25">
      <c r="H557" s="251"/>
      <c r="J557" s="152"/>
    </row>
    <row r="558" spans="7:10" x14ac:dyDescent="0.25">
      <c r="H558" s="251"/>
      <c r="J558" s="152"/>
    </row>
    <row r="559" spans="7:10" x14ac:dyDescent="0.25">
      <c r="H559" s="251"/>
      <c r="J559" s="152"/>
    </row>
    <row r="560" spans="7:10" x14ac:dyDescent="0.25">
      <c r="G560" s="161"/>
      <c r="H560" s="251"/>
      <c r="J560" s="152"/>
    </row>
    <row r="561" spans="8:10" x14ac:dyDescent="0.25">
      <c r="H561" s="251"/>
      <c r="J561" s="152"/>
    </row>
    <row r="562" spans="8:10" x14ac:dyDescent="0.25">
      <c r="H562" s="251"/>
      <c r="J562" s="152"/>
    </row>
    <row r="563" spans="8:10" x14ac:dyDescent="0.25">
      <c r="H563" s="251"/>
      <c r="J563" s="152"/>
    </row>
    <row r="564" spans="8:10" x14ac:dyDescent="0.25">
      <c r="H564" s="251"/>
      <c r="J564" s="152"/>
    </row>
    <row r="565" spans="8:10" x14ac:dyDescent="0.25">
      <c r="H565" s="251"/>
      <c r="J565" s="152"/>
    </row>
    <row r="566" spans="8:10" x14ac:dyDescent="0.25">
      <c r="H566" s="251"/>
      <c r="J566" s="152"/>
    </row>
    <row r="567" spans="8:10" x14ac:dyDescent="0.25">
      <c r="H567" s="251"/>
      <c r="J567" s="152"/>
    </row>
    <row r="568" spans="8:10" x14ac:dyDescent="0.25">
      <c r="H568" s="251"/>
      <c r="J568" s="152"/>
    </row>
    <row r="569" spans="8:10" x14ac:dyDescent="0.25">
      <c r="H569" s="251"/>
      <c r="J569" s="152"/>
    </row>
    <row r="570" spans="8:10" x14ac:dyDescent="0.25">
      <c r="H570" s="251"/>
      <c r="J570" s="152"/>
    </row>
    <row r="571" spans="8:10" x14ac:dyDescent="0.25">
      <c r="H571" s="251"/>
      <c r="J571" s="152"/>
    </row>
    <row r="572" spans="8:10" x14ac:dyDescent="0.25">
      <c r="H572" s="251"/>
      <c r="J572" s="152"/>
    </row>
    <row r="573" spans="8:10" x14ac:dyDescent="0.25">
      <c r="H573" s="251"/>
      <c r="J573" s="152"/>
    </row>
    <row r="574" spans="8:10" x14ac:dyDescent="0.25">
      <c r="H574" s="251"/>
      <c r="J574" s="152"/>
    </row>
    <row r="575" spans="8:10" x14ac:dyDescent="0.25">
      <c r="H575" s="251"/>
      <c r="J575" s="152"/>
    </row>
    <row r="576" spans="8:10" x14ac:dyDescent="0.25">
      <c r="H576" s="251"/>
      <c r="J576" s="152"/>
    </row>
    <row r="577" spans="8:10" x14ac:dyDescent="0.25">
      <c r="H577" s="251"/>
      <c r="J577" s="152"/>
    </row>
    <row r="578" spans="8:10" x14ac:dyDescent="0.25">
      <c r="H578" s="251"/>
      <c r="J578" s="152"/>
    </row>
    <row r="579" spans="8:10" x14ac:dyDescent="0.25">
      <c r="H579" s="251"/>
      <c r="J579" s="152"/>
    </row>
    <row r="580" spans="8:10" x14ac:dyDescent="0.25">
      <c r="H580" s="251"/>
      <c r="J580" s="152"/>
    </row>
    <row r="581" spans="8:10" x14ac:dyDescent="0.25">
      <c r="H581" s="251"/>
      <c r="J581" s="152"/>
    </row>
    <row r="582" spans="8:10" x14ac:dyDescent="0.25">
      <c r="H582" s="251"/>
      <c r="J582" s="152"/>
    </row>
    <row r="583" spans="8:10" x14ac:dyDescent="0.25">
      <c r="H583" s="251"/>
      <c r="J583" s="152"/>
    </row>
    <row r="584" spans="8:10" x14ac:dyDescent="0.25">
      <c r="H584" s="251"/>
      <c r="J584" s="152"/>
    </row>
    <row r="585" spans="8:10" x14ac:dyDescent="0.25">
      <c r="H585" s="251"/>
      <c r="J585" s="152"/>
    </row>
    <row r="586" spans="8:10" x14ac:dyDescent="0.25">
      <c r="H586" s="251"/>
      <c r="J586" s="152"/>
    </row>
    <row r="587" spans="8:10" x14ac:dyDescent="0.25">
      <c r="H587" s="251"/>
      <c r="J587" s="152"/>
    </row>
    <row r="588" spans="8:10" x14ac:dyDescent="0.25">
      <c r="H588" s="251"/>
      <c r="J588" s="152"/>
    </row>
    <row r="589" spans="8:10" x14ac:dyDescent="0.25">
      <c r="H589" s="251"/>
      <c r="J589" s="152"/>
    </row>
    <row r="590" spans="8:10" x14ac:dyDescent="0.25">
      <c r="H590" s="251"/>
      <c r="J590" s="152"/>
    </row>
    <row r="591" spans="8:10" x14ac:dyDescent="0.25">
      <c r="H591" s="251"/>
      <c r="J591" s="152"/>
    </row>
    <row r="592" spans="8:10" x14ac:dyDescent="0.25">
      <c r="H592" s="251"/>
      <c r="J592" s="152"/>
    </row>
    <row r="593" spans="8:10" x14ac:dyDescent="0.25">
      <c r="H593" s="251"/>
      <c r="J593" s="152"/>
    </row>
    <row r="594" spans="8:10" x14ac:dyDescent="0.25">
      <c r="H594" s="251"/>
      <c r="J594" s="152"/>
    </row>
    <row r="595" spans="8:10" x14ac:dyDescent="0.25">
      <c r="H595" s="251"/>
      <c r="J595" s="152"/>
    </row>
    <row r="596" spans="8:10" x14ac:dyDescent="0.25">
      <c r="H596" s="251"/>
      <c r="J596" s="152"/>
    </row>
    <row r="597" spans="8:10" x14ac:dyDescent="0.25">
      <c r="H597" s="251"/>
      <c r="J597" s="152"/>
    </row>
    <row r="598" spans="8:10" x14ac:dyDescent="0.25">
      <c r="H598" s="251"/>
      <c r="J598" s="152"/>
    </row>
    <row r="599" spans="8:10" x14ac:dyDescent="0.25">
      <c r="H599" s="251"/>
      <c r="J599" s="152"/>
    </row>
    <row r="600" spans="8:10" x14ac:dyDescent="0.25">
      <c r="H600" s="251"/>
      <c r="J600" s="152"/>
    </row>
    <row r="601" spans="8:10" x14ac:dyDescent="0.25">
      <c r="H601" s="251"/>
      <c r="J601" s="152"/>
    </row>
    <row r="602" spans="8:10" x14ac:dyDescent="0.25">
      <c r="H602" s="251"/>
      <c r="J602" s="152"/>
    </row>
    <row r="603" spans="8:10" x14ac:dyDescent="0.25">
      <c r="H603" s="251"/>
      <c r="J603" s="152"/>
    </row>
    <row r="604" spans="8:10" x14ac:dyDescent="0.25">
      <c r="H604" s="251"/>
      <c r="J604" s="152"/>
    </row>
    <row r="605" spans="8:10" x14ac:dyDescent="0.25">
      <c r="H605" s="251"/>
      <c r="J605" s="152"/>
    </row>
    <row r="606" spans="8:10" x14ac:dyDescent="0.25">
      <c r="H606" s="251"/>
      <c r="J606" s="152"/>
    </row>
    <row r="607" spans="8:10" x14ac:dyDescent="0.25">
      <c r="H607" s="251"/>
      <c r="J607" s="152"/>
    </row>
    <row r="608" spans="8:10" x14ac:dyDescent="0.25">
      <c r="H608" s="251"/>
      <c r="J608" s="152"/>
    </row>
    <row r="609" spans="8:10" x14ac:dyDescent="0.25">
      <c r="H609" s="251"/>
      <c r="J609" s="152"/>
    </row>
    <row r="610" spans="8:10" x14ac:dyDescent="0.25">
      <c r="H610" s="251"/>
      <c r="J610" s="152"/>
    </row>
    <row r="611" spans="8:10" x14ac:dyDescent="0.25">
      <c r="H611" s="251"/>
      <c r="J611" s="152"/>
    </row>
    <row r="612" spans="8:10" x14ac:dyDescent="0.25">
      <c r="H612" s="251"/>
      <c r="J612" s="152"/>
    </row>
    <row r="613" spans="8:10" x14ac:dyDescent="0.25">
      <c r="H613" s="251"/>
      <c r="J613" s="152"/>
    </row>
    <row r="614" spans="8:10" x14ac:dyDescent="0.25">
      <c r="H614" s="251"/>
      <c r="J614" s="152"/>
    </row>
    <row r="615" spans="8:10" x14ac:dyDescent="0.25">
      <c r="H615" s="251"/>
      <c r="J615" s="152"/>
    </row>
    <row r="616" spans="8:10" x14ac:dyDescent="0.25">
      <c r="H616" s="251"/>
      <c r="J616" s="152"/>
    </row>
    <row r="617" spans="8:10" x14ac:dyDescent="0.25">
      <c r="H617" s="251"/>
      <c r="J617" s="152"/>
    </row>
    <row r="618" spans="8:10" x14ac:dyDescent="0.25">
      <c r="H618" s="251"/>
      <c r="J618" s="152"/>
    </row>
    <row r="619" spans="8:10" x14ac:dyDescent="0.25">
      <c r="H619" s="251"/>
      <c r="J619" s="152"/>
    </row>
    <row r="620" spans="8:10" x14ac:dyDescent="0.25">
      <c r="H620" s="251"/>
      <c r="J620" s="152"/>
    </row>
    <row r="621" spans="8:10" x14ac:dyDescent="0.25">
      <c r="H621" s="251"/>
      <c r="J621" s="152"/>
    </row>
    <row r="622" spans="8:10" x14ac:dyDescent="0.25">
      <c r="H622" s="251"/>
      <c r="J622" s="152"/>
    </row>
    <row r="623" spans="8:10" x14ac:dyDescent="0.25">
      <c r="H623" s="251"/>
      <c r="J623" s="152"/>
    </row>
    <row r="624" spans="8:10" x14ac:dyDescent="0.25">
      <c r="H624" s="251"/>
      <c r="J624" s="152"/>
    </row>
    <row r="625" spans="8:10" x14ac:dyDescent="0.25">
      <c r="H625" s="251"/>
      <c r="J625" s="152"/>
    </row>
    <row r="626" spans="8:10" x14ac:dyDescent="0.25">
      <c r="H626" s="251"/>
      <c r="J626" s="152"/>
    </row>
    <row r="627" spans="8:10" x14ac:dyDescent="0.25">
      <c r="H627" s="251"/>
      <c r="J627" s="152"/>
    </row>
    <row r="628" spans="8:10" x14ac:dyDescent="0.25">
      <c r="H628" s="251"/>
      <c r="J628" s="152"/>
    </row>
    <row r="629" spans="8:10" x14ac:dyDescent="0.25">
      <c r="H629" s="251"/>
      <c r="J629" s="152"/>
    </row>
    <row r="630" spans="8:10" x14ac:dyDescent="0.25">
      <c r="H630" s="251"/>
      <c r="J630" s="152"/>
    </row>
    <row r="631" spans="8:10" x14ac:dyDescent="0.25">
      <c r="H631" s="251"/>
      <c r="J631" s="152"/>
    </row>
    <row r="632" spans="8:10" x14ac:dyDescent="0.25">
      <c r="H632" s="251"/>
      <c r="J632" s="152"/>
    </row>
    <row r="633" spans="8:10" x14ac:dyDescent="0.25">
      <c r="H633" s="251"/>
      <c r="J633" s="152"/>
    </row>
    <row r="634" spans="8:10" x14ac:dyDescent="0.25">
      <c r="H634" s="251"/>
      <c r="J634" s="152"/>
    </row>
    <row r="635" spans="8:10" x14ac:dyDescent="0.25">
      <c r="H635" s="251"/>
      <c r="J635" s="152"/>
    </row>
    <row r="636" spans="8:10" x14ac:dyDescent="0.25">
      <c r="H636" s="251"/>
      <c r="J636" s="152"/>
    </row>
    <row r="637" spans="8:10" x14ac:dyDescent="0.25">
      <c r="H637" s="251"/>
      <c r="J637" s="152"/>
    </row>
    <row r="638" spans="8:10" x14ac:dyDescent="0.25">
      <c r="H638" s="251"/>
      <c r="J638" s="152"/>
    </row>
    <row r="639" spans="8:10" x14ac:dyDescent="0.25">
      <c r="H639" s="251"/>
      <c r="J639" s="152"/>
    </row>
    <row r="640" spans="8:10" x14ac:dyDescent="0.25">
      <c r="H640" s="251"/>
      <c r="J640" s="152"/>
    </row>
    <row r="641" spans="8:10" x14ac:dyDescent="0.25">
      <c r="H641" s="251"/>
      <c r="J641" s="152"/>
    </row>
    <row r="642" spans="8:10" x14ac:dyDescent="0.25">
      <c r="H642" s="251"/>
      <c r="J642" s="152"/>
    </row>
    <row r="643" spans="8:10" x14ac:dyDescent="0.25">
      <c r="H643" s="251"/>
      <c r="J643" s="152"/>
    </row>
    <row r="644" spans="8:10" x14ac:dyDescent="0.25">
      <c r="H644" s="251"/>
      <c r="J644" s="152"/>
    </row>
    <row r="645" spans="8:10" x14ac:dyDescent="0.25">
      <c r="H645" s="251"/>
      <c r="J645" s="152"/>
    </row>
    <row r="646" spans="8:10" x14ac:dyDescent="0.25">
      <c r="H646" s="251"/>
      <c r="J646" s="152"/>
    </row>
    <row r="647" spans="8:10" x14ac:dyDescent="0.25">
      <c r="H647" s="251"/>
      <c r="J647" s="152"/>
    </row>
    <row r="648" spans="8:10" x14ac:dyDescent="0.25">
      <c r="H648" s="251"/>
      <c r="J648" s="152"/>
    </row>
    <row r="649" spans="8:10" x14ac:dyDescent="0.25">
      <c r="H649" s="251"/>
      <c r="J649" s="152"/>
    </row>
    <row r="650" spans="8:10" x14ac:dyDescent="0.25">
      <c r="H650" s="251"/>
      <c r="J650" s="152"/>
    </row>
    <row r="651" spans="8:10" x14ac:dyDescent="0.25">
      <c r="H651" s="251"/>
      <c r="J651" s="152"/>
    </row>
    <row r="652" spans="8:10" x14ac:dyDescent="0.25">
      <c r="H652" s="251"/>
      <c r="J652" s="152"/>
    </row>
    <row r="653" spans="8:10" x14ac:dyDescent="0.25">
      <c r="H653" s="251"/>
      <c r="J653" s="152"/>
    </row>
    <row r="654" spans="8:10" x14ac:dyDescent="0.25">
      <c r="H654" s="251"/>
      <c r="J654" s="152"/>
    </row>
    <row r="655" spans="8:10" x14ac:dyDescent="0.25">
      <c r="H655" s="251"/>
      <c r="J655" s="152"/>
    </row>
    <row r="656" spans="8:10" x14ac:dyDescent="0.25">
      <c r="H656" s="251"/>
      <c r="J656" s="152"/>
    </row>
    <row r="657" spans="8:10" x14ac:dyDescent="0.25">
      <c r="H657" s="251"/>
      <c r="J657" s="152"/>
    </row>
    <row r="658" spans="8:10" x14ac:dyDescent="0.25">
      <c r="H658" s="251"/>
      <c r="J658" s="152"/>
    </row>
    <row r="659" spans="8:10" x14ac:dyDescent="0.25">
      <c r="H659" s="251"/>
      <c r="J659" s="152"/>
    </row>
    <row r="660" spans="8:10" x14ac:dyDescent="0.25">
      <c r="H660" s="251"/>
      <c r="J660" s="152"/>
    </row>
    <row r="661" spans="8:10" x14ac:dyDescent="0.25">
      <c r="H661" s="251"/>
      <c r="J661" s="152"/>
    </row>
    <row r="662" spans="8:10" x14ac:dyDescent="0.25">
      <c r="H662" s="251"/>
      <c r="J662" s="152"/>
    </row>
    <row r="663" spans="8:10" x14ac:dyDescent="0.25">
      <c r="H663" s="251"/>
      <c r="J663" s="152"/>
    </row>
    <row r="664" spans="8:10" x14ac:dyDescent="0.25">
      <c r="H664" s="251"/>
      <c r="J664" s="152"/>
    </row>
    <row r="665" spans="8:10" x14ac:dyDescent="0.25">
      <c r="H665" s="251"/>
      <c r="J665" s="152"/>
    </row>
    <row r="666" spans="8:10" x14ac:dyDescent="0.25">
      <c r="H666" s="251"/>
      <c r="J666" s="152"/>
    </row>
    <row r="667" spans="8:10" x14ac:dyDescent="0.25">
      <c r="H667" s="251"/>
      <c r="J667" s="152"/>
    </row>
    <row r="668" spans="8:10" x14ac:dyDescent="0.25">
      <c r="H668" s="251"/>
      <c r="J668" s="152"/>
    </row>
    <row r="669" spans="8:10" x14ac:dyDescent="0.25">
      <c r="H669" s="251"/>
      <c r="J669" s="152"/>
    </row>
    <row r="670" spans="8:10" x14ac:dyDescent="0.25">
      <c r="H670" s="251" t="str">
        <f t="shared" ref="H670:H695" si="0">IF(I670&lt;&gt;0,VLOOKUP(I670,nhanvien,3,0),"")</f>
        <v/>
      </c>
      <c r="J670" s="152"/>
    </row>
    <row r="671" spans="8:10" x14ac:dyDescent="0.25">
      <c r="H671" s="251" t="str">
        <f t="shared" si="0"/>
        <v/>
      </c>
      <c r="J671" s="152"/>
    </row>
    <row r="672" spans="8:10" x14ac:dyDescent="0.25">
      <c r="H672" s="251" t="str">
        <f t="shared" si="0"/>
        <v/>
      </c>
      <c r="J672" s="152"/>
    </row>
    <row r="673" spans="8:10" x14ac:dyDescent="0.25">
      <c r="H673" s="251" t="str">
        <f t="shared" si="0"/>
        <v/>
      </c>
      <c r="J673" s="152"/>
    </row>
    <row r="674" spans="8:10" x14ac:dyDescent="0.25">
      <c r="H674" s="251" t="str">
        <f t="shared" si="0"/>
        <v/>
      </c>
      <c r="J674" s="152"/>
    </row>
    <row r="675" spans="8:10" x14ac:dyDescent="0.25">
      <c r="H675" s="251" t="str">
        <f t="shared" si="0"/>
        <v/>
      </c>
      <c r="J675" s="152"/>
    </row>
    <row r="676" spans="8:10" x14ac:dyDescent="0.25">
      <c r="H676" s="251" t="str">
        <f t="shared" si="0"/>
        <v/>
      </c>
      <c r="J676" s="152"/>
    </row>
    <row r="677" spans="8:10" x14ac:dyDescent="0.25">
      <c r="H677" s="251" t="str">
        <f t="shared" si="0"/>
        <v/>
      </c>
      <c r="J677" s="152"/>
    </row>
    <row r="678" spans="8:10" x14ac:dyDescent="0.25">
      <c r="H678" s="251" t="str">
        <f t="shared" si="0"/>
        <v/>
      </c>
      <c r="J678" s="152"/>
    </row>
    <row r="679" spans="8:10" x14ac:dyDescent="0.25">
      <c r="H679" s="251" t="str">
        <f t="shared" si="0"/>
        <v/>
      </c>
      <c r="J679" s="152"/>
    </row>
    <row r="680" spans="8:10" x14ac:dyDescent="0.25">
      <c r="H680" s="251" t="str">
        <f t="shared" si="0"/>
        <v/>
      </c>
      <c r="J680" s="152"/>
    </row>
    <row r="681" spans="8:10" x14ac:dyDescent="0.25">
      <c r="H681" s="251" t="str">
        <f t="shared" si="0"/>
        <v/>
      </c>
      <c r="J681" s="152"/>
    </row>
    <row r="682" spans="8:10" x14ac:dyDescent="0.25">
      <c r="H682" s="251" t="str">
        <f t="shared" si="0"/>
        <v/>
      </c>
      <c r="J682" s="152"/>
    </row>
    <row r="683" spans="8:10" x14ac:dyDescent="0.25">
      <c r="H683" s="251" t="str">
        <f t="shared" si="0"/>
        <v/>
      </c>
      <c r="J683" s="152"/>
    </row>
    <row r="684" spans="8:10" x14ac:dyDescent="0.25">
      <c r="H684" s="251" t="str">
        <f t="shared" si="0"/>
        <v/>
      </c>
      <c r="J684" s="152"/>
    </row>
    <row r="685" spans="8:10" x14ac:dyDescent="0.25">
      <c r="H685" s="251" t="str">
        <f t="shared" si="0"/>
        <v/>
      </c>
      <c r="J685" s="152"/>
    </row>
    <row r="686" spans="8:10" x14ac:dyDescent="0.25">
      <c r="H686" s="251" t="str">
        <f t="shared" si="0"/>
        <v/>
      </c>
      <c r="J686" s="152"/>
    </row>
    <row r="687" spans="8:10" x14ac:dyDescent="0.25">
      <c r="H687" s="251" t="str">
        <f t="shared" si="0"/>
        <v/>
      </c>
      <c r="J687" s="152"/>
    </row>
    <row r="688" spans="8:10" x14ac:dyDescent="0.25">
      <c r="H688" s="251" t="str">
        <f t="shared" si="0"/>
        <v/>
      </c>
      <c r="J688" s="152"/>
    </row>
    <row r="689" spans="8:10" x14ac:dyDescent="0.25">
      <c r="H689" s="251" t="str">
        <f t="shared" si="0"/>
        <v/>
      </c>
      <c r="J689" s="152"/>
    </row>
    <row r="690" spans="8:10" x14ac:dyDescent="0.25">
      <c r="H690" s="251" t="str">
        <f t="shared" si="0"/>
        <v/>
      </c>
      <c r="J690" s="152"/>
    </row>
    <row r="691" spans="8:10" x14ac:dyDescent="0.25">
      <c r="H691" s="251" t="str">
        <f t="shared" si="0"/>
        <v/>
      </c>
      <c r="J691" s="152"/>
    </row>
    <row r="692" spans="8:10" x14ac:dyDescent="0.25">
      <c r="H692" s="251" t="str">
        <f t="shared" si="0"/>
        <v/>
      </c>
      <c r="J692" s="152"/>
    </row>
    <row r="693" spans="8:10" x14ac:dyDescent="0.25">
      <c r="H693" s="251" t="str">
        <f t="shared" si="0"/>
        <v/>
      </c>
      <c r="J693" s="152"/>
    </row>
    <row r="694" spans="8:10" x14ac:dyDescent="0.25">
      <c r="H694" s="251" t="str">
        <f t="shared" si="0"/>
        <v/>
      </c>
      <c r="J694" s="152"/>
    </row>
    <row r="695" spans="8:10" x14ac:dyDescent="0.25">
      <c r="H695" s="251" t="str">
        <f t="shared" si="0"/>
        <v/>
      </c>
      <c r="J695" s="152"/>
    </row>
    <row r="696" spans="8:10" x14ac:dyDescent="0.25">
      <c r="H696" s="251"/>
      <c r="J696" s="152"/>
    </row>
    <row r="697" spans="8:10" x14ac:dyDescent="0.25">
      <c r="H697" s="251"/>
      <c r="J697" s="152"/>
    </row>
    <row r="698" spans="8:10" x14ac:dyDescent="0.25">
      <c r="H698" s="251"/>
      <c r="J698" s="152"/>
    </row>
    <row r="699" spans="8:10" x14ac:dyDescent="0.25">
      <c r="H699" s="251"/>
      <c r="J699" s="152"/>
    </row>
    <row r="700" spans="8:10" x14ac:dyDescent="0.25">
      <c r="H700" s="251"/>
      <c r="J700" s="152"/>
    </row>
    <row r="701" spans="8:10" x14ac:dyDescent="0.25">
      <c r="H701" s="251"/>
      <c r="J701" s="152"/>
    </row>
    <row r="702" spans="8:10" x14ac:dyDescent="0.25">
      <c r="H702" s="251"/>
      <c r="J702" s="152"/>
    </row>
    <row r="703" spans="8:10" x14ac:dyDescent="0.25">
      <c r="H703" s="251"/>
      <c r="J703" s="152"/>
    </row>
    <row r="704" spans="8:10" x14ac:dyDescent="0.25">
      <c r="H704" s="251"/>
      <c r="J704" s="152"/>
    </row>
    <row r="705" spans="8:10" x14ac:dyDescent="0.25">
      <c r="H705" s="251"/>
      <c r="J705" s="152"/>
    </row>
    <row r="706" spans="8:10" x14ac:dyDescent="0.25">
      <c r="H706" s="251"/>
      <c r="J706" s="152"/>
    </row>
    <row r="707" spans="8:10" x14ac:dyDescent="0.25">
      <c r="H707" s="251"/>
      <c r="J707" s="152"/>
    </row>
    <row r="708" spans="8:10" x14ac:dyDescent="0.25">
      <c r="H708" s="251"/>
      <c r="J708" s="152"/>
    </row>
    <row r="709" spans="8:10" x14ac:dyDescent="0.25">
      <c r="H709" s="251"/>
      <c r="J709" s="152"/>
    </row>
    <row r="710" spans="8:10" x14ac:dyDescent="0.25">
      <c r="H710" s="251"/>
      <c r="J710" s="152"/>
    </row>
    <row r="711" spans="8:10" x14ac:dyDescent="0.25">
      <c r="H711" s="251"/>
      <c r="J711" s="152"/>
    </row>
    <row r="712" spans="8:10" x14ac:dyDescent="0.25">
      <c r="H712" s="251"/>
      <c r="J712" s="152"/>
    </row>
    <row r="713" spans="8:10" x14ac:dyDescent="0.25">
      <c r="H713" s="251"/>
      <c r="J713" s="152"/>
    </row>
    <row r="714" spans="8:10" x14ac:dyDescent="0.25">
      <c r="H714" s="251"/>
      <c r="J714" s="152"/>
    </row>
    <row r="715" spans="8:10" x14ac:dyDescent="0.25">
      <c r="H715" s="251"/>
      <c r="J715" s="152"/>
    </row>
    <row r="716" spans="8:10" x14ac:dyDescent="0.25">
      <c r="H716" s="251"/>
      <c r="J716" s="152"/>
    </row>
    <row r="717" spans="8:10" x14ac:dyDescent="0.25">
      <c r="H717" s="251"/>
      <c r="J717" s="152"/>
    </row>
    <row r="718" spans="8:10" x14ac:dyDescent="0.25">
      <c r="H718" s="251"/>
      <c r="J718" s="152"/>
    </row>
    <row r="719" spans="8:10" x14ac:dyDescent="0.25">
      <c r="H719" s="251"/>
      <c r="J719" s="152"/>
    </row>
    <row r="720" spans="8:10" x14ac:dyDescent="0.25">
      <c r="H720" s="251"/>
      <c r="J720" s="152"/>
    </row>
    <row r="721" spans="8:10" x14ac:dyDescent="0.25">
      <c r="H721" s="251"/>
      <c r="J721" s="152"/>
    </row>
    <row r="722" spans="8:10" x14ac:dyDescent="0.25">
      <c r="H722" s="251"/>
      <c r="J722" s="152"/>
    </row>
    <row r="723" spans="8:10" x14ac:dyDescent="0.25">
      <c r="H723" s="251"/>
      <c r="J723" s="152"/>
    </row>
    <row r="724" spans="8:10" x14ac:dyDescent="0.25">
      <c r="H724" s="251"/>
      <c r="J724" s="152"/>
    </row>
    <row r="725" spans="8:10" x14ac:dyDescent="0.25">
      <c r="H725" s="251"/>
      <c r="J725" s="152"/>
    </row>
    <row r="726" spans="8:10" x14ac:dyDescent="0.25">
      <c r="H726" s="251"/>
      <c r="J726" s="152"/>
    </row>
    <row r="727" spans="8:10" x14ac:dyDescent="0.25">
      <c r="H727" s="251"/>
      <c r="J727" s="152"/>
    </row>
    <row r="728" spans="8:10" x14ac:dyDescent="0.25">
      <c r="H728" s="251"/>
      <c r="J728" s="152"/>
    </row>
    <row r="729" spans="8:10" x14ac:dyDescent="0.25">
      <c r="H729" s="251"/>
      <c r="J729" s="152"/>
    </row>
    <row r="730" spans="8:10" x14ac:dyDescent="0.25">
      <c r="H730" s="251"/>
      <c r="J730" s="152"/>
    </row>
    <row r="731" spans="8:10" x14ac:dyDescent="0.25">
      <c r="H731" s="251"/>
      <c r="J731" s="152"/>
    </row>
    <row r="732" spans="8:10" x14ac:dyDescent="0.25">
      <c r="H732" s="251"/>
      <c r="J732" s="152"/>
    </row>
    <row r="733" spans="8:10" x14ac:dyDescent="0.25">
      <c r="H733" s="251"/>
      <c r="J733" s="152"/>
    </row>
    <row r="734" spans="8:10" x14ac:dyDescent="0.25">
      <c r="H734" s="251"/>
      <c r="J734" s="152"/>
    </row>
    <row r="735" spans="8:10" x14ac:dyDescent="0.25">
      <c r="H735" s="251"/>
      <c r="J735" s="152"/>
    </row>
    <row r="736" spans="8:10" x14ac:dyDescent="0.25">
      <c r="H736" s="251"/>
      <c r="J736" s="152"/>
    </row>
    <row r="737" spans="8:10" x14ac:dyDescent="0.25">
      <c r="H737" s="251"/>
      <c r="J737" s="152"/>
    </row>
    <row r="738" spans="8:10" x14ac:dyDescent="0.25">
      <c r="H738" s="251"/>
      <c r="J738" s="152"/>
    </row>
    <row r="739" spans="8:10" x14ac:dyDescent="0.25">
      <c r="H739" s="251"/>
      <c r="J739" s="152"/>
    </row>
    <row r="740" spans="8:10" x14ac:dyDescent="0.25">
      <c r="H740" s="251"/>
      <c r="J740" s="152"/>
    </row>
    <row r="741" spans="8:10" x14ac:dyDescent="0.25">
      <c r="H741" s="251"/>
      <c r="J741" s="152"/>
    </row>
    <row r="742" spans="8:10" x14ac:dyDescent="0.25">
      <c r="H742" s="251"/>
      <c r="J742" s="152"/>
    </row>
    <row r="743" spans="8:10" x14ac:dyDescent="0.25">
      <c r="H743" s="251"/>
      <c r="J743" s="152"/>
    </row>
    <row r="744" spans="8:10" x14ac:dyDescent="0.25">
      <c r="H744" s="251"/>
      <c r="J744" s="152"/>
    </row>
    <row r="745" spans="8:10" x14ac:dyDescent="0.25">
      <c r="H745" s="251"/>
      <c r="J745" s="152"/>
    </row>
    <row r="746" spans="8:10" x14ac:dyDescent="0.25">
      <c r="H746" s="251"/>
      <c r="J746" s="152"/>
    </row>
    <row r="747" spans="8:10" x14ac:dyDescent="0.25">
      <c r="H747" s="251"/>
      <c r="J747" s="152"/>
    </row>
    <row r="748" spans="8:10" x14ac:dyDescent="0.25">
      <c r="H748" s="251"/>
      <c r="J748" s="152"/>
    </row>
    <row r="749" spans="8:10" x14ac:dyDescent="0.25">
      <c r="H749" s="251"/>
      <c r="J749" s="152"/>
    </row>
    <row r="750" spans="8:10" x14ac:dyDescent="0.25">
      <c r="H750" s="251"/>
      <c r="J750" s="152"/>
    </row>
    <row r="751" spans="8:10" x14ac:dyDescent="0.25">
      <c r="H751" s="251"/>
      <c r="J751" s="152"/>
    </row>
    <row r="752" spans="8:10" x14ac:dyDescent="0.25">
      <c r="H752" s="251"/>
      <c r="J752" s="152"/>
    </row>
    <row r="753" spans="8:10" x14ac:dyDescent="0.25">
      <c r="H753" s="251"/>
      <c r="J753" s="152"/>
    </row>
    <row r="754" spans="8:10" x14ac:dyDescent="0.25">
      <c r="H754" s="251"/>
      <c r="J754" s="152"/>
    </row>
    <row r="755" spans="8:10" x14ac:dyDescent="0.25">
      <c r="H755" s="251"/>
      <c r="J755" s="152"/>
    </row>
    <row r="756" spans="8:10" x14ac:dyDescent="0.25">
      <c r="H756" s="251"/>
      <c r="J756" s="152"/>
    </row>
    <row r="757" spans="8:10" x14ac:dyDescent="0.25">
      <c r="H757" s="251"/>
      <c r="J757" s="152"/>
    </row>
    <row r="758" spans="8:10" x14ac:dyDescent="0.25">
      <c r="H758" s="251"/>
      <c r="J758" s="152"/>
    </row>
    <row r="759" spans="8:10" x14ac:dyDescent="0.25">
      <c r="H759" s="251"/>
      <c r="J759" s="152"/>
    </row>
    <row r="760" spans="8:10" x14ac:dyDescent="0.25">
      <c r="H760" s="251"/>
      <c r="J760" s="152"/>
    </row>
    <row r="761" spans="8:10" x14ac:dyDescent="0.25">
      <c r="H761" s="251"/>
      <c r="J761" s="152"/>
    </row>
    <row r="762" spans="8:10" x14ac:dyDescent="0.25">
      <c r="H762" s="251"/>
      <c r="J762" s="152"/>
    </row>
    <row r="763" spans="8:10" x14ac:dyDescent="0.25">
      <c r="H763" s="251"/>
      <c r="J763" s="152"/>
    </row>
    <row r="764" spans="8:10" x14ac:dyDescent="0.25">
      <c r="H764" s="251"/>
      <c r="J764" s="152"/>
    </row>
    <row r="765" spans="8:10" x14ac:dyDescent="0.25">
      <c r="H765" s="251"/>
      <c r="J765" s="152"/>
    </row>
    <row r="766" spans="8:10" x14ac:dyDescent="0.25">
      <c r="H766" s="251"/>
      <c r="J766" s="152"/>
    </row>
    <row r="767" spans="8:10" x14ac:dyDescent="0.25">
      <c r="H767" s="251"/>
      <c r="J767" s="152"/>
    </row>
    <row r="768" spans="8:10" x14ac:dyDescent="0.25">
      <c r="H768" s="251"/>
      <c r="J768" s="152"/>
    </row>
    <row r="769" spans="8:10" x14ac:dyDescent="0.25">
      <c r="H769" s="251"/>
      <c r="J769" s="152"/>
    </row>
    <row r="770" spans="8:10" x14ac:dyDescent="0.25">
      <c r="H770" s="251"/>
      <c r="J770" s="152"/>
    </row>
    <row r="771" spans="8:10" x14ac:dyDescent="0.25">
      <c r="H771" s="251"/>
      <c r="J771" s="152"/>
    </row>
    <row r="772" spans="8:10" x14ac:dyDescent="0.25">
      <c r="H772" s="251"/>
      <c r="J772" s="152"/>
    </row>
    <row r="773" spans="8:10" x14ac:dyDescent="0.25">
      <c r="H773" s="251"/>
      <c r="J773" s="152"/>
    </row>
    <row r="774" spans="8:10" x14ac:dyDescent="0.25">
      <c r="H774" s="251"/>
      <c r="J774" s="152"/>
    </row>
    <row r="775" spans="8:10" x14ac:dyDescent="0.25">
      <c r="H775" s="251"/>
      <c r="J775" s="152"/>
    </row>
    <row r="776" spans="8:10" x14ac:dyDescent="0.25">
      <c r="H776" s="251"/>
      <c r="J776" s="152"/>
    </row>
    <row r="777" spans="8:10" x14ac:dyDescent="0.25">
      <c r="H777" s="251"/>
      <c r="J777" s="152"/>
    </row>
    <row r="778" spans="8:10" x14ac:dyDescent="0.25">
      <c r="H778" s="251"/>
      <c r="J778" s="152"/>
    </row>
    <row r="779" spans="8:10" x14ac:dyDescent="0.25">
      <c r="H779" s="251"/>
      <c r="J779" s="152"/>
    </row>
    <row r="780" spans="8:10" x14ac:dyDescent="0.25">
      <c r="H780" s="251"/>
      <c r="J780" s="152"/>
    </row>
    <row r="781" spans="8:10" x14ac:dyDescent="0.25">
      <c r="H781" s="251"/>
      <c r="J781" s="152"/>
    </row>
    <row r="782" spans="8:10" x14ac:dyDescent="0.25">
      <c r="H782" s="251"/>
      <c r="J782" s="152"/>
    </row>
    <row r="783" spans="8:10" x14ac:dyDescent="0.25">
      <c r="H783" s="251"/>
      <c r="J783" s="152"/>
    </row>
    <row r="784" spans="8:10" x14ac:dyDescent="0.25">
      <c r="H784" s="251"/>
      <c r="J784" s="152"/>
    </row>
    <row r="785" spans="8:10" x14ac:dyDescent="0.25">
      <c r="H785" s="251"/>
      <c r="J785" s="152"/>
    </row>
    <row r="786" spans="8:10" x14ac:dyDescent="0.25">
      <c r="H786" s="251"/>
      <c r="J786" s="152"/>
    </row>
    <row r="787" spans="8:10" x14ac:dyDescent="0.25">
      <c r="H787" s="251"/>
      <c r="J787" s="152"/>
    </row>
    <row r="788" spans="8:10" x14ac:dyDescent="0.25">
      <c r="H788" s="251"/>
      <c r="J788" s="152"/>
    </row>
    <row r="789" spans="8:10" x14ac:dyDescent="0.25">
      <c r="H789" s="251"/>
      <c r="J789" s="152"/>
    </row>
    <row r="790" spans="8:10" x14ac:dyDescent="0.25">
      <c r="H790" s="251"/>
      <c r="J790" s="152"/>
    </row>
    <row r="791" spans="8:10" x14ac:dyDescent="0.25">
      <c r="H791" s="251"/>
      <c r="J791" s="152"/>
    </row>
    <row r="792" spans="8:10" x14ac:dyDescent="0.25">
      <c r="H792" s="251"/>
      <c r="J792" s="152"/>
    </row>
    <row r="793" spans="8:10" x14ac:dyDescent="0.25">
      <c r="H793" s="251"/>
      <c r="J793" s="152"/>
    </row>
    <row r="794" spans="8:10" x14ac:dyDescent="0.25">
      <c r="H794" s="251"/>
      <c r="J794" s="152"/>
    </row>
    <row r="795" spans="8:10" x14ac:dyDescent="0.25">
      <c r="H795" s="251"/>
      <c r="J795" s="152"/>
    </row>
    <row r="796" spans="8:10" x14ac:dyDescent="0.25">
      <c r="H796" s="251"/>
      <c r="J796" s="152"/>
    </row>
    <row r="797" spans="8:10" x14ac:dyDescent="0.25">
      <c r="H797" s="251"/>
      <c r="J797" s="152"/>
    </row>
    <row r="798" spans="8:10" x14ac:dyDescent="0.25">
      <c r="H798" s="251"/>
      <c r="J798" s="152"/>
    </row>
    <row r="799" spans="8:10" x14ac:dyDescent="0.25">
      <c r="H799" s="251"/>
      <c r="J799" s="152"/>
    </row>
    <row r="800" spans="8:10" x14ac:dyDescent="0.25">
      <c r="H800" s="251"/>
      <c r="J800" s="152"/>
    </row>
    <row r="801" spans="8:10" x14ac:dyDescent="0.25">
      <c r="H801" s="251"/>
      <c r="J801" s="152"/>
    </row>
    <row r="802" spans="8:10" x14ac:dyDescent="0.25">
      <c r="H802" s="251"/>
      <c r="J802" s="152"/>
    </row>
    <row r="803" spans="8:10" x14ac:dyDescent="0.25">
      <c r="H803" s="251"/>
      <c r="J803" s="152"/>
    </row>
    <row r="804" spans="8:10" x14ac:dyDescent="0.25">
      <c r="H804" s="251"/>
      <c r="J804" s="152"/>
    </row>
    <row r="805" spans="8:10" x14ac:dyDescent="0.25">
      <c r="H805" s="251"/>
      <c r="J805" s="152"/>
    </row>
    <row r="806" spans="8:10" x14ac:dyDescent="0.25">
      <c r="H806" s="251"/>
      <c r="J806" s="152"/>
    </row>
    <row r="807" spans="8:10" x14ac:dyDescent="0.25">
      <c r="H807" s="251"/>
      <c r="J807" s="152"/>
    </row>
    <row r="808" spans="8:10" x14ac:dyDescent="0.25">
      <c r="H808" s="251"/>
      <c r="J808" s="152"/>
    </row>
    <row r="809" spans="8:10" x14ac:dyDescent="0.25">
      <c r="H809" s="251"/>
      <c r="J809" s="152"/>
    </row>
    <row r="810" spans="8:10" x14ac:dyDescent="0.25">
      <c r="H810" s="251"/>
      <c r="J810" s="152"/>
    </row>
    <row r="811" spans="8:10" x14ac:dyDescent="0.25">
      <c r="H811" s="251"/>
      <c r="J811" s="152"/>
    </row>
    <row r="812" spans="8:10" x14ac:dyDescent="0.25">
      <c r="H812" s="251"/>
      <c r="J812" s="152"/>
    </row>
    <row r="813" spans="8:10" x14ac:dyDescent="0.25">
      <c r="H813" s="251"/>
      <c r="J813" s="152"/>
    </row>
    <row r="814" spans="8:10" x14ac:dyDescent="0.25">
      <c r="H814" s="251"/>
      <c r="J814" s="152"/>
    </row>
    <row r="815" spans="8:10" x14ac:dyDescent="0.25">
      <c r="H815" s="251"/>
      <c r="J815" s="152"/>
    </row>
    <row r="816" spans="8:10" x14ac:dyDescent="0.25">
      <c r="H816" s="251"/>
      <c r="J816" s="152"/>
    </row>
    <row r="817" spans="8:10" x14ac:dyDescent="0.25">
      <c r="H817" s="251"/>
      <c r="J817" s="152"/>
    </row>
    <row r="818" spans="8:10" x14ac:dyDescent="0.25">
      <c r="H818" s="251"/>
      <c r="J818" s="152"/>
    </row>
    <row r="819" spans="8:10" x14ac:dyDescent="0.25">
      <c r="H819" s="251"/>
      <c r="J819" s="152"/>
    </row>
    <row r="820" spans="8:10" x14ac:dyDescent="0.25">
      <c r="H820" s="251"/>
      <c r="J820" s="152"/>
    </row>
    <row r="821" spans="8:10" x14ac:dyDescent="0.25">
      <c r="H821" s="251"/>
      <c r="J821" s="152"/>
    </row>
    <row r="822" spans="8:10" x14ac:dyDescent="0.25">
      <c r="H822" s="251"/>
      <c r="J822" s="152"/>
    </row>
    <row r="823" spans="8:10" x14ac:dyDescent="0.25">
      <c r="H823" s="251"/>
      <c r="J823" s="152"/>
    </row>
    <row r="824" spans="8:10" x14ac:dyDescent="0.25">
      <c r="H824" s="251"/>
      <c r="J824" s="152"/>
    </row>
    <row r="825" spans="8:10" x14ac:dyDescent="0.25">
      <c r="H825" s="251"/>
      <c r="J825" s="152"/>
    </row>
    <row r="826" spans="8:10" x14ac:dyDescent="0.25">
      <c r="H826" s="251"/>
      <c r="J826" s="152"/>
    </row>
    <row r="827" spans="8:10" x14ac:dyDescent="0.25">
      <c r="H827" s="251"/>
      <c r="J827" s="152"/>
    </row>
    <row r="828" spans="8:10" x14ac:dyDescent="0.25">
      <c r="H828" s="251"/>
      <c r="J828" s="152"/>
    </row>
    <row r="829" spans="8:10" x14ac:dyDescent="0.25">
      <c r="H829" s="251"/>
      <c r="J829" s="152"/>
    </row>
    <row r="830" spans="8:10" x14ac:dyDescent="0.25">
      <c r="H830" s="251"/>
      <c r="J830" s="152"/>
    </row>
    <row r="831" spans="8:10" x14ac:dyDescent="0.25">
      <c r="H831" s="251"/>
      <c r="J831" s="152"/>
    </row>
    <row r="832" spans="8:10" x14ac:dyDescent="0.25">
      <c r="H832" s="251"/>
      <c r="J832" s="152"/>
    </row>
    <row r="833" spans="8:10" x14ac:dyDescent="0.25">
      <c r="H833" s="251"/>
      <c r="J833" s="152"/>
    </row>
    <row r="834" spans="8:10" x14ac:dyDescent="0.25">
      <c r="H834" s="251"/>
      <c r="J834" s="152"/>
    </row>
    <row r="835" spans="8:10" x14ac:dyDescent="0.25">
      <c r="H835" s="251"/>
      <c r="J835" s="152"/>
    </row>
    <row r="836" spans="8:10" x14ac:dyDescent="0.25">
      <c r="H836" s="251"/>
      <c r="J836" s="152"/>
    </row>
    <row r="837" spans="8:10" x14ac:dyDescent="0.25">
      <c r="H837" s="251"/>
      <c r="J837" s="152"/>
    </row>
    <row r="838" spans="8:10" x14ac:dyDescent="0.25">
      <c r="H838" s="251"/>
      <c r="J838" s="152"/>
    </row>
    <row r="839" spans="8:10" x14ac:dyDescent="0.25">
      <c r="H839" s="251"/>
      <c r="J839" s="152"/>
    </row>
    <row r="840" spans="8:10" x14ac:dyDescent="0.25">
      <c r="H840" s="251"/>
      <c r="J840" s="152"/>
    </row>
    <row r="841" spans="8:10" x14ac:dyDescent="0.25">
      <c r="H841" s="251"/>
      <c r="J841" s="152"/>
    </row>
    <row r="842" spans="8:10" x14ac:dyDescent="0.25">
      <c r="H842" s="251"/>
      <c r="J842" s="152"/>
    </row>
    <row r="843" spans="8:10" x14ac:dyDescent="0.25">
      <c r="H843" s="251"/>
      <c r="J843" s="152"/>
    </row>
    <row r="844" spans="8:10" x14ac:dyDescent="0.25">
      <c r="H844" s="251"/>
      <c r="J844" s="152"/>
    </row>
    <row r="845" spans="8:10" x14ac:dyDescent="0.25">
      <c r="H845" s="251"/>
      <c r="J845" s="152"/>
    </row>
    <row r="846" spans="8:10" x14ac:dyDescent="0.25">
      <c r="H846" s="251"/>
      <c r="J846" s="152"/>
    </row>
    <row r="847" spans="8:10" x14ac:dyDescent="0.25">
      <c r="H847" s="251"/>
      <c r="J847" s="152"/>
    </row>
    <row r="848" spans="8:10" x14ac:dyDescent="0.25">
      <c r="H848" s="251"/>
      <c r="J848" s="152"/>
    </row>
    <row r="849" spans="8:10" x14ac:dyDescent="0.25">
      <c r="H849" s="251"/>
      <c r="J849" s="152"/>
    </row>
    <row r="850" spans="8:10" x14ac:dyDescent="0.25">
      <c r="H850" s="251"/>
      <c r="J850" s="152"/>
    </row>
    <row r="851" spans="8:10" x14ac:dyDescent="0.25">
      <c r="H851" s="251"/>
      <c r="J851" s="152"/>
    </row>
    <row r="852" spans="8:10" x14ac:dyDescent="0.25">
      <c r="H852" s="251"/>
      <c r="J852" s="152"/>
    </row>
    <row r="853" spans="8:10" x14ac:dyDescent="0.25">
      <c r="H853" s="251"/>
      <c r="J853" s="152"/>
    </row>
    <row r="854" spans="8:10" x14ac:dyDescent="0.25">
      <c r="H854" s="251"/>
      <c r="J854" s="152"/>
    </row>
    <row r="855" spans="8:10" x14ac:dyDescent="0.25">
      <c r="H855" s="251"/>
      <c r="J855" s="152"/>
    </row>
    <row r="856" spans="8:10" x14ac:dyDescent="0.25">
      <c r="H856" s="251"/>
      <c r="J856" s="152"/>
    </row>
    <row r="857" spans="8:10" x14ac:dyDescent="0.25">
      <c r="H857" s="251"/>
      <c r="J857" s="152"/>
    </row>
    <row r="858" spans="8:10" x14ac:dyDescent="0.25">
      <c r="H858" s="251"/>
      <c r="J858" s="152"/>
    </row>
    <row r="859" spans="8:10" x14ac:dyDescent="0.25">
      <c r="H859" s="251"/>
      <c r="J859" s="152"/>
    </row>
    <row r="860" spans="8:10" x14ac:dyDescent="0.25">
      <c r="H860" s="251"/>
      <c r="J860" s="152"/>
    </row>
    <row r="861" spans="8:10" x14ac:dyDescent="0.25">
      <c r="H861" s="251"/>
      <c r="J861" s="152"/>
    </row>
    <row r="862" spans="8:10" x14ac:dyDescent="0.25">
      <c r="H862" s="251"/>
      <c r="J862" s="152"/>
    </row>
    <row r="863" spans="8:10" x14ac:dyDescent="0.25">
      <c r="H863" s="251"/>
      <c r="J863" s="152"/>
    </row>
    <row r="864" spans="8:10" x14ac:dyDescent="0.25">
      <c r="H864" s="251"/>
      <c r="J864" s="152"/>
    </row>
    <row r="865" spans="8:10" x14ac:dyDescent="0.25">
      <c r="H865" s="251"/>
      <c r="J865" s="152"/>
    </row>
    <row r="866" spans="8:10" x14ac:dyDescent="0.25">
      <c r="H866" s="251"/>
      <c r="J866" s="152"/>
    </row>
    <row r="867" spans="8:10" x14ac:dyDescent="0.25">
      <c r="H867" s="251"/>
      <c r="J867" s="152"/>
    </row>
    <row r="868" spans="8:10" x14ac:dyDescent="0.25">
      <c r="H868" s="251"/>
      <c r="J868" s="152"/>
    </row>
    <row r="869" spans="8:10" x14ac:dyDescent="0.25">
      <c r="H869" s="251"/>
      <c r="J869" s="152"/>
    </row>
    <row r="870" spans="8:10" x14ac:dyDescent="0.25">
      <c r="H870" s="251"/>
      <c r="J870" s="152"/>
    </row>
    <row r="871" spans="8:10" x14ac:dyDescent="0.25">
      <c r="H871" s="251"/>
      <c r="J871" s="152"/>
    </row>
    <row r="872" spans="8:10" x14ac:dyDescent="0.25">
      <c r="H872" s="251"/>
      <c r="J872" s="152"/>
    </row>
    <row r="873" spans="8:10" x14ac:dyDescent="0.25">
      <c r="H873" s="251"/>
      <c r="J873" s="152"/>
    </row>
    <row r="874" spans="8:10" x14ac:dyDescent="0.25">
      <c r="H874" s="251"/>
      <c r="J874" s="152"/>
    </row>
    <row r="875" spans="8:10" x14ac:dyDescent="0.25">
      <c r="H875" s="251"/>
      <c r="J875" s="152"/>
    </row>
    <row r="876" spans="8:10" x14ac:dyDescent="0.25">
      <c r="H876" s="251"/>
      <c r="J876" s="152"/>
    </row>
    <row r="877" spans="8:10" x14ac:dyDescent="0.25">
      <c r="H877" s="251"/>
      <c r="J877" s="152"/>
    </row>
    <row r="878" spans="8:10" x14ac:dyDescent="0.25">
      <c r="H878" s="251"/>
      <c r="J878" s="152"/>
    </row>
    <row r="879" spans="8:10" x14ac:dyDescent="0.25">
      <c r="H879" s="251"/>
      <c r="J879" s="152"/>
    </row>
    <row r="880" spans="8:10" x14ac:dyDescent="0.25">
      <c r="H880" s="251"/>
      <c r="J880" s="152"/>
    </row>
    <row r="881" spans="8:10" x14ac:dyDescent="0.25">
      <c r="H881" s="251"/>
      <c r="J881" s="152"/>
    </row>
    <row r="882" spans="8:10" x14ac:dyDescent="0.25">
      <c r="H882" s="251"/>
      <c r="J882" s="152"/>
    </row>
    <row r="883" spans="8:10" x14ac:dyDescent="0.25">
      <c r="H883" s="251"/>
      <c r="J883" s="152"/>
    </row>
    <row r="884" spans="8:10" x14ac:dyDescent="0.25">
      <c r="H884" s="251"/>
      <c r="J884" s="152"/>
    </row>
    <row r="885" spans="8:10" x14ac:dyDescent="0.25">
      <c r="H885" s="251"/>
      <c r="J885" s="152"/>
    </row>
    <row r="886" spans="8:10" x14ac:dyDescent="0.25">
      <c r="H886" s="251"/>
      <c r="J886" s="152"/>
    </row>
    <row r="887" spans="8:10" x14ac:dyDescent="0.25">
      <c r="H887" s="251"/>
      <c r="J887" s="152"/>
    </row>
    <row r="888" spans="8:10" x14ac:dyDescent="0.25">
      <c r="H888" s="251"/>
      <c r="J888" s="152"/>
    </row>
    <row r="889" spans="8:10" x14ac:dyDescent="0.25">
      <c r="H889" s="251"/>
      <c r="J889" s="152"/>
    </row>
    <row r="890" spans="8:10" x14ac:dyDescent="0.25">
      <c r="H890" s="251"/>
      <c r="J890" s="152"/>
    </row>
    <row r="891" spans="8:10" x14ac:dyDescent="0.25">
      <c r="H891" s="251"/>
      <c r="J891" s="152"/>
    </row>
    <row r="892" spans="8:10" x14ac:dyDescent="0.25">
      <c r="H892" s="251"/>
      <c r="J892" s="152"/>
    </row>
    <row r="893" spans="8:10" x14ac:dyDescent="0.25">
      <c r="H893" s="251"/>
      <c r="J893" s="152"/>
    </row>
    <row r="894" spans="8:10" x14ac:dyDescent="0.25">
      <c r="H894" s="251"/>
      <c r="J894" s="152"/>
    </row>
    <row r="895" spans="8:10" x14ac:dyDescent="0.25">
      <c r="H895" s="251"/>
      <c r="J895" s="152"/>
    </row>
    <row r="896" spans="8:10" x14ac:dyDescent="0.25">
      <c r="H896" s="251"/>
      <c r="J896" s="152"/>
    </row>
    <row r="897" spans="8:10" x14ac:dyDescent="0.25">
      <c r="H897" s="251"/>
      <c r="J897" s="152"/>
    </row>
    <row r="898" spans="8:10" x14ac:dyDescent="0.25">
      <c r="H898" s="251"/>
      <c r="J898" s="152"/>
    </row>
    <row r="899" spans="8:10" x14ac:dyDescent="0.25">
      <c r="H899" s="251"/>
      <c r="J899" s="152"/>
    </row>
    <row r="900" spans="8:10" x14ac:dyDescent="0.25">
      <c r="H900" s="251"/>
      <c r="J900" s="152"/>
    </row>
    <row r="901" spans="8:10" x14ac:dyDescent="0.25">
      <c r="H901" s="251"/>
      <c r="J901" s="152"/>
    </row>
    <row r="902" spans="8:10" x14ac:dyDescent="0.25">
      <c r="H902" s="251"/>
      <c r="J902" s="152"/>
    </row>
    <row r="903" spans="8:10" x14ac:dyDescent="0.25">
      <c r="H903" s="251"/>
      <c r="J903" s="152"/>
    </row>
    <row r="904" spans="8:10" x14ac:dyDescent="0.25">
      <c r="H904" s="251"/>
      <c r="J904" s="152"/>
    </row>
    <row r="905" spans="8:10" x14ac:dyDescent="0.25">
      <c r="H905" s="251"/>
      <c r="J905" s="152"/>
    </row>
    <row r="906" spans="8:10" x14ac:dyDescent="0.25">
      <c r="H906" s="251"/>
      <c r="J906" s="152"/>
    </row>
    <row r="907" spans="8:10" x14ac:dyDescent="0.25">
      <c r="H907" s="251"/>
      <c r="J907" s="152"/>
    </row>
    <row r="908" spans="8:10" x14ac:dyDescent="0.25">
      <c r="H908" s="251"/>
      <c r="J908" s="152"/>
    </row>
    <row r="909" spans="8:10" x14ac:dyDescent="0.25">
      <c r="H909" s="251"/>
      <c r="J909" s="152"/>
    </row>
    <row r="910" spans="8:10" x14ac:dyDescent="0.25">
      <c r="H910" s="251"/>
      <c r="J910" s="152"/>
    </row>
    <row r="911" spans="8:10" x14ac:dyDescent="0.25">
      <c r="H911" s="251"/>
      <c r="J911" s="152"/>
    </row>
    <row r="912" spans="8:10" x14ac:dyDescent="0.25">
      <c r="H912" s="251"/>
      <c r="J912" s="152"/>
    </row>
    <row r="913" spans="8:10" x14ac:dyDescent="0.25">
      <c r="H913" s="251"/>
      <c r="J913" s="152"/>
    </row>
    <row r="914" spans="8:10" x14ac:dyDescent="0.25">
      <c r="H914" s="251"/>
      <c r="J914" s="152"/>
    </row>
    <row r="915" spans="8:10" x14ac:dyDescent="0.25">
      <c r="H915" s="251"/>
      <c r="J915" s="152"/>
    </row>
    <row r="916" spans="8:10" x14ac:dyDescent="0.25">
      <c r="H916" s="251"/>
      <c r="J916" s="152"/>
    </row>
    <row r="917" spans="8:10" x14ac:dyDescent="0.25">
      <c r="H917" s="251"/>
      <c r="J917" s="152"/>
    </row>
    <row r="918" spans="8:10" x14ac:dyDescent="0.25">
      <c r="H918" s="251"/>
      <c r="J918" s="152"/>
    </row>
    <row r="919" spans="8:10" x14ac:dyDescent="0.25">
      <c r="H919" s="251"/>
      <c r="J919" s="152"/>
    </row>
    <row r="920" spans="8:10" x14ac:dyDescent="0.25">
      <c r="H920" s="251"/>
      <c r="J920" s="152"/>
    </row>
    <row r="921" spans="8:10" x14ac:dyDescent="0.25">
      <c r="H921" s="251"/>
      <c r="J921" s="152"/>
    </row>
    <row r="922" spans="8:10" x14ac:dyDescent="0.25">
      <c r="H922" s="251"/>
      <c r="J922" s="152"/>
    </row>
    <row r="923" spans="8:10" x14ac:dyDescent="0.25">
      <c r="H923" s="251"/>
      <c r="J923" s="152"/>
    </row>
    <row r="924" spans="8:10" x14ac:dyDescent="0.25">
      <c r="H924" s="251"/>
      <c r="J924" s="152"/>
    </row>
    <row r="925" spans="8:10" x14ac:dyDescent="0.25">
      <c r="H925" s="251"/>
      <c r="J925" s="152"/>
    </row>
    <row r="926" spans="8:10" x14ac:dyDescent="0.25">
      <c r="H926" s="251"/>
      <c r="J926" s="152"/>
    </row>
    <row r="927" spans="8:10" x14ac:dyDescent="0.25">
      <c r="H927" s="251"/>
      <c r="J927" s="152"/>
    </row>
    <row r="928" spans="8:10" x14ac:dyDescent="0.25">
      <c r="H928" s="251"/>
      <c r="J928" s="152"/>
    </row>
    <row r="929" spans="8:10" x14ac:dyDescent="0.25">
      <c r="H929" s="251"/>
      <c r="J929" s="152"/>
    </row>
    <row r="930" spans="8:10" x14ac:dyDescent="0.25">
      <c r="H930" s="251"/>
      <c r="J930" s="152"/>
    </row>
    <row r="931" spans="8:10" x14ac:dyDescent="0.25">
      <c r="H931" s="251"/>
      <c r="J931" s="152"/>
    </row>
    <row r="932" spans="8:10" x14ac:dyDescent="0.25">
      <c r="H932" s="251"/>
      <c r="J932" s="152"/>
    </row>
    <row r="933" spans="8:10" x14ac:dyDescent="0.25">
      <c r="H933" s="251"/>
      <c r="J933" s="152"/>
    </row>
    <row r="934" spans="8:10" x14ac:dyDescent="0.25">
      <c r="H934" s="251"/>
      <c r="J934" s="152"/>
    </row>
    <row r="935" spans="8:10" x14ac:dyDescent="0.25">
      <c r="H935" s="251"/>
      <c r="J935" s="152"/>
    </row>
    <row r="936" spans="8:10" x14ac:dyDescent="0.25">
      <c r="H936" s="251"/>
      <c r="J936" s="152"/>
    </row>
    <row r="937" spans="8:10" x14ac:dyDescent="0.25">
      <c r="H937" s="251"/>
      <c r="J937" s="152"/>
    </row>
    <row r="938" spans="8:10" x14ac:dyDescent="0.25">
      <c r="H938" s="251"/>
      <c r="J938" s="152"/>
    </row>
    <row r="939" spans="8:10" x14ac:dyDescent="0.25">
      <c r="H939" s="251"/>
      <c r="J939" s="152"/>
    </row>
    <row r="940" spans="8:10" x14ac:dyDescent="0.25">
      <c r="H940" s="251"/>
      <c r="J940" s="152"/>
    </row>
    <row r="941" spans="8:10" x14ac:dyDescent="0.25">
      <c r="H941" s="251"/>
      <c r="J941" s="152"/>
    </row>
    <row r="942" spans="8:10" x14ac:dyDescent="0.25">
      <c r="H942" s="251"/>
      <c r="J942" s="152"/>
    </row>
    <row r="943" spans="8:10" x14ac:dyDescent="0.25">
      <c r="H943" s="251"/>
      <c r="J943" s="152"/>
    </row>
    <row r="944" spans="8:10" x14ac:dyDescent="0.25">
      <c r="H944" s="251"/>
      <c r="J944" s="152"/>
    </row>
    <row r="945" spans="8:13" x14ac:dyDescent="0.25">
      <c r="H945" s="251"/>
      <c r="J945" s="152"/>
    </row>
    <row r="946" spans="8:13" x14ac:dyDescent="0.25">
      <c r="H946" s="251"/>
      <c r="J946" s="152"/>
    </row>
    <row r="947" spans="8:13" x14ac:dyDescent="0.25">
      <c r="H947" s="251"/>
      <c r="J947" s="152"/>
    </row>
    <row r="948" spans="8:13" x14ac:dyDescent="0.25">
      <c r="H948" s="251"/>
      <c r="J948" s="152"/>
    </row>
    <row r="949" spans="8:13" x14ac:dyDescent="0.25">
      <c r="H949" s="251"/>
      <c r="J949" s="152"/>
    </row>
    <row r="950" spans="8:13" x14ac:dyDescent="0.25">
      <c r="H950" s="251"/>
      <c r="J950" s="152"/>
    </row>
    <row r="951" spans="8:13" x14ac:dyDescent="0.25">
      <c r="H951" s="251"/>
      <c r="J951" s="152"/>
    </row>
    <row r="952" spans="8:13" x14ac:dyDescent="0.25">
      <c r="H952" s="251"/>
      <c r="J952" s="152"/>
    </row>
    <row r="953" spans="8:13" x14ac:dyDescent="0.25">
      <c r="H953" s="251"/>
      <c r="J953" s="152"/>
    </row>
    <row r="954" spans="8:13" x14ac:dyDescent="0.25">
      <c r="H954" s="251"/>
      <c r="J954" s="152"/>
      <c r="M954" s="159"/>
    </row>
    <row r="955" spans="8:13" x14ac:dyDescent="0.25">
      <c r="H955" s="251"/>
      <c r="J955" s="152"/>
    </row>
    <row r="956" spans="8:13" x14ac:dyDescent="0.25">
      <c r="H956" s="251"/>
      <c r="J956" s="152"/>
    </row>
    <row r="957" spans="8:13" x14ac:dyDescent="0.25">
      <c r="H957" s="251"/>
      <c r="J957" s="152"/>
    </row>
    <row r="958" spans="8:13" x14ac:dyDescent="0.25">
      <c r="H958" s="251"/>
      <c r="J958" s="152"/>
    </row>
    <row r="959" spans="8:13" x14ac:dyDescent="0.25">
      <c r="H959" s="251"/>
      <c r="J959" s="152"/>
    </row>
    <row r="960" spans="8:13" x14ac:dyDescent="0.25">
      <c r="H960" s="251"/>
      <c r="J960" s="152"/>
    </row>
    <row r="961" spans="8:10" x14ac:dyDescent="0.25">
      <c r="H961" s="251"/>
      <c r="J961" s="152"/>
    </row>
    <row r="962" spans="8:10" x14ac:dyDescent="0.25">
      <c r="H962" s="251"/>
      <c r="J962" s="152"/>
    </row>
    <row r="963" spans="8:10" x14ac:dyDescent="0.25">
      <c r="H963" s="251"/>
      <c r="J963" s="152"/>
    </row>
    <row r="964" spans="8:10" x14ac:dyDescent="0.25">
      <c r="H964" s="251"/>
      <c r="J964" s="152"/>
    </row>
    <row r="965" spans="8:10" x14ac:dyDescent="0.25">
      <c r="H965" s="251"/>
      <c r="J965" s="152"/>
    </row>
    <row r="966" spans="8:10" x14ac:dyDescent="0.25">
      <c r="H966" s="251"/>
      <c r="J966" s="152"/>
    </row>
    <row r="967" spans="8:10" x14ac:dyDescent="0.25">
      <c r="H967" s="251"/>
      <c r="J967" s="152"/>
    </row>
    <row r="968" spans="8:10" x14ac:dyDescent="0.25">
      <c r="H968" s="251"/>
      <c r="J968" s="152"/>
    </row>
    <row r="969" spans="8:10" x14ac:dyDescent="0.25">
      <c r="H969" s="251"/>
      <c r="J969" s="152"/>
    </row>
    <row r="970" spans="8:10" x14ac:dyDescent="0.25">
      <c r="H970" s="251"/>
      <c r="J970" s="152"/>
    </row>
    <row r="971" spans="8:10" x14ac:dyDescent="0.25">
      <c r="H971" s="251"/>
      <c r="J971" s="152"/>
    </row>
    <row r="972" spans="8:10" x14ac:dyDescent="0.25">
      <c r="H972" s="251"/>
      <c r="J972" s="152"/>
    </row>
    <row r="973" spans="8:10" x14ac:dyDescent="0.25">
      <c r="H973" s="251"/>
      <c r="J973" s="152"/>
    </row>
    <row r="974" spans="8:10" x14ac:dyDescent="0.25">
      <c r="H974" s="251"/>
      <c r="J974" s="152"/>
    </row>
    <row r="975" spans="8:10" x14ac:dyDescent="0.25">
      <c r="H975" s="251"/>
      <c r="J975" s="152"/>
    </row>
    <row r="976" spans="8:10" x14ac:dyDescent="0.25">
      <c r="H976" s="251"/>
      <c r="J976" s="152"/>
    </row>
    <row r="977" spans="8:10" x14ac:dyDescent="0.25">
      <c r="H977" s="251"/>
      <c r="J977" s="152"/>
    </row>
    <row r="978" spans="8:10" x14ac:dyDescent="0.25">
      <c r="H978" s="251"/>
      <c r="J978" s="152"/>
    </row>
    <row r="979" spans="8:10" x14ac:dyDescent="0.25">
      <c r="H979" s="251"/>
      <c r="J979" s="152"/>
    </row>
    <row r="980" spans="8:10" x14ac:dyDescent="0.25">
      <c r="H980" s="251"/>
      <c r="J980" s="152"/>
    </row>
    <row r="981" spans="8:10" x14ac:dyDescent="0.25">
      <c r="H981" s="251"/>
      <c r="J981" s="152"/>
    </row>
    <row r="982" spans="8:10" x14ac:dyDescent="0.25">
      <c r="H982" s="251"/>
      <c r="J982" s="152"/>
    </row>
    <row r="983" spans="8:10" x14ac:dyDescent="0.25">
      <c r="H983" s="251"/>
      <c r="J983" s="152"/>
    </row>
    <row r="984" spans="8:10" x14ac:dyDescent="0.25">
      <c r="H984" s="251"/>
      <c r="J984" s="152"/>
    </row>
    <row r="985" spans="8:10" x14ac:dyDescent="0.25">
      <c r="H985" s="251"/>
      <c r="J985" s="152"/>
    </row>
    <row r="986" spans="8:10" x14ac:dyDescent="0.25">
      <c r="H986" s="251"/>
      <c r="J986" s="152"/>
    </row>
    <row r="987" spans="8:10" x14ac:dyDescent="0.25">
      <c r="H987" s="251"/>
      <c r="J987" s="152"/>
    </row>
    <row r="988" spans="8:10" x14ac:dyDescent="0.25">
      <c r="H988" s="251"/>
      <c r="J988" s="152"/>
    </row>
    <row r="989" spans="8:10" x14ac:dyDescent="0.25">
      <c r="H989" s="251"/>
      <c r="J989" s="152"/>
    </row>
    <row r="990" spans="8:10" x14ac:dyDescent="0.25">
      <c r="H990" s="251"/>
      <c r="J990" s="152"/>
    </row>
    <row r="991" spans="8:10" x14ac:dyDescent="0.25">
      <c r="H991" s="251"/>
      <c r="J991" s="152"/>
    </row>
    <row r="992" spans="8:10" x14ac:dyDescent="0.25">
      <c r="H992" s="251"/>
      <c r="J992" s="152"/>
    </row>
    <row r="993" spans="8:10" x14ac:dyDescent="0.25">
      <c r="H993" s="251"/>
      <c r="J993" s="152"/>
    </row>
    <row r="994" spans="8:10" x14ac:dyDescent="0.25">
      <c r="H994" s="251"/>
      <c r="J994" s="152"/>
    </row>
    <row r="995" spans="8:10" x14ac:dyDescent="0.25">
      <c r="H995" s="251"/>
      <c r="J995" s="152"/>
    </row>
    <row r="996" spans="8:10" x14ac:dyDescent="0.25">
      <c r="H996" s="251"/>
      <c r="J996" s="152"/>
    </row>
    <row r="997" spans="8:10" x14ac:dyDescent="0.25">
      <c r="H997" s="251"/>
      <c r="J997" s="152"/>
    </row>
    <row r="998" spans="8:10" x14ac:dyDescent="0.25">
      <c r="H998" s="251"/>
      <c r="J998" s="152"/>
    </row>
    <row r="999" spans="8:10" x14ac:dyDescent="0.25">
      <c r="H999" s="251"/>
      <c r="J999" s="152"/>
    </row>
    <row r="1000" spans="8:10" x14ac:dyDescent="0.25">
      <c r="H1000" s="251"/>
      <c r="J1000" s="152"/>
    </row>
    <row r="1001" spans="8:10" x14ac:dyDescent="0.25">
      <c r="H1001" s="251"/>
      <c r="J1001" s="152"/>
    </row>
    <row r="1002" spans="8:10" x14ac:dyDescent="0.25">
      <c r="H1002" s="251"/>
      <c r="J1002" s="152"/>
    </row>
    <row r="1003" spans="8:10" x14ac:dyDescent="0.25">
      <c r="H1003" s="251"/>
      <c r="J1003" s="152"/>
    </row>
    <row r="1004" spans="8:10" x14ac:dyDescent="0.25">
      <c r="H1004" s="251"/>
      <c r="J1004" s="152"/>
    </row>
    <row r="1005" spans="8:10" x14ac:dyDescent="0.25">
      <c r="H1005" s="251"/>
      <c r="J1005" s="152"/>
    </row>
    <row r="1006" spans="8:10" x14ac:dyDescent="0.25">
      <c r="H1006" s="251"/>
      <c r="J1006" s="152"/>
    </row>
    <row r="1007" spans="8:10" x14ac:dyDescent="0.25">
      <c r="H1007" s="251"/>
      <c r="J1007" s="152"/>
    </row>
    <row r="1008" spans="8:10" x14ac:dyDescent="0.25">
      <c r="H1008" s="251"/>
      <c r="J1008" s="152"/>
    </row>
    <row r="1009" spans="8:10" x14ac:dyDescent="0.25">
      <c r="H1009" s="251"/>
      <c r="J1009" s="152"/>
    </row>
    <row r="1010" spans="8:10" x14ac:dyDescent="0.25">
      <c r="H1010" s="251"/>
      <c r="J1010" s="152"/>
    </row>
    <row r="1011" spans="8:10" x14ac:dyDescent="0.25">
      <c r="H1011" s="251"/>
      <c r="J1011" s="152"/>
    </row>
    <row r="1012" spans="8:10" x14ac:dyDescent="0.25">
      <c r="H1012" s="251"/>
      <c r="J1012" s="152"/>
    </row>
    <row r="1013" spans="8:10" x14ac:dyDescent="0.25">
      <c r="H1013" s="251"/>
      <c r="J1013" s="152"/>
    </row>
    <row r="1014" spans="8:10" x14ac:dyDescent="0.25">
      <c r="H1014" s="251"/>
      <c r="J1014" s="152"/>
    </row>
    <row r="1015" spans="8:10" x14ac:dyDescent="0.25">
      <c r="H1015" s="251"/>
      <c r="J1015" s="152"/>
    </row>
    <row r="1016" spans="8:10" x14ac:dyDescent="0.25">
      <c r="H1016" s="251"/>
      <c r="J1016" s="152"/>
    </row>
    <row r="1017" spans="8:10" x14ac:dyDescent="0.25">
      <c r="H1017" s="251"/>
      <c r="J1017" s="152"/>
    </row>
    <row r="1018" spans="8:10" x14ac:dyDescent="0.25">
      <c r="H1018" s="251"/>
      <c r="J1018" s="152"/>
    </row>
    <row r="1019" spans="8:10" x14ac:dyDescent="0.25">
      <c r="H1019" s="251"/>
      <c r="J1019" s="152"/>
    </row>
    <row r="1020" spans="8:10" x14ac:dyDescent="0.25">
      <c r="H1020" s="251"/>
      <c r="J1020" s="152"/>
    </row>
    <row r="1021" spans="8:10" x14ac:dyDescent="0.25">
      <c r="H1021" s="251"/>
      <c r="J1021" s="152"/>
    </row>
    <row r="1022" spans="8:10" x14ac:dyDescent="0.25">
      <c r="H1022" s="251"/>
      <c r="J1022" s="152"/>
    </row>
    <row r="1023" spans="8:10" x14ac:dyDescent="0.25">
      <c r="H1023" s="251"/>
      <c r="J1023" s="152"/>
    </row>
    <row r="1024" spans="8:10" x14ac:dyDescent="0.25">
      <c r="H1024" s="251"/>
      <c r="J1024" s="152"/>
    </row>
    <row r="1025" spans="8:10" x14ac:dyDescent="0.25">
      <c r="H1025" s="251"/>
      <c r="J1025" s="152"/>
    </row>
    <row r="1026" spans="8:10" x14ac:dyDescent="0.25">
      <c r="H1026" s="251"/>
      <c r="J1026" s="152"/>
    </row>
    <row r="1027" spans="8:10" x14ac:dyDescent="0.25">
      <c r="H1027" s="251"/>
      <c r="J1027" s="152"/>
    </row>
    <row r="1028" spans="8:10" x14ac:dyDescent="0.25">
      <c r="H1028" s="251"/>
      <c r="J1028" s="152"/>
    </row>
    <row r="1029" spans="8:10" x14ac:dyDescent="0.25">
      <c r="H1029" s="251"/>
      <c r="J1029" s="152"/>
    </row>
    <row r="1030" spans="8:10" x14ac:dyDescent="0.25">
      <c r="H1030" s="251"/>
      <c r="J1030" s="152"/>
    </row>
    <row r="1031" spans="8:10" x14ac:dyDescent="0.25">
      <c r="H1031" s="251"/>
      <c r="J1031" s="152"/>
    </row>
    <row r="1032" spans="8:10" x14ac:dyDescent="0.25">
      <c r="H1032" s="251"/>
      <c r="J1032" s="152"/>
    </row>
    <row r="1033" spans="8:10" x14ac:dyDescent="0.25">
      <c r="H1033" s="251"/>
      <c r="J1033" s="152"/>
    </row>
    <row r="1034" spans="8:10" x14ac:dyDescent="0.25">
      <c r="H1034" s="251"/>
      <c r="J1034" s="152"/>
    </row>
    <row r="1035" spans="8:10" x14ac:dyDescent="0.25">
      <c r="H1035" s="251"/>
      <c r="J1035" s="152"/>
    </row>
    <row r="1036" spans="8:10" x14ac:dyDescent="0.25">
      <c r="H1036" s="251"/>
      <c r="J1036" s="152"/>
    </row>
    <row r="1037" spans="8:10" x14ac:dyDescent="0.25">
      <c r="H1037" s="251"/>
      <c r="J1037" s="152"/>
    </row>
    <row r="1038" spans="8:10" x14ac:dyDescent="0.25">
      <c r="H1038" s="251"/>
      <c r="J1038" s="152"/>
    </row>
    <row r="1039" spans="8:10" x14ac:dyDescent="0.25">
      <c r="H1039" s="251"/>
      <c r="J1039" s="152"/>
    </row>
    <row r="1040" spans="8:10" x14ac:dyDescent="0.25">
      <c r="H1040" s="251"/>
      <c r="J1040" s="152"/>
    </row>
    <row r="1041" spans="8:10" x14ac:dyDescent="0.25">
      <c r="H1041" s="251"/>
      <c r="J1041" s="152"/>
    </row>
    <row r="1042" spans="8:10" x14ac:dyDescent="0.25">
      <c r="H1042" s="251"/>
      <c r="J1042" s="152"/>
    </row>
    <row r="1043" spans="8:10" x14ac:dyDescent="0.25">
      <c r="H1043" s="251"/>
      <c r="J1043" s="152"/>
    </row>
    <row r="1044" spans="8:10" x14ac:dyDescent="0.25">
      <c r="H1044" s="251"/>
      <c r="J1044" s="152"/>
    </row>
    <row r="1045" spans="8:10" x14ac:dyDescent="0.25">
      <c r="H1045" s="251"/>
      <c r="J1045" s="152"/>
    </row>
    <row r="1046" spans="8:10" x14ac:dyDescent="0.25">
      <c r="H1046" s="251"/>
      <c r="J1046" s="152"/>
    </row>
    <row r="1047" spans="8:10" x14ac:dyDescent="0.25">
      <c r="H1047" s="251"/>
      <c r="J1047" s="152"/>
    </row>
    <row r="1048" spans="8:10" x14ac:dyDescent="0.25">
      <c r="H1048" s="251"/>
      <c r="J1048" s="152"/>
    </row>
    <row r="1049" spans="8:10" x14ac:dyDescent="0.25">
      <c r="H1049" s="251"/>
      <c r="J1049" s="152"/>
    </row>
    <row r="1050" spans="8:10" x14ac:dyDescent="0.25">
      <c r="H1050" s="251"/>
      <c r="J1050" s="152"/>
    </row>
    <row r="1051" spans="8:10" x14ac:dyDescent="0.25">
      <c r="H1051" s="251"/>
      <c r="J1051" s="152"/>
    </row>
    <row r="1052" spans="8:10" x14ac:dyDescent="0.25">
      <c r="H1052" s="251"/>
      <c r="J1052" s="152"/>
    </row>
    <row r="1053" spans="8:10" x14ac:dyDescent="0.25">
      <c r="H1053" s="251"/>
      <c r="J1053" s="152"/>
    </row>
    <row r="1054" spans="8:10" x14ac:dyDescent="0.25">
      <c r="H1054" s="251"/>
      <c r="J1054" s="152"/>
    </row>
    <row r="1055" spans="8:10" x14ac:dyDescent="0.25">
      <c r="H1055" s="251"/>
      <c r="J1055" s="152"/>
    </row>
    <row r="1056" spans="8:10" x14ac:dyDescent="0.25">
      <c r="H1056" s="251"/>
      <c r="J1056" s="152"/>
    </row>
    <row r="1057" spans="8:10" x14ac:dyDescent="0.25">
      <c r="H1057" s="251"/>
      <c r="J1057" s="152"/>
    </row>
    <row r="1058" spans="8:10" x14ac:dyDescent="0.25">
      <c r="H1058" s="251"/>
      <c r="J1058" s="152"/>
    </row>
    <row r="1059" spans="8:10" x14ac:dyDescent="0.25">
      <c r="H1059" s="251"/>
      <c r="J1059" s="152"/>
    </row>
    <row r="1060" spans="8:10" x14ac:dyDescent="0.25">
      <c r="H1060" s="251"/>
      <c r="J1060" s="152"/>
    </row>
    <row r="1061" spans="8:10" x14ac:dyDescent="0.25">
      <c r="H1061" s="251"/>
      <c r="J1061" s="152"/>
    </row>
    <row r="1062" spans="8:10" x14ac:dyDescent="0.25">
      <c r="H1062" s="251"/>
      <c r="J1062" s="152"/>
    </row>
    <row r="1063" spans="8:10" x14ac:dyDescent="0.25">
      <c r="H1063" s="251"/>
      <c r="J1063" s="152"/>
    </row>
    <row r="1064" spans="8:10" x14ac:dyDescent="0.25">
      <c r="H1064" s="251"/>
      <c r="J1064" s="152"/>
    </row>
    <row r="1065" spans="8:10" x14ac:dyDescent="0.25">
      <c r="H1065" s="251"/>
      <c r="J1065" s="152"/>
    </row>
    <row r="1066" spans="8:10" x14ac:dyDescent="0.25">
      <c r="H1066" s="251"/>
      <c r="J1066" s="152"/>
    </row>
    <row r="1067" spans="8:10" x14ac:dyDescent="0.25">
      <c r="H1067" s="251"/>
      <c r="J1067" s="152"/>
    </row>
    <row r="1068" spans="8:10" x14ac:dyDescent="0.25">
      <c r="H1068" s="251"/>
      <c r="J1068" s="152"/>
    </row>
    <row r="1069" spans="8:10" x14ac:dyDescent="0.25">
      <c r="H1069" s="251"/>
      <c r="J1069" s="152"/>
    </row>
    <row r="1070" spans="8:10" x14ac:dyDescent="0.25">
      <c r="H1070" s="251"/>
      <c r="J1070" s="152"/>
    </row>
    <row r="1071" spans="8:10" x14ac:dyDescent="0.25">
      <c r="H1071" s="251"/>
      <c r="J1071" s="152"/>
    </row>
    <row r="1072" spans="8:10" x14ac:dyDescent="0.25">
      <c r="H1072" s="251"/>
      <c r="J1072" s="152"/>
    </row>
    <row r="1073" spans="8:10" x14ac:dyDescent="0.25">
      <c r="H1073" s="251"/>
      <c r="J1073" s="152"/>
    </row>
    <row r="1074" spans="8:10" x14ac:dyDescent="0.25">
      <c r="H1074" s="251"/>
      <c r="J1074" s="152"/>
    </row>
    <row r="1075" spans="8:10" x14ac:dyDescent="0.25">
      <c r="H1075" s="251"/>
      <c r="J1075" s="152"/>
    </row>
    <row r="1076" spans="8:10" x14ac:dyDescent="0.25">
      <c r="H1076" s="251"/>
      <c r="J1076" s="152"/>
    </row>
    <row r="1077" spans="8:10" x14ac:dyDescent="0.25">
      <c r="H1077" s="251"/>
      <c r="J1077" s="152"/>
    </row>
    <row r="1078" spans="8:10" x14ac:dyDescent="0.25">
      <c r="H1078" s="251"/>
      <c r="J1078" s="152"/>
    </row>
    <row r="1079" spans="8:10" x14ac:dyDescent="0.25">
      <c r="H1079" s="251"/>
      <c r="J1079" s="152"/>
    </row>
    <row r="1080" spans="8:10" x14ac:dyDescent="0.25">
      <c r="H1080" s="251"/>
      <c r="J1080" s="152"/>
    </row>
    <row r="1081" spans="8:10" x14ac:dyDescent="0.25">
      <c r="H1081" s="251"/>
      <c r="J1081" s="152"/>
    </row>
    <row r="1082" spans="8:10" x14ac:dyDescent="0.25">
      <c r="H1082" s="251"/>
      <c r="J1082" s="152"/>
    </row>
    <row r="1083" spans="8:10" x14ac:dyDescent="0.25">
      <c r="H1083" s="251"/>
      <c r="J1083" s="152"/>
    </row>
    <row r="1084" spans="8:10" x14ac:dyDescent="0.25">
      <c r="H1084" s="251"/>
      <c r="J1084" s="152"/>
    </row>
    <row r="1085" spans="8:10" x14ac:dyDescent="0.25">
      <c r="H1085" s="251"/>
      <c r="J1085" s="152"/>
    </row>
    <row r="1086" spans="8:10" x14ac:dyDescent="0.25">
      <c r="H1086" s="251"/>
      <c r="J1086" s="152"/>
    </row>
    <row r="1087" spans="8:10" x14ac:dyDescent="0.25">
      <c r="H1087" s="251"/>
      <c r="J1087" s="152"/>
    </row>
    <row r="1088" spans="8:10" x14ac:dyDescent="0.25">
      <c r="H1088" s="251"/>
      <c r="J1088" s="152"/>
    </row>
    <row r="1089" spans="8:10" x14ac:dyDescent="0.25">
      <c r="H1089" s="251"/>
      <c r="J1089" s="152"/>
    </row>
    <row r="1090" spans="8:10" x14ac:dyDescent="0.25">
      <c r="H1090" s="251"/>
      <c r="J1090" s="152"/>
    </row>
    <row r="1091" spans="8:10" x14ac:dyDescent="0.25">
      <c r="H1091" s="251"/>
      <c r="J1091" s="152"/>
    </row>
    <row r="1092" spans="8:10" x14ac:dyDescent="0.25">
      <c r="H1092" s="251"/>
      <c r="J1092" s="152"/>
    </row>
    <row r="1093" spans="8:10" x14ac:dyDescent="0.25">
      <c r="H1093" s="251"/>
      <c r="J1093" s="152"/>
    </row>
    <row r="1094" spans="8:10" x14ac:dyDescent="0.25">
      <c r="H1094" s="251"/>
      <c r="J1094" s="152"/>
    </row>
    <row r="1095" spans="8:10" x14ac:dyDescent="0.25">
      <c r="H1095" s="251"/>
      <c r="J1095" s="152"/>
    </row>
    <row r="1096" spans="8:10" x14ac:dyDescent="0.25">
      <c r="H1096" s="251"/>
      <c r="J1096" s="152"/>
    </row>
    <row r="1097" spans="8:10" x14ac:dyDescent="0.25">
      <c r="H1097" s="251"/>
      <c r="J1097" s="152"/>
    </row>
    <row r="1098" spans="8:10" x14ac:dyDescent="0.25">
      <c r="H1098" s="251"/>
      <c r="J1098" s="152"/>
    </row>
    <row r="1099" spans="8:10" x14ac:dyDescent="0.25">
      <c r="H1099" s="251"/>
      <c r="J1099" s="152"/>
    </row>
    <row r="1100" spans="8:10" x14ac:dyDescent="0.25">
      <c r="H1100" s="251"/>
      <c r="J1100" s="152"/>
    </row>
    <row r="1101" spans="8:10" x14ac:dyDescent="0.25">
      <c r="H1101" s="251"/>
      <c r="J1101" s="152"/>
    </row>
    <row r="1102" spans="8:10" x14ac:dyDescent="0.25">
      <c r="H1102" s="251"/>
      <c r="J1102" s="152"/>
    </row>
    <row r="1103" spans="8:10" x14ac:dyDescent="0.25">
      <c r="H1103" s="251"/>
      <c r="J1103" s="152"/>
    </row>
    <row r="1104" spans="8:10" x14ac:dyDescent="0.25">
      <c r="H1104" s="251"/>
      <c r="J1104" s="152"/>
    </row>
    <row r="1105" spans="8:10" x14ac:dyDescent="0.25">
      <c r="H1105" s="251"/>
      <c r="J1105" s="152"/>
    </row>
    <row r="1106" spans="8:10" x14ac:dyDescent="0.25">
      <c r="H1106" s="251"/>
      <c r="J1106" s="152"/>
    </row>
    <row r="1107" spans="8:10" x14ac:dyDescent="0.25">
      <c r="H1107" s="251"/>
      <c r="J1107" s="152"/>
    </row>
    <row r="1108" spans="8:10" x14ac:dyDescent="0.25">
      <c r="H1108" s="251"/>
      <c r="J1108" s="152"/>
    </row>
    <row r="1109" spans="8:10" x14ac:dyDescent="0.25">
      <c r="H1109" s="251"/>
      <c r="J1109" s="152"/>
    </row>
    <row r="1110" spans="8:10" x14ac:dyDescent="0.25">
      <c r="H1110" s="251"/>
      <c r="J1110" s="152"/>
    </row>
    <row r="1111" spans="8:10" x14ac:dyDescent="0.25">
      <c r="H1111" s="251"/>
      <c r="J1111" s="152"/>
    </row>
    <row r="1112" spans="8:10" x14ac:dyDescent="0.25">
      <c r="H1112" s="251"/>
      <c r="J1112" s="152"/>
    </row>
    <row r="1113" spans="8:10" x14ac:dyDescent="0.25">
      <c r="H1113" s="251"/>
      <c r="J1113" s="152"/>
    </row>
    <row r="1114" spans="8:10" x14ac:dyDescent="0.25">
      <c r="H1114" s="251"/>
      <c r="J1114" s="152"/>
    </row>
    <row r="1115" spans="8:10" x14ac:dyDescent="0.25">
      <c r="H1115" s="251"/>
      <c r="J1115" s="152"/>
    </row>
    <row r="1116" spans="8:10" x14ac:dyDescent="0.25">
      <c r="H1116" s="251"/>
      <c r="J1116" s="152"/>
    </row>
    <row r="1117" spans="8:10" x14ac:dyDescent="0.25">
      <c r="H1117" s="251"/>
      <c r="J1117" s="152"/>
    </row>
    <row r="1118" spans="8:10" x14ac:dyDescent="0.25">
      <c r="H1118" s="251"/>
      <c r="J1118" s="152"/>
    </row>
    <row r="1119" spans="8:10" x14ac:dyDescent="0.25">
      <c r="H1119" s="251"/>
      <c r="J1119" s="152"/>
    </row>
    <row r="1120" spans="8:10" x14ac:dyDescent="0.25">
      <c r="H1120" s="251"/>
      <c r="J1120" s="152"/>
    </row>
    <row r="1121" spans="8:10" x14ac:dyDescent="0.25">
      <c r="H1121" s="251"/>
      <c r="J1121" s="152"/>
    </row>
    <row r="1122" spans="8:10" x14ac:dyDescent="0.25">
      <c r="H1122" s="251"/>
      <c r="J1122" s="152"/>
    </row>
    <row r="1123" spans="8:10" x14ac:dyDescent="0.25">
      <c r="H1123" s="251"/>
      <c r="J1123" s="152"/>
    </row>
    <row r="1124" spans="8:10" x14ac:dyDescent="0.25">
      <c r="H1124" s="251"/>
      <c r="J1124" s="152"/>
    </row>
    <row r="1125" spans="8:10" x14ac:dyDescent="0.25">
      <c r="H1125" s="251"/>
      <c r="J1125" s="152"/>
    </row>
    <row r="1126" spans="8:10" x14ac:dyDescent="0.25">
      <c r="H1126" s="251"/>
      <c r="J1126" s="152"/>
    </row>
    <row r="1127" spans="8:10" x14ac:dyDescent="0.25">
      <c r="H1127" s="251"/>
      <c r="J1127" s="152"/>
    </row>
    <row r="1128" spans="8:10" x14ac:dyDescent="0.25">
      <c r="H1128" s="251"/>
      <c r="J1128" s="152"/>
    </row>
    <row r="1129" spans="8:10" x14ac:dyDescent="0.25">
      <c r="H1129" s="251"/>
      <c r="J1129" s="152"/>
    </row>
    <row r="1130" spans="8:10" x14ac:dyDescent="0.25">
      <c r="H1130" s="251"/>
      <c r="J1130" s="152"/>
    </row>
    <row r="1131" spans="8:10" x14ac:dyDescent="0.25">
      <c r="H1131" s="251"/>
      <c r="J1131" s="152"/>
    </row>
    <row r="1132" spans="8:10" x14ac:dyDescent="0.25">
      <c r="H1132" s="251"/>
      <c r="J1132" s="152"/>
    </row>
    <row r="1133" spans="8:10" x14ac:dyDescent="0.25">
      <c r="H1133" s="251"/>
      <c r="J1133" s="152"/>
    </row>
    <row r="1134" spans="8:10" x14ac:dyDescent="0.25">
      <c r="H1134" s="251"/>
      <c r="J1134" s="152"/>
    </row>
    <row r="1135" spans="8:10" x14ac:dyDescent="0.25">
      <c r="H1135" s="251"/>
      <c r="J1135" s="152"/>
    </row>
    <row r="1136" spans="8:10" x14ac:dyDescent="0.25">
      <c r="H1136" s="251"/>
      <c r="J1136" s="152"/>
    </row>
    <row r="1137" spans="8:10" x14ac:dyDescent="0.25">
      <c r="H1137" s="251"/>
      <c r="J1137" s="152"/>
    </row>
    <row r="1138" spans="8:10" x14ac:dyDescent="0.25">
      <c r="H1138" s="251"/>
      <c r="J1138" s="152"/>
    </row>
    <row r="1139" spans="8:10" x14ac:dyDescent="0.25">
      <c r="H1139" s="251"/>
      <c r="J1139" s="152"/>
    </row>
    <row r="1140" spans="8:10" x14ac:dyDescent="0.25">
      <c r="H1140" s="251"/>
      <c r="J1140" s="152"/>
    </row>
    <row r="1141" spans="8:10" x14ac:dyDescent="0.25">
      <c r="H1141" s="251"/>
      <c r="J1141" s="152"/>
    </row>
    <row r="1142" spans="8:10" x14ac:dyDescent="0.25">
      <c r="H1142" s="251"/>
      <c r="J1142" s="152"/>
    </row>
    <row r="1143" spans="8:10" x14ac:dyDescent="0.25">
      <c r="H1143" s="251"/>
      <c r="J1143" s="152"/>
    </row>
    <row r="1144" spans="8:10" x14ac:dyDescent="0.25">
      <c r="H1144" s="251"/>
      <c r="J1144" s="152"/>
    </row>
    <row r="1145" spans="8:10" x14ac:dyDescent="0.25">
      <c r="H1145" s="251"/>
      <c r="J1145" s="152"/>
    </row>
    <row r="1146" spans="8:10" x14ac:dyDescent="0.25">
      <c r="H1146" s="251"/>
      <c r="J1146" s="152"/>
    </row>
    <row r="1147" spans="8:10" x14ac:dyDescent="0.25">
      <c r="H1147" s="251"/>
      <c r="J1147" s="152"/>
    </row>
    <row r="1148" spans="8:10" x14ac:dyDescent="0.25">
      <c r="H1148" s="251"/>
      <c r="J1148" s="152"/>
    </row>
    <row r="1149" spans="8:10" x14ac:dyDescent="0.25">
      <c r="H1149" s="251"/>
      <c r="J1149" s="152"/>
    </row>
    <row r="1150" spans="8:10" x14ac:dyDescent="0.25">
      <c r="H1150" s="251"/>
      <c r="J1150" s="152"/>
    </row>
    <row r="1151" spans="8:10" x14ac:dyDescent="0.25">
      <c r="H1151" s="251"/>
      <c r="J1151" s="152"/>
    </row>
    <row r="1152" spans="8:10" x14ac:dyDescent="0.25">
      <c r="H1152" s="251"/>
      <c r="J1152" s="152"/>
    </row>
    <row r="1153" spans="8:10" x14ac:dyDescent="0.25">
      <c r="H1153" s="251"/>
      <c r="J1153" s="152"/>
    </row>
    <row r="1154" spans="8:10" x14ac:dyDescent="0.25">
      <c r="H1154" s="251"/>
      <c r="J1154" s="152"/>
    </row>
    <row r="1155" spans="8:10" x14ac:dyDescent="0.25">
      <c r="H1155" s="251"/>
      <c r="J1155" s="152"/>
    </row>
    <row r="1156" spans="8:10" x14ac:dyDescent="0.25">
      <c r="H1156" s="251"/>
      <c r="J1156" s="152"/>
    </row>
    <row r="1157" spans="8:10" x14ac:dyDescent="0.25">
      <c r="H1157" s="251"/>
      <c r="J1157" s="152"/>
    </row>
    <row r="1158" spans="8:10" x14ac:dyDescent="0.25">
      <c r="H1158" s="251"/>
      <c r="J1158" s="152"/>
    </row>
    <row r="1159" spans="8:10" x14ac:dyDescent="0.25">
      <c r="H1159" s="251"/>
      <c r="J1159" s="152"/>
    </row>
    <row r="1160" spans="8:10" x14ac:dyDescent="0.25">
      <c r="H1160" s="251"/>
      <c r="J1160" s="152"/>
    </row>
    <row r="1161" spans="8:10" x14ac:dyDescent="0.25">
      <c r="H1161" s="251"/>
      <c r="J1161" s="152"/>
    </row>
    <row r="1162" spans="8:10" x14ac:dyDescent="0.25">
      <c r="H1162" s="251"/>
      <c r="J1162" s="152"/>
    </row>
    <row r="1163" spans="8:10" x14ac:dyDescent="0.25">
      <c r="H1163" s="251"/>
      <c r="J1163" s="152"/>
    </row>
    <row r="1164" spans="8:10" x14ac:dyDescent="0.25">
      <c r="H1164" s="251"/>
      <c r="J1164" s="152"/>
    </row>
    <row r="1165" spans="8:10" x14ac:dyDescent="0.25">
      <c r="H1165" s="251"/>
      <c r="J1165" s="152"/>
    </row>
    <row r="1166" spans="8:10" x14ac:dyDescent="0.25">
      <c r="H1166" s="251"/>
      <c r="J1166" s="152"/>
    </row>
    <row r="1167" spans="8:10" x14ac:dyDescent="0.25">
      <c r="H1167" s="251"/>
      <c r="J1167" s="152"/>
    </row>
    <row r="1168" spans="8:10" x14ac:dyDescent="0.25">
      <c r="H1168" s="251"/>
      <c r="J1168" s="152"/>
    </row>
    <row r="1169" spans="8:10" x14ac:dyDescent="0.25">
      <c r="H1169" s="251"/>
      <c r="J1169" s="152"/>
    </row>
    <row r="1170" spans="8:10" x14ac:dyDescent="0.25">
      <c r="H1170" s="251"/>
      <c r="J1170" s="152"/>
    </row>
    <row r="1171" spans="8:10" x14ac:dyDescent="0.25">
      <c r="H1171" s="251"/>
      <c r="J1171" s="152"/>
    </row>
    <row r="1172" spans="8:10" x14ac:dyDescent="0.25">
      <c r="H1172" s="251"/>
      <c r="J1172" s="152"/>
    </row>
    <row r="1173" spans="8:10" x14ac:dyDescent="0.25">
      <c r="H1173" s="251"/>
      <c r="J1173" s="152"/>
    </row>
    <row r="1174" spans="8:10" x14ac:dyDescent="0.25">
      <c r="H1174" s="251"/>
      <c r="J1174" s="152"/>
    </row>
    <row r="1175" spans="8:10" x14ac:dyDescent="0.25">
      <c r="H1175" s="251"/>
      <c r="J1175" s="152"/>
    </row>
    <row r="1176" spans="8:10" x14ac:dyDescent="0.25">
      <c r="H1176" s="251"/>
      <c r="J1176" s="152"/>
    </row>
    <row r="1177" spans="8:10" x14ac:dyDescent="0.25">
      <c r="H1177" s="251"/>
      <c r="J1177" s="152"/>
    </row>
    <row r="1178" spans="8:10" x14ac:dyDescent="0.25">
      <c r="H1178" s="251"/>
      <c r="J1178" s="152"/>
    </row>
    <row r="1179" spans="8:10" x14ac:dyDescent="0.25">
      <c r="H1179" s="251"/>
      <c r="J1179" s="152"/>
    </row>
    <row r="1180" spans="8:10" x14ac:dyDescent="0.25">
      <c r="H1180" s="251"/>
      <c r="J1180" s="152"/>
    </row>
    <row r="1181" spans="8:10" x14ac:dyDescent="0.25">
      <c r="H1181" s="251"/>
      <c r="J1181" s="152"/>
    </row>
    <row r="1182" spans="8:10" x14ac:dyDescent="0.25">
      <c r="H1182" s="251"/>
      <c r="J1182" s="152"/>
    </row>
    <row r="1183" spans="8:10" x14ac:dyDescent="0.25">
      <c r="H1183" s="251"/>
      <c r="J1183" s="152"/>
    </row>
    <row r="1184" spans="8:10" x14ac:dyDescent="0.25">
      <c r="H1184" s="251"/>
      <c r="J1184" s="152"/>
    </row>
    <row r="1185" spans="8:10" x14ac:dyDescent="0.25">
      <c r="H1185" s="251"/>
      <c r="J1185" s="152"/>
    </row>
    <row r="1186" spans="8:10" x14ac:dyDescent="0.25">
      <c r="H1186" s="251"/>
      <c r="J1186" s="152"/>
    </row>
    <row r="1187" spans="8:10" x14ac:dyDescent="0.25">
      <c r="H1187" s="251"/>
      <c r="J1187" s="152"/>
    </row>
    <row r="1188" spans="8:10" x14ac:dyDescent="0.25">
      <c r="H1188" s="251"/>
      <c r="J1188" s="152"/>
    </row>
    <row r="1189" spans="8:10" x14ac:dyDescent="0.25">
      <c r="H1189" s="251"/>
      <c r="J1189" s="152"/>
    </row>
    <row r="1190" spans="8:10" x14ac:dyDescent="0.25">
      <c r="H1190" s="251"/>
      <c r="J1190" s="152"/>
    </row>
    <row r="1191" spans="8:10" x14ac:dyDescent="0.25">
      <c r="H1191" s="251"/>
      <c r="J1191" s="152"/>
    </row>
    <row r="1192" spans="8:10" x14ac:dyDescent="0.25">
      <c r="H1192" s="251"/>
      <c r="J1192" s="152"/>
    </row>
    <row r="1193" spans="8:10" x14ac:dyDescent="0.25">
      <c r="H1193" s="251"/>
      <c r="J1193" s="152"/>
    </row>
    <row r="1194" spans="8:10" x14ac:dyDescent="0.25">
      <c r="H1194" s="251"/>
      <c r="J1194" s="152"/>
    </row>
    <row r="1195" spans="8:10" x14ac:dyDescent="0.25">
      <c r="H1195" s="251"/>
      <c r="J1195" s="152"/>
    </row>
    <row r="1196" spans="8:10" x14ac:dyDescent="0.25">
      <c r="H1196" s="251"/>
      <c r="J1196" s="152"/>
    </row>
    <row r="1197" spans="8:10" x14ac:dyDescent="0.25">
      <c r="H1197" s="251"/>
      <c r="J1197" s="152"/>
    </row>
    <row r="1198" spans="8:10" x14ac:dyDescent="0.25">
      <c r="H1198" s="251"/>
      <c r="J1198" s="152"/>
    </row>
    <row r="1199" spans="8:10" x14ac:dyDescent="0.25">
      <c r="H1199" s="251"/>
      <c r="J1199" s="152"/>
    </row>
    <row r="1200" spans="8:10" x14ac:dyDescent="0.25">
      <c r="H1200" s="251"/>
      <c r="J1200" s="152"/>
    </row>
    <row r="1201" spans="8:10" x14ac:dyDescent="0.25">
      <c r="H1201" s="251"/>
      <c r="J1201" s="152"/>
    </row>
    <row r="1202" spans="8:10" x14ac:dyDescent="0.25">
      <c r="H1202" s="251"/>
      <c r="J1202" s="152"/>
    </row>
    <row r="1203" spans="8:10" x14ac:dyDescent="0.25">
      <c r="H1203" s="251"/>
      <c r="J1203" s="152"/>
    </row>
    <row r="1204" spans="8:10" x14ac:dyDescent="0.25">
      <c r="H1204" s="251"/>
      <c r="J1204" s="152"/>
    </row>
    <row r="1205" spans="8:10" x14ac:dyDescent="0.25">
      <c r="H1205" s="251"/>
      <c r="J1205" s="152"/>
    </row>
    <row r="1206" spans="8:10" x14ac:dyDescent="0.25">
      <c r="H1206" s="251"/>
      <c r="J1206" s="152"/>
    </row>
    <row r="1207" spans="8:10" x14ac:dyDescent="0.25">
      <c r="H1207" s="251"/>
      <c r="J1207" s="152"/>
    </row>
    <row r="1208" spans="8:10" x14ac:dyDescent="0.25">
      <c r="H1208" s="251"/>
      <c r="J1208" s="152"/>
    </row>
    <row r="1209" spans="8:10" x14ac:dyDescent="0.25">
      <c r="H1209" s="251"/>
      <c r="J1209" s="152"/>
    </row>
    <row r="1210" spans="8:10" x14ac:dyDescent="0.25">
      <c r="H1210" s="251"/>
      <c r="J1210" s="152"/>
    </row>
    <row r="1211" spans="8:10" x14ac:dyDescent="0.25">
      <c r="H1211" s="251"/>
      <c r="J1211" s="152"/>
    </row>
    <row r="1212" spans="8:10" x14ac:dyDescent="0.25">
      <c r="H1212" s="251"/>
      <c r="J1212" s="152"/>
    </row>
    <row r="1213" spans="8:10" x14ac:dyDescent="0.25">
      <c r="H1213" s="251"/>
      <c r="J1213" s="152"/>
    </row>
    <row r="1214" spans="8:10" x14ac:dyDescent="0.25">
      <c r="H1214" s="251"/>
      <c r="J1214" s="152"/>
    </row>
    <row r="1215" spans="8:10" x14ac:dyDescent="0.25">
      <c r="H1215" s="251"/>
      <c r="J1215" s="152"/>
    </row>
    <row r="1216" spans="8:10" x14ac:dyDescent="0.25">
      <c r="H1216" s="251"/>
      <c r="J1216" s="152"/>
    </row>
    <row r="1217" spans="8:10" x14ac:dyDescent="0.25">
      <c r="H1217" s="251"/>
      <c r="J1217" s="152"/>
    </row>
    <row r="1218" spans="8:10" x14ac:dyDescent="0.25">
      <c r="H1218" s="251"/>
      <c r="J1218" s="152"/>
    </row>
    <row r="1219" spans="8:10" x14ac:dyDescent="0.25">
      <c r="H1219" s="251"/>
      <c r="J1219" s="152"/>
    </row>
    <row r="1220" spans="8:10" x14ac:dyDescent="0.25">
      <c r="H1220" s="251"/>
      <c r="J1220" s="152"/>
    </row>
    <row r="1221" spans="8:10" x14ac:dyDescent="0.25">
      <c r="H1221" s="251"/>
      <c r="J1221" s="152"/>
    </row>
    <row r="1222" spans="8:10" x14ac:dyDescent="0.25">
      <c r="H1222" s="251"/>
      <c r="J1222" s="152"/>
    </row>
    <row r="1223" spans="8:10" x14ac:dyDescent="0.25">
      <c r="H1223" s="251"/>
      <c r="J1223" s="152"/>
    </row>
    <row r="1224" spans="8:10" x14ac:dyDescent="0.25">
      <c r="H1224" s="251"/>
      <c r="J1224" s="152"/>
    </row>
    <row r="1225" spans="8:10" x14ac:dyDescent="0.25">
      <c r="H1225" s="251"/>
      <c r="J1225" s="152"/>
    </row>
    <row r="1226" spans="8:10" x14ac:dyDescent="0.25">
      <c r="H1226" s="251"/>
      <c r="J1226" s="152"/>
    </row>
    <row r="1227" spans="8:10" x14ac:dyDescent="0.25">
      <c r="H1227" s="251"/>
      <c r="J1227" s="152"/>
    </row>
    <row r="1228" spans="8:10" x14ac:dyDescent="0.25">
      <c r="H1228" s="251"/>
      <c r="J1228" s="152"/>
    </row>
    <row r="1229" spans="8:10" x14ac:dyDescent="0.25">
      <c r="H1229" s="251"/>
      <c r="J1229" s="152"/>
    </row>
    <row r="1230" spans="8:10" x14ac:dyDescent="0.25">
      <c r="H1230" s="251"/>
      <c r="J1230" s="152"/>
    </row>
    <row r="1231" spans="8:10" x14ac:dyDescent="0.25">
      <c r="H1231" s="251"/>
      <c r="J1231" s="152"/>
    </row>
    <row r="1232" spans="8:10" x14ac:dyDescent="0.25">
      <c r="H1232" s="251"/>
      <c r="J1232" s="152"/>
    </row>
    <row r="1233" spans="8:10" x14ac:dyDescent="0.25">
      <c r="H1233" s="251"/>
      <c r="J1233" s="152"/>
    </row>
    <row r="1234" spans="8:10" x14ac:dyDescent="0.25">
      <c r="H1234" s="251"/>
      <c r="J1234" s="152"/>
    </row>
    <row r="1235" spans="8:10" x14ac:dyDescent="0.25">
      <c r="H1235" s="251"/>
      <c r="J1235" s="152"/>
    </row>
    <row r="1236" spans="8:10" x14ac:dyDescent="0.25">
      <c r="H1236" s="251"/>
      <c r="J1236" s="152"/>
    </row>
    <row r="1237" spans="8:10" x14ac:dyDescent="0.25">
      <c r="H1237" s="251"/>
      <c r="J1237" s="152"/>
    </row>
    <row r="1238" spans="8:10" x14ac:dyDescent="0.25">
      <c r="H1238" s="251"/>
      <c r="J1238" s="152"/>
    </row>
    <row r="1239" spans="8:10" x14ac:dyDescent="0.25">
      <c r="H1239" s="251"/>
      <c r="J1239" s="152"/>
    </row>
    <row r="1240" spans="8:10" x14ac:dyDescent="0.25">
      <c r="H1240" s="251"/>
      <c r="J1240" s="152"/>
    </row>
    <row r="1241" spans="8:10" x14ac:dyDescent="0.25">
      <c r="H1241" s="251"/>
      <c r="J1241" s="152"/>
    </row>
    <row r="1242" spans="8:10" x14ac:dyDescent="0.25">
      <c r="H1242" s="251"/>
      <c r="J1242" s="152"/>
    </row>
    <row r="1243" spans="8:10" x14ac:dyDescent="0.25">
      <c r="H1243" s="251"/>
      <c r="J1243" s="152"/>
    </row>
    <row r="1244" spans="8:10" x14ac:dyDescent="0.25">
      <c r="H1244" s="251"/>
      <c r="J1244" s="152"/>
    </row>
    <row r="1245" spans="8:10" x14ac:dyDescent="0.25">
      <c r="H1245" s="251"/>
      <c r="J1245" s="152"/>
    </row>
    <row r="1246" spans="8:10" x14ac:dyDescent="0.25">
      <c r="H1246" s="251"/>
      <c r="J1246" s="152"/>
    </row>
    <row r="1247" spans="8:10" x14ac:dyDescent="0.25">
      <c r="H1247" s="251"/>
      <c r="J1247" s="152"/>
    </row>
    <row r="1248" spans="8:10" x14ac:dyDescent="0.25">
      <c r="H1248" s="251"/>
      <c r="J1248" s="152"/>
    </row>
    <row r="1249" spans="8:10" x14ac:dyDescent="0.25">
      <c r="H1249" s="251"/>
      <c r="J1249" s="152"/>
    </row>
    <row r="1250" spans="8:10" x14ac:dyDescent="0.25">
      <c r="H1250" s="251"/>
      <c r="J1250" s="152"/>
    </row>
    <row r="1251" spans="8:10" x14ac:dyDescent="0.25">
      <c r="H1251" s="251"/>
      <c r="J1251" s="152"/>
    </row>
    <row r="1252" spans="8:10" x14ac:dyDescent="0.25">
      <c r="H1252" s="251"/>
      <c r="J1252" s="152"/>
    </row>
    <row r="1253" spans="8:10" x14ac:dyDescent="0.25">
      <c r="H1253" s="251"/>
      <c r="J1253" s="152"/>
    </row>
    <row r="1254" spans="8:10" x14ac:dyDescent="0.25">
      <c r="H1254" s="251"/>
      <c r="J1254" s="152"/>
    </row>
    <row r="1255" spans="8:10" x14ac:dyDescent="0.25">
      <c r="H1255" s="251"/>
      <c r="J1255" s="152"/>
    </row>
    <row r="1256" spans="8:10" x14ac:dyDescent="0.25">
      <c r="H1256" s="251"/>
      <c r="J1256" s="152"/>
    </row>
    <row r="1257" spans="8:10" x14ac:dyDescent="0.25">
      <c r="H1257" s="251"/>
      <c r="J1257" s="152"/>
    </row>
    <row r="1258" spans="8:10" x14ac:dyDescent="0.25">
      <c r="H1258" s="251"/>
      <c r="J1258" s="152"/>
    </row>
    <row r="1259" spans="8:10" x14ac:dyDescent="0.25">
      <c r="H1259" s="251"/>
      <c r="J1259" s="152"/>
    </row>
    <row r="1260" spans="8:10" x14ac:dyDescent="0.25">
      <c r="H1260" s="251"/>
      <c r="J1260" s="152"/>
    </row>
    <row r="1261" spans="8:10" x14ac:dyDescent="0.25">
      <c r="H1261" s="251"/>
      <c r="J1261" s="152"/>
    </row>
    <row r="1262" spans="8:10" x14ac:dyDescent="0.25">
      <c r="H1262" s="251"/>
      <c r="J1262" s="152"/>
    </row>
    <row r="1263" spans="8:10" x14ac:dyDescent="0.25">
      <c r="H1263" s="251"/>
      <c r="J1263" s="152"/>
    </row>
    <row r="1264" spans="8:10" x14ac:dyDescent="0.25">
      <c r="H1264" s="251"/>
      <c r="J1264" s="152"/>
    </row>
    <row r="1265" spans="8:10" x14ac:dyDescent="0.25">
      <c r="H1265" s="251"/>
      <c r="J1265" s="152"/>
    </row>
    <row r="1266" spans="8:10" x14ac:dyDescent="0.25">
      <c r="H1266" s="251"/>
      <c r="J1266" s="152"/>
    </row>
    <row r="1267" spans="8:10" x14ac:dyDescent="0.25">
      <c r="H1267" s="251"/>
      <c r="J1267" s="152"/>
    </row>
    <row r="1268" spans="8:10" x14ac:dyDescent="0.25">
      <c r="H1268" s="251"/>
      <c r="J1268" s="152"/>
    </row>
    <row r="1269" spans="8:10" x14ac:dyDescent="0.25">
      <c r="H1269" s="251"/>
      <c r="J1269" s="152"/>
    </row>
    <row r="1270" spans="8:10" x14ac:dyDescent="0.25">
      <c r="H1270" s="251"/>
      <c r="J1270" s="152"/>
    </row>
    <row r="1271" spans="8:10" x14ac:dyDescent="0.25">
      <c r="H1271" s="251"/>
      <c r="J1271" s="152"/>
    </row>
    <row r="1272" spans="8:10" x14ac:dyDescent="0.25">
      <c r="H1272" s="251"/>
      <c r="J1272" s="152"/>
    </row>
    <row r="1273" spans="8:10" x14ac:dyDescent="0.25">
      <c r="H1273" s="251"/>
      <c r="J1273" s="152"/>
    </row>
    <row r="1274" spans="8:10" x14ac:dyDescent="0.25">
      <c r="H1274" s="251"/>
      <c r="J1274" s="152"/>
    </row>
    <row r="1275" spans="8:10" x14ac:dyDescent="0.25">
      <c r="H1275" s="251"/>
      <c r="J1275" s="152"/>
    </row>
    <row r="1276" spans="8:10" x14ac:dyDescent="0.25">
      <c r="H1276" s="251"/>
      <c r="J1276" s="152"/>
    </row>
    <row r="1277" spans="8:10" x14ac:dyDescent="0.25">
      <c r="H1277" s="251"/>
      <c r="J1277" s="152"/>
    </row>
    <row r="1278" spans="8:10" x14ac:dyDescent="0.25">
      <c r="H1278" s="251"/>
      <c r="J1278" s="152"/>
    </row>
    <row r="1279" spans="8:10" x14ac:dyDescent="0.25">
      <c r="H1279" s="251"/>
      <c r="J1279" s="152"/>
    </row>
    <row r="1280" spans="8:10" x14ac:dyDescent="0.25">
      <c r="H1280" s="251"/>
      <c r="J1280" s="152"/>
    </row>
    <row r="1281" spans="8:10" x14ac:dyDescent="0.25">
      <c r="H1281" s="251"/>
      <c r="J1281" s="152"/>
    </row>
    <row r="1282" spans="8:10" x14ac:dyDescent="0.25">
      <c r="H1282" s="251"/>
      <c r="J1282" s="152"/>
    </row>
    <row r="1283" spans="8:10" x14ac:dyDescent="0.25">
      <c r="H1283" s="251"/>
      <c r="J1283" s="152"/>
    </row>
    <row r="1284" spans="8:10" x14ac:dyDescent="0.25">
      <c r="H1284" s="251"/>
      <c r="J1284" s="152"/>
    </row>
    <row r="1285" spans="8:10" x14ac:dyDescent="0.25">
      <c r="H1285" s="251"/>
      <c r="J1285" s="152"/>
    </row>
    <row r="1286" spans="8:10" x14ac:dyDescent="0.25">
      <c r="H1286" s="251"/>
      <c r="J1286" s="152"/>
    </row>
    <row r="1287" spans="8:10" x14ac:dyDescent="0.25">
      <c r="H1287" s="251"/>
      <c r="J1287" s="152"/>
    </row>
    <row r="1288" spans="8:10" x14ac:dyDescent="0.25">
      <c r="H1288" s="251"/>
      <c r="J1288" s="152"/>
    </row>
    <row r="1289" spans="8:10" x14ac:dyDescent="0.25">
      <c r="H1289" s="251"/>
      <c r="J1289" s="152"/>
    </row>
    <row r="1290" spans="8:10" x14ac:dyDescent="0.25">
      <c r="H1290" s="251"/>
      <c r="J1290" s="152"/>
    </row>
    <row r="1291" spans="8:10" x14ac:dyDescent="0.25">
      <c r="H1291" s="251"/>
      <c r="J1291" s="152"/>
    </row>
    <row r="1292" spans="8:10" x14ac:dyDescent="0.25">
      <c r="H1292" s="251"/>
      <c r="J1292" s="152"/>
    </row>
    <row r="1293" spans="8:10" x14ac:dyDescent="0.25">
      <c r="H1293" s="251"/>
      <c r="J1293" s="152"/>
    </row>
    <row r="1294" spans="8:10" x14ac:dyDescent="0.25">
      <c r="H1294" s="251"/>
      <c r="J1294" s="152"/>
    </row>
    <row r="1295" spans="8:10" x14ac:dyDescent="0.25">
      <c r="H1295" s="251"/>
      <c r="J1295" s="152"/>
    </row>
    <row r="1296" spans="8:10" x14ac:dyDescent="0.25">
      <c r="H1296" s="251"/>
      <c r="J1296" s="152"/>
    </row>
    <row r="1297" spans="8:10" x14ac:dyDescent="0.25">
      <c r="H1297" s="251"/>
      <c r="J1297" s="152"/>
    </row>
    <row r="1298" spans="8:10" x14ac:dyDescent="0.25">
      <c r="H1298" s="251"/>
      <c r="J1298" s="152"/>
    </row>
    <row r="1299" spans="8:10" x14ac:dyDescent="0.25">
      <c r="H1299" s="251"/>
      <c r="J1299" s="152"/>
    </row>
    <row r="1300" spans="8:10" x14ac:dyDescent="0.25">
      <c r="H1300" s="251"/>
      <c r="J1300" s="152"/>
    </row>
    <row r="1301" spans="8:10" x14ac:dyDescent="0.25">
      <c r="H1301" s="251"/>
      <c r="J1301" s="152"/>
    </row>
    <row r="1302" spans="8:10" x14ac:dyDescent="0.25">
      <c r="H1302" s="251"/>
      <c r="J1302" s="152"/>
    </row>
    <row r="1303" spans="8:10" x14ac:dyDescent="0.25">
      <c r="H1303" s="251"/>
      <c r="J1303" s="152"/>
    </row>
    <row r="1304" spans="8:10" x14ac:dyDescent="0.25">
      <c r="H1304" s="251"/>
      <c r="J1304" s="152"/>
    </row>
    <row r="1305" spans="8:10" x14ac:dyDescent="0.25">
      <c r="H1305" s="251"/>
      <c r="J1305" s="152"/>
    </row>
    <row r="1306" spans="8:10" x14ac:dyDescent="0.25">
      <c r="H1306" s="251"/>
      <c r="J1306" s="152"/>
    </row>
    <row r="1307" spans="8:10" x14ac:dyDescent="0.25">
      <c r="H1307" s="251"/>
      <c r="J1307" s="152"/>
    </row>
    <row r="1308" spans="8:10" x14ac:dyDescent="0.25">
      <c r="H1308" s="251"/>
      <c r="J1308" s="152"/>
    </row>
    <row r="1309" spans="8:10" x14ac:dyDescent="0.25">
      <c r="H1309" s="251"/>
      <c r="J1309" s="152"/>
    </row>
    <row r="1310" spans="8:10" x14ac:dyDescent="0.25">
      <c r="H1310" s="251"/>
      <c r="J1310" s="152"/>
    </row>
    <row r="1311" spans="8:10" x14ac:dyDescent="0.25">
      <c r="H1311" s="251"/>
      <c r="J1311" s="152"/>
    </row>
    <row r="1312" spans="8:10" x14ac:dyDescent="0.25">
      <c r="H1312" s="251"/>
      <c r="J1312" s="152"/>
    </row>
    <row r="1313" spans="8:10" x14ac:dyDescent="0.25">
      <c r="H1313" s="251"/>
      <c r="J1313" s="152"/>
    </row>
    <row r="1314" spans="8:10" x14ac:dyDescent="0.25">
      <c r="H1314" s="251"/>
      <c r="J1314" s="152"/>
    </row>
    <row r="1315" spans="8:10" x14ac:dyDescent="0.25">
      <c r="H1315" s="251"/>
      <c r="J1315" s="152"/>
    </row>
    <row r="1316" spans="8:10" x14ac:dyDescent="0.25">
      <c r="H1316" s="251"/>
      <c r="J1316" s="152"/>
    </row>
    <row r="1317" spans="8:10" x14ac:dyDescent="0.25">
      <c r="H1317" s="251"/>
      <c r="J1317" s="152"/>
    </row>
    <row r="1318" spans="8:10" x14ac:dyDescent="0.25">
      <c r="H1318" s="251"/>
      <c r="J1318" s="152"/>
    </row>
    <row r="1319" spans="8:10" x14ac:dyDescent="0.25">
      <c r="H1319" s="251"/>
      <c r="J1319" s="152"/>
    </row>
    <row r="1320" spans="8:10" x14ac:dyDescent="0.25">
      <c r="H1320" s="251"/>
      <c r="J1320" s="152"/>
    </row>
    <row r="1321" spans="8:10" x14ac:dyDescent="0.25">
      <c r="H1321" s="251"/>
      <c r="J1321" s="152"/>
    </row>
    <row r="1322" spans="8:10" x14ac:dyDescent="0.25">
      <c r="H1322" s="251"/>
      <c r="J1322" s="152"/>
    </row>
    <row r="1323" spans="8:10" x14ac:dyDescent="0.25">
      <c r="H1323" s="251"/>
      <c r="J1323" s="152"/>
    </row>
    <row r="1324" spans="8:10" x14ac:dyDescent="0.25">
      <c r="H1324" s="251"/>
      <c r="J1324" s="152"/>
    </row>
    <row r="1325" spans="8:10" x14ac:dyDescent="0.25">
      <c r="H1325" s="251"/>
      <c r="J1325" s="152"/>
    </row>
    <row r="1326" spans="8:10" x14ac:dyDescent="0.25">
      <c r="H1326" s="251"/>
      <c r="J1326" s="152"/>
    </row>
    <row r="1327" spans="8:10" x14ac:dyDescent="0.25">
      <c r="H1327" s="251"/>
      <c r="J1327" s="152"/>
    </row>
    <row r="1328" spans="8:10" x14ac:dyDescent="0.25">
      <c r="H1328" s="251"/>
      <c r="J1328" s="152"/>
    </row>
    <row r="1329" spans="8:10" x14ac:dyDescent="0.25">
      <c r="H1329" s="251"/>
      <c r="J1329" s="152"/>
    </row>
    <row r="1330" spans="8:10" x14ac:dyDescent="0.25">
      <c r="H1330" s="251"/>
      <c r="J1330" s="152"/>
    </row>
    <row r="1331" spans="8:10" x14ac:dyDescent="0.25">
      <c r="H1331" s="251"/>
      <c r="J1331" s="152"/>
    </row>
    <row r="1332" spans="8:10" x14ac:dyDescent="0.25">
      <c r="H1332" s="251"/>
      <c r="J1332" s="152"/>
    </row>
    <row r="1333" spans="8:10" x14ac:dyDescent="0.25">
      <c r="H1333" s="251"/>
      <c r="J1333" s="152"/>
    </row>
    <row r="1334" spans="8:10" x14ac:dyDescent="0.25">
      <c r="H1334" s="251"/>
      <c r="J1334" s="152"/>
    </row>
    <row r="1335" spans="8:10" x14ac:dyDescent="0.25">
      <c r="H1335" s="251"/>
      <c r="J1335" s="152"/>
    </row>
    <row r="1336" spans="8:10" x14ac:dyDescent="0.25">
      <c r="H1336" s="251"/>
      <c r="J1336" s="152"/>
    </row>
    <row r="1337" spans="8:10" x14ac:dyDescent="0.25">
      <c r="H1337" s="251"/>
      <c r="J1337" s="152"/>
    </row>
    <row r="1338" spans="8:10" x14ac:dyDescent="0.25">
      <c r="H1338" s="251"/>
      <c r="J1338" s="152"/>
    </row>
    <row r="1339" spans="8:10" x14ac:dyDescent="0.25">
      <c r="H1339" s="251"/>
      <c r="J1339" s="152"/>
    </row>
    <row r="1340" spans="8:10" x14ac:dyDescent="0.25">
      <c r="H1340" s="251"/>
      <c r="J1340" s="152"/>
    </row>
    <row r="1341" spans="8:10" x14ac:dyDescent="0.25">
      <c r="H1341" s="251"/>
      <c r="J1341" s="152"/>
    </row>
    <row r="1342" spans="8:10" x14ac:dyDescent="0.25">
      <c r="H1342" s="251"/>
      <c r="J1342" s="152"/>
    </row>
    <row r="1343" spans="8:10" x14ac:dyDescent="0.25">
      <c r="H1343" s="251"/>
      <c r="J1343" s="152"/>
    </row>
    <row r="1344" spans="8:10" x14ac:dyDescent="0.25">
      <c r="H1344" s="251"/>
      <c r="J1344" s="152"/>
    </row>
    <row r="1345" spans="8:10" x14ac:dyDescent="0.25">
      <c r="H1345" s="251"/>
      <c r="J1345" s="152"/>
    </row>
    <row r="1346" spans="8:10" x14ac:dyDescent="0.25">
      <c r="H1346" s="251"/>
      <c r="J1346" s="152"/>
    </row>
    <row r="1347" spans="8:10" x14ac:dyDescent="0.25">
      <c r="H1347" s="251"/>
      <c r="J1347" s="152"/>
    </row>
    <row r="1348" spans="8:10" x14ac:dyDescent="0.25">
      <c r="H1348" s="251"/>
      <c r="J1348" s="152"/>
    </row>
    <row r="1349" spans="8:10" x14ac:dyDescent="0.25">
      <c r="H1349" s="251"/>
      <c r="J1349" s="152"/>
    </row>
    <row r="1350" spans="8:10" x14ac:dyDescent="0.25">
      <c r="H1350" s="251"/>
      <c r="J1350" s="152"/>
    </row>
    <row r="1351" spans="8:10" x14ac:dyDescent="0.25">
      <c r="H1351" s="251"/>
      <c r="J1351" s="152"/>
    </row>
    <row r="1352" spans="8:10" x14ac:dyDescent="0.25">
      <c r="H1352" s="251"/>
      <c r="J1352" s="152"/>
    </row>
    <row r="1353" spans="8:10" x14ac:dyDescent="0.25">
      <c r="H1353" s="251"/>
      <c r="J1353" s="152"/>
    </row>
    <row r="1354" spans="8:10" x14ac:dyDescent="0.25">
      <c r="H1354" s="251"/>
      <c r="J1354" s="152"/>
    </row>
    <row r="1355" spans="8:10" x14ac:dyDescent="0.25">
      <c r="H1355" s="251"/>
      <c r="J1355" s="152"/>
    </row>
    <row r="1356" spans="8:10" x14ac:dyDescent="0.25">
      <c r="H1356" s="251"/>
      <c r="J1356" s="152"/>
    </row>
    <row r="1357" spans="8:10" x14ac:dyDescent="0.25">
      <c r="H1357" s="251"/>
      <c r="J1357" s="152"/>
    </row>
    <row r="1358" spans="8:10" x14ac:dyDescent="0.25">
      <c r="H1358" s="251"/>
      <c r="J1358" s="152"/>
    </row>
    <row r="1359" spans="8:10" x14ac:dyDescent="0.25">
      <c r="H1359" s="251"/>
      <c r="J1359" s="152"/>
    </row>
    <row r="1360" spans="8:10" x14ac:dyDescent="0.25">
      <c r="H1360" s="251"/>
      <c r="J1360" s="152"/>
    </row>
    <row r="1361" spans="8:10" x14ac:dyDescent="0.25">
      <c r="H1361" s="251"/>
      <c r="J1361" s="152"/>
    </row>
    <row r="1362" spans="8:10" x14ac:dyDescent="0.25">
      <c r="H1362" s="251"/>
      <c r="J1362" s="152"/>
    </row>
    <row r="1363" spans="8:10" x14ac:dyDescent="0.25">
      <c r="H1363" s="251"/>
      <c r="J1363" s="152"/>
    </row>
    <row r="1364" spans="8:10" x14ac:dyDescent="0.25">
      <c r="H1364" s="251"/>
      <c r="J1364" s="152"/>
    </row>
    <row r="1365" spans="8:10" x14ac:dyDescent="0.25">
      <c r="H1365" s="251"/>
      <c r="J1365" s="152"/>
    </row>
    <row r="1366" spans="8:10" x14ac:dyDescent="0.25">
      <c r="H1366" s="251"/>
      <c r="J1366" s="152"/>
    </row>
    <row r="1367" spans="8:10" x14ac:dyDescent="0.25">
      <c r="H1367" s="251"/>
      <c r="J1367" s="152"/>
    </row>
    <row r="1368" spans="8:10" x14ac:dyDescent="0.25">
      <c r="H1368" s="251"/>
      <c r="J1368" s="152"/>
    </row>
    <row r="1369" spans="8:10" x14ac:dyDescent="0.25">
      <c r="H1369" s="251"/>
      <c r="J1369" s="152"/>
    </row>
    <row r="1370" spans="8:10" x14ac:dyDescent="0.25">
      <c r="H1370" s="251"/>
      <c r="J1370" s="152"/>
    </row>
    <row r="1371" spans="8:10" x14ac:dyDescent="0.25">
      <c r="H1371" s="251"/>
      <c r="J1371" s="152"/>
    </row>
    <row r="1372" spans="8:10" x14ac:dyDescent="0.25">
      <c r="H1372" s="251"/>
      <c r="J1372" s="152"/>
    </row>
    <row r="1373" spans="8:10" x14ac:dyDescent="0.25">
      <c r="H1373" s="251"/>
      <c r="J1373" s="152"/>
    </row>
    <row r="1374" spans="8:10" x14ac:dyDescent="0.25">
      <c r="H1374" s="251"/>
      <c r="J1374" s="152"/>
    </row>
    <row r="1375" spans="8:10" x14ac:dyDescent="0.25">
      <c r="H1375" s="251"/>
      <c r="J1375" s="152"/>
    </row>
    <row r="1376" spans="8:10" x14ac:dyDescent="0.25">
      <c r="H1376" s="251"/>
      <c r="J1376" s="152"/>
    </row>
    <row r="1377" spans="4:10" x14ac:dyDescent="0.25">
      <c r="H1377" s="251"/>
      <c r="J1377" s="152"/>
    </row>
    <row r="1378" spans="4:10" x14ac:dyDescent="0.25">
      <c r="H1378" s="251"/>
      <c r="J1378" s="152"/>
    </row>
    <row r="1379" spans="4:10" x14ac:dyDescent="0.25">
      <c r="H1379" s="251"/>
      <c r="J1379" s="152"/>
    </row>
    <row r="1380" spans="4:10" x14ac:dyDescent="0.25">
      <c r="H1380" s="251"/>
      <c r="J1380" s="152"/>
    </row>
    <row r="1381" spans="4:10" x14ac:dyDescent="0.25">
      <c r="H1381" s="251"/>
      <c r="J1381" s="152"/>
    </row>
    <row r="1382" spans="4:10" x14ac:dyDescent="0.25">
      <c r="H1382" s="251"/>
      <c r="J1382" s="152"/>
    </row>
    <row r="1383" spans="4:10" x14ac:dyDescent="0.25">
      <c r="H1383" s="251"/>
      <c r="J1383" s="152"/>
    </row>
    <row r="1384" spans="4:10" x14ac:dyDescent="0.25">
      <c r="H1384" s="251"/>
      <c r="J1384" s="152"/>
    </row>
    <row r="1385" spans="4:10" x14ac:dyDescent="0.25">
      <c r="H1385" s="251"/>
      <c r="J1385" s="152"/>
    </row>
    <row r="1386" spans="4:10" x14ac:dyDescent="0.25">
      <c r="H1386" s="251"/>
      <c r="J1386" s="152"/>
    </row>
    <row r="1387" spans="4:10" x14ac:dyDescent="0.25">
      <c r="H1387" s="251"/>
      <c r="J1387" s="152"/>
    </row>
    <row r="1388" spans="4:10" x14ac:dyDescent="0.25">
      <c r="H1388" s="251"/>
      <c r="J1388" s="152"/>
    </row>
    <row r="1389" spans="4:10" x14ac:dyDescent="0.25">
      <c r="H1389" s="251"/>
      <c r="J1389" s="152"/>
    </row>
    <row r="1390" spans="4:10" x14ac:dyDescent="0.25">
      <c r="H1390" s="251"/>
      <c r="J1390" s="152"/>
    </row>
    <row r="1391" spans="4:10" x14ac:dyDescent="0.25">
      <c r="D1391" s="254"/>
      <c r="H1391" s="251"/>
      <c r="J1391" s="152"/>
    </row>
    <row r="1392" spans="4:10" x14ac:dyDescent="0.25">
      <c r="H1392" s="251"/>
      <c r="J1392" s="152"/>
    </row>
    <row r="1393" spans="8:10" x14ac:dyDescent="0.25">
      <c r="H1393" s="251"/>
      <c r="J1393" s="152"/>
    </row>
    <row r="1394" spans="8:10" x14ac:dyDescent="0.25">
      <c r="H1394" s="251"/>
      <c r="J1394" s="152"/>
    </row>
    <row r="1395" spans="8:10" x14ac:dyDescent="0.25">
      <c r="H1395" s="251"/>
      <c r="J1395" s="152"/>
    </row>
    <row r="1396" spans="8:10" x14ac:dyDescent="0.25">
      <c r="H1396" s="251"/>
      <c r="J1396" s="152"/>
    </row>
    <row r="1397" spans="8:10" x14ac:dyDescent="0.25">
      <c r="H1397" s="251"/>
      <c r="J1397" s="152"/>
    </row>
    <row r="1398" spans="8:10" x14ac:dyDescent="0.25">
      <c r="H1398" s="251"/>
      <c r="J1398" s="152"/>
    </row>
    <row r="1399" spans="8:10" x14ac:dyDescent="0.25">
      <c r="H1399" s="251"/>
      <c r="J1399" s="152"/>
    </row>
    <row r="1400" spans="8:10" x14ac:dyDescent="0.25">
      <c r="H1400" s="251"/>
      <c r="J1400" s="152"/>
    </row>
    <row r="1401" spans="8:10" x14ac:dyDescent="0.25">
      <c r="H1401" s="251"/>
      <c r="J1401" s="152"/>
    </row>
    <row r="1402" spans="8:10" x14ac:dyDescent="0.25">
      <c r="H1402" s="251"/>
      <c r="J1402" s="152"/>
    </row>
    <row r="1403" spans="8:10" x14ac:dyDescent="0.25">
      <c r="H1403" s="251"/>
      <c r="J1403" s="152"/>
    </row>
    <row r="1404" spans="8:10" x14ac:dyDescent="0.25">
      <c r="H1404" s="251"/>
      <c r="J1404" s="152"/>
    </row>
    <row r="1405" spans="8:10" x14ac:dyDescent="0.25">
      <c r="H1405" s="251"/>
      <c r="J1405" s="152"/>
    </row>
    <row r="1406" spans="8:10" x14ac:dyDescent="0.25">
      <c r="H1406" s="251"/>
      <c r="J1406" s="152"/>
    </row>
    <row r="1407" spans="8:10" x14ac:dyDescent="0.25">
      <c r="H1407" s="251"/>
      <c r="J1407" s="152"/>
    </row>
    <row r="1408" spans="8:10" x14ac:dyDescent="0.25">
      <c r="H1408" s="251"/>
      <c r="J1408" s="152"/>
    </row>
    <row r="1409" spans="8:10" x14ac:dyDescent="0.25">
      <c r="H1409" s="251"/>
      <c r="J1409" s="152"/>
    </row>
    <row r="1410" spans="8:10" x14ac:dyDescent="0.25">
      <c r="H1410" s="251"/>
      <c r="J1410" s="152"/>
    </row>
    <row r="1411" spans="8:10" x14ac:dyDescent="0.25">
      <c r="H1411" s="251"/>
      <c r="J1411" s="152"/>
    </row>
    <row r="1412" spans="8:10" x14ac:dyDescent="0.25">
      <c r="H1412" s="251"/>
      <c r="J1412" s="152"/>
    </row>
    <row r="1413" spans="8:10" x14ac:dyDescent="0.25">
      <c r="H1413" s="251"/>
      <c r="J1413" s="152"/>
    </row>
    <row r="1414" spans="8:10" x14ac:dyDescent="0.25">
      <c r="H1414" s="251"/>
      <c r="J1414" s="152"/>
    </row>
    <row r="1415" spans="8:10" x14ac:dyDescent="0.25">
      <c r="H1415" s="251"/>
      <c r="J1415" s="152"/>
    </row>
    <row r="1416" spans="8:10" x14ac:dyDescent="0.25">
      <c r="H1416" s="251"/>
      <c r="J1416" s="152"/>
    </row>
    <row r="1417" spans="8:10" x14ac:dyDescent="0.25">
      <c r="H1417" s="251"/>
      <c r="J1417" s="152"/>
    </row>
    <row r="1418" spans="8:10" x14ac:dyDescent="0.25">
      <c r="H1418" s="251"/>
      <c r="J1418" s="152"/>
    </row>
    <row r="1419" spans="8:10" x14ac:dyDescent="0.25">
      <c r="H1419" s="251"/>
      <c r="J1419" s="152"/>
    </row>
    <row r="1420" spans="8:10" x14ac:dyDescent="0.25">
      <c r="H1420" s="251"/>
      <c r="J1420" s="152"/>
    </row>
    <row r="1421" spans="8:10" x14ac:dyDescent="0.25">
      <c r="H1421" s="251"/>
      <c r="J1421" s="152"/>
    </row>
    <row r="1422" spans="8:10" x14ac:dyDescent="0.25">
      <c r="H1422" s="251"/>
      <c r="J1422" s="152"/>
    </row>
    <row r="1423" spans="8:10" x14ac:dyDescent="0.25">
      <c r="H1423" s="251"/>
      <c r="J1423" s="152"/>
    </row>
    <row r="1424" spans="8:10" x14ac:dyDescent="0.25">
      <c r="H1424" s="251"/>
      <c r="J1424" s="152"/>
    </row>
    <row r="1425" spans="8:10" x14ac:dyDescent="0.25">
      <c r="H1425" s="251"/>
      <c r="J1425" s="152"/>
    </row>
    <row r="1426" spans="8:10" x14ac:dyDescent="0.25">
      <c r="H1426" s="251"/>
      <c r="J1426" s="152"/>
    </row>
    <row r="1427" spans="8:10" x14ac:dyDescent="0.25">
      <c r="H1427" s="251"/>
      <c r="J1427" s="152"/>
    </row>
    <row r="1428" spans="8:10" x14ac:dyDescent="0.25">
      <c r="H1428" s="251"/>
      <c r="J1428" s="152"/>
    </row>
    <row r="1429" spans="8:10" x14ac:dyDescent="0.25">
      <c r="H1429" s="251"/>
      <c r="J1429" s="152"/>
    </row>
    <row r="1430" spans="8:10" x14ac:dyDescent="0.25">
      <c r="H1430" s="251"/>
      <c r="J1430" s="152"/>
    </row>
    <row r="1431" spans="8:10" x14ac:dyDescent="0.25">
      <c r="H1431" s="251"/>
      <c r="J1431" s="152"/>
    </row>
    <row r="1432" spans="8:10" x14ac:dyDescent="0.25">
      <c r="H1432" s="251"/>
      <c r="J1432" s="152"/>
    </row>
    <row r="1433" spans="8:10" x14ac:dyDescent="0.25">
      <c r="H1433" s="251"/>
      <c r="J1433" s="152"/>
    </row>
    <row r="1434" spans="8:10" x14ac:dyDescent="0.25">
      <c r="H1434" s="251"/>
      <c r="J1434" s="152"/>
    </row>
    <row r="1435" spans="8:10" x14ac:dyDescent="0.25">
      <c r="H1435" s="251"/>
      <c r="J1435" s="152"/>
    </row>
    <row r="1436" spans="8:10" x14ac:dyDescent="0.25">
      <c r="H1436" s="251"/>
      <c r="J1436" s="152"/>
    </row>
    <row r="1437" spans="8:10" x14ac:dyDescent="0.25">
      <c r="H1437" s="251"/>
      <c r="J1437" s="152"/>
    </row>
    <row r="1438" spans="8:10" x14ac:dyDescent="0.25">
      <c r="H1438" s="251"/>
      <c r="J1438" s="152"/>
    </row>
    <row r="1439" spans="8:10" x14ac:dyDescent="0.25">
      <c r="H1439" s="251"/>
      <c r="J1439" s="152"/>
    </row>
    <row r="1440" spans="8:10" x14ac:dyDescent="0.25">
      <c r="H1440" s="251"/>
      <c r="J1440" s="152"/>
    </row>
    <row r="1441" spans="8:10" x14ac:dyDescent="0.25">
      <c r="H1441" s="251"/>
      <c r="J1441" s="152"/>
    </row>
    <row r="1442" spans="8:10" x14ac:dyDescent="0.25">
      <c r="H1442" s="251"/>
      <c r="J1442" s="152"/>
    </row>
    <row r="1443" spans="8:10" x14ac:dyDescent="0.25">
      <c r="H1443" s="251"/>
      <c r="J1443" s="152"/>
    </row>
    <row r="1444" spans="8:10" x14ac:dyDescent="0.25">
      <c r="H1444" s="251"/>
      <c r="J1444" s="152"/>
    </row>
    <row r="1445" spans="8:10" x14ac:dyDescent="0.25">
      <c r="H1445" s="251"/>
      <c r="J1445" s="152"/>
    </row>
    <row r="1446" spans="8:10" x14ac:dyDescent="0.25">
      <c r="H1446" s="251"/>
      <c r="J1446" s="152"/>
    </row>
    <row r="1447" spans="8:10" x14ac:dyDescent="0.25">
      <c r="H1447" s="251"/>
      <c r="J1447" s="152"/>
    </row>
    <row r="1448" spans="8:10" x14ac:dyDescent="0.25">
      <c r="H1448" s="251"/>
      <c r="J1448" s="152"/>
    </row>
    <row r="1449" spans="8:10" x14ac:dyDescent="0.25">
      <c r="H1449" s="251"/>
      <c r="J1449" s="152"/>
    </row>
    <row r="1450" spans="8:10" x14ac:dyDescent="0.25">
      <c r="H1450" s="251"/>
      <c r="J1450" s="152"/>
    </row>
    <row r="1451" spans="8:10" x14ac:dyDescent="0.25">
      <c r="H1451" s="251"/>
      <c r="J1451" s="152"/>
    </row>
    <row r="1452" spans="8:10" x14ac:dyDescent="0.25">
      <c r="H1452" s="251"/>
      <c r="J1452" s="152"/>
    </row>
    <row r="1453" spans="8:10" x14ac:dyDescent="0.25">
      <c r="H1453" s="251"/>
      <c r="J1453" s="152"/>
    </row>
    <row r="1454" spans="8:10" x14ac:dyDescent="0.25">
      <c r="H1454" s="251"/>
      <c r="J1454" s="152"/>
    </row>
    <row r="1455" spans="8:10" x14ac:dyDescent="0.25">
      <c r="H1455" s="251"/>
      <c r="J1455" s="152"/>
    </row>
    <row r="1456" spans="8:10" x14ac:dyDescent="0.25">
      <c r="H1456" s="251"/>
      <c r="J1456" s="152"/>
    </row>
    <row r="1457" spans="8:10" x14ac:dyDescent="0.25">
      <c r="H1457" s="251"/>
      <c r="J1457" s="152"/>
    </row>
    <row r="1458" spans="8:10" x14ac:dyDescent="0.25">
      <c r="H1458" s="251"/>
      <c r="J1458" s="152"/>
    </row>
    <row r="1459" spans="8:10" x14ac:dyDescent="0.25">
      <c r="H1459" s="251"/>
      <c r="J1459" s="152"/>
    </row>
    <row r="1460" spans="8:10" x14ac:dyDescent="0.25">
      <c r="H1460" s="251"/>
      <c r="J1460" s="152"/>
    </row>
    <row r="1461" spans="8:10" x14ac:dyDescent="0.25">
      <c r="H1461" s="251"/>
      <c r="J1461" s="152"/>
    </row>
    <row r="1462" spans="8:10" x14ac:dyDescent="0.25">
      <c r="H1462" s="251"/>
      <c r="J1462" s="152"/>
    </row>
    <row r="1463" spans="8:10" x14ac:dyDescent="0.25">
      <c r="H1463" s="251"/>
      <c r="J1463" s="152"/>
    </row>
    <row r="1464" spans="8:10" x14ac:dyDescent="0.25">
      <c r="H1464" s="251"/>
      <c r="J1464" s="152"/>
    </row>
    <row r="1465" spans="8:10" x14ac:dyDescent="0.25">
      <c r="H1465" s="251"/>
      <c r="J1465" s="152"/>
    </row>
    <row r="1466" spans="8:10" x14ac:dyDescent="0.25">
      <c r="H1466" s="251"/>
      <c r="J1466" s="152"/>
    </row>
    <row r="1467" spans="8:10" x14ac:dyDescent="0.25">
      <c r="H1467" s="251"/>
      <c r="J1467" s="152"/>
    </row>
    <row r="1468" spans="8:10" x14ac:dyDescent="0.25">
      <c r="H1468" s="251"/>
      <c r="J1468" s="152"/>
    </row>
    <row r="1469" spans="8:10" x14ac:dyDescent="0.25">
      <c r="H1469" s="251"/>
      <c r="J1469" s="152"/>
    </row>
    <row r="1470" spans="8:10" x14ac:dyDescent="0.25">
      <c r="H1470" s="251"/>
      <c r="J1470" s="152"/>
    </row>
    <row r="1471" spans="8:10" x14ac:dyDescent="0.25">
      <c r="H1471" s="251"/>
      <c r="J1471" s="152"/>
    </row>
    <row r="1472" spans="8:10" x14ac:dyDescent="0.25">
      <c r="H1472" s="251"/>
      <c r="J1472" s="152"/>
    </row>
    <row r="1473" spans="8:10" x14ac:dyDescent="0.25">
      <c r="H1473" s="251"/>
      <c r="J1473" s="152"/>
    </row>
    <row r="1474" spans="8:10" x14ac:dyDescent="0.25">
      <c r="H1474" s="251"/>
      <c r="J1474" s="152"/>
    </row>
    <row r="1475" spans="8:10" x14ac:dyDescent="0.25">
      <c r="H1475" s="251"/>
      <c r="J1475" s="152"/>
    </row>
    <row r="1476" spans="8:10" x14ac:dyDescent="0.25">
      <c r="H1476" s="251"/>
      <c r="J1476" s="152"/>
    </row>
    <row r="1477" spans="8:10" x14ac:dyDescent="0.25">
      <c r="H1477" s="251"/>
      <c r="J1477" s="152"/>
    </row>
    <row r="1478" spans="8:10" x14ac:dyDescent="0.25">
      <c r="H1478" s="251"/>
      <c r="J1478" s="152"/>
    </row>
    <row r="1479" spans="8:10" x14ac:dyDescent="0.25">
      <c r="H1479" s="251"/>
      <c r="J1479" s="152"/>
    </row>
    <row r="1480" spans="8:10" x14ac:dyDescent="0.25">
      <c r="H1480" s="251"/>
      <c r="J1480" s="152"/>
    </row>
    <row r="1481" spans="8:10" x14ac:dyDescent="0.25">
      <c r="H1481" s="251"/>
      <c r="J1481" s="152"/>
    </row>
    <row r="1482" spans="8:10" x14ac:dyDescent="0.25">
      <c r="H1482" s="251"/>
      <c r="J1482" s="152"/>
    </row>
    <row r="1483" spans="8:10" x14ac:dyDescent="0.25">
      <c r="H1483" s="251"/>
      <c r="J1483" s="152"/>
    </row>
    <row r="1484" spans="8:10" x14ac:dyDescent="0.25">
      <c r="H1484" s="251"/>
      <c r="J1484" s="152"/>
    </row>
    <row r="1485" spans="8:10" x14ac:dyDescent="0.25">
      <c r="H1485" s="251"/>
      <c r="J1485" s="152"/>
    </row>
    <row r="1486" spans="8:10" x14ac:dyDescent="0.25">
      <c r="H1486" s="251"/>
      <c r="J1486" s="152"/>
    </row>
    <row r="1487" spans="8:10" x14ac:dyDescent="0.25">
      <c r="H1487" s="251"/>
      <c r="J1487" s="152"/>
    </row>
    <row r="1488" spans="8:10" x14ac:dyDescent="0.25">
      <c r="H1488" s="251"/>
      <c r="J1488" s="152"/>
    </row>
    <row r="1489" spans="8:10" x14ac:dyDescent="0.25">
      <c r="H1489" s="251"/>
      <c r="J1489" s="152"/>
    </row>
    <row r="1490" spans="8:10" x14ac:dyDescent="0.25">
      <c r="H1490" s="251"/>
      <c r="J1490" s="152"/>
    </row>
    <row r="1491" spans="8:10" x14ac:dyDescent="0.25">
      <c r="H1491" s="251"/>
      <c r="J1491" s="152"/>
    </row>
    <row r="1492" spans="8:10" x14ac:dyDescent="0.25">
      <c r="H1492" s="251"/>
      <c r="J1492" s="152"/>
    </row>
    <row r="1493" spans="8:10" x14ac:dyDescent="0.25">
      <c r="H1493" s="251"/>
      <c r="J1493" s="152"/>
    </row>
    <row r="1494" spans="8:10" x14ac:dyDescent="0.25">
      <c r="H1494" s="251"/>
      <c r="J1494" s="152"/>
    </row>
    <row r="1495" spans="8:10" x14ac:dyDescent="0.25">
      <c r="H1495" s="251"/>
      <c r="J1495" s="152"/>
    </row>
    <row r="1496" spans="8:10" x14ac:dyDescent="0.25">
      <c r="H1496" s="251"/>
      <c r="J1496" s="152"/>
    </row>
    <row r="1497" spans="8:10" x14ac:dyDescent="0.25">
      <c r="H1497" s="251"/>
      <c r="J1497" s="152"/>
    </row>
    <row r="1498" spans="8:10" x14ac:dyDescent="0.25">
      <c r="H1498" s="251"/>
      <c r="J1498" s="152"/>
    </row>
    <row r="1499" spans="8:10" x14ac:dyDescent="0.25">
      <c r="H1499" s="251"/>
      <c r="J1499" s="152"/>
    </row>
    <row r="1500" spans="8:10" x14ac:dyDescent="0.25">
      <c r="H1500" s="251"/>
      <c r="J1500" s="152"/>
    </row>
    <row r="1501" spans="8:10" x14ac:dyDescent="0.25">
      <c r="H1501" s="251"/>
      <c r="J1501" s="152"/>
    </row>
    <row r="1502" spans="8:10" x14ac:dyDescent="0.25">
      <c r="H1502" s="251"/>
      <c r="J1502" s="152"/>
    </row>
    <row r="1503" spans="8:10" x14ac:dyDescent="0.25">
      <c r="H1503" s="251"/>
      <c r="J1503" s="152"/>
    </row>
    <row r="1504" spans="8:10" x14ac:dyDescent="0.25">
      <c r="H1504" s="251"/>
      <c r="J1504" s="152"/>
    </row>
    <row r="1505" spans="8:10" x14ac:dyDescent="0.25">
      <c r="H1505" s="251"/>
      <c r="J1505" s="152"/>
    </row>
    <row r="1506" spans="8:10" x14ac:dyDescent="0.25">
      <c r="H1506" s="251"/>
      <c r="J1506" s="152"/>
    </row>
    <row r="1507" spans="8:10" x14ac:dyDescent="0.25">
      <c r="H1507" s="251"/>
      <c r="J1507" s="152"/>
    </row>
    <row r="1508" spans="8:10" x14ac:dyDescent="0.25">
      <c r="H1508" s="251"/>
      <c r="J1508" s="152"/>
    </row>
    <row r="1509" spans="8:10" x14ac:dyDescent="0.25">
      <c r="H1509" s="251"/>
      <c r="J1509" s="152"/>
    </row>
    <row r="1510" spans="8:10" x14ac:dyDescent="0.25">
      <c r="H1510" s="251"/>
      <c r="J1510" s="152"/>
    </row>
    <row r="1511" spans="8:10" x14ac:dyDescent="0.25">
      <c r="H1511" s="251"/>
      <c r="J1511" s="152"/>
    </row>
    <row r="1512" spans="8:10" x14ac:dyDescent="0.25">
      <c r="H1512" s="251"/>
      <c r="J1512" s="152"/>
    </row>
    <row r="1513" spans="8:10" x14ac:dyDescent="0.25">
      <c r="H1513" s="251"/>
      <c r="J1513" s="152"/>
    </row>
    <row r="1514" spans="8:10" x14ac:dyDescent="0.25">
      <c r="H1514" s="251"/>
      <c r="J1514" s="152"/>
    </row>
    <row r="1515" spans="8:10" x14ac:dyDescent="0.25">
      <c r="H1515" s="251"/>
      <c r="J1515" s="152"/>
    </row>
    <row r="1516" spans="8:10" x14ac:dyDescent="0.25">
      <c r="H1516" s="251"/>
      <c r="J1516" s="152"/>
    </row>
    <row r="1517" spans="8:10" x14ac:dyDescent="0.25">
      <c r="H1517" s="251"/>
      <c r="J1517" s="152"/>
    </row>
    <row r="1518" spans="8:10" x14ac:dyDescent="0.25">
      <c r="H1518" s="251"/>
      <c r="J1518" s="152"/>
    </row>
    <row r="1519" spans="8:10" x14ac:dyDescent="0.25">
      <c r="H1519" s="251"/>
      <c r="J1519" s="152"/>
    </row>
    <row r="1520" spans="8:10" x14ac:dyDescent="0.25">
      <c r="H1520" s="251"/>
      <c r="J1520" s="152"/>
    </row>
    <row r="1521" spans="8:10" x14ac:dyDescent="0.25">
      <c r="H1521" s="251"/>
      <c r="J1521" s="152"/>
    </row>
    <row r="1522" spans="8:10" x14ac:dyDescent="0.25">
      <c r="H1522" s="251"/>
      <c r="J1522" s="152"/>
    </row>
    <row r="1523" spans="8:10" x14ac:dyDescent="0.25">
      <c r="H1523" s="251"/>
      <c r="J1523" s="152"/>
    </row>
    <row r="1524" spans="8:10" x14ac:dyDescent="0.25">
      <c r="H1524" s="251"/>
      <c r="J1524" s="152"/>
    </row>
    <row r="1525" spans="8:10" x14ac:dyDescent="0.25">
      <c r="H1525" s="251"/>
      <c r="J1525" s="152"/>
    </row>
    <row r="1526" spans="8:10" x14ac:dyDescent="0.25">
      <c r="H1526" s="251"/>
      <c r="J1526" s="152"/>
    </row>
    <row r="1527" spans="8:10" x14ac:dyDescent="0.25">
      <c r="H1527" s="251"/>
      <c r="J1527" s="152"/>
    </row>
    <row r="1528" spans="8:10" x14ac:dyDescent="0.25">
      <c r="H1528" s="251"/>
      <c r="J1528" s="152"/>
    </row>
    <row r="1529" spans="8:10" x14ac:dyDescent="0.25">
      <c r="H1529" s="251"/>
      <c r="J1529" s="152"/>
    </row>
    <row r="1530" spans="8:10" x14ac:dyDescent="0.25">
      <c r="H1530" s="251"/>
      <c r="J1530" s="152"/>
    </row>
    <row r="1531" spans="8:10" x14ac:dyDescent="0.25">
      <c r="H1531" s="251"/>
      <c r="J1531" s="152"/>
    </row>
    <row r="1532" spans="8:10" x14ac:dyDescent="0.25">
      <c r="H1532" s="251"/>
      <c r="J1532" s="152"/>
    </row>
    <row r="1533" spans="8:10" x14ac:dyDescent="0.25">
      <c r="H1533" s="251"/>
      <c r="J1533" s="152"/>
    </row>
    <row r="1534" spans="8:10" x14ac:dyDescent="0.25">
      <c r="H1534" s="251"/>
      <c r="J1534" s="152"/>
    </row>
    <row r="1535" spans="8:10" x14ac:dyDescent="0.25">
      <c r="H1535" s="251"/>
      <c r="J1535" s="152"/>
    </row>
    <row r="1536" spans="8:10" x14ac:dyDescent="0.25">
      <c r="H1536" s="251"/>
      <c r="J1536" s="152"/>
    </row>
    <row r="1537" spans="8:10" x14ac:dyDescent="0.25">
      <c r="H1537" s="251"/>
      <c r="J1537" s="152"/>
    </row>
    <row r="1538" spans="8:10" x14ac:dyDescent="0.25">
      <c r="H1538" s="251"/>
      <c r="J1538" s="152"/>
    </row>
    <row r="1539" spans="8:10" x14ac:dyDescent="0.25">
      <c r="H1539" s="251"/>
      <c r="J1539" s="152"/>
    </row>
    <row r="1540" spans="8:10" x14ac:dyDescent="0.25">
      <c r="H1540" s="251"/>
      <c r="J1540" s="152"/>
    </row>
    <row r="1541" spans="8:10" x14ac:dyDescent="0.25">
      <c r="H1541" s="251"/>
      <c r="J1541" s="152"/>
    </row>
    <row r="1542" spans="8:10" x14ac:dyDescent="0.25">
      <c r="H1542" s="251"/>
      <c r="J1542" s="152"/>
    </row>
    <row r="1543" spans="8:10" x14ac:dyDescent="0.25">
      <c r="H1543" s="251"/>
      <c r="J1543" s="152"/>
    </row>
    <row r="1544" spans="8:10" x14ac:dyDescent="0.25">
      <c r="H1544" s="251"/>
      <c r="J1544" s="152"/>
    </row>
    <row r="1545" spans="8:10" x14ac:dyDescent="0.25">
      <c r="H1545" s="251"/>
      <c r="J1545" s="152"/>
    </row>
    <row r="1546" spans="8:10" x14ac:dyDescent="0.25">
      <c r="H1546" s="251"/>
      <c r="J1546" s="152"/>
    </row>
    <row r="1547" spans="8:10" x14ac:dyDescent="0.25">
      <c r="H1547" s="251"/>
      <c r="J1547" s="152"/>
    </row>
    <row r="1548" spans="8:10" x14ac:dyDescent="0.25">
      <c r="H1548" s="251"/>
      <c r="J1548" s="152"/>
    </row>
    <row r="1549" spans="8:10" x14ac:dyDescent="0.25">
      <c r="H1549" s="251"/>
      <c r="J1549" s="152"/>
    </row>
    <row r="1550" spans="8:10" x14ac:dyDescent="0.25">
      <c r="H1550" s="251"/>
      <c r="J1550" s="152"/>
    </row>
    <row r="1551" spans="8:10" x14ac:dyDescent="0.25">
      <c r="H1551" s="251"/>
      <c r="J1551" s="152"/>
    </row>
    <row r="1552" spans="8:10" x14ac:dyDescent="0.25">
      <c r="H1552" s="251"/>
      <c r="J1552" s="152"/>
    </row>
    <row r="1553" spans="8:10" x14ac:dyDescent="0.25">
      <c r="H1553" s="251"/>
      <c r="J1553" s="152"/>
    </row>
    <row r="1554" spans="8:10" x14ac:dyDescent="0.25">
      <c r="H1554" s="251"/>
      <c r="J1554" s="152"/>
    </row>
    <row r="1555" spans="8:10" x14ac:dyDescent="0.25">
      <c r="H1555" s="251"/>
      <c r="J1555" s="152"/>
    </row>
    <row r="1556" spans="8:10" x14ac:dyDescent="0.25">
      <c r="H1556" s="251"/>
      <c r="J1556" s="152"/>
    </row>
    <row r="1557" spans="8:10" x14ac:dyDescent="0.25">
      <c r="H1557" s="251"/>
      <c r="J1557" s="152"/>
    </row>
    <row r="1558" spans="8:10" x14ac:dyDescent="0.25">
      <c r="H1558" s="251"/>
      <c r="J1558" s="152"/>
    </row>
    <row r="1559" spans="8:10" x14ac:dyDescent="0.25">
      <c r="H1559" s="251"/>
      <c r="J1559" s="152"/>
    </row>
    <row r="1560" spans="8:10" x14ac:dyDescent="0.25">
      <c r="H1560" s="251"/>
      <c r="J1560" s="152"/>
    </row>
    <row r="1561" spans="8:10" x14ac:dyDescent="0.25">
      <c r="H1561" s="251"/>
      <c r="J1561" s="152"/>
    </row>
    <row r="1562" spans="8:10" x14ac:dyDescent="0.25">
      <c r="H1562" s="251"/>
      <c r="J1562" s="152"/>
    </row>
    <row r="1563" spans="8:10" x14ac:dyDescent="0.25">
      <c r="H1563" s="251"/>
      <c r="J1563" s="152"/>
    </row>
    <row r="1564" spans="8:10" x14ac:dyDescent="0.25">
      <c r="H1564" s="251"/>
      <c r="J1564" s="152"/>
    </row>
    <row r="1565" spans="8:10" x14ac:dyDescent="0.25">
      <c r="H1565" s="251"/>
      <c r="J1565" s="152"/>
    </row>
    <row r="1566" spans="8:10" x14ac:dyDescent="0.25">
      <c r="H1566" s="251"/>
      <c r="J1566" s="152"/>
    </row>
    <row r="1567" spans="8:10" x14ac:dyDescent="0.25">
      <c r="H1567" s="251"/>
      <c r="J1567" s="152"/>
    </row>
    <row r="1568" spans="8:10" x14ac:dyDescent="0.25">
      <c r="H1568" s="251"/>
      <c r="J1568" s="152"/>
    </row>
    <row r="1569" spans="8:10" x14ac:dyDescent="0.25">
      <c r="H1569" s="251"/>
      <c r="J1569" s="152"/>
    </row>
    <row r="1570" spans="8:10" x14ac:dyDescent="0.25">
      <c r="H1570" s="251"/>
      <c r="J1570" s="152"/>
    </row>
    <row r="1571" spans="8:10" x14ac:dyDescent="0.25">
      <c r="H1571" s="251"/>
      <c r="J1571" s="152"/>
    </row>
    <row r="1572" spans="8:10" x14ac:dyDescent="0.25">
      <c r="H1572" s="251"/>
      <c r="J1572" s="152"/>
    </row>
    <row r="1573" spans="8:10" x14ac:dyDescent="0.25">
      <c r="H1573" s="251"/>
      <c r="J1573" s="152"/>
    </row>
    <row r="1574" spans="8:10" x14ac:dyDescent="0.25">
      <c r="H1574" s="251"/>
      <c r="J1574" s="152"/>
    </row>
    <row r="1575" spans="8:10" x14ac:dyDescent="0.25">
      <c r="H1575" s="251"/>
      <c r="J1575" s="152"/>
    </row>
    <row r="1576" spans="8:10" x14ac:dyDescent="0.25">
      <c r="H1576" s="251"/>
      <c r="J1576" s="152"/>
    </row>
    <row r="1577" spans="8:10" x14ac:dyDescent="0.25">
      <c r="H1577" s="251"/>
      <c r="J1577" s="152"/>
    </row>
    <row r="1578" spans="8:10" x14ac:dyDescent="0.25">
      <c r="H1578" s="251"/>
      <c r="J1578" s="152"/>
    </row>
    <row r="1579" spans="8:10" x14ac:dyDescent="0.25">
      <c r="H1579" s="251"/>
      <c r="J1579" s="152"/>
    </row>
    <row r="1580" spans="8:10" x14ac:dyDescent="0.25">
      <c r="H1580" s="251"/>
      <c r="J1580" s="152"/>
    </row>
    <row r="1581" spans="8:10" x14ac:dyDescent="0.25">
      <c r="H1581" s="251"/>
      <c r="J1581" s="152"/>
    </row>
    <row r="1582" spans="8:10" x14ac:dyDescent="0.25">
      <c r="H1582" s="251"/>
      <c r="J1582" s="152"/>
    </row>
    <row r="1583" spans="8:10" x14ac:dyDescent="0.25">
      <c r="H1583" s="251"/>
      <c r="J1583" s="152"/>
    </row>
    <row r="1584" spans="8:10" x14ac:dyDescent="0.25">
      <c r="H1584" s="251"/>
      <c r="J1584" s="152"/>
    </row>
    <row r="1585" spans="8:10" x14ac:dyDescent="0.25">
      <c r="H1585" s="251"/>
      <c r="J1585" s="152"/>
    </row>
    <row r="1586" spans="8:10" x14ac:dyDescent="0.25">
      <c r="H1586" s="251"/>
      <c r="J1586" s="152"/>
    </row>
    <row r="1587" spans="8:10" x14ac:dyDescent="0.25">
      <c r="H1587" s="251"/>
      <c r="J1587" s="152"/>
    </row>
    <row r="1588" spans="8:10" x14ac:dyDescent="0.25">
      <c r="H1588" s="251"/>
      <c r="J1588" s="152"/>
    </row>
    <row r="1589" spans="8:10" x14ac:dyDescent="0.25">
      <c r="H1589" s="251"/>
      <c r="J1589" s="152"/>
    </row>
    <row r="1590" spans="8:10" x14ac:dyDescent="0.25">
      <c r="H1590" s="251"/>
      <c r="J1590" s="152"/>
    </row>
    <row r="1591" spans="8:10" x14ac:dyDescent="0.25">
      <c r="H1591" s="251"/>
      <c r="J1591" s="152"/>
    </row>
    <row r="1592" spans="8:10" x14ac:dyDescent="0.25">
      <c r="H1592" s="251"/>
      <c r="J1592" s="152"/>
    </row>
    <row r="1593" spans="8:10" x14ac:dyDescent="0.25">
      <c r="H1593" s="251"/>
      <c r="J1593" s="152"/>
    </row>
    <row r="1594" spans="8:10" x14ac:dyDescent="0.25">
      <c r="H1594" s="251"/>
      <c r="J1594" s="152"/>
    </row>
    <row r="1595" spans="8:10" x14ac:dyDescent="0.25">
      <c r="H1595" s="251"/>
      <c r="J1595" s="152"/>
    </row>
    <row r="1596" spans="8:10" x14ac:dyDescent="0.25">
      <c r="H1596" s="251"/>
      <c r="J1596" s="152"/>
    </row>
    <row r="1597" spans="8:10" x14ac:dyDescent="0.25">
      <c r="H1597" s="251"/>
      <c r="J1597" s="152"/>
    </row>
    <row r="1598" spans="8:10" x14ac:dyDescent="0.25">
      <c r="H1598" s="251"/>
      <c r="J1598" s="152"/>
    </row>
    <row r="1599" spans="8:10" x14ac:dyDescent="0.25">
      <c r="H1599" s="251"/>
      <c r="J1599" s="152"/>
    </row>
    <row r="1600" spans="8:10" x14ac:dyDescent="0.25">
      <c r="H1600" s="251"/>
      <c r="J1600" s="152"/>
    </row>
    <row r="1601" spans="8:10" x14ac:dyDescent="0.25">
      <c r="H1601" s="251"/>
      <c r="J1601" s="152"/>
    </row>
    <row r="1602" spans="8:10" x14ac:dyDescent="0.25">
      <c r="H1602" s="251"/>
      <c r="J1602" s="152"/>
    </row>
    <row r="1603" spans="8:10" x14ac:dyDescent="0.25">
      <c r="H1603" s="251"/>
      <c r="J1603" s="152"/>
    </row>
    <row r="1604" spans="8:10" x14ac:dyDescent="0.25">
      <c r="H1604" s="251"/>
      <c r="J1604" s="152"/>
    </row>
    <row r="1605" spans="8:10" x14ac:dyDescent="0.25">
      <c r="H1605" s="251"/>
      <c r="J1605" s="152"/>
    </row>
    <row r="1606" spans="8:10" x14ac:dyDescent="0.25">
      <c r="H1606" s="251"/>
      <c r="J1606" s="152"/>
    </row>
    <row r="1607" spans="8:10" x14ac:dyDescent="0.25">
      <c r="H1607" s="251"/>
      <c r="J1607" s="152"/>
    </row>
    <row r="1608" spans="8:10" x14ac:dyDescent="0.25">
      <c r="H1608" s="251"/>
      <c r="J1608" s="152"/>
    </row>
    <row r="1609" spans="8:10" x14ac:dyDescent="0.25">
      <c r="H1609" s="251"/>
      <c r="J1609" s="152"/>
    </row>
    <row r="1610" spans="8:10" x14ac:dyDescent="0.25">
      <c r="H1610" s="251"/>
      <c r="J1610" s="152"/>
    </row>
    <row r="1611" spans="8:10" x14ac:dyDescent="0.25">
      <c r="H1611" s="251"/>
      <c r="J1611" s="152"/>
    </row>
    <row r="1612" spans="8:10" x14ac:dyDescent="0.25">
      <c r="H1612" s="251"/>
      <c r="J1612" s="152"/>
    </row>
    <row r="1613" spans="8:10" x14ac:dyDescent="0.25">
      <c r="H1613" s="251"/>
      <c r="J1613" s="152"/>
    </row>
    <row r="1614" spans="8:10" x14ac:dyDescent="0.25">
      <c r="H1614" s="251"/>
      <c r="J1614" s="152"/>
    </row>
    <row r="1615" spans="8:10" x14ac:dyDescent="0.25">
      <c r="H1615" s="251"/>
      <c r="J1615" s="152"/>
    </row>
    <row r="1616" spans="8:10" x14ac:dyDescent="0.25">
      <c r="H1616" s="251"/>
      <c r="J1616" s="152"/>
    </row>
    <row r="1617" spans="8:10" x14ac:dyDescent="0.25">
      <c r="H1617" s="251"/>
      <c r="J1617" s="152"/>
    </row>
    <row r="1618" spans="8:10" x14ac:dyDescent="0.25">
      <c r="H1618" s="251"/>
      <c r="J1618" s="152"/>
    </row>
    <row r="1619" spans="8:10" x14ac:dyDescent="0.25">
      <c r="H1619" s="251"/>
      <c r="J1619" s="152"/>
    </row>
    <row r="1620" spans="8:10" x14ac:dyDescent="0.25">
      <c r="H1620" s="251"/>
      <c r="J1620" s="152"/>
    </row>
    <row r="1621" spans="8:10" x14ac:dyDescent="0.25">
      <c r="H1621" s="251"/>
      <c r="J1621" s="152"/>
    </row>
    <row r="1622" spans="8:10" x14ac:dyDescent="0.25">
      <c r="H1622" s="251"/>
      <c r="J1622" s="152"/>
    </row>
    <row r="1623" spans="8:10" x14ac:dyDescent="0.25">
      <c r="H1623" s="251"/>
      <c r="J1623" s="152"/>
    </row>
    <row r="1624" spans="8:10" x14ac:dyDescent="0.25">
      <c r="H1624" s="251"/>
      <c r="J1624" s="152"/>
    </row>
    <row r="1625" spans="8:10" x14ac:dyDescent="0.25">
      <c r="H1625" s="251"/>
      <c r="J1625" s="152"/>
    </row>
    <row r="1626" spans="8:10" x14ac:dyDescent="0.25">
      <c r="H1626" s="251"/>
      <c r="J1626" s="152"/>
    </row>
    <row r="1627" spans="8:10" x14ac:dyDescent="0.25">
      <c r="H1627" s="251"/>
      <c r="J1627" s="152"/>
    </row>
    <row r="1628" spans="8:10" x14ac:dyDescent="0.25">
      <c r="H1628" s="251"/>
      <c r="J1628" s="152"/>
    </row>
    <row r="1629" spans="8:10" x14ac:dyDescent="0.25">
      <c r="H1629" s="251"/>
      <c r="J1629" s="152"/>
    </row>
    <row r="1630" spans="8:10" x14ac:dyDescent="0.25">
      <c r="H1630" s="251"/>
      <c r="J1630" s="152"/>
    </row>
    <row r="1631" spans="8:10" x14ac:dyDescent="0.25">
      <c r="H1631" s="251"/>
      <c r="J1631" s="152"/>
    </row>
    <row r="1632" spans="8:10" x14ac:dyDescent="0.25">
      <c r="H1632" s="251"/>
      <c r="J1632" s="152"/>
    </row>
    <row r="1633" spans="8:10" x14ac:dyDescent="0.25">
      <c r="H1633" s="251"/>
      <c r="J1633" s="152"/>
    </row>
    <row r="1634" spans="8:10" x14ac:dyDescent="0.25">
      <c r="H1634" s="251"/>
      <c r="J1634" s="152"/>
    </row>
    <row r="1635" spans="8:10" x14ac:dyDescent="0.25">
      <c r="H1635" s="251"/>
      <c r="J1635" s="152"/>
    </row>
    <row r="1636" spans="8:10" x14ac:dyDescent="0.25">
      <c r="H1636" s="251"/>
      <c r="J1636" s="152"/>
    </row>
    <row r="1637" spans="8:10" x14ac:dyDescent="0.25">
      <c r="H1637" s="251"/>
      <c r="J1637" s="152"/>
    </row>
    <row r="1638" spans="8:10" x14ac:dyDescent="0.25">
      <c r="H1638" s="251"/>
      <c r="J1638" s="152"/>
    </row>
    <row r="1639" spans="8:10" x14ac:dyDescent="0.25">
      <c r="H1639" s="251"/>
      <c r="J1639" s="152"/>
    </row>
    <row r="1640" spans="8:10" x14ac:dyDescent="0.25">
      <c r="H1640" s="251"/>
      <c r="J1640" s="152"/>
    </row>
    <row r="1641" spans="8:10" x14ac:dyDescent="0.25">
      <c r="H1641" s="251"/>
      <c r="J1641" s="152"/>
    </row>
    <row r="1642" spans="8:10" x14ac:dyDescent="0.25">
      <c r="H1642" s="251"/>
      <c r="J1642" s="152"/>
    </row>
    <row r="1643" spans="8:10" x14ac:dyDescent="0.25">
      <c r="H1643" s="251"/>
      <c r="J1643" s="152"/>
    </row>
    <row r="1644" spans="8:10" x14ac:dyDescent="0.25">
      <c r="H1644" s="251"/>
      <c r="J1644" s="152"/>
    </row>
    <row r="1645" spans="8:10" x14ac:dyDescent="0.25">
      <c r="H1645" s="251"/>
      <c r="J1645" s="152"/>
    </row>
    <row r="1646" spans="8:10" x14ac:dyDescent="0.25">
      <c r="H1646" s="251"/>
      <c r="J1646" s="152"/>
    </row>
    <row r="1647" spans="8:10" x14ac:dyDescent="0.25">
      <c r="H1647" s="251"/>
      <c r="J1647" s="152"/>
    </row>
    <row r="1648" spans="8:10" x14ac:dyDescent="0.25">
      <c r="H1648" s="251"/>
      <c r="J1648" s="152"/>
    </row>
    <row r="1649" spans="8:10" x14ac:dyDescent="0.25">
      <c r="H1649" s="251"/>
      <c r="J1649" s="152"/>
    </row>
    <row r="1650" spans="8:10" x14ac:dyDescent="0.25">
      <c r="H1650" s="251"/>
      <c r="J1650" s="152"/>
    </row>
    <row r="1651" spans="8:10" x14ac:dyDescent="0.25">
      <c r="H1651" s="251"/>
      <c r="J1651" s="152"/>
    </row>
    <row r="1652" spans="8:10" x14ac:dyDescent="0.25">
      <c r="H1652" s="251"/>
      <c r="J1652" s="152"/>
    </row>
    <row r="1653" spans="8:10" x14ac:dyDescent="0.25">
      <c r="H1653" s="251"/>
      <c r="J1653" s="152"/>
    </row>
    <row r="1654" spans="8:10" x14ac:dyDescent="0.25">
      <c r="H1654" s="251"/>
      <c r="J1654" s="152"/>
    </row>
    <row r="1655" spans="8:10" x14ac:dyDescent="0.25">
      <c r="H1655" s="251"/>
      <c r="J1655" s="152"/>
    </row>
    <row r="1656" spans="8:10" x14ac:dyDescent="0.25">
      <c r="H1656" s="251"/>
      <c r="J1656" s="152"/>
    </row>
    <row r="1657" spans="8:10" x14ac:dyDescent="0.25">
      <c r="H1657" s="251"/>
      <c r="J1657" s="152"/>
    </row>
    <row r="1658" spans="8:10" x14ac:dyDescent="0.25">
      <c r="H1658" s="251"/>
      <c r="J1658" s="152"/>
    </row>
    <row r="1659" spans="8:10" x14ac:dyDescent="0.25">
      <c r="H1659" s="251"/>
      <c r="J1659" s="152"/>
    </row>
    <row r="1660" spans="8:10" x14ac:dyDescent="0.25">
      <c r="H1660" s="251"/>
      <c r="J1660" s="152"/>
    </row>
    <row r="1661" spans="8:10" x14ac:dyDescent="0.25">
      <c r="H1661" s="251"/>
      <c r="J1661" s="152"/>
    </row>
    <row r="1662" spans="8:10" x14ac:dyDescent="0.25">
      <c r="H1662" s="251"/>
      <c r="J1662" s="152"/>
    </row>
    <row r="1663" spans="8:10" x14ac:dyDescent="0.25">
      <c r="H1663" s="251"/>
      <c r="J1663" s="152"/>
    </row>
    <row r="1664" spans="8:10" x14ac:dyDescent="0.25">
      <c r="H1664" s="251"/>
      <c r="J1664" s="152"/>
    </row>
    <row r="1665" spans="8:10" x14ac:dyDescent="0.25">
      <c r="H1665" s="251"/>
      <c r="J1665" s="152"/>
    </row>
    <row r="1666" spans="8:10" x14ac:dyDescent="0.25">
      <c r="H1666" s="251"/>
      <c r="J1666" s="152"/>
    </row>
    <row r="1667" spans="8:10" x14ac:dyDescent="0.25">
      <c r="H1667" s="251"/>
      <c r="J1667" s="152"/>
    </row>
    <row r="1668" spans="8:10" x14ac:dyDescent="0.25">
      <c r="H1668" s="251"/>
      <c r="J1668" s="152"/>
    </row>
    <row r="1669" spans="8:10" x14ac:dyDescent="0.25">
      <c r="H1669" s="251"/>
      <c r="J1669" s="152"/>
    </row>
    <row r="1670" spans="8:10" x14ac:dyDescent="0.25">
      <c r="H1670" s="251"/>
      <c r="J1670" s="152"/>
    </row>
    <row r="1671" spans="8:10" x14ac:dyDescent="0.25">
      <c r="H1671" s="251"/>
      <c r="J1671" s="152"/>
    </row>
    <row r="1672" spans="8:10" x14ac:dyDescent="0.25">
      <c r="H1672" s="251"/>
      <c r="J1672" s="152"/>
    </row>
    <row r="1673" spans="8:10" x14ac:dyDescent="0.25">
      <c r="H1673" s="251"/>
      <c r="J1673" s="152"/>
    </row>
    <row r="1674" spans="8:10" x14ac:dyDescent="0.25">
      <c r="H1674" s="251"/>
      <c r="J1674" s="152"/>
    </row>
    <row r="1675" spans="8:10" x14ac:dyDescent="0.25">
      <c r="H1675" s="251"/>
      <c r="J1675" s="152"/>
    </row>
    <row r="1676" spans="8:10" x14ac:dyDescent="0.25">
      <c r="H1676" s="251"/>
      <c r="J1676" s="152"/>
    </row>
    <row r="1677" spans="8:10" x14ac:dyDescent="0.25">
      <c r="H1677" s="251"/>
      <c r="J1677" s="152"/>
    </row>
    <row r="1678" spans="8:10" x14ac:dyDescent="0.25">
      <c r="H1678" s="251"/>
      <c r="J1678" s="152"/>
    </row>
    <row r="1679" spans="8:10" x14ac:dyDescent="0.25">
      <c r="H1679" s="251"/>
      <c r="J1679" s="152"/>
    </row>
    <row r="1680" spans="8:10" x14ac:dyDescent="0.25">
      <c r="H1680" s="251"/>
      <c r="J1680" s="152"/>
    </row>
    <row r="1681" spans="8:10" x14ac:dyDescent="0.25">
      <c r="H1681" s="251"/>
      <c r="J1681" s="152"/>
    </row>
    <row r="1682" spans="8:10" x14ac:dyDescent="0.25">
      <c r="H1682" s="251"/>
      <c r="J1682" s="152"/>
    </row>
    <row r="1683" spans="8:10" x14ac:dyDescent="0.25">
      <c r="H1683" s="251"/>
      <c r="J1683" s="152"/>
    </row>
    <row r="1684" spans="8:10" x14ac:dyDescent="0.25">
      <c r="H1684" s="251"/>
      <c r="J1684" s="152"/>
    </row>
    <row r="1685" spans="8:10" x14ac:dyDescent="0.25">
      <c r="H1685" s="251"/>
      <c r="J1685" s="152"/>
    </row>
    <row r="1686" spans="8:10" x14ac:dyDescent="0.25">
      <c r="H1686" s="251"/>
      <c r="J1686" s="152"/>
    </row>
    <row r="1687" spans="8:10" x14ac:dyDescent="0.25">
      <c r="H1687" s="251"/>
      <c r="J1687" s="152"/>
    </row>
    <row r="1688" spans="8:10" x14ac:dyDescent="0.25">
      <c r="H1688" s="251"/>
      <c r="J1688" s="152"/>
    </row>
    <row r="1689" spans="8:10" x14ac:dyDescent="0.25">
      <c r="H1689" s="251"/>
      <c r="J1689" s="152"/>
    </row>
    <row r="1690" spans="8:10" x14ac:dyDescent="0.25">
      <c r="H1690" s="251"/>
      <c r="J1690" s="152"/>
    </row>
    <row r="1691" spans="8:10" x14ac:dyDescent="0.25">
      <c r="H1691" s="251"/>
      <c r="J1691" s="152"/>
    </row>
    <row r="1692" spans="8:10" x14ac:dyDescent="0.25">
      <c r="H1692" s="251"/>
      <c r="J1692" s="152"/>
    </row>
    <row r="1693" spans="8:10" x14ac:dyDescent="0.25">
      <c r="H1693" s="251"/>
      <c r="J1693" s="152"/>
    </row>
    <row r="1694" spans="8:10" x14ac:dyDescent="0.25">
      <c r="H1694" s="251"/>
      <c r="J1694" s="152"/>
    </row>
    <row r="1695" spans="8:10" x14ac:dyDescent="0.25">
      <c r="H1695" s="251"/>
      <c r="J1695" s="152"/>
    </row>
    <row r="1696" spans="8:10" x14ac:dyDescent="0.25">
      <c r="H1696" s="251"/>
      <c r="J1696" s="152"/>
    </row>
    <row r="1697" spans="3:10" x14ac:dyDescent="0.25">
      <c r="H1697" s="251"/>
      <c r="J1697" s="152"/>
    </row>
    <row r="1698" spans="3:10" x14ac:dyDescent="0.25">
      <c r="C1698" s="254"/>
      <c r="D1698" s="254"/>
      <c r="H1698" s="251"/>
      <c r="J1698" s="152"/>
    </row>
    <row r="1699" spans="3:10" x14ac:dyDescent="0.25">
      <c r="H1699" s="251"/>
      <c r="J1699" s="152"/>
    </row>
    <row r="1700" spans="3:10" x14ac:dyDescent="0.25">
      <c r="H1700" s="251"/>
      <c r="J1700" s="152"/>
    </row>
    <row r="1701" spans="3:10" x14ac:dyDescent="0.25">
      <c r="H1701" s="251"/>
      <c r="J1701" s="152"/>
    </row>
    <row r="1702" spans="3:10" x14ac:dyDescent="0.25">
      <c r="H1702" s="251"/>
      <c r="J1702" s="152"/>
    </row>
    <row r="1703" spans="3:10" x14ac:dyDescent="0.25">
      <c r="H1703" s="251"/>
      <c r="J1703" s="152"/>
    </row>
    <row r="1704" spans="3:10" x14ac:dyDescent="0.25">
      <c r="H1704" s="251"/>
      <c r="J1704" s="152"/>
    </row>
    <row r="1705" spans="3:10" x14ac:dyDescent="0.25">
      <c r="H1705" s="251"/>
      <c r="J1705" s="152"/>
    </row>
    <row r="1706" spans="3:10" x14ac:dyDescent="0.25">
      <c r="H1706" s="251"/>
      <c r="J1706" s="152"/>
    </row>
    <row r="1707" spans="3:10" x14ac:dyDescent="0.25">
      <c r="H1707" s="251"/>
      <c r="J1707" s="152"/>
    </row>
    <row r="1708" spans="3:10" x14ac:dyDescent="0.25">
      <c r="H1708" s="251"/>
      <c r="J1708" s="152"/>
    </row>
    <row r="1709" spans="3:10" x14ac:dyDescent="0.25">
      <c r="H1709" s="251"/>
      <c r="J1709" s="152"/>
    </row>
    <row r="1710" spans="3:10" x14ac:dyDescent="0.25">
      <c r="H1710" s="251"/>
      <c r="J1710" s="152"/>
    </row>
    <row r="1711" spans="3:10" x14ac:dyDescent="0.25">
      <c r="H1711" s="251"/>
      <c r="J1711" s="152"/>
    </row>
    <row r="1712" spans="3:10" x14ac:dyDescent="0.25">
      <c r="H1712" s="251"/>
      <c r="J1712" s="152"/>
    </row>
    <row r="1713" spans="8:10" x14ac:dyDescent="0.25">
      <c r="H1713" s="251"/>
      <c r="J1713" s="152"/>
    </row>
    <row r="1714" spans="8:10" x14ac:dyDescent="0.25">
      <c r="H1714" s="251"/>
      <c r="J1714" s="152"/>
    </row>
    <row r="1715" spans="8:10" x14ac:dyDescent="0.25">
      <c r="H1715" s="251"/>
      <c r="J1715" s="152"/>
    </row>
    <row r="1716" spans="8:10" x14ac:dyDescent="0.25">
      <c r="H1716" s="251"/>
      <c r="J1716" s="152"/>
    </row>
    <row r="1717" spans="8:10" x14ac:dyDescent="0.25">
      <c r="H1717" s="251"/>
      <c r="J1717" s="152"/>
    </row>
    <row r="1718" spans="8:10" x14ac:dyDescent="0.25">
      <c r="H1718" s="251"/>
      <c r="J1718" s="152"/>
    </row>
    <row r="1719" spans="8:10" x14ac:dyDescent="0.25">
      <c r="H1719" s="251"/>
      <c r="J1719" s="152"/>
    </row>
    <row r="1720" spans="8:10" x14ac:dyDescent="0.25">
      <c r="H1720" s="251"/>
      <c r="J1720" s="152"/>
    </row>
    <row r="1721" spans="8:10" x14ac:dyDescent="0.25">
      <c r="H1721" s="251"/>
      <c r="J1721" s="152"/>
    </row>
    <row r="1722" spans="8:10" x14ac:dyDescent="0.25">
      <c r="H1722" s="251"/>
      <c r="J1722" s="152"/>
    </row>
    <row r="1723" spans="8:10" x14ac:dyDescent="0.25">
      <c r="H1723" s="251"/>
      <c r="J1723" s="152"/>
    </row>
    <row r="1724" spans="8:10" x14ac:dyDescent="0.25">
      <c r="H1724" s="251"/>
      <c r="J1724" s="152"/>
    </row>
    <row r="1725" spans="8:10" x14ac:dyDescent="0.25">
      <c r="H1725" s="251"/>
      <c r="J1725" s="152"/>
    </row>
    <row r="1726" spans="8:10" x14ac:dyDescent="0.25">
      <c r="H1726" s="251"/>
      <c r="J1726" s="152"/>
    </row>
    <row r="1727" spans="8:10" x14ac:dyDescent="0.25">
      <c r="H1727" s="251"/>
      <c r="J1727" s="152"/>
    </row>
    <row r="1728" spans="8:10" x14ac:dyDescent="0.25">
      <c r="H1728" s="251"/>
      <c r="J1728" s="152"/>
    </row>
    <row r="1729" spans="8:10" x14ac:dyDescent="0.25">
      <c r="H1729" s="251"/>
      <c r="J1729" s="152"/>
    </row>
    <row r="1730" spans="8:10" x14ac:dyDescent="0.25">
      <c r="H1730" s="251"/>
      <c r="J1730" s="152"/>
    </row>
    <row r="1731" spans="8:10" x14ac:dyDescent="0.25">
      <c r="H1731" s="251"/>
      <c r="J1731" s="152"/>
    </row>
    <row r="1732" spans="8:10" x14ac:dyDescent="0.25">
      <c r="H1732" s="251"/>
      <c r="J1732" s="152"/>
    </row>
    <row r="1733" spans="8:10" x14ac:dyDescent="0.25">
      <c r="H1733" s="251"/>
      <c r="J1733" s="152"/>
    </row>
    <row r="1734" spans="8:10" x14ac:dyDescent="0.25">
      <c r="H1734" s="251"/>
      <c r="J1734" s="152"/>
    </row>
    <row r="1735" spans="8:10" x14ac:dyDescent="0.25">
      <c r="H1735" s="251"/>
      <c r="J1735" s="152"/>
    </row>
    <row r="1736" spans="8:10" x14ac:dyDescent="0.25">
      <c r="H1736" s="251"/>
      <c r="J1736" s="152"/>
    </row>
    <row r="1737" spans="8:10" x14ac:dyDescent="0.25">
      <c r="H1737" s="251"/>
      <c r="J1737" s="152"/>
    </row>
    <row r="1738" spans="8:10" x14ac:dyDescent="0.25">
      <c r="H1738" s="251"/>
      <c r="J1738" s="152"/>
    </row>
    <row r="1739" spans="8:10" x14ac:dyDescent="0.25">
      <c r="H1739" s="251"/>
      <c r="J1739" s="152"/>
    </row>
    <row r="1740" spans="8:10" x14ac:dyDescent="0.25">
      <c r="H1740" s="251"/>
      <c r="J1740" s="152"/>
    </row>
    <row r="1741" spans="8:10" x14ac:dyDescent="0.25">
      <c r="H1741" s="251"/>
      <c r="J1741" s="152"/>
    </row>
    <row r="1742" spans="8:10" x14ac:dyDescent="0.25">
      <c r="H1742" s="251"/>
      <c r="J1742" s="152"/>
    </row>
    <row r="1743" spans="8:10" x14ac:dyDescent="0.25">
      <c r="H1743" s="251"/>
      <c r="J1743" s="152"/>
    </row>
    <row r="1744" spans="8:10" x14ac:dyDescent="0.25">
      <c r="H1744" s="251"/>
      <c r="J1744" s="152"/>
    </row>
    <row r="1745" spans="8:10" x14ac:dyDescent="0.25">
      <c r="H1745" s="251"/>
      <c r="J1745" s="152"/>
    </row>
    <row r="1746" spans="8:10" x14ac:dyDescent="0.25">
      <c r="H1746" s="251"/>
      <c r="J1746" s="152"/>
    </row>
    <row r="1747" spans="8:10" x14ac:dyDescent="0.25">
      <c r="H1747" s="251"/>
      <c r="J1747" s="152"/>
    </row>
    <row r="1748" spans="8:10" x14ac:dyDescent="0.25">
      <c r="H1748" s="251"/>
      <c r="J1748" s="152"/>
    </row>
    <row r="1749" spans="8:10" x14ac:dyDescent="0.25">
      <c r="H1749" s="251"/>
      <c r="J1749" s="152"/>
    </row>
    <row r="1750" spans="8:10" x14ac:dyDescent="0.25">
      <c r="H1750" s="251"/>
      <c r="J1750" s="152"/>
    </row>
    <row r="1751" spans="8:10" x14ac:dyDescent="0.25">
      <c r="H1751" s="251"/>
      <c r="J1751" s="152"/>
    </row>
    <row r="1752" spans="8:10" x14ac:dyDescent="0.25">
      <c r="H1752" s="251"/>
      <c r="J1752" s="152"/>
    </row>
    <row r="1753" spans="8:10" x14ac:dyDescent="0.25">
      <c r="H1753" s="251"/>
      <c r="J1753" s="152"/>
    </row>
    <row r="1754" spans="8:10" x14ac:dyDescent="0.25">
      <c r="H1754" s="251"/>
      <c r="J1754" s="152"/>
    </row>
    <row r="1755" spans="8:10" x14ac:dyDescent="0.25">
      <c r="H1755" s="251"/>
      <c r="J1755" s="152"/>
    </row>
    <row r="1756" spans="8:10" x14ac:dyDescent="0.25">
      <c r="H1756" s="251"/>
      <c r="J1756" s="152"/>
    </row>
    <row r="1757" spans="8:10" x14ac:dyDescent="0.25">
      <c r="H1757" s="251"/>
      <c r="J1757" s="152"/>
    </row>
    <row r="1758" spans="8:10" x14ac:dyDescent="0.25">
      <c r="H1758" s="251"/>
      <c r="J1758" s="152"/>
    </row>
    <row r="1759" spans="8:10" x14ac:dyDescent="0.25">
      <c r="H1759" s="251"/>
      <c r="J1759" s="152"/>
    </row>
    <row r="1760" spans="8:10" x14ac:dyDescent="0.25">
      <c r="H1760" s="251"/>
      <c r="J1760" s="152"/>
    </row>
    <row r="1761" spans="4:10" x14ac:dyDescent="0.25">
      <c r="H1761" s="251"/>
      <c r="J1761" s="152"/>
    </row>
    <row r="1762" spans="4:10" x14ac:dyDescent="0.25">
      <c r="H1762" s="251"/>
      <c r="J1762" s="152"/>
    </row>
    <row r="1763" spans="4:10" x14ac:dyDescent="0.25">
      <c r="D1763" s="254"/>
      <c r="H1763" s="251"/>
      <c r="J1763" s="152"/>
    </row>
    <row r="1764" spans="4:10" x14ac:dyDescent="0.25">
      <c r="H1764" s="251"/>
      <c r="J1764" s="152"/>
    </row>
    <row r="1765" spans="4:10" x14ac:dyDescent="0.25">
      <c r="H1765" s="251"/>
      <c r="J1765" s="152"/>
    </row>
    <row r="1766" spans="4:10" x14ac:dyDescent="0.25">
      <c r="H1766" s="251"/>
      <c r="J1766" s="152"/>
    </row>
    <row r="1767" spans="4:10" x14ac:dyDescent="0.25">
      <c r="H1767" s="251"/>
      <c r="J1767" s="152"/>
    </row>
    <row r="1768" spans="4:10" x14ac:dyDescent="0.25">
      <c r="H1768" s="251"/>
      <c r="J1768" s="152"/>
    </row>
    <row r="1769" spans="4:10" x14ac:dyDescent="0.25">
      <c r="H1769" s="251"/>
      <c r="J1769" s="152"/>
    </row>
    <row r="1770" spans="4:10" x14ac:dyDescent="0.25">
      <c r="H1770" s="251"/>
      <c r="J1770" s="152"/>
    </row>
    <row r="1771" spans="4:10" x14ac:dyDescent="0.25">
      <c r="H1771" s="251"/>
      <c r="J1771" s="152"/>
    </row>
    <row r="1772" spans="4:10" x14ac:dyDescent="0.25">
      <c r="H1772" s="251"/>
      <c r="J1772" s="152"/>
    </row>
    <row r="1773" spans="4:10" x14ac:dyDescent="0.25">
      <c r="H1773" s="251"/>
      <c r="J1773" s="152"/>
    </row>
    <row r="1774" spans="4:10" x14ac:dyDescent="0.25">
      <c r="H1774" s="251"/>
      <c r="J1774" s="152"/>
    </row>
    <row r="1775" spans="4:10" x14ac:dyDescent="0.25">
      <c r="H1775" s="251"/>
      <c r="J1775" s="152"/>
    </row>
    <row r="1776" spans="4:10" x14ac:dyDescent="0.25">
      <c r="H1776" s="251"/>
      <c r="J1776" s="152"/>
    </row>
    <row r="1777" spans="8:10" x14ac:dyDescent="0.25">
      <c r="H1777" s="251"/>
      <c r="J1777" s="152"/>
    </row>
    <row r="1778" spans="8:10" x14ac:dyDescent="0.25">
      <c r="H1778" s="251"/>
      <c r="J1778" s="152"/>
    </row>
    <row r="1779" spans="8:10" x14ac:dyDescent="0.25">
      <c r="H1779" s="251"/>
      <c r="J1779" s="152"/>
    </row>
    <row r="1780" spans="8:10" x14ac:dyDescent="0.25">
      <c r="H1780" s="251"/>
      <c r="J1780" s="152"/>
    </row>
    <row r="1781" spans="8:10" x14ac:dyDescent="0.25">
      <c r="H1781" s="251"/>
      <c r="J1781" s="152"/>
    </row>
    <row r="1782" spans="8:10" x14ac:dyDescent="0.25">
      <c r="H1782" s="251"/>
      <c r="J1782" s="152"/>
    </row>
    <row r="1783" spans="8:10" x14ac:dyDescent="0.25">
      <c r="H1783" s="251"/>
      <c r="J1783" s="152"/>
    </row>
    <row r="1784" spans="8:10" x14ac:dyDescent="0.25">
      <c r="H1784" s="251"/>
      <c r="J1784" s="152"/>
    </row>
    <row r="1785" spans="8:10" x14ac:dyDescent="0.25">
      <c r="H1785" s="251"/>
      <c r="J1785" s="152"/>
    </row>
    <row r="1786" spans="8:10" x14ac:dyDescent="0.25">
      <c r="H1786" s="251"/>
      <c r="J1786" s="152"/>
    </row>
    <row r="1787" spans="8:10" x14ac:dyDescent="0.25">
      <c r="H1787" s="251"/>
      <c r="J1787" s="152"/>
    </row>
    <row r="1788" spans="8:10" x14ac:dyDescent="0.25">
      <c r="H1788" s="251"/>
      <c r="J1788" s="152"/>
    </row>
    <row r="1789" spans="8:10" x14ac:dyDescent="0.25">
      <c r="H1789" s="251"/>
      <c r="J1789" s="152"/>
    </row>
    <row r="1790" spans="8:10" x14ac:dyDescent="0.25">
      <c r="H1790" s="251"/>
      <c r="J1790" s="152"/>
    </row>
    <row r="1791" spans="8:10" x14ac:dyDescent="0.25">
      <c r="H1791" s="251"/>
      <c r="J1791" s="152"/>
    </row>
    <row r="1792" spans="8:10" x14ac:dyDescent="0.25">
      <c r="H1792" s="251"/>
      <c r="J1792" s="152"/>
    </row>
    <row r="1793" spans="8:10" x14ac:dyDescent="0.25">
      <c r="H1793" s="251"/>
      <c r="J1793" s="152"/>
    </row>
    <row r="1794" spans="8:10" x14ac:dyDescent="0.25">
      <c r="H1794" s="251"/>
      <c r="J1794" s="152"/>
    </row>
    <row r="1795" spans="8:10" x14ac:dyDescent="0.25">
      <c r="H1795" s="251"/>
      <c r="J1795" s="152"/>
    </row>
    <row r="1796" spans="8:10" x14ac:dyDescent="0.25">
      <c r="H1796" s="251"/>
      <c r="J1796" s="152"/>
    </row>
    <row r="1797" spans="8:10" x14ac:dyDescent="0.25">
      <c r="H1797" s="251"/>
      <c r="J1797" s="152"/>
    </row>
    <row r="1798" spans="8:10" x14ac:dyDescent="0.25">
      <c r="H1798" s="251"/>
      <c r="J1798" s="152"/>
    </row>
    <row r="1799" spans="8:10" x14ac:dyDescent="0.25">
      <c r="H1799" s="251"/>
      <c r="J1799" s="152"/>
    </row>
    <row r="1800" spans="8:10" x14ac:dyDescent="0.25">
      <c r="H1800" s="251"/>
      <c r="J1800" s="152"/>
    </row>
    <row r="1801" spans="8:10" x14ac:dyDescent="0.25">
      <c r="H1801" s="251"/>
      <c r="J1801" s="152"/>
    </row>
    <row r="1802" spans="8:10" x14ac:dyDescent="0.25">
      <c r="H1802" s="251"/>
      <c r="J1802" s="152"/>
    </row>
    <row r="1803" spans="8:10" x14ac:dyDescent="0.25">
      <c r="H1803" s="251"/>
      <c r="J1803" s="152"/>
    </row>
    <row r="1804" spans="8:10" x14ac:dyDescent="0.25">
      <c r="H1804" s="251"/>
      <c r="J1804" s="152"/>
    </row>
    <row r="1805" spans="8:10" x14ac:dyDescent="0.25">
      <c r="H1805" s="251"/>
      <c r="J1805" s="152"/>
    </row>
    <row r="1806" spans="8:10" x14ac:dyDescent="0.25">
      <c r="H1806" s="251"/>
      <c r="J1806" s="152"/>
    </row>
    <row r="1807" spans="8:10" x14ac:dyDescent="0.25">
      <c r="H1807" s="251"/>
      <c r="J1807" s="152"/>
    </row>
    <row r="1808" spans="8:10" x14ac:dyDescent="0.25">
      <c r="H1808" s="251"/>
      <c r="J1808" s="152"/>
    </row>
    <row r="1809" spans="8:10" x14ac:dyDescent="0.25">
      <c r="H1809" s="251"/>
      <c r="J1809" s="152"/>
    </row>
    <row r="1810" spans="8:10" x14ac:dyDescent="0.25">
      <c r="H1810" s="251"/>
      <c r="J1810" s="152"/>
    </row>
    <row r="1811" spans="8:10" x14ac:dyDescent="0.25">
      <c r="H1811" s="251"/>
      <c r="J1811" s="152"/>
    </row>
    <row r="1812" spans="8:10" x14ac:dyDescent="0.25">
      <c r="H1812" s="251"/>
      <c r="J1812" s="152"/>
    </row>
    <row r="1813" spans="8:10" x14ac:dyDescent="0.25">
      <c r="H1813" s="251"/>
      <c r="J1813" s="152"/>
    </row>
    <row r="1814" spans="8:10" x14ac:dyDescent="0.25">
      <c r="H1814" s="251"/>
      <c r="J1814" s="152"/>
    </row>
    <row r="1815" spans="8:10" x14ac:dyDescent="0.25">
      <c r="H1815" s="251"/>
      <c r="J1815" s="152"/>
    </row>
    <row r="1816" spans="8:10" x14ac:dyDescent="0.25">
      <c r="H1816" s="251"/>
      <c r="J1816" s="152"/>
    </row>
    <row r="1817" spans="8:10" x14ac:dyDescent="0.25">
      <c r="H1817" s="251"/>
      <c r="J1817" s="152"/>
    </row>
    <row r="1818" spans="8:10" x14ac:dyDescent="0.25">
      <c r="H1818" s="251"/>
      <c r="J1818" s="152"/>
    </row>
    <row r="1819" spans="8:10" x14ac:dyDescent="0.25">
      <c r="H1819" s="251"/>
      <c r="J1819" s="152"/>
    </row>
    <row r="1820" spans="8:10" x14ac:dyDescent="0.25">
      <c r="H1820" s="251"/>
      <c r="J1820" s="152"/>
    </row>
    <row r="1821" spans="8:10" x14ac:dyDescent="0.25">
      <c r="H1821" s="251"/>
      <c r="J1821" s="152"/>
    </row>
    <row r="1822" spans="8:10" x14ac:dyDescent="0.25">
      <c r="H1822" s="251"/>
      <c r="J1822" s="152"/>
    </row>
    <row r="1823" spans="8:10" x14ac:dyDescent="0.25">
      <c r="H1823" s="251"/>
      <c r="J1823" s="152"/>
    </row>
    <row r="1824" spans="8:10" x14ac:dyDescent="0.25">
      <c r="H1824" s="251"/>
      <c r="J1824" s="152"/>
    </row>
    <row r="1825" spans="8:10" x14ac:dyDescent="0.25">
      <c r="H1825" s="251"/>
      <c r="J1825" s="152"/>
    </row>
    <row r="1826" spans="8:10" x14ac:dyDescent="0.25">
      <c r="H1826" s="251"/>
      <c r="J1826" s="152"/>
    </row>
    <row r="1827" spans="8:10" x14ac:dyDescent="0.25">
      <c r="H1827" s="251"/>
      <c r="J1827" s="152"/>
    </row>
    <row r="1828" spans="8:10" x14ac:dyDescent="0.25">
      <c r="H1828" s="251"/>
      <c r="J1828" s="152"/>
    </row>
    <row r="1829" spans="8:10" x14ac:dyDescent="0.25">
      <c r="H1829" s="251"/>
      <c r="J1829" s="152"/>
    </row>
    <row r="1830" spans="8:10" x14ac:dyDescent="0.25">
      <c r="H1830" s="251"/>
      <c r="J1830" s="152"/>
    </row>
    <row r="1831" spans="8:10" x14ac:dyDescent="0.25">
      <c r="H1831" s="251"/>
      <c r="J1831" s="152"/>
    </row>
    <row r="1832" spans="8:10" x14ac:dyDescent="0.25">
      <c r="H1832" s="251"/>
      <c r="J1832" s="152"/>
    </row>
    <row r="1833" spans="8:10" x14ac:dyDescent="0.25">
      <c r="H1833" s="251"/>
      <c r="J1833" s="152"/>
    </row>
    <row r="1834" spans="8:10" x14ac:dyDescent="0.25">
      <c r="H1834" s="251"/>
      <c r="J1834" s="152"/>
    </row>
    <row r="1835" spans="8:10" x14ac:dyDescent="0.25">
      <c r="H1835" s="251"/>
      <c r="J1835" s="152"/>
    </row>
    <row r="1836" spans="8:10" x14ac:dyDescent="0.25">
      <c r="H1836" s="251"/>
      <c r="J1836" s="152"/>
    </row>
    <row r="1837" spans="8:10" x14ac:dyDescent="0.25">
      <c r="H1837" s="251"/>
      <c r="J1837" s="152"/>
    </row>
    <row r="1838" spans="8:10" x14ac:dyDescent="0.25">
      <c r="H1838" s="251"/>
      <c r="J1838" s="152"/>
    </row>
    <row r="1839" spans="8:10" x14ac:dyDescent="0.25">
      <c r="H1839" s="251"/>
      <c r="J1839" s="152"/>
    </row>
    <row r="1840" spans="8:10" x14ac:dyDescent="0.25">
      <c r="H1840" s="251"/>
      <c r="J1840" s="152"/>
    </row>
    <row r="1841" spans="8:10" x14ac:dyDescent="0.25">
      <c r="H1841" s="251"/>
      <c r="J1841" s="152"/>
    </row>
    <row r="1842" spans="8:10" x14ac:dyDescent="0.25">
      <c r="H1842" s="251"/>
      <c r="J1842" s="152"/>
    </row>
    <row r="1843" spans="8:10" x14ac:dyDescent="0.25">
      <c r="H1843" s="251"/>
      <c r="J1843" s="152"/>
    </row>
    <row r="1844" spans="8:10" x14ac:dyDescent="0.25">
      <c r="H1844" s="251"/>
      <c r="J1844" s="152"/>
    </row>
    <row r="1845" spans="8:10" x14ac:dyDescent="0.25">
      <c r="H1845" s="251"/>
      <c r="J1845" s="152"/>
    </row>
    <row r="1846" spans="8:10" x14ac:dyDescent="0.25">
      <c r="H1846" s="251"/>
      <c r="J1846" s="152"/>
    </row>
    <row r="1847" spans="8:10" x14ac:dyDescent="0.25">
      <c r="H1847" s="251"/>
      <c r="J1847" s="152"/>
    </row>
    <row r="1848" spans="8:10" x14ac:dyDescent="0.25">
      <c r="H1848" s="251"/>
      <c r="J1848" s="152"/>
    </row>
    <row r="1849" spans="8:10" x14ac:dyDescent="0.25">
      <c r="H1849" s="251"/>
      <c r="J1849" s="152"/>
    </row>
    <row r="1850" spans="8:10" x14ac:dyDescent="0.25">
      <c r="H1850" s="251"/>
      <c r="J1850" s="152"/>
    </row>
    <row r="1851" spans="8:10" x14ac:dyDescent="0.25">
      <c r="H1851" s="251"/>
      <c r="J1851" s="152"/>
    </row>
    <row r="1852" spans="8:10" x14ac:dyDescent="0.25">
      <c r="H1852" s="251"/>
      <c r="J1852" s="152"/>
    </row>
    <row r="1853" spans="8:10" x14ac:dyDescent="0.25">
      <c r="H1853" s="251"/>
      <c r="J1853" s="152"/>
    </row>
    <row r="1854" spans="8:10" x14ac:dyDescent="0.25">
      <c r="H1854" s="251"/>
      <c r="J1854" s="152"/>
    </row>
    <row r="1855" spans="8:10" x14ac:dyDescent="0.25">
      <c r="H1855" s="251"/>
      <c r="J1855" s="152"/>
    </row>
    <row r="1856" spans="8:10" x14ac:dyDescent="0.25">
      <c r="H1856" s="251"/>
      <c r="J1856" s="152"/>
    </row>
    <row r="1857" spans="8:10" x14ac:dyDescent="0.25">
      <c r="H1857" s="251"/>
      <c r="J1857" s="152"/>
    </row>
    <row r="1858" spans="8:10" x14ac:dyDescent="0.25">
      <c r="H1858" s="251"/>
      <c r="J1858" s="152"/>
    </row>
    <row r="1859" spans="8:10" x14ac:dyDescent="0.25">
      <c r="H1859" s="251"/>
      <c r="J1859" s="152"/>
    </row>
    <row r="1860" spans="8:10" x14ac:dyDescent="0.25">
      <c r="H1860" s="251"/>
      <c r="J1860" s="152"/>
    </row>
    <row r="1861" spans="8:10" x14ac:dyDescent="0.25">
      <c r="H1861" s="251"/>
      <c r="J1861" s="152"/>
    </row>
    <row r="1862" spans="8:10" x14ac:dyDescent="0.25">
      <c r="H1862" s="251"/>
      <c r="J1862" s="152"/>
    </row>
    <row r="1863" spans="8:10" x14ac:dyDescent="0.25">
      <c r="H1863" s="251"/>
      <c r="J1863" s="152"/>
    </row>
    <row r="1864" spans="8:10" x14ac:dyDescent="0.25">
      <c r="H1864" s="251"/>
      <c r="J1864" s="152"/>
    </row>
    <row r="1865" spans="8:10" x14ac:dyDescent="0.25">
      <c r="H1865" s="251"/>
      <c r="J1865" s="152"/>
    </row>
    <row r="1866" spans="8:10" x14ac:dyDescent="0.25">
      <c r="H1866" s="251"/>
      <c r="J1866" s="152"/>
    </row>
    <row r="1867" spans="8:10" x14ac:dyDescent="0.25">
      <c r="H1867" s="251"/>
      <c r="J1867" s="152"/>
    </row>
    <row r="1868" spans="8:10" x14ac:dyDescent="0.25">
      <c r="H1868" s="251"/>
      <c r="J1868" s="152"/>
    </row>
    <row r="1869" spans="8:10" x14ac:dyDescent="0.25">
      <c r="H1869" s="251"/>
      <c r="J1869" s="152"/>
    </row>
    <row r="1870" spans="8:10" x14ac:dyDescent="0.25">
      <c r="H1870" s="251"/>
      <c r="J1870" s="152"/>
    </row>
    <row r="1871" spans="8:10" x14ac:dyDescent="0.25">
      <c r="H1871" s="251"/>
      <c r="J1871" s="152"/>
    </row>
    <row r="1872" spans="8:10" x14ac:dyDescent="0.25">
      <c r="H1872" s="251"/>
      <c r="J1872" s="152"/>
    </row>
    <row r="1873" spans="8:10" x14ac:dyDescent="0.25">
      <c r="H1873" s="251"/>
      <c r="J1873" s="152"/>
    </row>
    <row r="1874" spans="8:10" x14ac:dyDescent="0.25">
      <c r="H1874" s="251"/>
      <c r="J1874" s="152"/>
    </row>
    <row r="1875" spans="8:10" x14ac:dyDescent="0.25">
      <c r="H1875" s="251"/>
      <c r="J1875" s="152"/>
    </row>
    <row r="1876" spans="8:10" x14ac:dyDescent="0.25">
      <c r="H1876" s="251"/>
      <c r="J1876" s="152"/>
    </row>
    <row r="1877" spans="8:10" x14ac:dyDescent="0.25">
      <c r="H1877" s="251"/>
      <c r="J1877" s="152"/>
    </row>
    <row r="1878" spans="8:10" x14ac:dyDescent="0.25">
      <c r="H1878" s="251"/>
      <c r="J1878" s="152"/>
    </row>
    <row r="1879" spans="8:10" x14ac:dyDescent="0.25">
      <c r="H1879" s="251"/>
      <c r="J1879" s="152"/>
    </row>
    <row r="1880" spans="8:10" x14ac:dyDescent="0.25">
      <c r="H1880" s="251"/>
      <c r="J1880" s="152"/>
    </row>
    <row r="1881" spans="8:10" x14ac:dyDescent="0.25">
      <c r="H1881" s="251"/>
      <c r="J1881" s="152"/>
    </row>
    <row r="1882" spans="8:10" x14ac:dyDescent="0.25">
      <c r="H1882" s="251"/>
      <c r="J1882" s="152"/>
    </row>
    <row r="1883" spans="8:10" x14ac:dyDescent="0.25">
      <c r="H1883" s="251"/>
      <c r="J1883" s="152"/>
    </row>
    <row r="1884" spans="8:10" x14ac:dyDescent="0.25">
      <c r="H1884" s="251"/>
      <c r="J1884" s="152"/>
    </row>
    <row r="1885" spans="8:10" x14ac:dyDescent="0.25">
      <c r="H1885" s="251"/>
      <c r="J1885" s="152"/>
    </row>
    <row r="1886" spans="8:10" x14ac:dyDescent="0.25">
      <c r="H1886" s="251"/>
      <c r="J1886" s="152"/>
    </row>
    <row r="1887" spans="8:10" x14ac:dyDescent="0.25">
      <c r="H1887" s="251"/>
      <c r="J1887" s="152"/>
    </row>
    <row r="1888" spans="8:10" x14ac:dyDescent="0.25">
      <c r="H1888" s="251"/>
      <c r="J1888" s="152"/>
    </row>
    <row r="1889" spans="8:10" x14ac:dyDescent="0.25">
      <c r="H1889" s="251"/>
      <c r="J1889" s="152"/>
    </row>
    <row r="1890" spans="8:10" x14ac:dyDescent="0.25">
      <c r="H1890" s="251"/>
      <c r="J1890" s="152"/>
    </row>
    <row r="1891" spans="8:10" x14ac:dyDescent="0.25">
      <c r="H1891" s="251"/>
      <c r="J1891" s="152"/>
    </row>
    <row r="1892" spans="8:10" x14ac:dyDescent="0.25">
      <c r="H1892" s="251"/>
      <c r="J1892" s="152"/>
    </row>
    <row r="1893" spans="8:10" x14ac:dyDescent="0.25">
      <c r="H1893" s="251"/>
      <c r="J1893" s="152"/>
    </row>
    <row r="1894" spans="8:10" x14ac:dyDescent="0.25">
      <c r="H1894" s="251"/>
      <c r="J1894" s="152"/>
    </row>
    <row r="1895" spans="8:10" x14ac:dyDescent="0.25">
      <c r="H1895" s="251"/>
      <c r="J1895" s="152"/>
    </row>
    <row r="1896" spans="8:10" x14ac:dyDescent="0.25">
      <c r="H1896" s="251"/>
      <c r="J1896" s="152"/>
    </row>
    <row r="1897" spans="8:10" x14ac:dyDescent="0.25">
      <c r="H1897" s="251"/>
      <c r="J1897" s="152"/>
    </row>
    <row r="1898" spans="8:10" x14ac:dyDescent="0.25">
      <c r="H1898" s="251"/>
      <c r="J1898" s="152"/>
    </row>
    <row r="1899" spans="8:10" x14ac:dyDescent="0.25">
      <c r="H1899" s="251"/>
      <c r="J1899" s="152"/>
    </row>
    <row r="1900" spans="8:10" x14ac:dyDescent="0.25">
      <c r="H1900" s="251"/>
      <c r="J1900" s="152"/>
    </row>
    <row r="1901" spans="8:10" x14ac:dyDescent="0.25">
      <c r="H1901" s="251"/>
      <c r="J1901" s="152"/>
    </row>
    <row r="1902" spans="8:10" x14ac:dyDescent="0.25">
      <c r="H1902" s="251"/>
      <c r="J1902" s="152"/>
    </row>
    <row r="1903" spans="8:10" x14ac:dyDescent="0.25">
      <c r="H1903" s="251"/>
      <c r="J1903" s="152"/>
    </row>
    <row r="1904" spans="8:10" x14ac:dyDescent="0.25">
      <c r="H1904" s="251"/>
      <c r="J1904" s="152"/>
    </row>
    <row r="1905" spans="8:10" x14ac:dyDescent="0.25">
      <c r="H1905" s="251"/>
      <c r="J1905" s="152"/>
    </row>
    <row r="1906" spans="8:10" x14ac:dyDescent="0.25">
      <c r="H1906" s="251"/>
      <c r="J1906" s="152"/>
    </row>
    <row r="1907" spans="8:10" x14ac:dyDescent="0.25">
      <c r="H1907" s="251"/>
      <c r="J1907" s="152"/>
    </row>
    <row r="1908" spans="8:10" x14ac:dyDescent="0.25">
      <c r="H1908" s="251"/>
      <c r="J1908" s="152"/>
    </row>
    <row r="1909" spans="8:10" x14ac:dyDescent="0.25">
      <c r="H1909" s="251"/>
      <c r="J1909" s="152"/>
    </row>
    <row r="1910" spans="8:10" x14ac:dyDescent="0.25">
      <c r="H1910" s="251"/>
      <c r="J1910" s="152"/>
    </row>
    <row r="1911" spans="8:10" x14ac:dyDescent="0.25">
      <c r="H1911" s="251"/>
      <c r="J1911" s="152"/>
    </row>
    <row r="1912" spans="8:10" x14ac:dyDescent="0.25">
      <c r="H1912" s="251"/>
      <c r="J1912" s="152"/>
    </row>
    <row r="1913" spans="8:10" x14ac:dyDescent="0.25">
      <c r="H1913" s="251"/>
      <c r="J1913" s="152"/>
    </row>
    <row r="1914" spans="8:10" x14ac:dyDescent="0.25">
      <c r="H1914" s="251"/>
      <c r="J1914" s="152"/>
    </row>
    <row r="1915" spans="8:10" x14ac:dyDescent="0.25">
      <c r="H1915" s="251"/>
      <c r="J1915" s="152"/>
    </row>
    <row r="1916" spans="8:10" x14ac:dyDescent="0.25">
      <c r="H1916" s="251"/>
      <c r="J1916" s="152"/>
    </row>
    <row r="1917" spans="8:10" x14ac:dyDescent="0.25">
      <c r="H1917" s="251"/>
      <c r="J1917" s="152"/>
    </row>
    <row r="1918" spans="8:10" x14ac:dyDescent="0.25">
      <c r="H1918" s="251"/>
      <c r="J1918" s="152"/>
    </row>
    <row r="1919" spans="8:10" x14ac:dyDescent="0.25">
      <c r="H1919" s="251"/>
      <c r="J1919" s="152"/>
    </row>
    <row r="1920" spans="8:10" x14ac:dyDescent="0.25">
      <c r="H1920" s="251"/>
      <c r="J1920" s="152"/>
    </row>
    <row r="1921" spans="8:10" x14ac:dyDescent="0.25">
      <c r="H1921" s="251"/>
      <c r="J1921" s="152"/>
    </row>
    <row r="1922" spans="8:10" x14ac:dyDescent="0.25">
      <c r="H1922" s="251"/>
      <c r="J1922" s="152"/>
    </row>
    <row r="1923" spans="8:10" x14ac:dyDescent="0.25">
      <c r="H1923" s="251"/>
      <c r="J1923" s="152"/>
    </row>
    <row r="1924" spans="8:10" x14ac:dyDescent="0.25">
      <c r="H1924" s="251"/>
      <c r="J1924" s="152"/>
    </row>
    <row r="1925" spans="8:10" x14ac:dyDescent="0.25">
      <c r="H1925" s="251"/>
      <c r="J1925" s="152"/>
    </row>
    <row r="1926" spans="8:10" x14ac:dyDescent="0.25">
      <c r="H1926" s="251"/>
      <c r="J1926" s="152"/>
    </row>
    <row r="1927" spans="8:10" x14ac:dyDescent="0.25">
      <c r="H1927" s="251"/>
      <c r="J1927" s="152"/>
    </row>
    <row r="1928" spans="8:10" x14ac:dyDescent="0.25">
      <c r="H1928" s="251"/>
      <c r="J1928" s="152"/>
    </row>
    <row r="1929" spans="8:10" x14ac:dyDescent="0.25">
      <c r="H1929" s="251"/>
      <c r="J1929" s="152"/>
    </row>
    <row r="1930" spans="8:10" x14ac:dyDescent="0.25">
      <c r="H1930" s="251"/>
      <c r="J1930" s="152"/>
    </row>
    <row r="1931" spans="8:10" x14ac:dyDescent="0.25">
      <c r="H1931" s="251"/>
      <c r="J1931" s="152"/>
    </row>
    <row r="1932" spans="8:10" x14ac:dyDescent="0.25">
      <c r="H1932" s="251"/>
      <c r="J1932" s="152"/>
    </row>
    <row r="1933" spans="8:10" x14ac:dyDescent="0.25">
      <c r="H1933" s="251"/>
      <c r="J1933" s="152"/>
    </row>
    <row r="1934" spans="8:10" x14ac:dyDescent="0.25">
      <c r="H1934" s="251"/>
      <c r="J1934" s="152"/>
    </row>
    <row r="1935" spans="8:10" x14ac:dyDescent="0.25">
      <c r="H1935" s="251"/>
      <c r="J1935" s="152"/>
    </row>
    <row r="1936" spans="8:10" x14ac:dyDescent="0.25">
      <c r="H1936" s="251"/>
      <c r="J1936" s="152"/>
    </row>
    <row r="1937" spans="8:10" x14ac:dyDescent="0.25">
      <c r="H1937" s="251"/>
      <c r="J1937" s="152"/>
    </row>
    <row r="1938" spans="8:10" x14ac:dyDescent="0.25">
      <c r="H1938" s="251"/>
      <c r="J1938" s="152"/>
    </row>
    <row r="1939" spans="8:10" x14ac:dyDescent="0.25">
      <c r="H1939" s="251"/>
      <c r="J1939" s="152"/>
    </row>
    <row r="1940" spans="8:10" x14ac:dyDescent="0.25">
      <c r="H1940" s="251"/>
      <c r="J1940" s="152"/>
    </row>
    <row r="1941" spans="8:10" x14ac:dyDescent="0.25">
      <c r="H1941" s="251"/>
      <c r="J1941" s="152"/>
    </row>
    <row r="1942" spans="8:10" x14ac:dyDescent="0.25">
      <c r="H1942" s="251"/>
      <c r="J1942" s="152"/>
    </row>
    <row r="1943" spans="8:10" x14ac:dyDescent="0.25">
      <c r="H1943" s="251"/>
      <c r="J1943" s="152"/>
    </row>
    <row r="1944" spans="8:10" x14ac:dyDescent="0.25">
      <c r="H1944" s="251"/>
      <c r="J1944" s="152"/>
    </row>
    <row r="1945" spans="8:10" x14ac:dyDescent="0.25">
      <c r="H1945" s="251"/>
      <c r="J1945" s="152"/>
    </row>
    <row r="1946" spans="8:10" x14ac:dyDescent="0.25">
      <c r="H1946" s="251"/>
      <c r="J1946" s="152"/>
    </row>
    <row r="1947" spans="8:10" x14ac:dyDescent="0.25">
      <c r="H1947" s="251"/>
      <c r="J1947" s="152"/>
    </row>
    <row r="1948" spans="8:10" x14ac:dyDescent="0.25">
      <c r="H1948" s="251"/>
      <c r="J1948" s="152"/>
    </row>
    <row r="1949" spans="8:10" x14ac:dyDescent="0.25">
      <c r="H1949" s="251"/>
      <c r="J1949" s="152"/>
    </row>
    <row r="1950" spans="8:10" x14ac:dyDescent="0.25">
      <c r="H1950" s="251"/>
      <c r="J1950" s="152"/>
    </row>
    <row r="1951" spans="8:10" x14ac:dyDescent="0.25">
      <c r="H1951" s="251"/>
      <c r="J1951" s="152"/>
    </row>
    <row r="1952" spans="8:10" x14ac:dyDescent="0.25">
      <c r="H1952" s="251"/>
      <c r="J1952" s="152"/>
    </row>
    <row r="1953" spans="8:10" x14ac:dyDescent="0.25">
      <c r="H1953" s="251"/>
      <c r="J1953" s="152"/>
    </row>
    <row r="1954" spans="8:10" x14ac:dyDescent="0.25">
      <c r="H1954" s="251"/>
      <c r="J1954" s="152"/>
    </row>
    <row r="1955" spans="8:10" x14ac:dyDescent="0.25">
      <c r="H1955" s="251"/>
      <c r="J1955" s="152"/>
    </row>
    <row r="1956" spans="8:10" x14ac:dyDescent="0.25">
      <c r="H1956" s="251"/>
      <c r="J1956" s="152"/>
    </row>
    <row r="1957" spans="8:10" x14ac:dyDescent="0.25">
      <c r="H1957" s="251"/>
      <c r="J1957" s="152"/>
    </row>
    <row r="1958" spans="8:10" x14ac:dyDescent="0.25">
      <c r="H1958" s="251"/>
      <c r="J1958" s="152"/>
    </row>
    <row r="1959" spans="8:10" x14ac:dyDescent="0.25">
      <c r="H1959" s="251"/>
      <c r="J1959" s="152"/>
    </row>
    <row r="1960" spans="8:10" x14ac:dyDescent="0.25">
      <c r="H1960" s="251"/>
      <c r="J1960" s="152"/>
    </row>
    <row r="1961" spans="8:10" x14ac:dyDescent="0.25">
      <c r="H1961" s="251"/>
      <c r="J1961" s="152"/>
    </row>
    <row r="1962" spans="8:10" x14ac:dyDescent="0.25">
      <c r="H1962" s="251"/>
      <c r="J1962" s="152"/>
    </row>
    <row r="1963" spans="8:10" x14ac:dyDescent="0.25">
      <c r="H1963" s="251"/>
      <c r="J1963" s="152"/>
    </row>
    <row r="1964" spans="8:10" x14ac:dyDescent="0.25">
      <c r="H1964" s="251"/>
      <c r="J1964" s="152"/>
    </row>
    <row r="1965" spans="8:10" x14ac:dyDescent="0.25">
      <c r="H1965" s="251"/>
      <c r="J1965" s="152"/>
    </row>
    <row r="1966" spans="8:10" x14ac:dyDescent="0.25">
      <c r="H1966" s="251"/>
      <c r="J1966" s="152"/>
    </row>
    <row r="1967" spans="8:10" x14ac:dyDescent="0.25">
      <c r="H1967" s="251"/>
      <c r="J1967" s="152"/>
    </row>
    <row r="1968" spans="8:10" x14ac:dyDescent="0.25">
      <c r="H1968" s="251"/>
      <c r="J1968" s="152"/>
    </row>
    <row r="1969" spans="8:10" x14ac:dyDescent="0.25">
      <c r="H1969" s="251"/>
      <c r="J1969" s="152"/>
    </row>
    <row r="1970" spans="8:10" x14ac:dyDescent="0.25">
      <c r="H1970" s="251"/>
      <c r="J1970" s="152"/>
    </row>
    <row r="1971" spans="8:10" x14ac:dyDescent="0.25">
      <c r="H1971" s="251"/>
      <c r="J1971" s="152"/>
    </row>
    <row r="1972" spans="8:10" x14ac:dyDescent="0.25">
      <c r="H1972" s="251"/>
      <c r="J1972" s="152"/>
    </row>
    <row r="1973" spans="8:10" x14ac:dyDescent="0.25">
      <c r="H1973" s="251"/>
      <c r="J1973" s="152"/>
    </row>
    <row r="1974" spans="8:10" x14ac:dyDescent="0.25">
      <c r="H1974" s="251"/>
      <c r="J1974" s="152"/>
    </row>
    <row r="1975" spans="8:10" x14ac:dyDescent="0.25">
      <c r="H1975" s="251"/>
      <c r="J1975" s="152"/>
    </row>
    <row r="1976" spans="8:10" x14ac:dyDescent="0.25">
      <c r="H1976" s="251"/>
      <c r="J1976" s="152"/>
    </row>
    <row r="1977" spans="8:10" x14ac:dyDescent="0.25">
      <c r="H1977" s="251"/>
      <c r="J1977" s="152"/>
    </row>
    <row r="1978" spans="8:10" x14ac:dyDescent="0.25">
      <c r="H1978" s="251"/>
      <c r="J1978" s="152"/>
    </row>
    <row r="1979" spans="8:10" x14ac:dyDescent="0.25">
      <c r="H1979" s="251"/>
      <c r="J1979" s="152"/>
    </row>
    <row r="1980" spans="8:10" x14ac:dyDescent="0.25">
      <c r="H1980" s="251"/>
      <c r="J1980" s="152"/>
    </row>
    <row r="1981" spans="8:10" x14ac:dyDescent="0.25">
      <c r="H1981" s="251"/>
      <c r="J1981" s="152"/>
    </row>
    <row r="1982" spans="8:10" x14ac:dyDescent="0.25">
      <c r="H1982" s="251"/>
      <c r="J1982" s="152"/>
    </row>
    <row r="1983" spans="8:10" x14ac:dyDescent="0.25">
      <c r="H1983" s="251"/>
      <c r="J1983" s="152"/>
    </row>
    <row r="1984" spans="8:10" x14ac:dyDescent="0.25">
      <c r="H1984" s="251"/>
      <c r="J1984" s="152"/>
    </row>
    <row r="1985" spans="8:10" x14ac:dyDescent="0.25">
      <c r="H1985" s="251"/>
      <c r="J1985" s="152"/>
    </row>
    <row r="1986" spans="8:10" x14ac:dyDescent="0.25">
      <c r="H1986" s="251"/>
      <c r="J1986" s="152"/>
    </row>
    <row r="1987" spans="8:10" x14ac:dyDescent="0.25">
      <c r="H1987" s="251"/>
      <c r="J1987" s="152"/>
    </row>
    <row r="1988" spans="8:10" x14ac:dyDescent="0.25">
      <c r="H1988" s="251"/>
      <c r="J1988" s="152"/>
    </row>
    <row r="1989" spans="8:10" x14ac:dyDescent="0.25">
      <c r="H1989" s="251"/>
      <c r="J1989" s="152"/>
    </row>
    <row r="1990" spans="8:10" x14ac:dyDescent="0.25">
      <c r="H1990" s="251"/>
      <c r="J1990" s="152"/>
    </row>
    <row r="1991" spans="8:10" x14ac:dyDescent="0.25">
      <c r="H1991" s="251"/>
      <c r="J1991" s="152"/>
    </row>
    <row r="1992" spans="8:10" x14ac:dyDescent="0.25">
      <c r="H1992" s="251"/>
      <c r="J1992" s="152"/>
    </row>
    <row r="1993" spans="8:10" x14ac:dyDescent="0.25">
      <c r="H1993" s="251"/>
      <c r="J1993" s="152"/>
    </row>
    <row r="1994" spans="8:10" x14ac:dyDescent="0.25">
      <c r="H1994" s="251"/>
      <c r="J1994" s="152"/>
    </row>
    <row r="1995" spans="8:10" x14ac:dyDescent="0.25">
      <c r="H1995" s="251"/>
      <c r="J1995" s="152"/>
    </row>
    <row r="1996" spans="8:10" x14ac:dyDescent="0.25">
      <c r="H1996" s="251"/>
      <c r="J1996" s="152"/>
    </row>
    <row r="1997" spans="8:10" x14ac:dyDescent="0.25">
      <c r="H1997" s="251"/>
      <c r="J1997" s="152"/>
    </row>
    <row r="1998" spans="8:10" x14ac:dyDescent="0.25">
      <c r="H1998" s="251"/>
      <c r="J1998" s="152"/>
    </row>
    <row r="1999" spans="8:10" x14ac:dyDescent="0.25">
      <c r="H1999" s="251"/>
      <c r="J1999" s="152"/>
    </row>
    <row r="2000" spans="8:10" x14ac:dyDescent="0.25">
      <c r="H2000" s="251" t="str">
        <f t="shared" ref="H2000:H2034" si="1">IF(I2000&lt;&gt;0,VLOOKUP(I2000,nhanvien,3,0),"")</f>
        <v/>
      </c>
      <c r="J2000" s="152">
        <f t="shared" ref="J2000:J2028" ca="1" si="2">IF(H2000="",0,IF(F2000="",OFFSET(J2000,-1,0),F2000/G2000))</f>
        <v>0</v>
      </c>
    </row>
    <row r="2001" spans="8:10" x14ac:dyDescent="0.25">
      <c r="H2001" s="251" t="str">
        <f t="shared" si="1"/>
        <v/>
      </c>
      <c r="J2001" s="152">
        <f t="shared" ca="1" si="2"/>
        <v>0</v>
      </c>
    </row>
    <row r="2002" spans="8:10" x14ac:dyDescent="0.25">
      <c r="H2002" s="251" t="str">
        <f t="shared" si="1"/>
        <v/>
      </c>
      <c r="J2002" s="152">
        <f t="shared" ca="1" si="2"/>
        <v>0</v>
      </c>
    </row>
    <row r="2003" spans="8:10" x14ac:dyDescent="0.25">
      <c r="H2003" s="251" t="str">
        <f t="shared" si="1"/>
        <v/>
      </c>
      <c r="J2003" s="152">
        <f t="shared" ca="1" si="2"/>
        <v>0</v>
      </c>
    </row>
    <row r="2004" spans="8:10" x14ac:dyDescent="0.25">
      <c r="H2004" s="251" t="str">
        <f t="shared" si="1"/>
        <v/>
      </c>
      <c r="J2004" s="152">
        <f t="shared" ca="1" si="2"/>
        <v>0</v>
      </c>
    </row>
    <row r="2005" spans="8:10" x14ac:dyDescent="0.25">
      <c r="H2005" s="251" t="str">
        <f t="shared" si="1"/>
        <v/>
      </c>
      <c r="J2005" s="152">
        <f t="shared" ca="1" si="2"/>
        <v>0</v>
      </c>
    </row>
    <row r="2006" spans="8:10" x14ac:dyDescent="0.25">
      <c r="H2006" s="251" t="str">
        <f t="shared" si="1"/>
        <v/>
      </c>
      <c r="J2006" s="152">
        <f t="shared" ca="1" si="2"/>
        <v>0</v>
      </c>
    </row>
    <row r="2007" spans="8:10" x14ac:dyDescent="0.25">
      <c r="H2007" s="251" t="str">
        <f t="shared" si="1"/>
        <v/>
      </c>
      <c r="J2007" s="152">
        <f t="shared" ca="1" si="2"/>
        <v>0</v>
      </c>
    </row>
    <row r="2008" spans="8:10" x14ac:dyDescent="0.25">
      <c r="H2008" s="251" t="str">
        <f t="shared" si="1"/>
        <v/>
      </c>
      <c r="J2008" s="152">
        <f t="shared" ca="1" si="2"/>
        <v>0</v>
      </c>
    </row>
    <row r="2009" spans="8:10" x14ac:dyDescent="0.25">
      <c r="H2009" s="251" t="str">
        <f t="shared" si="1"/>
        <v/>
      </c>
      <c r="J2009" s="152">
        <f t="shared" ca="1" si="2"/>
        <v>0</v>
      </c>
    </row>
    <row r="2010" spans="8:10" x14ac:dyDescent="0.25">
      <c r="H2010" s="251" t="str">
        <f t="shared" si="1"/>
        <v/>
      </c>
      <c r="J2010" s="152">
        <f t="shared" ca="1" si="2"/>
        <v>0</v>
      </c>
    </row>
    <row r="2011" spans="8:10" x14ac:dyDescent="0.25">
      <c r="H2011" s="251" t="str">
        <f t="shared" si="1"/>
        <v/>
      </c>
      <c r="J2011" s="152">
        <f t="shared" ca="1" si="2"/>
        <v>0</v>
      </c>
    </row>
    <row r="2012" spans="8:10" x14ac:dyDescent="0.25">
      <c r="H2012" s="251" t="str">
        <f t="shared" si="1"/>
        <v/>
      </c>
      <c r="J2012" s="152">
        <f t="shared" ca="1" si="2"/>
        <v>0</v>
      </c>
    </row>
    <row r="2013" spans="8:10" x14ac:dyDescent="0.25">
      <c r="H2013" s="251" t="str">
        <f t="shared" si="1"/>
        <v/>
      </c>
      <c r="J2013" s="152">
        <f t="shared" ca="1" si="2"/>
        <v>0</v>
      </c>
    </row>
    <row r="2014" spans="8:10" x14ac:dyDescent="0.25">
      <c r="H2014" s="251" t="str">
        <f t="shared" si="1"/>
        <v/>
      </c>
      <c r="J2014" s="152">
        <f t="shared" ca="1" si="2"/>
        <v>0</v>
      </c>
    </row>
    <row r="2015" spans="8:10" x14ac:dyDescent="0.25">
      <c r="H2015" s="251" t="str">
        <f t="shared" si="1"/>
        <v/>
      </c>
      <c r="J2015" s="152">
        <f t="shared" ca="1" si="2"/>
        <v>0</v>
      </c>
    </row>
    <row r="2016" spans="8:10" x14ac:dyDescent="0.25">
      <c r="H2016" s="251" t="str">
        <f t="shared" si="1"/>
        <v/>
      </c>
      <c r="J2016" s="152">
        <f t="shared" ca="1" si="2"/>
        <v>0</v>
      </c>
    </row>
    <row r="2017" spans="8:10" x14ac:dyDescent="0.25">
      <c r="H2017" s="251" t="str">
        <f t="shared" si="1"/>
        <v/>
      </c>
      <c r="J2017" s="152">
        <f t="shared" ca="1" si="2"/>
        <v>0</v>
      </c>
    </row>
    <row r="2018" spans="8:10" x14ac:dyDescent="0.25">
      <c r="H2018" s="251" t="str">
        <f t="shared" si="1"/>
        <v/>
      </c>
      <c r="J2018" s="152">
        <f t="shared" ca="1" si="2"/>
        <v>0</v>
      </c>
    </row>
    <row r="2019" spans="8:10" x14ac:dyDescent="0.25">
      <c r="H2019" s="251" t="str">
        <f t="shared" si="1"/>
        <v/>
      </c>
      <c r="J2019" s="152">
        <f t="shared" ca="1" si="2"/>
        <v>0</v>
      </c>
    </row>
    <row r="2020" spans="8:10" x14ac:dyDescent="0.25">
      <c r="H2020" s="251" t="str">
        <f t="shared" si="1"/>
        <v/>
      </c>
      <c r="J2020" s="152">
        <f t="shared" ca="1" si="2"/>
        <v>0</v>
      </c>
    </row>
    <row r="2021" spans="8:10" x14ac:dyDescent="0.25">
      <c r="H2021" s="251" t="str">
        <f t="shared" si="1"/>
        <v/>
      </c>
      <c r="J2021" s="152">
        <f t="shared" ca="1" si="2"/>
        <v>0</v>
      </c>
    </row>
    <row r="2022" spans="8:10" x14ac:dyDescent="0.25">
      <c r="H2022" s="251" t="str">
        <f t="shared" si="1"/>
        <v/>
      </c>
      <c r="J2022" s="152">
        <f t="shared" ca="1" si="2"/>
        <v>0</v>
      </c>
    </row>
    <row r="2023" spans="8:10" x14ac:dyDescent="0.25">
      <c r="H2023" s="251" t="str">
        <f t="shared" si="1"/>
        <v/>
      </c>
      <c r="J2023" s="152">
        <f t="shared" ca="1" si="2"/>
        <v>0</v>
      </c>
    </row>
    <row r="2024" spans="8:10" x14ac:dyDescent="0.25">
      <c r="H2024" s="251" t="str">
        <f t="shared" si="1"/>
        <v/>
      </c>
      <c r="J2024" s="152">
        <f t="shared" ca="1" si="2"/>
        <v>0</v>
      </c>
    </row>
    <row r="2025" spans="8:10" x14ac:dyDescent="0.25">
      <c r="H2025" s="251" t="str">
        <f t="shared" si="1"/>
        <v/>
      </c>
      <c r="J2025" s="152">
        <f t="shared" ca="1" si="2"/>
        <v>0</v>
      </c>
    </row>
    <row r="2026" spans="8:10" x14ac:dyDescent="0.25">
      <c r="H2026" s="251" t="str">
        <f t="shared" si="1"/>
        <v/>
      </c>
      <c r="J2026" s="152">
        <f t="shared" ca="1" si="2"/>
        <v>0</v>
      </c>
    </row>
    <row r="2027" spans="8:10" x14ac:dyDescent="0.25">
      <c r="H2027" s="251" t="str">
        <f t="shared" si="1"/>
        <v/>
      </c>
      <c r="J2027" s="152">
        <f t="shared" ca="1" si="2"/>
        <v>0</v>
      </c>
    </row>
    <row r="2028" spans="8:10" x14ac:dyDescent="0.25">
      <c r="H2028" s="251" t="str">
        <f t="shared" si="1"/>
        <v/>
      </c>
      <c r="J2028" s="152">
        <f t="shared" ca="1" si="2"/>
        <v>0</v>
      </c>
    </row>
    <row r="2029" spans="8:10" x14ac:dyDescent="0.25">
      <c r="H2029" s="251" t="str">
        <f t="shared" si="1"/>
        <v/>
      </c>
      <c r="J2029" s="152">
        <f t="shared" ref="J2029:J2054" ca="1" si="3">IF(H2029="",0,IF(F2029="",OFFSET(J2029,-1,0),F2029/G2029))</f>
        <v>0</v>
      </c>
    </row>
    <row r="2030" spans="8:10" x14ac:dyDescent="0.25">
      <c r="H2030" s="251" t="str">
        <f t="shared" si="1"/>
        <v/>
      </c>
      <c r="J2030" s="152">
        <f t="shared" ca="1" si="3"/>
        <v>0</v>
      </c>
    </row>
    <row r="2031" spans="8:10" x14ac:dyDescent="0.25">
      <c r="H2031" s="251" t="str">
        <f t="shared" si="1"/>
        <v/>
      </c>
      <c r="J2031" s="152">
        <f t="shared" ca="1" si="3"/>
        <v>0</v>
      </c>
    </row>
    <row r="2032" spans="8:10" x14ac:dyDescent="0.25">
      <c r="H2032" s="251" t="str">
        <f t="shared" si="1"/>
        <v/>
      </c>
      <c r="J2032" s="152">
        <f t="shared" ca="1" si="3"/>
        <v>0</v>
      </c>
    </row>
    <row r="2033" spans="8:10" x14ac:dyDescent="0.25">
      <c r="H2033" s="251" t="str">
        <f t="shared" si="1"/>
        <v/>
      </c>
      <c r="J2033" s="152">
        <f t="shared" ca="1" si="3"/>
        <v>0</v>
      </c>
    </row>
    <row r="2034" spans="8:10" x14ac:dyDescent="0.25">
      <c r="H2034" s="251" t="str">
        <f t="shared" si="1"/>
        <v/>
      </c>
      <c r="J2034" s="152">
        <f t="shared" ca="1" si="3"/>
        <v>0</v>
      </c>
    </row>
    <row r="2035" spans="8:10" x14ac:dyDescent="0.25">
      <c r="H2035" s="251" t="str">
        <f t="shared" ref="H2035:H2054" si="4">IF(I2035&lt;&gt;0,VLOOKUP(I2035,nhanvien,3,0),"")</f>
        <v/>
      </c>
      <c r="J2035" s="152">
        <f t="shared" ca="1" si="3"/>
        <v>0</v>
      </c>
    </row>
    <row r="2036" spans="8:10" x14ac:dyDescent="0.25">
      <c r="H2036" s="251" t="str">
        <f t="shared" si="4"/>
        <v/>
      </c>
      <c r="J2036" s="152">
        <f t="shared" ca="1" si="3"/>
        <v>0</v>
      </c>
    </row>
    <row r="2037" spans="8:10" x14ac:dyDescent="0.25">
      <c r="H2037" s="251" t="str">
        <f t="shared" si="4"/>
        <v/>
      </c>
      <c r="J2037" s="152">
        <f t="shared" ca="1" si="3"/>
        <v>0</v>
      </c>
    </row>
    <row r="2038" spans="8:10" x14ac:dyDescent="0.25">
      <c r="H2038" s="251" t="str">
        <f t="shared" si="4"/>
        <v/>
      </c>
      <c r="J2038" s="152">
        <f t="shared" ca="1" si="3"/>
        <v>0</v>
      </c>
    </row>
    <row r="2039" spans="8:10" x14ac:dyDescent="0.25">
      <c r="H2039" s="251" t="str">
        <f t="shared" si="4"/>
        <v/>
      </c>
      <c r="J2039" s="152">
        <f t="shared" ca="1" si="3"/>
        <v>0</v>
      </c>
    </row>
    <row r="2040" spans="8:10" x14ac:dyDescent="0.25">
      <c r="H2040" s="251" t="str">
        <f t="shared" si="4"/>
        <v/>
      </c>
      <c r="J2040" s="152">
        <f t="shared" ca="1" si="3"/>
        <v>0</v>
      </c>
    </row>
    <row r="2041" spans="8:10" x14ac:dyDescent="0.25">
      <c r="H2041" s="251" t="str">
        <f t="shared" si="4"/>
        <v/>
      </c>
      <c r="J2041" s="152">
        <f t="shared" ca="1" si="3"/>
        <v>0</v>
      </c>
    </row>
    <row r="2042" spans="8:10" x14ac:dyDescent="0.25">
      <c r="H2042" s="251" t="str">
        <f t="shared" si="4"/>
        <v/>
      </c>
      <c r="J2042" s="152">
        <f t="shared" ca="1" si="3"/>
        <v>0</v>
      </c>
    </row>
    <row r="2043" spans="8:10" x14ac:dyDescent="0.25">
      <c r="H2043" s="251" t="str">
        <f t="shared" si="4"/>
        <v/>
      </c>
      <c r="J2043" s="152">
        <f t="shared" ca="1" si="3"/>
        <v>0</v>
      </c>
    </row>
    <row r="2044" spans="8:10" x14ac:dyDescent="0.25">
      <c r="H2044" s="251" t="str">
        <f t="shared" si="4"/>
        <v/>
      </c>
      <c r="J2044" s="152">
        <f t="shared" ca="1" si="3"/>
        <v>0</v>
      </c>
    </row>
    <row r="2045" spans="8:10" x14ac:dyDescent="0.25">
      <c r="H2045" s="251" t="str">
        <f t="shared" si="4"/>
        <v/>
      </c>
      <c r="J2045" s="152">
        <f t="shared" ca="1" si="3"/>
        <v>0</v>
      </c>
    </row>
    <row r="2046" spans="8:10" x14ac:dyDescent="0.25">
      <c r="H2046" s="251" t="str">
        <f t="shared" si="4"/>
        <v/>
      </c>
      <c r="J2046" s="152">
        <f t="shared" ca="1" si="3"/>
        <v>0</v>
      </c>
    </row>
    <row r="2047" spans="8:10" x14ac:dyDescent="0.25">
      <c r="H2047" s="251" t="str">
        <f t="shared" si="4"/>
        <v/>
      </c>
      <c r="J2047" s="152">
        <f t="shared" ca="1" si="3"/>
        <v>0</v>
      </c>
    </row>
    <row r="2048" spans="8:10" x14ac:dyDescent="0.25">
      <c r="H2048" s="251" t="str">
        <f t="shared" si="4"/>
        <v/>
      </c>
      <c r="J2048" s="152">
        <f t="shared" ca="1" si="3"/>
        <v>0</v>
      </c>
    </row>
    <row r="2049" spans="8:10" x14ac:dyDescent="0.25">
      <c r="H2049" s="251" t="str">
        <f t="shared" si="4"/>
        <v/>
      </c>
      <c r="J2049" s="152">
        <f t="shared" ca="1" si="3"/>
        <v>0</v>
      </c>
    </row>
    <row r="2050" spans="8:10" x14ac:dyDescent="0.25">
      <c r="H2050" s="251" t="str">
        <f t="shared" si="4"/>
        <v/>
      </c>
      <c r="J2050" s="152">
        <f t="shared" ca="1" si="3"/>
        <v>0</v>
      </c>
    </row>
    <row r="2051" spans="8:10" x14ac:dyDescent="0.25">
      <c r="H2051" s="251" t="str">
        <f t="shared" si="4"/>
        <v/>
      </c>
      <c r="J2051" s="152">
        <f t="shared" ca="1" si="3"/>
        <v>0</v>
      </c>
    </row>
    <row r="2052" spans="8:10" x14ac:dyDescent="0.25">
      <c r="H2052" s="251" t="str">
        <f t="shared" si="4"/>
        <v/>
      </c>
      <c r="J2052" s="152">
        <f t="shared" ca="1" si="3"/>
        <v>0</v>
      </c>
    </row>
    <row r="2053" spans="8:10" x14ac:dyDescent="0.25">
      <c r="H2053" s="251" t="str">
        <f t="shared" si="4"/>
        <v/>
      </c>
      <c r="J2053" s="152">
        <f t="shared" ca="1" si="3"/>
        <v>0</v>
      </c>
    </row>
    <row r="2054" spans="8:10" x14ac:dyDescent="0.25">
      <c r="H2054" s="251" t="str">
        <f t="shared" si="4"/>
        <v/>
      </c>
      <c r="J2054" s="152">
        <f t="shared" ca="1" si="3"/>
        <v>0</v>
      </c>
    </row>
  </sheetData>
  <autoFilter ref="C12:J12">
    <filterColumn colId="6">
      <filters>
        <filter val="Thạch Phương"/>
      </filters>
    </filterColumn>
  </autoFilter>
  <mergeCells count="1">
    <mergeCell ref="C10:J10"/>
  </mergeCells>
  <dataValidations count="2">
    <dataValidation type="list" allowBlank="1" showInputMessage="1" showErrorMessage="1" sqref="I13:I2054">
      <formula1>MANV</formula1>
    </dataValidation>
    <dataValidation type="list" allowBlank="1" showInputMessage="1" showErrorMessage="1" sqref="D416:D1048576 D13:D414">
      <formula1>XE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9"/>
  <sheetViews>
    <sheetView topLeftCell="C10" zoomScale="130" zoomScaleNormal="130" workbookViewId="0">
      <selection activeCell="I21" sqref="I21"/>
    </sheetView>
  </sheetViews>
  <sheetFormatPr defaultColWidth="8.7109375" defaultRowHeight="15" x14ac:dyDescent="0.25"/>
  <cols>
    <col min="1" max="1" width="13.28515625" style="102" hidden="1" customWidth="1"/>
    <col min="2" max="2" width="12.28515625" style="102" hidden="1" customWidth="1"/>
    <col min="3" max="3" width="8.7109375" style="102"/>
    <col min="4" max="4" width="12.5703125" style="102" bestFit="1" customWidth="1"/>
    <col min="5" max="5" width="10.7109375" style="107" bestFit="1" customWidth="1"/>
    <col min="6" max="6" width="10.7109375" style="102" bestFit="1" customWidth="1"/>
    <col min="7" max="7" width="8.7109375" style="102"/>
    <col min="8" max="8" width="11.7109375" style="102" customWidth="1"/>
    <col min="9" max="9" width="20.28515625" style="157" customWidth="1"/>
    <col min="10" max="10" width="12" style="114" bestFit="1" customWidth="1"/>
    <col min="11" max="16384" width="8.7109375" style="102"/>
  </cols>
  <sheetData>
    <row r="1" spans="1:10" hidden="1" x14ac:dyDescent="0.25">
      <c r="A1" s="102" t="s">
        <v>353</v>
      </c>
      <c r="B1" s="102" t="s">
        <v>354</v>
      </c>
    </row>
    <row r="2" spans="1:10" hidden="1" x14ac:dyDescent="0.25">
      <c r="A2" s="102" t="s">
        <v>355</v>
      </c>
      <c r="B2" s="102" t="s">
        <v>354</v>
      </c>
    </row>
    <row r="3" spans="1:10" hidden="1" x14ac:dyDescent="0.25">
      <c r="A3" s="102" t="s">
        <v>356</v>
      </c>
      <c r="B3" s="102" t="s">
        <v>357</v>
      </c>
    </row>
    <row r="4" spans="1:10" hidden="1" x14ac:dyDescent="0.25">
      <c r="A4" s="102" t="s">
        <v>358</v>
      </c>
      <c r="B4" s="102" t="s">
        <v>357</v>
      </c>
    </row>
    <row r="5" spans="1:10" hidden="1" x14ac:dyDescent="0.25">
      <c r="A5" s="102" t="s">
        <v>359</v>
      </c>
      <c r="B5" s="102" t="s">
        <v>357</v>
      </c>
    </row>
    <row r="6" spans="1:10" hidden="1" x14ac:dyDescent="0.25">
      <c r="A6" s="102" t="s">
        <v>360</v>
      </c>
      <c r="B6" s="102" t="s">
        <v>361</v>
      </c>
    </row>
    <row r="7" spans="1:10" hidden="1" x14ac:dyDescent="0.25">
      <c r="A7" s="102" t="s">
        <v>362</v>
      </c>
      <c r="B7" s="102" t="s">
        <v>357</v>
      </c>
    </row>
    <row r="8" spans="1:10" hidden="1" x14ac:dyDescent="0.25">
      <c r="A8" s="102" t="s">
        <v>363</v>
      </c>
      <c r="B8" s="102" t="s">
        <v>357</v>
      </c>
    </row>
    <row r="9" spans="1:10" hidden="1" x14ac:dyDescent="0.25">
      <c r="A9" s="102" t="s">
        <v>364</v>
      </c>
      <c r="B9" s="102" t="s">
        <v>354</v>
      </c>
    </row>
    <row r="10" spans="1:10" x14ac:dyDescent="0.25">
      <c r="C10" s="506" t="s">
        <v>148</v>
      </c>
      <c r="D10" s="506"/>
      <c r="E10" s="506"/>
      <c r="F10" s="506"/>
      <c r="G10" s="506"/>
      <c r="H10" s="506"/>
      <c r="I10" s="506"/>
      <c r="J10" s="506"/>
    </row>
    <row r="12" spans="1:10" x14ac:dyDescent="0.25">
      <c r="C12" s="109" t="s">
        <v>365</v>
      </c>
      <c r="D12" s="109" t="s">
        <v>366</v>
      </c>
      <c r="E12" s="118" t="s">
        <v>2</v>
      </c>
      <c r="F12" s="109" t="s">
        <v>367</v>
      </c>
      <c r="G12" s="109" t="s">
        <v>368</v>
      </c>
      <c r="H12" s="109" t="s">
        <v>369</v>
      </c>
      <c r="I12" s="158" t="s">
        <v>370</v>
      </c>
      <c r="J12" s="115" t="s">
        <v>371</v>
      </c>
    </row>
    <row r="13" spans="1:10" ht="15.75" x14ac:dyDescent="0.25">
      <c r="E13" s="151"/>
      <c r="H13" s="164"/>
      <c r="I13" s="162"/>
      <c r="J13" s="152"/>
    </row>
    <row r="14" spans="1:10" ht="15.75" x14ac:dyDescent="0.25">
      <c r="H14" s="164"/>
      <c r="I14" s="162"/>
      <c r="J14" s="152"/>
    </row>
    <row r="15" spans="1:10" ht="15.75" x14ac:dyDescent="0.25">
      <c r="H15" s="164"/>
      <c r="I15" s="162"/>
      <c r="J15" s="152"/>
    </row>
    <row r="16" spans="1:10" ht="15.75" x14ac:dyDescent="0.25">
      <c r="H16" s="164"/>
      <c r="I16" s="162"/>
      <c r="J16" s="152"/>
    </row>
    <row r="17" spans="5:10" ht="15.75" x14ac:dyDescent="0.25">
      <c r="H17" s="164"/>
      <c r="I17" s="162"/>
      <c r="J17" s="152"/>
    </row>
    <row r="18" spans="5:10" ht="15.75" x14ac:dyDescent="0.25">
      <c r="E18" s="151"/>
      <c r="H18" s="164"/>
      <c r="J18" s="152"/>
    </row>
    <row r="19" spans="5:10" ht="15.75" x14ac:dyDescent="0.25">
      <c r="H19" s="164"/>
      <c r="J19" s="152"/>
    </row>
    <row r="20" spans="5:10" ht="15.75" x14ac:dyDescent="0.25">
      <c r="H20" s="164"/>
      <c r="J20" s="152"/>
    </row>
    <row r="21" spans="5:10" ht="15.75" x14ac:dyDescent="0.25">
      <c r="H21" s="164"/>
      <c r="J21" s="152"/>
    </row>
    <row r="22" spans="5:10" ht="15.75" x14ac:dyDescent="0.25">
      <c r="H22" s="164"/>
      <c r="J22" s="152"/>
    </row>
    <row r="23" spans="5:10" ht="15.75" x14ac:dyDescent="0.25">
      <c r="H23" s="164"/>
      <c r="J23" s="152"/>
    </row>
    <row r="24" spans="5:10" ht="15.75" x14ac:dyDescent="0.25">
      <c r="E24" s="151"/>
      <c r="H24" s="164"/>
      <c r="I24" s="162"/>
      <c r="J24" s="152"/>
    </row>
    <row r="25" spans="5:10" ht="15.75" x14ac:dyDescent="0.25">
      <c r="H25" s="164"/>
      <c r="I25" s="162"/>
      <c r="J25" s="152"/>
    </row>
    <row r="26" spans="5:10" ht="15.75" x14ac:dyDescent="0.25">
      <c r="H26" s="164"/>
      <c r="I26" s="162"/>
      <c r="J26" s="152"/>
    </row>
    <row r="27" spans="5:10" ht="15.75" x14ac:dyDescent="0.25">
      <c r="E27" s="151"/>
      <c r="H27" s="164"/>
      <c r="J27" s="152"/>
    </row>
    <row r="28" spans="5:10" ht="15.75" x14ac:dyDescent="0.25">
      <c r="H28" s="164"/>
      <c r="J28" s="152"/>
    </row>
    <row r="29" spans="5:10" ht="15.75" x14ac:dyDescent="0.25">
      <c r="H29" s="164"/>
      <c r="J29" s="152"/>
    </row>
    <row r="30" spans="5:10" ht="15.75" x14ac:dyDescent="0.25">
      <c r="H30" s="164"/>
      <c r="J30" s="152"/>
    </row>
    <row r="31" spans="5:10" ht="15.75" x14ac:dyDescent="0.25">
      <c r="H31" s="164"/>
      <c r="J31" s="152"/>
    </row>
    <row r="32" spans="5:10" ht="15.75" x14ac:dyDescent="0.25">
      <c r="H32" s="164"/>
      <c r="J32" s="152"/>
    </row>
    <row r="33" spans="8:10" ht="15.75" x14ac:dyDescent="0.25">
      <c r="H33" s="164"/>
      <c r="J33" s="152"/>
    </row>
    <row r="34" spans="8:10" ht="15.75" x14ac:dyDescent="0.25">
      <c r="H34" s="164"/>
      <c r="J34" s="152"/>
    </row>
    <row r="35" spans="8:10" ht="15.75" x14ac:dyDescent="0.25">
      <c r="H35" s="164"/>
      <c r="J35" s="152"/>
    </row>
    <row r="36" spans="8:10" ht="15.75" x14ac:dyDescent="0.25">
      <c r="H36" s="164"/>
      <c r="J36" s="152"/>
    </row>
    <row r="37" spans="8:10" ht="15.75" x14ac:dyDescent="0.25">
      <c r="H37" s="164"/>
      <c r="J37" s="152"/>
    </row>
    <row r="38" spans="8:10" ht="15.75" x14ac:dyDescent="0.25">
      <c r="H38" s="164"/>
      <c r="J38" s="152"/>
    </row>
    <row r="39" spans="8:10" ht="15.75" x14ac:dyDescent="0.25">
      <c r="H39" s="164"/>
      <c r="J39" s="152"/>
    </row>
    <row r="40" spans="8:10" ht="15.75" x14ac:dyDescent="0.25">
      <c r="H40" s="164"/>
      <c r="J40" s="152"/>
    </row>
    <row r="41" spans="8:10" ht="15.75" x14ac:dyDescent="0.25">
      <c r="H41" s="164"/>
      <c r="J41" s="152"/>
    </row>
    <row r="42" spans="8:10" ht="15.75" x14ac:dyDescent="0.25">
      <c r="H42" s="164"/>
      <c r="J42" s="152"/>
    </row>
    <row r="43" spans="8:10" ht="15.75" x14ac:dyDescent="0.25">
      <c r="H43" s="164"/>
      <c r="J43" s="152"/>
    </row>
    <row r="44" spans="8:10" ht="15.75" x14ac:dyDescent="0.25">
      <c r="H44" s="164"/>
      <c r="J44" s="152"/>
    </row>
    <row r="45" spans="8:10" ht="15.75" x14ac:dyDescent="0.25">
      <c r="H45" s="164"/>
      <c r="J45" s="152"/>
    </row>
    <row r="46" spans="8:10" ht="15.75" x14ac:dyDescent="0.25">
      <c r="H46" s="164"/>
      <c r="J46" s="152"/>
    </row>
    <row r="47" spans="8:10" ht="15.75" x14ac:dyDescent="0.25">
      <c r="H47" s="164"/>
      <c r="I47" s="162"/>
      <c r="J47" s="152"/>
    </row>
    <row r="48" spans="8:10" ht="15.75" x14ac:dyDescent="0.25">
      <c r="H48" s="164"/>
      <c r="I48" s="162"/>
      <c r="J48" s="152"/>
    </row>
    <row r="49" spans="8:10" ht="15.75" x14ac:dyDescent="0.25">
      <c r="H49" s="164"/>
      <c r="I49" s="162"/>
      <c r="J49" s="152"/>
    </row>
    <row r="50" spans="8:10" ht="15.75" x14ac:dyDescent="0.25">
      <c r="H50" s="164"/>
      <c r="I50" s="162"/>
      <c r="J50" s="152"/>
    </row>
    <row r="51" spans="8:10" ht="15.75" x14ac:dyDescent="0.25">
      <c r="H51" s="164"/>
      <c r="I51" s="162"/>
      <c r="J51" s="152"/>
    </row>
    <row r="52" spans="8:10" ht="15.75" x14ac:dyDescent="0.25">
      <c r="H52" s="164"/>
      <c r="I52" s="162"/>
      <c r="J52" s="152"/>
    </row>
    <row r="53" spans="8:10" ht="15.75" x14ac:dyDescent="0.25">
      <c r="H53" s="164"/>
      <c r="I53" s="162"/>
      <c r="J53" s="152"/>
    </row>
    <row r="54" spans="8:10" ht="15.75" x14ac:dyDescent="0.25">
      <c r="H54" s="164"/>
      <c r="I54" s="162"/>
      <c r="J54" s="152"/>
    </row>
    <row r="55" spans="8:10" ht="15.75" x14ac:dyDescent="0.25">
      <c r="H55" s="164"/>
      <c r="I55" s="162"/>
      <c r="J55" s="152"/>
    </row>
    <row r="56" spans="8:10" ht="15.75" x14ac:dyDescent="0.25">
      <c r="H56" s="164"/>
      <c r="I56" s="162"/>
      <c r="J56" s="152"/>
    </row>
    <row r="57" spans="8:10" ht="15.75" x14ac:dyDescent="0.25">
      <c r="H57" s="164"/>
      <c r="J57" s="152"/>
    </row>
    <row r="58" spans="8:10" ht="15.75" x14ac:dyDescent="0.25">
      <c r="H58" s="164"/>
      <c r="J58" s="152"/>
    </row>
    <row r="59" spans="8:10" ht="15.75" x14ac:dyDescent="0.25">
      <c r="H59" s="164"/>
      <c r="J59" s="152"/>
    </row>
    <row r="60" spans="8:10" ht="15.75" x14ac:dyDescent="0.25">
      <c r="H60" s="164"/>
      <c r="J60" s="152"/>
    </row>
    <row r="61" spans="8:10" ht="15.75" x14ac:dyDescent="0.25">
      <c r="H61" s="164"/>
      <c r="J61" s="152"/>
    </row>
    <row r="62" spans="8:10" ht="15.75" x14ac:dyDescent="0.25">
      <c r="H62" s="164"/>
      <c r="J62" s="152"/>
    </row>
    <row r="63" spans="8:10" ht="15.75" x14ac:dyDescent="0.25">
      <c r="H63" s="164"/>
      <c r="J63" s="152"/>
    </row>
    <row r="64" spans="8:10" ht="15.75" x14ac:dyDescent="0.25">
      <c r="H64" s="164"/>
      <c r="J64" s="152"/>
    </row>
    <row r="65" spans="3:10" ht="15.75" x14ac:dyDescent="0.25">
      <c r="H65" s="164"/>
      <c r="J65" s="152"/>
    </row>
    <row r="66" spans="3:10" ht="15.75" x14ac:dyDescent="0.25">
      <c r="H66" s="164"/>
      <c r="J66" s="152"/>
    </row>
    <row r="67" spans="3:10" ht="15.75" x14ac:dyDescent="0.25">
      <c r="H67" s="164"/>
      <c r="J67" s="152"/>
    </row>
    <row r="68" spans="3:10" ht="15.75" x14ac:dyDescent="0.25">
      <c r="H68" s="164"/>
      <c r="J68" s="152"/>
    </row>
    <row r="69" spans="3:10" ht="15.75" x14ac:dyDescent="0.25">
      <c r="H69" s="164"/>
      <c r="I69" s="162"/>
      <c r="J69" s="152"/>
    </row>
    <row r="70" spans="3:10" ht="15.75" x14ac:dyDescent="0.25">
      <c r="H70" s="164"/>
      <c r="I70" s="162"/>
      <c r="J70" s="152"/>
    </row>
    <row r="71" spans="3:10" ht="15.75" x14ac:dyDescent="0.25">
      <c r="H71" s="164"/>
      <c r="I71" s="162"/>
      <c r="J71" s="152"/>
    </row>
    <row r="72" spans="3:10" ht="15.75" x14ac:dyDescent="0.25">
      <c r="H72" s="164"/>
      <c r="I72" s="162"/>
      <c r="J72" s="152"/>
    </row>
    <row r="73" spans="3:10" ht="15.75" x14ac:dyDescent="0.25">
      <c r="H73" s="164"/>
      <c r="I73" s="162"/>
      <c r="J73" s="152"/>
    </row>
    <row r="74" spans="3:10" ht="15.75" x14ac:dyDescent="0.25">
      <c r="H74" s="164"/>
      <c r="I74" s="162"/>
      <c r="J74" s="152"/>
    </row>
    <row r="75" spans="3:10" ht="15.75" x14ac:dyDescent="0.25">
      <c r="C75" s="254"/>
      <c r="D75" s="254"/>
      <c r="E75" s="151"/>
      <c r="H75" s="164"/>
      <c r="I75" s="162"/>
      <c r="J75" s="152"/>
    </row>
    <row r="76" spans="3:10" ht="15.75" x14ac:dyDescent="0.25">
      <c r="H76" s="164"/>
      <c r="I76" s="162"/>
      <c r="J76" s="152"/>
    </row>
    <row r="77" spans="3:10" ht="15.75" x14ac:dyDescent="0.25">
      <c r="H77" s="164"/>
      <c r="I77" s="162"/>
      <c r="J77" s="152"/>
    </row>
    <row r="78" spans="3:10" ht="15.75" x14ac:dyDescent="0.25">
      <c r="H78" s="164"/>
      <c r="I78" s="162"/>
      <c r="J78" s="152"/>
    </row>
    <row r="79" spans="3:10" ht="15.75" x14ac:dyDescent="0.25">
      <c r="H79" s="164"/>
      <c r="I79" s="162"/>
      <c r="J79" s="152"/>
    </row>
    <row r="80" spans="3:10" ht="15.75" x14ac:dyDescent="0.25">
      <c r="H80" s="164"/>
      <c r="I80" s="162"/>
      <c r="J80" s="152"/>
    </row>
    <row r="81" spans="8:10" ht="15.75" x14ac:dyDescent="0.25">
      <c r="H81" s="164"/>
      <c r="I81" s="162"/>
      <c r="J81" s="152"/>
    </row>
    <row r="82" spans="8:10" ht="15.75" x14ac:dyDescent="0.25">
      <c r="H82" s="164"/>
      <c r="I82" s="163"/>
      <c r="J82" s="152"/>
    </row>
    <row r="83" spans="8:10" ht="15.75" x14ac:dyDescent="0.25">
      <c r="H83" s="164"/>
      <c r="I83" s="162"/>
      <c r="J83" s="152"/>
    </row>
    <row r="84" spans="8:10" ht="15.75" x14ac:dyDescent="0.25">
      <c r="H84" s="164"/>
      <c r="I84" s="162"/>
      <c r="J84" s="152"/>
    </row>
    <row r="85" spans="8:10" ht="15.75" x14ac:dyDescent="0.25">
      <c r="H85" s="164"/>
      <c r="I85" s="162"/>
      <c r="J85" s="152"/>
    </row>
    <row r="86" spans="8:10" ht="15.75" x14ac:dyDescent="0.25">
      <c r="H86" s="164"/>
      <c r="I86" s="162"/>
      <c r="J86" s="152"/>
    </row>
    <row r="87" spans="8:10" ht="15.75" x14ac:dyDescent="0.25">
      <c r="H87" s="164"/>
      <c r="I87" s="162"/>
      <c r="J87" s="152"/>
    </row>
    <row r="88" spans="8:10" ht="15.75" x14ac:dyDescent="0.25">
      <c r="H88" s="164"/>
      <c r="I88" s="162"/>
      <c r="J88" s="152"/>
    </row>
    <row r="89" spans="8:10" ht="15.75" x14ac:dyDescent="0.25">
      <c r="H89" s="164"/>
      <c r="I89" s="162"/>
      <c r="J89" s="152"/>
    </row>
    <row r="90" spans="8:10" ht="15.75" x14ac:dyDescent="0.25">
      <c r="H90" s="164"/>
      <c r="I90" s="162"/>
      <c r="J90" s="152"/>
    </row>
    <row r="91" spans="8:10" ht="15.75" x14ac:dyDescent="0.25">
      <c r="H91" s="164"/>
      <c r="J91" s="152"/>
    </row>
    <row r="92" spans="8:10" ht="15.75" x14ac:dyDescent="0.25">
      <c r="H92" s="164"/>
      <c r="J92" s="152"/>
    </row>
    <row r="93" spans="8:10" ht="15.75" x14ac:dyDescent="0.25">
      <c r="H93" s="164"/>
      <c r="I93" s="162"/>
      <c r="J93" s="152"/>
    </row>
    <row r="94" spans="8:10" ht="15.75" x14ac:dyDescent="0.25">
      <c r="H94" s="164"/>
      <c r="I94" s="162"/>
      <c r="J94" s="152"/>
    </row>
    <row r="95" spans="8:10" ht="15.75" x14ac:dyDescent="0.25">
      <c r="H95" s="164"/>
      <c r="I95" s="162"/>
      <c r="J95" s="152"/>
    </row>
    <row r="96" spans="8:10" ht="15.75" x14ac:dyDescent="0.25">
      <c r="H96" s="164"/>
      <c r="I96" s="162"/>
      <c r="J96" s="152"/>
    </row>
    <row r="97" spans="8:10" ht="15.75" x14ac:dyDescent="0.25">
      <c r="H97" s="164"/>
      <c r="J97" s="152"/>
    </row>
    <row r="98" spans="8:10" ht="15.75" x14ac:dyDescent="0.25">
      <c r="H98" s="164"/>
      <c r="J98" s="152"/>
    </row>
    <row r="99" spans="8:10" ht="15.75" x14ac:dyDescent="0.25">
      <c r="H99" s="164"/>
      <c r="J99" s="152"/>
    </row>
    <row r="100" spans="8:10" ht="15.75" x14ac:dyDescent="0.25">
      <c r="H100" s="164"/>
      <c r="J100" s="152"/>
    </row>
    <row r="101" spans="8:10" ht="15.75" x14ac:dyDescent="0.25">
      <c r="H101" s="164"/>
      <c r="J101" s="152"/>
    </row>
    <row r="102" spans="8:10" ht="15.75" x14ac:dyDescent="0.25">
      <c r="H102" s="164"/>
      <c r="I102" s="162"/>
      <c r="J102" s="152"/>
    </row>
    <row r="103" spans="8:10" ht="15.75" x14ac:dyDescent="0.25">
      <c r="H103" s="164"/>
      <c r="I103" s="162"/>
      <c r="J103" s="152"/>
    </row>
    <row r="104" spans="8:10" ht="15.75" x14ac:dyDescent="0.25">
      <c r="H104" s="164"/>
      <c r="J104" s="152"/>
    </row>
    <row r="105" spans="8:10" ht="15.75" x14ac:dyDescent="0.25">
      <c r="H105" s="164"/>
      <c r="J105" s="152"/>
    </row>
    <row r="106" spans="8:10" ht="15.75" x14ac:dyDescent="0.25">
      <c r="H106" s="164"/>
      <c r="J106" s="152"/>
    </row>
    <row r="107" spans="8:10" ht="15.75" x14ac:dyDescent="0.25">
      <c r="H107" s="164"/>
      <c r="I107" s="162"/>
      <c r="J107" s="152"/>
    </row>
    <row r="108" spans="8:10" ht="15.75" x14ac:dyDescent="0.25">
      <c r="H108" s="164"/>
      <c r="I108" s="162"/>
      <c r="J108" s="152"/>
    </row>
    <row r="109" spans="8:10" ht="15.75" x14ac:dyDescent="0.25">
      <c r="H109" s="164"/>
      <c r="I109" s="162"/>
      <c r="J109" s="152"/>
    </row>
    <row r="110" spans="8:10" ht="15.75" x14ac:dyDescent="0.25">
      <c r="H110" s="164"/>
      <c r="I110" s="162"/>
      <c r="J110" s="152"/>
    </row>
    <row r="111" spans="8:10" ht="15.75" x14ac:dyDescent="0.25">
      <c r="H111" s="164"/>
      <c r="I111" s="162"/>
      <c r="J111" s="152"/>
    </row>
    <row r="112" spans="8:10" ht="15.75" x14ac:dyDescent="0.25">
      <c r="H112" s="164"/>
      <c r="I112" s="162"/>
      <c r="J112" s="152"/>
    </row>
    <row r="113" spans="8:10" ht="15.75" x14ac:dyDescent="0.25">
      <c r="H113" s="164"/>
      <c r="I113" s="162"/>
      <c r="J113" s="152"/>
    </row>
    <row r="114" spans="8:10" ht="15.75" x14ac:dyDescent="0.25">
      <c r="H114" s="164"/>
      <c r="I114" s="162"/>
      <c r="J114" s="152"/>
    </row>
    <row r="115" spans="8:10" ht="15.75" x14ac:dyDescent="0.25">
      <c r="H115" s="164"/>
      <c r="I115" s="162"/>
      <c r="J115" s="152"/>
    </row>
    <row r="116" spans="8:10" ht="15.75" x14ac:dyDescent="0.25">
      <c r="H116" s="164"/>
      <c r="J116" s="152"/>
    </row>
    <row r="117" spans="8:10" ht="15.75" x14ac:dyDescent="0.25">
      <c r="H117" s="164"/>
      <c r="J117" s="152"/>
    </row>
    <row r="118" spans="8:10" ht="15.75" x14ac:dyDescent="0.25">
      <c r="H118" s="164" t="str">
        <f t="shared" ref="H118:H134" si="0">IF(I118&lt;&gt;0,VLOOKUP(I118,nhanvien,3,0),"")</f>
        <v/>
      </c>
      <c r="J118" s="152">
        <f t="shared" ref="J118:J134" ca="1" si="1">IF(H118="",0,IF(F118="",OFFSET(J118,-1,0),F118/G118))</f>
        <v>0</v>
      </c>
    </row>
    <row r="119" spans="8:10" ht="15.75" x14ac:dyDescent="0.25">
      <c r="H119" s="164" t="str">
        <f t="shared" si="0"/>
        <v/>
      </c>
      <c r="J119" s="152">
        <f t="shared" ca="1" si="1"/>
        <v>0</v>
      </c>
    </row>
    <row r="120" spans="8:10" ht="15.75" x14ac:dyDescent="0.25">
      <c r="H120" s="164" t="str">
        <f t="shared" si="0"/>
        <v/>
      </c>
      <c r="I120" s="162"/>
      <c r="J120" s="152">
        <f t="shared" ca="1" si="1"/>
        <v>0</v>
      </c>
    </row>
    <row r="121" spans="8:10" ht="15.75" x14ac:dyDescent="0.25">
      <c r="H121" s="164" t="str">
        <f t="shared" si="0"/>
        <v/>
      </c>
      <c r="J121" s="152">
        <f t="shared" ca="1" si="1"/>
        <v>0</v>
      </c>
    </row>
    <row r="122" spans="8:10" ht="15.75" x14ac:dyDescent="0.25">
      <c r="H122" s="164" t="str">
        <f t="shared" si="0"/>
        <v/>
      </c>
      <c r="J122" s="152">
        <f t="shared" ca="1" si="1"/>
        <v>0</v>
      </c>
    </row>
    <row r="123" spans="8:10" ht="15.75" x14ac:dyDescent="0.25">
      <c r="H123" s="164" t="str">
        <f t="shared" si="0"/>
        <v/>
      </c>
      <c r="J123" s="152">
        <f t="shared" ca="1" si="1"/>
        <v>0</v>
      </c>
    </row>
    <row r="124" spans="8:10" ht="15.75" x14ac:dyDescent="0.25">
      <c r="H124" s="164" t="str">
        <f t="shared" si="0"/>
        <v/>
      </c>
      <c r="J124" s="152">
        <f t="shared" ca="1" si="1"/>
        <v>0</v>
      </c>
    </row>
    <row r="125" spans="8:10" ht="15.75" x14ac:dyDescent="0.25">
      <c r="H125" s="164" t="str">
        <f t="shared" si="0"/>
        <v/>
      </c>
      <c r="I125" s="162"/>
      <c r="J125" s="152">
        <f t="shared" ca="1" si="1"/>
        <v>0</v>
      </c>
    </row>
    <row r="126" spans="8:10" ht="15.75" x14ac:dyDescent="0.25">
      <c r="H126" s="164" t="str">
        <f t="shared" si="0"/>
        <v/>
      </c>
      <c r="J126" s="152">
        <f t="shared" ca="1" si="1"/>
        <v>0</v>
      </c>
    </row>
    <row r="127" spans="8:10" ht="15.75" x14ac:dyDescent="0.25">
      <c r="H127" s="164" t="str">
        <f t="shared" si="0"/>
        <v/>
      </c>
      <c r="J127" s="152">
        <f t="shared" ca="1" si="1"/>
        <v>0</v>
      </c>
    </row>
    <row r="128" spans="8:10" ht="15.75" x14ac:dyDescent="0.25">
      <c r="H128" s="164" t="str">
        <f t="shared" si="0"/>
        <v/>
      </c>
      <c r="J128" s="152">
        <f t="shared" ca="1" si="1"/>
        <v>0</v>
      </c>
    </row>
    <row r="129" spans="8:10" ht="15.75" x14ac:dyDescent="0.25">
      <c r="H129" s="164" t="str">
        <f t="shared" si="0"/>
        <v/>
      </c>
      <c r="J129" s="152">
        <f t="shared" ca="1" si="1"/>
        <v>0</v>
      </c>
    </row>
    <row r="130" spans="8:10" ht="15.75" x14ac:dyDescent="0.25">
      <c r="H130" s="164" t="str">
        <f t="shared" si="0"/>
        <v/>
      </c>
      <c r="J130" s="152">
        <f t="shared" ca="1" si="1"/>
        <v>0</v>
      </c>
    </row>
    <row r="131" spans="8:10" ht="15.75" x14ac:dyDescent="0.25">
      <c r="H131" s="164" t="str">
        <f t="shared" si="0"/>
        <v/>
      </c>
      <c r="I131" s="162"/>
      <c r="J131" s="152">
        <f t="shared" ca="1" si="1"/>
        <v>0</v>
      </c>
    </row>
    <row r="132" spans="8:10" ht="15.75" x14ac:dyDescent="0.25">
      <c r="H132" s="164" t="str">
        <f t="shared" si="0"/>
        <v/>
      </c>
      <c r="I132" s="162"/>
      <c r="J132" s="152">
        <f t="shared" ca="1" si="1"/>
        <v>0</v>
      </c>
    </row>
    <row r="133" spans="8:10" ht="15.75" x14ac:dyDescent="0.25">
      <c r="H133" s="164" t="str">
        <f t="shared" si="0"/>
        <v/>
      </c>
      <c r="I133" s="162"/>
      <c r="J133" s="152">
        <f t="shared" ca="1" si="1"/>
        <v>0</v>
      </c>
    </row>
    <row r="134" spans="8:10" ht="15.75" x14ac:dyDescent="0.25">
      <c r="H134" s="164" t="str">
        <f t="shared" si="0"/>
        <v/>
      </c>
      <c r="I134" s="162"/>
      <c r="J134" s="152">
        <f t="shared" ca="1" si="1"/>
        <v>0</v>
      </c>
    </row>
    <row r="135" spans="8:10" ht="15.75" x14ac:dyDescent="0.25">
      <c r="H135" s="164" t="str">
        <f t="shared" ref="H135:H198" si="2">IF(I135&lt;&gt;0,VLOOKUP(I135,nhanvien,3,0),"")</f>
        <v/>
      </c>
      <c r="J135" s="152">
        <f t="shared" ref="J135:J198" ca="1" si="3">IF(H135="",0,IF(F135="",OFFSET(J135,-1,0),F135/G135))</f>
        <v>0</v>
      </c>
    </row>
    <row r="136" spans="8:10" ht="15.75" x14ac:dyDescent="0.25">
      <c r="H136" s="164" t="str">
        <f t="shared" si="2"/>
        <v/>
      </c>
      <c r="J136" s="152">
        <f t="shared" ca="1" si="3"/>
        <v>0</v>
      </c>
    </row>
    <row r="137" spans="8:10" ht="15.75" x14ac:dyDescent="0.25">
      <c r="H137" s="164" t="str">
        <f t="shared" si="2"/>
        <v/>
      </c>
      <c r="J137" s="152">
        <f t="shared" ca="1" si="3"/>
        <v>0</v>
      </c>
    </row>
    <row r="138" spans="8:10" ht="15.75" x14ac:dyDescent="0.25">
      <c r="H138" s="164" t="str">
        <f t="shared" si="2"/>
        <v/>
      </c>
      <c r="J138" s="152">
        <f t="shared" ca="1" si="3"/>
        <v>0</v>
      </c>
    </row>
    <row r="139" spans="8:10" ht="15.75" x14ac:dyDescent="0.25">
      <c r="H139" s="164" t="str">
        <f t="shared" si="2"/>
        <v/>
      </c>
      <c r="J139" s="152">
        <f t="shared" ca="1" si="3"/>
        <v>0</v>
      </c>
    </row>
    <row r="140" spans="8:10" ht="15.75" x14ac:dyDescent="0.25">
      <c r="H140" s="164" t="str">
        <f t="shared" si="2"/>
        <v/>
      </c>
      <c r="J140" s="152">
        <f t="shared" ca="1" si="3"/>
        <v>0</v>
      </c>
    </row>
    <row r="141" spans="8:10" ht="15.75" x14ac:dyDescent="0.25">
      <c r="H141" s="164" t="str">
        <f t="shared" si="2"/>
        <v/>
      </c>
      <c r="J141" s="152">
        <f t="shared" ca="1" si="3"/>
        <v>0</v>
      </c>
    </row>
    <row r="142" spans="8:10" ht="15.75" x14ac:dyDescent="0.25">
      <c r="H142" s="164" t="str">
        <f t="shared" si="2"/>
        <v/>
      </c>
      <c r="J142" s="152">
        <f t="shared" ca="1" si="3"/>
        <v>0</v>
      </c>
    </row>
    <row r="143" spans="8:10" ht="15.75" x14ac:dyDescent="0.25">
      <c r="H143" s="164" t="str">
        <f t="shared" si="2"/>
        <v/>
      </c>
      <c r="J143" s="152">
        <f t="shared" ca="1" si="3"/>
        <v>0</v>
      </c>
    </row>
    <row r="144" spans="8:10" ht="15.75" x14ac:dyDescent="0.25">
      <c r="H144" s="164" t="str">
        <f t="shared" si="2"/>
        <v/>
      </c>
      <c r="J144" s="152">
        <f t="shared" ca="1" si="3"/>
        <v>0</v>
      </c>
    </row>
    <row r="145" spans="8:10" ht="15.75" x14ac:dyDescent="0.25">
      <c r="H145" s="164" t="str">
        <f t="shared" si="2"/>
        <v/>
      </c>
      <c r="J145" s="152">
        <f t="shared" ca="1" si="3"/>
        <v>0</v>
      </c>
    </row>
    <row r="146" spans="8:10" ht="15.75" x14ac:dyDescent="0.25">
      <c r="H146" s="164" t="str">
        <f t="shared" si="2"/>
        <v/>
      </c>
      <c r="J146" s="152">
        <f t="shared" ca="1" si="3"/>
        <v>0</v>
      </c>
    </row>
    <row r="147" spans="8:10" ht="15.75" x14ac:dyDescent="0.25">
      <c r="H147" s="164" t="str">
        <f t="shared" si="2"/>
        <v/>
      </c>
      <c r="J147" s="152">
        <f t="shared" ca="1" si="3"/>
        <v>0</v>
      </c>
    </row>
    <row r="148" spans="8:10" ht="15.75" x14ac:dyDescent="0.25">
      <c r="H148" s="164" t="str">
        <f t="shared" si="2"/>
        <v/>
      </c>
      <c r="J148" s="152">
        <f t="shared" ca="1" si="3"/>
        <v>0</v>
      </c>
    </row>
    <row r="149" spans="8:10" ht="15.75" x14ac:dyDescent="0.25">
      <c r="H149" s="164" t="str">
        <f t="shared" si="2"/>
        <v/>
      </c>
      <c r="J149" s="152">
        <f t="shared" ca="1" si="3"/>
        <v>0</v>
      </c>
    </row>
    <row r="150" spans="8:10" ht="15.75" x14ac:dyDescent="0.25">
      <c r="H150" s="164" t="str">
        <f t="shared" si="2"/>
        <v/>
      </c>
      <c r="J150" s="152">
        <f t="shared" ca="1" si="3"/>
        <v>0</v>
      </c>
    </row>
    <row r="151" spans="8:10" ht="15.75" x14ac:dyDescent="0.25">
      <c r="H151" s="164" t="str">
        <f t="shared" si="2"/>
        <v/>
      </c>
      <c r="J151" s="152">
        <f t="shared" ca="1" si="3"/>
        <v>0</v>
      </c>
    </row>
    <row r="152" spans="8:10" ht="15.75" x14ac:dyDescent="0.25">
      <c r="H152" s="164" t="str">
        <f t="shared" si="2"/>
        <v/>
      </c>
      <c r="J152" s="152">
        <f t="shared" ca="1" si="3"/>
        <v>0</v>
      </c>
    </row>
    <row r="153" spans="8:10" ht="15.75" x14ac:dyDescent="0.25">
      <c r="H153" s="164" t="str">
        <f t="shared" si="2"/>
        <v/>
      </c>
      <c r="J153" s="152">
        <f t="shared" ca="1" si="3"/>
        <v>0</v>
      </c>
    </row>
    <row r="154" spans="8:10" ht="15.75" x14ac:dyDescent="0.25">
      <c r="H154" s="164" t="str">
        <f t="shared" si="2"/>
        <v/>
      </c>
      <c r="J154" s="152">
        <f t="shared" ca="1" si="3"/>
        <v>0</v>
      </c>
    </row>
    <row r="155" spans="8:10" ht="15.75" x14ac:dyDescent="0.25">
      <c r="H155" s="164" t="str">
        <f t="shared" si="2"/>
        <v/>
      </c>
      <c r="J155" s="152">
        <f t="shared" ca="1" si="3"/>
        <v>0</v>
      </c>
    </row>
    <row r="156" spans="8:10" ht="15.75" x14ac:dyDescent="0.25">
      <c r="H156" s="164" t="str">
        <f t="shared" si="2"/>
        <v/>
      </c>
      <c r="J156" s="152">
        <f t="shared" ca="1" si="3"/>
        <v>0</v>
      </c>
    </row>
    <row r="157" spans="8:10" ht="15.75" x14ac:dyDescent="0.25">
      <c r="H157" s="164" t="str">
        <f t="shared" si="2"/>
        <v/>
      </c>
      <c r="J157" s="152">
        <f t="shared" ca="1" si="3"/>
        <v>0</v>
      </c>
    </row>
    <row r="158" spans="8:10" ht="15.75" x14ac:dyDescent="0.25">
      <c r="H158" s="164" t="str">
        <f t="shared" si="2"/>
        <v/>
      </c>
      <c r="J158" s="152">
        <f t="shared" ca="1" si="3"/>
        <v>0</v>
      </c>
    </row>
    <row r="159" spans="8:10" ht="15.75" x14ac:dyDescent="0.25">
      <c r="H159" s="164" t="str">
        <f t="shared" si="2"/>
        <v/>
      </c>
      <c r="J159" s="152">
        <f t="shared" ca="1" si="3"/>
        <v>0</v>
      </c>
    </row>
    <row r="160" spans="8:10" ht="15.75" x14ac:dyDescent="0.25">
      <c r="H160" s="164" t="str">
        <f t="shared" si="2"/>
        <v/>
      </c>
      <c r="J160" s="152">
        <f t="shared" ca="1" si="3"/>
        <v>0</v>
      </c>
    </row>
    <row r="161" spans="8:10" ht="15.75" x14ac:dyDescent="0.25">
      <c r="H161" s="164" t="str">
        <f t="shared" si="2"/>
        <v/>
      </c>
      <c r="J161" s="152">
        <f t="shared" ca="1" si="3"/>
        <v>0</v>
      </c>
    </row>
    <row r="162" spans="8:10" ht="15.75" x14ac:dyDescent="0.25">
      <c r="H162" s="164" t="str">
        <f t="shared" si="2"/>
        <v/>
      </c>
      <c r="J162" s="152">
        <f t="shared" ca="1" si="3"/>
        <v>0</v>
      </c>
    </row>
    <row r="163" spans="8:10" ht="15.75" x14ac:dyDescent="0.25">
      <c r="H163" s="164" t="str">
        <f t="shared" si="2"/>
        <v/>
      </c>
      <c r="J163" s="152">
        <f t="shared" ca="1" si="3"/>
        <v>0</v>
      </c>
    </row>
    <row r="164" spans="8:10" ht="15.75" x14ac:dyDescent="0.25">
      <c r="H164" s="164" t="str">
        <f t="shared" si="2"/>
        <v/>
      </c>
      <c r="J164" s="152">
        <f t="shared" ca="1" si="3"/>
        <v>0</v>
      </c>
    </row>
    <row r="165" spans="8:10" ht="15.75" x14ac:dyDescent="0.25">
      <c r="H165" s="164" t="str">
        <f t="shared" si="2"/>
        <v/>
      </c>
      <c r="J165" s="152">
        <f t="shared" ca="1" si="3"/>
        <v>0</v>
      </c>
    </row>
    <row r="166" spans="8:10" ht="15.75" x14ac:dyDescent="0.25">
      <c r="H166" s="164" t="str">
        <f t="shared" si="2"/>
        <v/>
      </c>
      <c r="J166" s="152">
        <f t="shared" ca="1" si="3"/>
        <v>0</v>
      </c>
    </row>
    <row r="167" spans="8:10" ht="15.75" x14ac:dyDescent="0.25">
      <c r="H167" s="164" t="str">
        <f t="shared" si="2"/>
        <v/>
      </c>
      <c r="J167" s="152">
        <f t="shared" ca="1" si="3"/>
        <v>0</v>
      </c>
    </row>
    <row r="168" spans="8:10" ht="15.75" x14ac:dyDescent="0.25">
      <c r="H168" s="164" t="str">
        <f t="shared" si="2"/>
        <v/>
      </c>
      <c r="J168" s="152">
        <f t="shared" ca="1" si="3"/>
        <v>0</v>
      </c>
    </row>
    <row r="169" spans="8:10" ht="15.75" x14ac:dyDescent="0.25">
      <c r="H169" s="164" t="str">
        <f t="shared" si="2"/>
        <v/>
      </c>
      <c r="J169" s="152">
        <f t="shared" ca="1" si="3"/>
        <v>0</v>
      </c>
    </row>
    <row r="170" spans="8:10" ht="15.75" x14ac:dyDescent="0.25">
      <c r="H170" s="164" t="str">
        <f t="shared" si="2"/>
        <v/>
      </c>
      <c r="J170" s="152">
        <f t="shared" ca="1" si="3"/>
        <v>0</v>
      </c>
    </row>
    <row r="171" spans="8:10" ht="15.75" x14ac:dyDescent="0.25">
      <c r="H171" s="164" t="str">
        <f t="shared" si="2"/>
        <v/>
      </c>
      <c r="J171" s="152">
        <f t="shared" ca="1" si="3"/>
        <v>0</v>
      </c>
    </row>
    <row r="172" spans="8:10" ht="15.75" x14ac:dyDescent="0.25">
      <c r="H172" s="164" t="str">
        <f t="shared" si="2"/>
        <v/>
      </c>
      <c r="J172" s="152">
        <f t="shared" ca="1" si="3"/>
        <v>0</v>
      </c>
    </row>
    <row r="173" spans="8:10" ht="15.75" x14ac:dyDescent="0.25">
      <c r="H173" s="164" t="str">
        <f t="shared" si="2"/>
        <v/>
      </c>
      <c r="J173" s="152">
        <f t="shared" ca="1" si="3"/>
        <v>0</v>
      </c>
    </row>
    <row r="174" spans="8:10" ht="15.75" x14ac:dyDescent="0.25">
      <c r="H174" s="164" t="str">
        <f t="shared" si="2"/>
        <v/>
      </c>
      <c r="J174" s="152">
        <f t="shared" ca="1" si="3"/>
        <v>0</v>
      </c>
    </row>
    <row r="175" spans="8:10" ht="15.75" x14ac:dyDescent="0.25">
      <c r="H175" s="164" t="str">
        <f t="shared" si="2"/>
        <v/>
      </c>
      <c r="J175" s="152">
        <f t="shared" ca="1" si="3"/>
        <v>0</v>
      </c>
    </row>
    <row r="176" spans="8:10" ht="15.75" x14ac:dyDescent="0.25">
      <c r="H176" s="164" t="str">
        <f t="shared" si="2"/>
        <v/>
      </c>
      <c r="J176" s="152">
        <f t="shared" ca="1" si="3"/>
        <v>0</v>
      </c>
    </row>
    <row r="177" spans="8:10" ht="15.75" x14ac:dyDescent="0.25">
      <c r="H177" s="164" t="str">
        <f t="shared" si="2"/>
        <v/>
      </c>
      <c r="I177" s="174"/>
      <c r="J177" s="152">
        <f t="shared" ca="1" si="3"/>
        <v>0</v>
      </c>
    </row>
    <row r="178" spans="8:10" ht="15.75" x14ac:dyDescent="0.25">
      <c r="H178" s="164" t="str">
        <f t="shared" si="2"/>
        <v/>
      </c>
      <c r="J178" s="152">
        <f t="shared" ca="1" si="3"/>
        <v>0</v>
      </c>
    </row>
    <row r="179" spans="8:10" ht="15.75" x14ac:dyDescent="0.25">
      <c r="H179" s="164" t="str">
        <f t="shared" si="2"/>
        <v/>
      </c>
      <c r="J179" s="152">
        <f t="shared" ca="1" si="3"/>
        <v>0</v>
      </c>
    </row>
    <row r="180" spans="8:10" ht="15.75" x14ac:dyDescent="0.25">
      <c r="H180" s="164" t="str">
        <f t="shared" si="2"/>
        <v/>
      </c>
      <c r="J180" s="152">
        <f t="shared" ca="1" si="3"/>
        <v>0</v>
      </c>
    </row>
    <row r="181" spans="8:10" ht="15.75" x14ac:dyDescent="0.25">
      <c r="H181" s="164" t="str">
        <f t="shared" si="2"/>
        <v/>
      </c>
      <c r="J181" s="152">
        <f t="shared" ca="1" si="3"/>
        <v>0</v>
      </c>
    </row>
    <row r="182" spans="8:10" ht="15.75" x14ac:dyDescent="0.25">
      <c r="H182" s="164" t="str">
        <f t="shared" si="2"/>
        <v/>
      </c>
      <c r="I182" s="174"/>
      <c r="J182" s="152">
        <f t="shared" ca="1" si="3"/>
        <v>0</v>
      </c>
    </row>
    <row r="183" spans="8:10" ht="15.75" x14ac:dyDescent="0.25">
      <c r="H183" s="164" t="str">
        <f t="shared" si="2"/>
        <v/>
      </c>
      <c r="J183" s="152">
        <f t="shared" ca="1" si="3"/>
        <v>0</v>
      </c>
    </row>
    <row r="184" spans="8:10" ht="15.75" x14ac:dyDescent="0.25">
      <c r="H184" s="164" t="str">
        <f t="shared" si="2"/>
        <v/>
      </c>
      <c r="J184" s="152">
        <f t="shared" ca="1" si="3"/>
        <v>0</v>
      </c>
    </row>
    <row r="185" spans="8:10" ht="15.75" x14ac:dyDescent="0.25">
      <c r="H185" s="164" t="str">
        <f t="shared" si="2"/>
        <v/>
      </c>
      <c r="J185" s="152">
        <f t="shared" ca="1" si="3"/>
        <v>0</v>
      </c>
    </row>
    <row r="186" spans="8:10" ht="15.75" x14ac:dyDescent="0.25">
      <c r="H186" s="164" t="str">
        <f t="shared" si="2"/>
        <v/>
      </c>
      <c r="J186" s="152">
        <f t="shared" ca="1" si="3"/>
        <v>0</v>
      </c>
    </row>
    <row r="187" spans="8:10" ht="15.75" x14ac:dyDescent="0.25">
      <c r="H187" s="164" t="str">
        <f t="shared" si="2"/>
        <v/>
      </c>
      <c r="I187" s="174"/>
      <c r="J187" s="152">
        <f t="shared" ca="1" si="3"/>
        <v>0</v>
      </c>
    </row>
    <row r="188" spans="8:10" ht="15.75" x14ac:dyDescent="0.25">
      <c r="H188" s="164" t="str">
        <f t="shared" si="2"/>
        <v/>
      </c>
      <c r="J188" s="152">
        <f t="shared" ca="1" si="3"/>
        <v>0</v>
      </c>
    </row>
    <row r="189" spans="8:10" ht="15.75" x14ac:dyDescent="0.25">
      <c r="H189" s="164" t="str">
        <f t="shared" si="2"/>
        <v/>
      </c>
      <c r="J189" s="152">
        <f t="shared" ca="1" si="3"/>
        <v>0</v>
      </c>
    </row>
    <row r="190" spans="8:10" ht="15.75" x14ac:dyDescent="0.25">
      <c r="H190" s="164" t="str">
        <f t="shared" si="2"/>
        <v/>
      </c>
      <c r="J190" s="152">
        <f t="shared" ca="1" si="3"/>
        <v>0</v>
      </c>
    </row>
    <row r="191" spans="8:10" ht="15.75" x14ac:dyDescent="0.25">
      <c r="H191" s="164" t="str">
        <f t="shared" si="2"/>
        <v/>
      </c>
      <c r="J191" s="152">
        <f t="shared" ca="1" si="3"/>
        <v>0</v>
      </c>
    </row>
    <row r="192" spans="8:10" ht="15.75" x14ac:dyDescent="0.25">
      <c r="H192" s="164" t="str">
        <f t="shared" si="2"/>
        <v/>
      </c>
      <c r="I192" s="174"/>
      <c r="J192" s="152">
        <f t="shared" ca="1" si="3"/>
        <v>0</v>
      </c>
    </row>
    <row r="193" spans="8:10" ht="15.75" x14ac:dyDescent="0.25">
      <c r="H193" s="164" t="str">
        <f t="shared" si="2"/>
        <v/>
      </c>
      <c r="J193" s="152">
        <f t="shared" ca="1" si="3"/>
        <v>0</v>
      </c>
    </row>
    <row r="194" spans="8:10" ht="15.75" x14ac:dyDescent="0.25">
      <c r="H194" s="164" t="str">
        <f t="shared" si="2"/>
        <v/>
      </c>
      <c r="J194" s="152">
        <f t="shared" ca="1" si="3"/>
        <v>0</v>
      </c>
    </row>
    <row r="195" spans="8:10" ht="15.75" x14ac:dyDescent="0.25">
      <c r="H195" s="164" t="str">
        <f t="shared" si="2"/>
        <v/>
      </c>
      <c r="J195" s="152">
        <f t="shared" ca="1" si="3"/>
        <v>0</v>
      </c>
    </row>
    <row r="196" spans="8:10" ht="15.75" x14ac:dyDescent="0.25">
      <c r="H196" s="164" t="str">
        <f t="shared" si="2"/>
        <v/>
      </c>
      <c r="J196" s="152">
        <f t="shared" ca="1" si="3"/>
        <v>0</v>
      </c>
    </row>
    <row r="197" spans="8:10" ht="15.75" x14ac:dyDescent="0.25">
      <c r="H197" s="164" t="str">
        <f t="shared" si="2"/>
        <v/>
      </c>
      <c r="J197" s="152">
        <f t="shared" ca="1" si="3"/>
        <v>0</v>
      </c>
    </row>
    <row r="198" spans="8:10" ht="15.75" x14ac:dyDescent="0.25">
      <c r="H198" s="164" t="str">
        <f t="shared" si="2"/>
        <v/>
      </c>
      <c r="J198" s="152">
        <f t="shared" ca="1" si="3"/>
        <v>0</v>
      </c>
    </row>
    <row r="199" spans="8:10" ht="15.75" x14ac:dyDescent="0.25">
      <c r="H199" s="164" t="str">
        <f t="shared" ref="H199:H262" si="4">IF(I199&lt;&gt;0,VLOOKUP(I199,nhanvien,3,0),"")</f>
        <v/>
      </c>
      <c r="J199" s="152">
        <f t="shared" ref="J199:J262" ca="1" si="5">IF(H199="",0,IF(F199="",OFFSET(J199,-1,0),F199/G199))</f>
        <v>0</v>
      </c>
    </row>
    <row r="200" spans="8:10" ht="15.75" x14ac:dyDescent="0.25">
      <c r="H200" s="164" t="str">
        <f t="shared" si="4"/>
        <v/>
      </c>
      <c r="J200" s="152">
        <f t="shared" ca="1" si="5"/>
        <v>0</v>
      </c>
    </row>
    <row r="201" spans="8:10" ht="15.75" x14ac:dyDescent="0.25">
      <c r="H201" s="164" t="str">
        <f t="shared" si="4"/>
        <v/>
      </c>
      <c r="J201" s="152">
        <f t="shared" ca="1" si="5"/>
        <v>0</v>
      </c>
    </row>
    <row r="202" spans="8:10" ht="15.75" x14ac:dyDescent="0.25">
      <c r="H202" s="164" t="str">
        <f t="shared" si="4"/>
        <v/>
      </c>
      <c r="J202" s="152">
        <f t="shared" ca="1" si="5"/>
        <v>0</v>
      </c>
    </row>
    <row r="203" spans="8:10" ht="15.75" x14ac:dyDescent="0.25">
      <c r="H203" s="164" t="str">
        <f t="shared" si="4"/>
        <v/>
      </c>
      <c r="J203" s="152">
        <f t="shared" ca="1" si="5"/>
        <v>0</v>
      </c>
    </row>
    <row r="204" spans="8:10" ht="15.75" x14ac:dyDescent="0.25">
      <c r="H204" s="164" t="str">
        <f t="shared" si="4"/>
        <v/>
      </c>
      <c r="J204" s="152">
        <f t="shared" ca="1" si="5"/>
        <v>0</v>
      </c>
    </row>
    <row r="205" spans="8:10" ht="15.75" x14ac:dyDescent="0.25">
      <c r="H205" s="164" t="str">
        <f t="shared" si="4"/>
        <v/>
      </c>
      <c r="J205" s="152">
        <f t="shared" ca="1" si="5"/>
        <v>0</v>
      </c>
    </row>
    <row r="206" spans="8:10" ht="15.75" x14ac:dyDescent="0.25">
      <c r="H206" s="164" t="str">
        <f t="shared" si="4"/>
        <v/>
      </c>
      <c r="J206" s="152">
        <f t="shared" ca="1" si="5"/>
        <v>0</v>
      </c>
    </row>
    <row r="207" spans="8:10" ht="15.75" x14ac:dyDescent="0.25">
      <c r="H207" s="164" t="str">
        <f t="shared" si="4"/>
        <v/>
      </c>
      <c r="J207" s="152">
        <f t="shared" ca="1" si="5"/>
        <v>0</v>
      </c>
    </row>
    <row r="208" spans="8:10" ht="15.75" x14ac:dyDescent="0.25">
      <c r="H208" s="164" t="str">
        <f t="shared" si="4"/>
        <v/>
      </c>
      <c r="J208" s="152">
        <f t="shared" ca="1" si="5"/>
        <v>0</v>
      </c>
    </row>
    <row r="209" spans="8:10" ht="15.75" x14ac:dyDescent="0.25">
      <c r="H209" s="164" t="str">
        <f t="shared" si="4"/>
        <v/>
      </c>
      <c r="J209" s="152">
        <f t="shared" ca="1" si="5"/>
        <v>0</v>
      </c>
    </row>
    <row r="210" spans="8:10" ht="15.75" x14ac:dyDescent="0.25">
      <c r="H210" s="164" t="str">
        <f t="shared" si="4"/>
        <v/>
      </c>
      <c r="J210" s="152">
        <f t="shared" ca="1" si="5"/>
        <v>0</v>
      </c>
    </row>
    <row r="211" spans="8:10" ht="15.75" x14ac:dyDescent="0.25">
      <c r="H211" s="164" t="str">
        <f t="shared" si="4"/>
        <v/>
      </c>
      <c r="J211" s="152">
        <f t="shared" ca="1" si="5"/>
        <v>0</v>
      </c>
    </row>
    <row r="212" spans="8:10" ht="15.75" x14ac:dyDescent="0.25">
      <c r="H212" s="164" t="str">
        <f t="shared" si="4"/>
        <v/>
      </c>
      <c r="J212" s="152">
        <f t="shared" ca="1" si="5"/>
        <v>0</v>
      </c>
    </row>
    <row r="213" spans="8:10" ht="15.75" x14ac:dyDescent="0.25">
      <c r="H213" s="164" t="str">
        <f t="shared" si="4"/>
        <v/>
      </c>
      <c r="J213" s="152">
        <f t="shared" ca="1" si="5"/>
        <v>0</v>
      </c>
    </row>
    <row r="214" spans="8:10" ht="15.75" x14ac:dyDescent="0.25">
      <c r="H214" s="164" t="str">
        <f t="shared" si="4"/>
        <v/>
      </c>
      <c r="J214" s="152">
        <f t="shared" ca="1" si="5"/>
        <v>0</v>
      </c>
    </row>
    <row r="215" spans="8:10" ht="15.75" x14ac:dyDescent="0.25">
      <c r="H215" s="164" t="str">
        <f t="shared" si="4"/>
        <v/>
      </c>
      <c r="J215" s="152">
        <f t="shared" ca="1" si="5"/>
        <v>0</v>
      </c>
    </row>
    <row r="216" spans="8:10" ht="15.75" x14ac:dyDescent="0.25">
      <c r="H216" s="164" t="str">
        <f t="shared" si="4"/>
        <v/>
      </c>
      <c r="J216" s="152">
        <f t="shared" ca="1" si="5"/>
        <v>0</v>
      </c>
    </row>
    <row r="217" spans="8:10" ht="15.75" x14ac:dyDescent="0.25">
      <c r="H217" s="164" t="str">
        <f t="shared" si="4"/>
        <v/>
      </c>
      <c r="J217" s="152">
        <f t="shared" ca="1" si="5"/>
        <v>0</v>
      </c>
    </row>
    <row r="218" spans="8:10" ht="15.75" x14ac:dyDescent="0.25">
      <c r="H218" s="164" t="str">
        <f t="shared" si="4"/>
        <v/>
      </c>
      <c r="J218" s="152">
        <f t="shared" ca="1" si="5"/>
        <v>0</v>
      </c>
    </row>
    <row r="219" spans="8:10" ht="15.75" x14ac:dyDescent="0.25">
      <c r="H219" s="164" t="str">
        <f t="shared" si="4"/>
        <v/>
      </c>
      <c r="J219" s="152">
        <f t="shared" ca="1" si="5"/>
        <v>0</v>
      </c>
    </row>
    <row r="220" spans="8:10" ht="15.75" x14ac:dyDescent="0.25">
      <c r="H220" s="164" t="str">
        <f t="shared" si="4"/>
        <v/>
      </c>
      <c r="J220" s="152">
        <f t="shared" ca="1" si="5"/>
        <v>0</v>
      </c>
    </row>
    <row r="221" spans="8:10" ht="15.75" x14ac:dyDescent="0.25">
      <c r="H221" s="164" t="str">
        <f t="shared" si="4"/>
        <v/>
      </c>
      <c r="J221" s="152">
        <f t="shared" ca="1" si="5"/>
        <v>0</v>
      </c>
    </row>
    <row r="222" spans="8:10" ht="15.75" x14ac:dyDescent="0.25">
      <c r="H222" s="164" t="str">
        <f t="shared" si="4"/>
        <v/>
      </c>
      <c r="J222" s="152">
        <f t="shared" ca="1" si="5"/>
        <v>0</v>
      </c>
    </row>
    <row r="223" spans="8:10" ht="15.75" x14ac:dyDescent="0.25">
      <c r="H223" s="164" t="str">
        <f t="shared" si="4"/>
        <v/>
      </c>
      <c r="J223" s="152">
        <f t="shared" ca="1" si="5"/>
        <v>0</v>
      </c>
    </row>
    <row r="224" spans="8:10" ht="15.75" x14ac:dyDescent="0.25">
      <c r="H224" s="164" t="str">
        <f t="shared" si="4"/>
        <v/>
      </c>
      <c r="J224" s="152">
        <f t="shared" ca="1" si="5"/>
        <v>0</v>
      </c>
    </row>
    <row r="225" spans="8:10" ht="15.75" x14ac:dyDescent="0.25">
      <c r="H225" s="164" t="str">
        <f t="shared" si="4"/>
        <v/>
      </c>
      <c r="J225" s="152">
        <f t="shared" ca="1" si="5"/>
        <v>0</v>
      </c>
    </row>
    <row r="226" spans="8:10" ht="15.75" x14ac:dyDescent="0.25">
      <c r="H226" s="164" t="str">
        <f t="shared" si="4"/>
        <v/>
      </c>
      <c r="J226" s="152">
        <f t="shared" ca="1" si="5"/>
        <v>0</v>
      </c>
    </row>
    <row r="227" spans="8:10" ht="15.75" x14ac:dyDescent="0.25">
      <c r="H227" s="164" t="str">
        <f t="shared" si="4"/>
        <v/>
      </c>
      <c r="J227" s="152">
        <f t="shared" ca="1" si="5"/>
        <v>0</v>
      </c>
    </row>
    <row r="228" spans="8:10" ht="15.75" x14ac:dyDescent="0.25">
      <c r="H228" s="164" t="str">
        <f t="shared" si="4"/>
        <v/>
      </c>
      <c r="J228" s="152">
        <f t="shared" ca="1" si="5"/>
        <v>0</v>
      </c>
    </row>
    <row r="229" spans="8:10" ht="15.75" x14ac:dyDescent="0.25">
      <c r="H229" s="164" t="str">
        <f t="shared" si="4"/>
        <v/>
      </c>
      <c r="J229" s="152">
        <f t="shared" ca="1" si="5"/>
        <v>0</v>
      </c>
    </row>
    <row r="230" spans="8:10" ht="15.75" x14ac:dyDescent="0.25">
      <c r="H230" s="164" t="str">
        <f t="shared" si="4"/>
        <v/>
      </c>
      <c r="J230" s="152">
        <f t="shared" ca="1" si="5"/>
        <v>0</v>
      </c>
    </row>
    <row r="231" spans="8:10" ht="15.75" x14ac:dyDescent="0.25">
      <c r="H231" s="164" t="str">
        <f t="shared" si="4"/>
        <v/>
      </c>
      <c r="J231" s="152">
        <f t="shared" ca="1" si="5"/>
        <v>0</v>
      </c>
    </row>
    <row r="232" spans="8:10" ht="15.75" x14ac:dyDescent="0.25">
      <c r="H232" s="164" t="str">
        <f t="shared" si="4"/>
        <v/>
      </c>
      <c r="J232" s="152">
        <f t="shared" ca="1" si="5"/>
        <v>0</v>
      </c>
    </row>
    <row r="233" spans="8:10" ht="15.75" x14ac:dyDescent="0.25">
      <c r="H233" s="164" t="str">
        <f t="shared" si="4"/>
        <v/>
      </c>
      <c r="J233" s="152">
        <f t="shared" ca="1" si="5"/>
        <v>0</v>
      </c>
    </row>
    <row r="234" spans="8:10" ht="15.75" x14ac:dyDescent="0.25">
      <c r="H234" s="164" t="str">
        <f t="shared" si="4"/>
        <v/>
      </c>
      <c r="J234" s="152">
        <f t="shared" ca="1" si="5"/>
        <v>0</v>
      </c>
    </row>
    <row r="235" spans="8:10" ht="15.75" x14ac:dyDescent="0.25">
      <c r="H235" s="164" t="str">
        <f t="shared" si="4"/>
        <v/>
      </c>
      <c r="J235" s="152">
        <f t="shared" ca="1" si="5"/>
        <v>0</v>
      </c>
    </row>
    <row r="236" spans="8:10" ht="15.75" x14ac:dyDescent="0.25">
      <c r="H236" s="164" t="str">
        <f t="shared" si="4"/>
        <v/>
      </c>
      <c r="J236" s="152">
        <f t="shared" ca="1" si="5"/>
        <v>0</v>
      </c>
    </row>
    <row r="237" spans="8:10" ht="15.75" x14ac:dyDescent="0.25">
      <c r="H237" s="164" t="str">
        <f t="shared" si="4"/>
        <v/>
      </c>
      <c r="J237" s="152">
        <f t="shared" ca="1" si="5"/>
        <v>0</v>
      </c>
    </row>
    <row r="238" spans="8:10" ht="15.75" x14ac:dyDescent="0.25">
      <c r="H238" s="164" t="str">
        <f t="shared" si="4"/>
        <v/>
      </c>
      <c r="J238" s="152">
        <f t="shared" ca="1" si="5"/>
        <v>0</v>
      </c>
    </row>
    <row r="239" spans="8:10" ht="15.75" x14ac:dyDescent="0.25">
      <c r="H239" s="164" t="str">
        <f t="shared" si="4"/>
        <v/>
      </c>
      <c r="J239" s="152">
        <f t="shared" ca="1" si="5"/>
        <v>0</v>
      </c>
    </row>
    <row r="240" spans="8:10" ht="15.75" x14ac:dyDescent="0.25">
      <c r="H240" s="164" t="str">
        <f t="shared" si="4"/>
        <v/>
      </c>
      <c r="J240" s="152">
        <f t="shared" ca="1" si="5"/>
        <v>0</v>
      </c>
    </row>
    <row r="241" spans="8:10" ht="15.75" x14ac:dyDescent="0.25">
      <c r="H241" s="164" t="str">
        <f t="shared" si="4"/>
        <v/>
      </c>
      <c r="J241" s="152">
        <f t="shared" ca="1" si="5"/>
        <v>0</v>
      </c>
    </row>
    <row r="242" spans="8:10" ht="15.75" x14ac:dyDescent="0.25">
      <c r="H242" s="164" t="str">
        <f t="shared" si="4"/>
        <v/>
      </c>
      <c r="J242" s="152">
        <f t="shared" ca="1" si="5"/>
        <v>0</v>
      </c>
    </row>
    <row r="243" spans="8:10" ht="15.75" x14ac:dyDescent="0.25">
      <c r="H243" s="164" t="str">
        <f t="shared" si="4"/>
        <v/>
      </c>
      <c r="J243" s="152">
        <f t="shared" ca="1" si="5"/>
        <v>0</v>
      </c>
    </row>
    <row r="244" spans="8:10" ht="15.75" x14ac:dyDescent="0.25">
      <c r="H244" s="164" t="str">
        <f t="shared" si="4"/>
        <v/>
      </c>
      <c r="J244" s="152">
        <f t="shared" ca="1" si="5"/>
        <v>0</v>
      </c>
    </row>
    <row r="245" spans="8:10" ht="15.75" x14ac:dyDescent="0.25">
      <c r="H245" s="164" t="str">
        <f t="shared" si="4"/>
        <v/>
      </c>
      <c r="J245" s="152">
        <f t="shared" ca="1" si="5"/>
        <v>0</v>
      </c>
    </row>
    <row r="246" spans="8:10" ht="15.75" x14ac:dyDescent="0.25">
      <c r="H246" s="164" t="str">
        <f t="shared" si="4"/>
        <v/>
      </c>
      <c r="J246" s="152">
        <f t="shared" ca="1" si="5"/>
        <v>0</v>
      </c>
    </row>
    <row r="247" spans="8:10" ht="15.75" x14ac:dyDescent="0.25">
      <c r="H247" s="164" t="str">
        <f t="shared" si="4"/>
        <v/>
      </c>
      <c r="J247" s="152">
        <f t="shared" ca="1" si="5"/>
        <v>0</v>
      </c>
    </row>
    <row r="248" spans="8:10" ht="15.75" x14ac:dyDescent="0.25">
      <c r="H248" s="164" t="str">
        <f t="shared" si="4"/>
        <v/>
      </c>
      <c r="J248" s="152">
        <f t="shared" ca="1" si="5"/>
        <v>0</v>
      </c>
    </row>
    <row r="249" spans="8:10" ht="15.75" x14ac:dyDescent="0.25">
      <c r="H249" s="164" t="str">
        <f t="shared" si="4"/>
        <v/>
      </c>
      <c r="J249" s="152">
        <f t="shared" ca="1" si="5"/>
        <v>0</v>
      </c>
    </row>
    <row r="250" spans="8:10" ht="15.75" x14ac:dyDescent="0.25">
      <c r="H250" s="164" t="str">
        <f t="shared" si="4"/>
        <v/>
      </c>
      <c r="J250" s="152">
        <f t="shared" ca="1" si="5"/>
        <v>0</v>
      </c>
    </row>
    <row r="251" spans="8:10" ht="15.75" x14ac:dyDescent="0.25">
      <c r="H251" s="164" t="str">
        <f t="shared" si="4"/>
        <v/>
      </c>
      <c r="J251" s="152">
        <f t="shared" ca="1" si="5"/>
        <v>0</v>
      </c>
    </row>
    <row r="252" spans="8:10" ht="15.75" x14ac:dyDescent="0.25">
      <c r="H252" s="164" t="str">
        <f t="shared" si="4"/>
        <v/>
      </c>
      <c r="J252" s="152">
        <f t="shared" ca="1" si="5"/>
        <v>0</v>
      </c>
    </row>
    <row r="253" spans="8:10" ht="15.75" x14ac:dyDescent="0.25">
      <c r="H253" s="164" t="str">
        <f t="shared" si="4"/>
        <v/>
      </c>
      <c r="J253" s="152">
        <f t="shared" ca="1" si="5"/>
        <v>0</v>
      </c>
    </row>
    <row r="254" spans="8:10" ht="15.75" x14ac:dyDescent="0.25">
      <c r="H254" s="164" t="str">
        <f t="shared" si="4"/>
        <v/>
      </c>
      <c r="J254" s="152">
        <f t="shared" ca="1" si="5"/>
        <v>0</v>
      </c>
    </row>
    <row r="255" spans="8:10" ht="15.75" x14ac:dyDescent="0.25">
      <c r="H255" s="164" t="str">
        <f t="shared" si="4"/>
        <v/>
      </c>
      <c r="J255" s="152">
        <f t="shared" ca="1" si="5"/>
        <v>0</v>
      </c>
    </row>
    <row r="256" spans="8:10" ht="15.75" x14ac:dyDescent="0.25">
      <c r="H256" s="164" t="str">
        <f t="shared" si="4"/>
        <v/>
      </c>
      <c r="J256" s="152">
        <f t="shared" ca="1" si="5"/>
        <v>0</v>
      </c>
    </row>
    <row r="257" spans="8:10" ht="15.75" x14ac:dyDescent="0.25">
      <c r="H257" s="164" t="str">
        <f t="shared" si="4"/>
        <v/>
      </c>
      <c r="J257" s="152">
        <f t="shared" ca="1" si="5"/>
        <v>0</v>
      </c>
    </row>
    <row r="258" spans="8:10" ht="15.75" x14ac:dyDescent="0.25">
      <c r="H258" s="164" t="str">
        <f t="shared" si="4"/>
        <v/>
      </c>
      <c r="J258" s="152">
        <f t="shared" ca="1" si="5"/>
        <v>0</v>
      </c>
    </row>
    <row r="259" spans="8:10" ht="15.75" x14ac:dyDescent="0.25">
      <c r="H259" s="164" t="str">
        <f t="shared" si="4"/>
        <v/>
      </c>
      <c r="J259" s="152">
        <f t="shared" ca="1" si="5"/>
        <v>0</v>
      </c>
    </row>
    <row r="260" spans="8:10" ht="15.75" x14ac:dyDescent="0.25">
      <c r="H260" s="164" t="str">
        <f t="shared" si="4"/>
        <v/>
      </c>
      <c r="J260" s="152">
        <f t="shared" ca="1" si="5"/>
        <v>0</v>
      </c>
    </row>
    <row r="261" spans="8:10" ht="15.75" x14ac:dyDescent="0.25">
      <c r="H261" s="164" t="str">
        <f t="shared" si="4"/>
        <v/>
      </c>
      <c r="I261" s="162"/>
      <c r="J261" s="152">
        <f t="shared" ca="1" si="5"/>
        <v>0</v>
      </c>
    </row>
    <row r="262" spans="8:10" ht="15.75" x14ac:dyDescent="0.25">
      <c r="H262" s="164" t="str">
        <f t="shared" si="4"/>
        <v/>
      </c>
      <c r="I262" s="162"/>
      <c r="J262" s="152">
        <f t="shared" ca="1" si="5"/>
        <v>0</v>
      </c>
    </row>
    <row r="263" spans="8:10" ht="15.75" x14ac:dyDescent="0.25">
      <c r="H263" s="164" t="str">
        <f t="shared" ref="H263:H326" si="6">IF(I263&lt;&gt;0,VLOOKUP(I263,nhanvien,3,0),"")</f>
        <v/>
      </c>
      <c r="I263" s="162"/>
      <c r="J263" s="152">
        <f t="shared" ref="J263:J307" ca="1" si="7">IF(H263="",0,IF(F263="",OFFSET(J263,-1,0),F263/G263))</f>
        <v>0</v>
      </c>
    </row>
    <row r="264" spans="8:10" ht="15.75" x14ac:dyDescent="0.25">
      <c r="H264" s="164" t="str">
        <f t="shared" si="6"/>
        <v/>
      </c>
      <c r="I264" s="162"/>
      <c r="J264" s="152">
        <f t="shared" ca="1" si="7"/>
        <v>0</v>
      </c>
    </row>
    <row r="265" spans="8:10" ht="15.75" x14ac:dyDescent="0.25">
      <c r="H265" s="164" t="str">
        <f t="shared" si="6"/>
        <v/>
      </c>
      <c r="J265" s="152">
        <f t="shared" ca="1" si="7"/>
        <v>0</v>
      </c>
    </row>
    <row r="266" spans="8:10" ht="15.75" x14ac:dyDescent="0.25">
      <c r="H266" s="164" t="str">
        <f t="shared" si="6"/>
        <v/>
      </c>
      <c r="J266" s="152">
        <f t="shared" ca="1" si="7"/>
        <v>0</v>
      </c>
    </row>
    <row r="267" spans="8:10" ht="15.75" x14ac:dyDescent="0.25">
      <c r="H267" s="164" t="str">
        <f t="shared" si="6"/>
        <v/>
      </c>
      <c r="J267" s="152">
        <f t="shared" ca="1" si="7"/>
        <v>0</v>
      </c>
    </row>
    <row r="268" spans="8:10" ht="15.75" x14ac:dyDescent="0.25">
      <c r="H268" s="164" t="str">
        <f t="shared" si="6"/>
        <v/>
      </c>
      <c r="J268" s="152">
        <f t="shared" ca="1" si="7"/>
        <v>0</v>
      </c>
    </row>
    <row r="269" spans="8:10" ht="15.75" x14ac:dyDescent="0.25">
      <c r="H269" s="164" t="str">
        <f t="shared" si="6"/>
        <v/>
      </c>
      <c r="J269" s="152">
        <f t="shared" ca="1" si="7"/>
        <v>0</v>
      </c>
    </row>
    <row r="270" spans="8:10" ht="15.75" x14ac:dyDescent="0.25">
      <c r="H270" s="164" t="str">
        <f t="shared" si="6"/>
        <v/>
      </c>
      <c r="J270" s="152">
        <f t="shared" ca="1" si="7"/>
        <v>0</v>
      </c>
    </row>
    <row r="271" spans="8:10" ht="15.75" x14ac:dyDescent="0.25">
      <c r="H271" s="164" t="str">
        <f t="shared" si="6"/>
        <v/>
      </c>
      <c r="J271" s="152">
        <f t="shared" ca="1" si="7"/>
        <v>0</v>
      </c>
    </row>
    <row r="272" spans="8:10" ht="15.75" x14ac:dyDescent="0.25">
      <c r="H272" s="164" t="str">
        <f t="shared" si="6"/>
        <v/>
      </c>
      <c r="J272" s="152">
        <f t="shared" ca="1" si="7"/>
        <v>0</v>
      </c>
    </row>
    <row r="273" spans="8:10" ht="15.75" x14ac:dyDescent="0.25">
      <c r="H273" s="164" t="str">
        <f t="shared" si="6"/>
        <v/>
      </c>
      <c r="J273" s="152">
        <f t="shared" ca="1" si="7"/>
        <v>0</v>
      </c>
    </row>
    <row r="274" spans="8:10" ht="15.75" x14ac:dyDescent="0.25">
      <c r="H274" s="164" t="str">
        <f t="shared" si="6"/>
        <v/>
      </c>
      <c r="J274" s="152">
        <f t="shared" ca="1" si="7"/>
        <v>0</v>
      </c>
    </row>
    <row r="275" spans="8:10" ht="15.75" x14ac:dyDescent="0.25">
      <c r="H275" s="164" t="str">
        <f t="shared" si="6"/>
        <v/>
      </c>
      <c r="J275" s="152">
        <f t="shared" ca="1" si="7"/>
        <v>0</v>
      </c>
    </row>
    <row r="276" spans="8:10" ht="15.75" x14ac:dyDescent="0.25">
      <c r="H276" s="164" t="str">
        <f t="shared" si="6"/>
        <v/>
      </c>
      <c r="J276" s="152">
        <f t="shared" ca="1" si="7"/>
        <v>0</v>
      </c>
    </row>
    <row r="277" spans="8:10" ht="15.75" x14ac:dyDescent="0.25">
      <c r="H277" s="164" t="str">
        <f t="shared" si="6"/>
        <v/>
      </c>
      <c r="J277" s="152">
        <f t="shared" ca="1" si="7"/>
        <v>0</v>
      </c>
    </row>
    <row r="278" spans="8:10" ht="15.75" x14ac:dyDescent="0.25">
      <c r="H278" s="164" t="str">
        <f t="shared" si="6"/>
        <v/>
      </c>
      <c r="J278" s="152">
        <f t="shared" ca="1" si="7"/>
        <v>0</v>
      </c>
    </row>
    <row r="279" spans="8:10" ht="15.75" x14ac:dyDescent="0.25">
      <c r="H279" s="164" t="str">
        <f t="shared" si="6"/>
        <v/>
      </c>
      <c r="J279" s="152">
        <f t="shared" ca="1" si="7"/>
        <v>0</v>
      </c>
    </row>
    <row r="280" spans="8:10" ht="15.75" x14ac:dyDescent="0.25">
      <c r="H280" s="164" t="str">
        <f t="shared" si="6"/>
        <v/>
      </c>
      <c r="J280" s="152">
        <f t="shared" ca="1" si="7"/>
        <v>0</v>
      </c>
    </row>
    <row r="281" spans="8:10" ht="15.75" x14ac:dyDescent="0.25">
      <c r="H281" s="164" t="str">
        <f t="shared" si="6"/>
        <v/>
      </c>
      <c r="J281" s="152">
        <f t="shared" ca="1" si="7"/>
        <v>0</v>
      </c>
    </row>
    <row r="282" spans="8:10" ht="15.75" x14ac:dyDescent="0.25">
      <c r="H282" s="164" t="str">
        <f t="shared" si="6"/>
        <v/>
      </c>
      <c r="J282" s="152">
        <f t="shared" ca="1" si="7"/>
        <v>0</v>
      </c>
    </row>
    <row r="283" spans="8:10" ht="15.75" x14ac:dyDescent="0.25">
      <c r="H283" s="164" t="str">
        <f t="shared" si="6"/>
        <v/>
      </c>
      <c r="J283" s="152">
        <f t="shared" ca="1" si="7"/>
        <v>0</v>
      </c>
    </row>
    <row r="284" spans="8:10" ht="15.75" x14ac:dyDescent="0.25">
      <c r="H284" s="164" t="str">
        <f t="shared" si="6"/>
        <v/>
      </c>
      <c r="J284" s="152">
        <f t="shared" ca="1" si="7"/>
        <v>0</v>
      </c>
    </row>
    <row r="285" spans="8:10" ht="15.75" x14ac:dyDescent="0.25">
      <c r="H285" s="164" t="str">
        <f t="shared" si="6"/>
        <v/>
      </c>
      <c r="J285" s="152">
        <f t="shared" ca="1" si="7"/>
        <v>0</v>
      </c>
    </row>
    <row r="286" spans="8:10" ht="15.75" x14ac:dyDescent="0.25">
      <c r="H286" s="164" t="str">
        <f t="shared" si="6"/>
        <v/>
      </c>
      <c r="J286" s="152">
        <f t="shared" ca="1" si="7"/>
        <v>0</v>
      </c>
    </row>
    <row r="287" spans="8:10" ht="15.75" x14ac:dyDescent="0.25">
      <c r="H287" s="164" t="str">
        <f t="shared" si="6"/>
        <v/>
      </c>
      <c r="J287" s="152">
        <f t="shared" ca="1" si="7"/>
        <v>0</v>
      </c>
    </row>
    <row r="288" spans="8:10" ht="15.75" x14ac:dyDescent="0.25">
      <c r="H288" s="164" t="str">
        <f t="shared" si="6"/>
        <v/>
      </c>
      <c r="J288" s="152">
        <f t="shared" ca="1" si="7"/>
        <v>0</v>
      </c>
    </row>
    <row r="289" spans="8:10" ht="15.75" x14ac:dyDescent="0.25">
      <c r="H289" s="164" t="str">
        <f t="shared" si="6"/>
        <v/>
      </c>
      <c r="J289" s="152">
        <f t="shared" ca="1" si="7"/>
        <v>0</v>
      </c>
    </row>
    <row r="290" spans="8:10" ht="15.75" x14ac:dyDescent="0.25">
      <c r="H290" s="164" t="str">
        <f t="shared" si="6"/>
        <v/>
      </c>
      <c r="J290" s="152">
        <f t="shared" ca="1" si="7"/>
        <v>0</v>
      </c>
    </row>
    <row r="291" spans="8:10" ht="15.75" x14ac:dyDescent="0.25">
      <c r="H291" s="164" t="str">
        <f t="shared" si="6"/>
        <v/>
      </c>
      <c r="J291" s="152">
        <f t="shared" ca="1" si="7"/>
        <v>0</v>
      </c>
    </row>
    <row r="292" spans="8:10" ht="15.75" x14ac:dyDescent="0.25">
      <c r="H292" s="164" t="str">
        <f t="shared" si="6"/>
        <v/>
      </c>
      <c r="J292" s="152">
        <f t="shared" ca="1" si="7"/>
        <v>0</v>
      </c>
    </row>
    <row r="293" spans="8:10" ht="15.75" x14ac:dyDescent="0.25">
      <c r="H293" s="164" t="str">
        <f t="shared" si="6"/>
        <v/>
      </c>
      <c r="J293" s="152">
        <f t="shared" ca="1" si="7"/>
        <v>0</v>
      </c>
    </row>
    <row r="294" spans="8:10" ht="15.75" x14ac:dyDescent="0.25">
      <c r="H294" s="164" t="str">
        <f t="shared" si="6"/>
        <v/>
      </c>
      <c r="J294" s="152">
        <f t="shared" ca="1" si="7"/>
        <v>0</v>
      </c>
    </row>
    <row r="295" spans="8:10" ht="15.75" x14ac:dyDescent="0.25">
      <c r="H295" s="164" t="str">
        <f t="shared" si="6"/>
        <v/>
      </c>
      <c r="J295" s="152">
        <f t="shared" ca="1" si="7"/>
        <v>0</v>
      </c>
    </row>
    <row r="296" spans="8:10" ht="15.75" x14ac:dyDescent="0.25">
      <c r="H296" s="164" t="str">
        <f t="shared" si="6"/>
        <v/>
      </c>
      <c r="J296" s="152">
        <f t="shared" ca="1" si="7"/>
        <v>0</v>
      </c>
    </row>
    <row r="297" spans="8:10" ht="15.75" x14ac:dyDescent="0.25">
      <c r="H297" s="164" t="str">
        <f t="shared" si="6"/>
        <v/>
      </c>
      <c r="J297" s="152">
        <f t="shared" ca="1" si="7"/>
        <v>0</v>
      </c>
    </row>
    <row r="298" spans="8:10" ht="15.75" x14ac:dyDescent="0.25">
      <c r="H298" s="164" t="str">
        <f t="shared" si="6"/>
        <v/>
      </c>
      <c r="J298" s="152">
        <f t="shared" ca="1" si="7"/>
        <v>0</v>
      </c>
    </row>
    <row r="299" spans="8:10" ht="15.75" x14ac:dyDescent="0.25">
      <c r="H299" s="164" t="str">
        <f t="shared" si="6"/>
        <v/>
      </c>
      <c r="J299" s="152">
        <f t="shared" ca="1" si="7"/>
        <v>0</v>
      </c>
    </row>
    <row r="300" spans="8:10" ht="15.75" x14ac:dyDescent="0.25">
      <c r="H300" s="164" t="str">
        <f t="shared" si="6"/>
        <v/>
      </c>
      <c r="J300" s="152">
        <f t="shared" ca="1" si="7"/>
        <v>0</v>
      </c>
    </row>
    <row r="301" spans="8:10" ht="15.75" x14ac:dyDescent="0.25">
      <c r="H301" s="164" t="str">
        <f t="shared" si="6"/>
        <v/>
      </c>
      <c r="J301" s="152">
        <f t="shared" ca="1" si="7"/>
        <v>0</v>
      </c>
    </row>
    <row r="302" spans="8:10" ht="15.75" x14ac:dyDescent="0.25">
      <c r="H302" s="164" t="str">
        <f t="shared" si="6"/>
        <v/>
      </c>
      <c r="J302" s="152">
        <f t="shared" ca="1" si="7"/>
        <v>0</v>
      </c>
    </row>
    <row r="303" spans="8:10" ht="15.75" x14ac:dyDescent="0.25">
      <c r="H303" s="164" t="str">
        <f t="shared" si="6"/>
        <v/>
      </c>
      <c r="J303" s="152">
        <f t="shared" ca="1" si="7"/>
        <v>0</v>
      </c>
    </row>
    <row r="304" spans="8:10" ht="15.75" x14ac:dyDescent="0.25">
      <c r="H304" s="164" t="str">
        <f t="shared" si="6"/>
        <v/>
      </c>
      <c r="J304" s="152">
        <f t="shared" ca="1" si="7"/>
        <v>0</v>
      </c>
    </row>
    <row r="305" spans="8:10" ht="15.75" x14ac:dyDescent="0.25">
      <c r="H305" s="164" t="str">
        <f t="shared" si="6"/>
        <v/>
      </c>
      <c r="J305" s="152">
        <f t="shared" ca="1" si="7"/>
        <v>0</v>
      </c>
    </row>
    <row r="306" spans="8:10" ht="15.75" x14ac:dyDescent="0.25">
      <c r="H306" s="164" t="str">
        <f t="shared" si="6"/>
        <v/>
      </c>
      <c r="J306" s="152">
        <f t="shared" ca="1" si="7"/>
        <v>0</v>
      </c>
    </row>
    <row r="307" spans="8:10" ht="15.75" x14ac:dyDescent="0.25">
      <c r="H307" s="164" t="str">
        <f t="shared" si="6"/>
        <v/>
      </c>
      <c r="J307" s="152">
        <f t="shared" ca="1" si="7"/>
        <v>0</v>
      </c>
    </row>
    <row r="308" spans="8:10" ht="15.75" x14ac:dyDescent="0.25">
      <c r="H308" s="164" t="str">
        <f t="shared" si="6"/>
        <v/>
      </c>
      <c r="J308" s="117">
        <f t="shared" ref="J308:J318" ca="1" si="8">IF(H308="",0,IF(F308="",OFFSET(J308,-1,0),F308/G308))</f>
        <v>0</v>
      </c>
    </row>
    <row r="309" spans="8:10" ht="15.75" x14ac:dyDescent="0.25">
      <c r="H309" s="164" t="str">
        <f t="shared" si="6"/>
        <v/>
      </c>
      <c r="J309" s="117">
        <f t="shared" ca="1" si="8"/>
        <v>0</v>
      </c>
    </row>
    <row r="310" spans="8:10" ht="15.75" x14ac:dyDescent="0.25">
      <c r="H310" s="164" t="str">
        <f t="shared" si="6"/>
        <v/>
      </c>
      <c r="J310" s="117">
        <f t="shared" ca="1" si="8"/>
        <v>0</v>
      </c>
    </row>
    <row r="311" spans="8:10" ht="15.75" x14ac:dyDescent="0.25">
      <c r="H311" s="164" t="str">
        <f t="shared" si="6"/>
        <v/>
      </c>
      <c r="J311" s="117">
        <f t="shared" ca="1" si="8"/>
        <v>0</v>
      </c>
    </row>
    <row r="312" spans="8:10" ht="15.75" x14ac:dyDescent="0.25">
      <c r="H312" s="164" t="str">
        <f t="shared" si="6"/>
        <v/>
      </c>
      <c r="J312" s="117">
        <f t="shared" ca="1" si="8"/>
        <v>0</v>
      </c>
    </row>
    <row r="313" spans="8:10" ht="15.75" x14ac:dyDescent="0.25">
      <c r="H313" s="164" t="str">
        <f t="shared" si="6"/>
        <v/>
      </c>
      <c r="J313" s="117">
        <f t="shared" ca="1" si="8"/>
        <v>0</v>
      </c>
    </row>
    <row r="314" spans="8:10" ht="15.75" x14ac:dyDescent="0.25">
      <c r="H314" s="164" t="str">
        <f t="shared" si="6"/>
        <v/>
      </c>
      <c r="J314" s="117">
        <f t="shared" ca="1" si="8"/>
        <v>0</v>
      </c>
    </row>
    <row r="315" spans="8:10" ht="15.75" x14ac:dyDescent="0.25">
      <c r="H315" s="164" t="str">
        <f t="shared" si="6"/>
        <v/>
      </c>
      <c r="J315" s="117">
        <f t="shared" ca="1" si="8"/>
        <v>0</v>
      </c>
    </row>
    <row r="316" spans="8:10" ht="15.75" x14ac:dyDescent="0.25">
      <c r="H316" s="164" t="str">
        <f t="shared" si="6"/>
        <v/>
      </c>
      <c r="J316" s="117">
        <f t="shared" ca="1" si="8"/>
        <v>0</v>
      </c>
    </row>
    <row r="317" spans="8:10" ht="15.75" x14ac:dyDescent="0.25">
      <c r="H317" s="164" t="str">
        <f t="shared" si="6"/>
        <v/>
      </c>
      <c r="J317" s="117">
        <f t="shared" ca="1" si="8"/>
        <v>0</v>
      </c>
    </row>
    <row r="318" spans="8:10" ht="15.75" x14ac:dyDescent="0.25">
      <c r="H318" s="164" t="str">
        <f t="shared" si="6"/>
        <v/>
      </c>
      <c r="J318" s="117">
        <f t="shared" ca="1" si="8"/>
        <v>0</v>
      </c>
    </row>
    <row r="319" spans="8:10" ht="15.75" x14ac:dyDescent="0.25">
      <c r="H319" s="164" t="str">
        <f t="shared" si="6"/>
        <v/>
      </c>
      <c r="J319" s="116">
        <f t="shared" ref="J319:J345" ca="1" si="9">IF(H319="",0,IF(F319="",OFFSET(J319,-1,0),F319/G319))</f>
        <v>0</v>
      </c>
    </row>
    <row r="320" spans="8:10" ht="15.75" x14ac:dyDescent="0.25">
      <c r="H320" s="164" t="str">
        <f t="shared" si="6"/>
        <v/>
      </c>
      <c r="J320" s="116">
        <f t="shared" ca="1" si="9"/>
        <v>0</v>
      </c>
    </row>
    <row r="321" spans="8:10" ht="15.75" x14ac:dyDescent="0.25">
      <c r="H321" s="164" t="str">
        <f t="shared" si="6"/>
        <v/>
      </c>
      <c r="J321" s="116">
        <f t="shared" ca="1" si="9"/>
        <v>0</v>
      </c>
    </row>
    <row r="322" spans="8:10" ht="15.75" x14ac:dyDescent="0.25">
      <c r="H322" s="164" t="str">
        <f t="shared" si="6"/>
        <v/>
      </c>
      <c r="J322" s="116">
        <f t="shared" ca="1" si="9"/>
        <v>0</v>
      </c>
    </row>
    <row r="323" spans="8:10" ht="15.75" x14ac:dyDescent="0.25">
      <c r="H323" s="164" t="str">
        <f t="shared" si="6"/>
        <v/>
      </c>
      <c r="J323" s="116">
        <f t="shared" ca="1" si="9"/>
        <v>0</v>
      </c>
    </row>
    <row r="324" spans="8:10" ht="15.75" x14ac:dyDescent="0.25">
      <c r="H324" s="164" t="str">
        <f t="shared" si="6"/>
        <v/>
      </c>
      <c r="J324" s="116">
        <f t="shared" ca="1" si="9"/>
        <v>0</v>
      </c>
    </row>
    <row r="325" spans="8:10" ht="15.75" x14ac:dyDescent="0.25">
      <c r="H325" s="164" t="str">
        <f t="shared" si="6"/>
        <v/>
      </c>
      <c r="J325" s="116">
        <f t="shared" ca="1" si="9"/>
        <v>0</v>
      </c>
    </row>
    <row r="326" spans="8:10" ht="15.75" x14ac:dyDescent="0.25">
      <c r="H326" s="164" t="str">
        <f t="shared" si="6"/>
        <v/>
      </c>
      <c r="J326" s="116">
        <f t="shared" ca="1" si="9"/>
        <v>0</v>
      </c>
    </row>
    <row r="327" spans="8:10" ht="15.75" x14ac:dyDescent="0.25">
      <c r="H327" s="164" t="str">
        <f t="shared" ref="H327:H390" si="10">IF(I327&lt;&gt;0,VLOOKUP(I327,nhanvien,3,0),"")</f>
        <v/>
      </c>
      <c r="J327" s="116">
        <f t="shared" ca="1" si="9"/>
        <v>0</v>
      </c>
    </row>
    <row r="328" spans="8:10" ht="15.75" x14ac:dyDescent="0.25">
      <c r="H328" s="164" t="str">
        <f t="shared" si="10"/>
        <v/>
      </c>
      <c r="J328" s="116">
        <f t="shared" ca="1" si="9"/>
        <v>0</v>
      </c>
    </row>
    <row r="329" spans="8:10" ht="15.75" x14ac:dyDescent="0.25">
      <c r="H329" s="164" t="str">
        <f t="shared" si="10"/>
        <v/>
      </c>
      <c r="J329" s="116">
        <f t="shared" ca="1" si="9"/>
        <v>0</v>
      </c>
    </row>
    <row r="330" spans="8:10" ht="15.75" x14ac:dyDescent="0.25">
      <c r="H330" s="164" t="str">
        <f t="shared" si="10"/>
        <v/>
      </c>
      <c r="J330" s="116">
        <f t="shared" ca="1" si="9"/>
        <v>0</v>
      </c>
    </row>
    <row r="331" spans="8:10" ht="15.75" x14ac:dyDescent="0.25">
      <c r="H331" s="164" t="str">
        <f t="shared" si="10"/>
        <v/>
      </c>
      <c r="J331" s="116">
        <f t="shared" ca="1" si="9"/>
        <v>0</v>
      </c>
    </row>
    <row r="332" spans="8:10" ht="15.75" x14ac:dyDescent="0.25">
      <c r="H332" s="164" t="str">
        <f t="shared" si="10"/>
        <v/>
      </c>
      <c r="J332" s="116">
        <f t="shared" ca="1" si="9"/>
        <v>0</v>
      </c>
    </row>
    <row r="333" spans="8:10" ht="15.75" x14ac:dyDescent="0.25">
      <c r="H333" s="164" t="str">
        <f t="shared" si="10"/>
        <v/>
      </c>
      <c r="J333" s="116">
        <f t="shared" ca="1" si="9"/>
        <v>0</v>
      </c>
    </row>
    <row r="334" spans="8:10" ht="15.75" x14ac:dyDescent="0.25">
      <c r="H334" s="164" t="str">
        <f t="shared" si="10"/>
        <v/>
      </c>
      <c r="J334" s="116">
        <f t="shared" ca="1" si="9"/>
        <v>0</v>
      </c>
    </row>
    <row r="335" spans="8:10" ht="15.75" x14ac:dyDescent="0.25">
      <c r="H335" s="164" t="str">
        <f t="shared" si="10"/>
        <v/>
      </c>
      <c r="J335" s="116">
        <f t="shared" ca="1" si="9"/>
        <v>0</v>
      </c>
    </row>
    <row r="336" spans="8:10" ht="15.75" x14ac:dyDescent="0.25">
      <c r="H336" s="164" t="str">
        <f t="shared" si="10"/>
        <v/>
      </c>
      <c r="J336" s="116">
        <f t="shared" ca="1" si="9"/>
        <v>0</v>
      </c>
    </row>
    <row r="337" spans="8:10" ht="15.75" x14ac:dyDescent="0.25">
      <c r="H337" s="164" t="str">
        <f t="shared" si="10"/>
        <v/>
      </c>
      <c r="J337" s="116">
        <f t="shared" ca="1" si="9"/>
        <v>0</v>
      </c>
    </row>
    <row r="338" spans="8:10" ht="15.75" x14ac:dyDescent="0.25">
      <c r="H338" s="164" t="str">
        <f t="shared" si="10"/>
        <v/>
      </c>
      <c r="J338" s="116">
        <f t="shared" ca="1" si="9"/>
        <v>0</v>
      </c>
    </row>
    <row r="339" spans="8:10" ht="15.75" x14ac:dyDescent="0.25">
      <c r="H339" s="164" t="str">
        <f t="shared" si="10"/>
        <v/>
      </c>
      <c r="J339" s="116">
        <f t="shared" ca="1" si="9"/>
        <v>0</v>
      </c>
    </row>
    <row r="340" spans="8:10" ht="15.75" x14ac:dyDescent="0.25">
      <c r="H340" s="164" t="str">
        <f t="shared" si="10"/>
        <v/>
      </c>
      <c r="J340" s="116">
        <f t="shared" ca="1" si="9"/>
        <v>0</v>
      </c>
    </row>
    <row r="341" spans="8:10" ht="15.75" x14ac:dyDescent="0.25">
      <c r="H341" s="164" t="str">
        <f t="shared" si="10"/>
        <v/>
      </c>
      <c r="J341" s="116">
        <f t="shared" ca="1" si="9"/>
        <v>0</v>
      </c>
    </row>
    <row r="342" spans="8:10" ht="15.75" x14ac:dyDescent="0.25">
      <c r="H342" s="164" t="str">
        <f t="shared" si="10"/>
        <v/>
      </c>
      <c r="J342" s="116">
        <f t="shared" ca="1" si="9"/>
        <v>0</v>
      </c>
    </row>
    <row r="343" spans="8:10" ht="15.75" x14ac:dyDescent="0.25">
      <c r="H343" s="164" t="str">
        <f t="shared" si="10"/>
        <v/>
      </c>
      <c r="J343" s="116">
        <f t="shared" ca="1" si="9"/>
        <v>0</v>
      </c>
    </row>
    <row r="344" spans="8:10" ht="15.75" x14ac:dyDescent="0.25">
      <c r="H344" s="164" t="str">
        <f t="shared" si="10"/>
        <v/>
      </c>
      <c r="J344" s="116">
        <f t="shared" ca="1" si="9"/>
        <v>0</v>
      </c>
    </row>
    <row r="345" spans="8:10" ht="15.75" x14ac:dyDescent="0.25">
      <c r="H345" s="164" t="str">
        <f t="shared" si="10"/>
        <v/>
      </c>
      <c r="J345" s="116">
        <f t="shared" ca="1" si="9"/>
        <v>0</v>
      </c>
    </row>
    <row r="346" spans="8:10" ht="15.75" x14ac:dyDescent="0.25">
      <c r="H346" s="164" t="str">
        <f t="shared" si="10"/>
        <v/>
      </c>
      <c r="J346" s="116">
        <f t="shared" ref="J346:J409" ca="1" si="11">IF(H346="",0,IF(F346="",OFFSET(J346,-1,0),F346/G346))</f>
        <v>0</v>
      </c>
    </row>
    <row r="347" spans="8:10" ht="15.75" x14ac:dyDescent="0.25">
      <c r="H347" s="164" t="str">
        <f t="shared" si="10"/>
        <v/>
      </c>
      <c r="J347" s="116">
        <f t="shared" ca="1" si="11"/>
        <v>0</v>
      </c>
    </row>
    <row r="348" spans="8:10" ht="15.75" x14ac:dyDescent="0.25">
      <c r="H348" s="164" t="str">
        <f t="shared" si="10"/>
        <v/>
      </c>
      <c r="J348" s="116">
        <f t="shared" ca="1" si="11"/>
        <v>0</v>
      </c>
    </row>
    <row r="349" spans="8:10" ht="15.75" x14ac:dyDescent="0.25">
      <c r="H349" s="164" t="str">
        <f t="shared" si="10"/>
        <v/>
      </c>
      <c r="J349" s="116">
        <f t="shared" ca="1" si="11"/>
        <v>0</v>
      </c>
    </row>
    <row r="350" spans="8:10" ht="15.75" x14ac:dyDescent="0.25">
      <c r="H350" s="164" t="str">
        <f t="shared" si="10"/>
        <v/>
      </c>
      <c r="J350" s="116">
        <f t="shared" ca="1" si="11"/>
        <v>0</v>
      </c>
    </row>
    <row r="351" spans="8:10" ht="15.75" x14ac:dyDescent="0.25">
      <c r="H351" s="164" t="str">
        <f t="shared" si="10"/>
        <v/>
      </c>
      <c r="J351" s="116">
        <f t="shared" ca="1" si="11"/>
        <v>0</v>
      </c>
    </row>
    <row r="352" spans="8:10" ht="15.75" x14ac:dyDescent="0.25">
      <c r="H352" s="164" t="str">
        <f t="shared" si="10"/>
        <v/>
      </c>
      <c r="J352" s="116">
        <f t="shared" ca="1" si="11"/>
        <v>0</v>
      </c>
    </row>
    <row r="353" spans="8:10" ht="15.75" x14ac:dyDescent="0.25">
      <c r="H353" s="164" t="str">
        <f t="shared" si="10"/>
        <v/>
      </c>
      <c r="J353" s="116">
        <f t="shared" ca="1" si="11"/>
        <v>0</v>
      </c>
    </row>
    <row r="354" spans="8:10" ht="15.75" x14ac:dyDescent="0.25">
      <c r="H354" s="164" t="str">
        <f t="shared" si="10"/>
        <v/>
      </c>
      <c r="J354" s="116">
        <f t="shared" ca="1" si="11"/>
        <v>0</v>
      </c>
    </row>
    <row r="355" spans="8:10" ht="15.75" x14ac:dyDescent="0.25">
      <c r="H355" s="164" t="str">
        <f t="shared" si="10"/>
        <v/>
      </c>
      <c r="J355" s="116">
        <f t="shared" ca="1" si="11"/>
        <v>0</v>
      </c>
    </row>
    <row r="356" spans="8:10" ht="15.75" x14ac:dyDescent="0.25">
      <c r="H356" s="164" t="str">
        <f t="shared" si="10"/>
        <v/>
      </c>
      <c r="J356" s="116">
        <f t="shared" ca="1" si="11"/>
        <v>0</v>
      </c>
    </row>
    <row r="357" spans="8:10" ht="15.75" x14ac:dyDescent="0.25">
      <c r="H357" s="164" t="str">
        <f t="shared" si="10"/>
        <v/>
      </c>
      <c r="J357" s="116">
        <f t="shared" ca="1" si="11"/>
        <v>0</v>
      </c>
    </row>
    <row r="358" spans="8:10" ht="15.75" x14ac:dyDescent="0.25">
      <c r="H358" s="164" t="str">
        <f t="shared" si="10"/>
        <v/>
      </c>
      <c r="J358" s="116">
        <f t="shared" ca="1" si="11"/>
        <v>0</v>
      </c>
    </row>
    <row r="359" spans="8:10" ht="15.75" x14ac:dyDescent="0.25">
      <c r="H359" s="164" t="str">
        <f t="shared" si="10"/>
        <v/>
      </c>
      <c r="J359" s="116">
        <f t="shared" ca="1" si="11"/>
        <v>0</v>
      </c>
    </row>
    <row r="360" spans="8:10" ht="15.75" x14ac:dyDescent="0.25">
      <c r="H360" s="164" t="str">
        <f t="shared" si="10"/>
        <v/>
      </c>
      <c r="J360" s="116">
        <f t="shared" ca="1" si="11"/>
        <v>0</v>
      </c>
    </row>
    <row r="361" spans="8:10" ht="15.75" x14ac:dyDescent="0.25">
      <c r="H361" s="164" t="str">
        <f t="shared" si="10"/>
        <v/>
      </c>
      <c r="J361" s="116">
        <f t="shared" ca="1" si="11"/>
        <v>0</v>
      </c>
    </row>
    <row r="362" spans="8:10" ht="15.75" x14ac:dyDescent="0.25">
      <c r="H362" s="164" t="str">
        <f t="shared" si="10"/>
        <v/>
      </c>
      <c r="J362" s="116">
        <f t="shared" ca="1" si="11"/>
        <v>0</v>
      </c>
    </row>
    <row r="363" spans="8:10" ht="15.75" x14ac:dyDescent="0.25">
      <c r="H363" s="164" t="str">
        <f t="shared" si="10"/>
        <v/>
      </c>
      <c r="J363" s="116">
        <f t="shared" ca="1" si="11"/>
        <v>0</v>
      </c>
    </row>
    <row r="364" spans="8:10" ht="15.75" x14ac:dyDescent="0.25">
      <c r="H364" s="164" t="str">
        <f t="shared" si="10"/>
        <v/>
      </c>
      <c r="J364" s="116">
        <f t="shared" ca="1" si="11"/>
        <v>0</v>
      </c>
    </row>
    <row r="365" spans="8:10" ht="15.75" x14ac:dyDescent="0.25">
      <c r="H365" s="164" t="str">
        <f t="shared" si="10"/>
        <v/>
      </c>
      <c r="J365" s="116">
        <f t="shared" ca="1" si="11"/>
        <v>0</v>
      </c>
    </row>
    <row r="366" spans="8:10" ht="15.75" x14ac:dyDescent="0.25">
      <c r="H366" s="164" t="str">
        <f t="shared" si="10"/>
        <v/>
      </c>
      <c r="J366" s="116">
        <f t="shared" ca="1" si="11"/>
        <v>0</v>
      </c>
    </row>
    <row r="367" spans="8:10" ht="15.75" x14ac:dyDescent="0.25">
      <c r="H367" s="164" t="str">
        <f t="shared" si="10"/>
        <v/>
      </c>
      <c r="J367" s="116">
        <f t="shared" ca="1" si="11"/>
        <v>0</v>
      </c>
    </row>
    <row r="368" spans="8:10" ht="15.75" x14ac:dyDescent="0.25">
      <c r="H368" s="164" t="str">
        <f t="shared" si="10"/>
        <v/>
      </c>
      <c r="J368" s="116">
        <f t="shared" ca="1" si="11"/>
        <v>0</v>
      </c>
    </row>
    <row r="369" spans="8:10" ht="15.75" x14ac:dyDescent="0.25">
      <c r="H369" s="164" t="str">
        <f t="shared" si="10"/>
        <v/>
      </c>
      <c r="J369" s="116">
        <f t="shared" ca="1" si="11"/>
        <v>0</v>
      </c>
    </row>
    <row r="370" spans="8:10" ht="15.75" x14ac:dyDescent="0.25">
      <c r="H370" s="164" t="str">
        <f t="shared" si="10"/>
        <v/>
      </c>
      <c r="J370" s="116">
        <f t="shared" ca="1" si="11"/>
        <v>0</v>
      </c>
    </row>
    <row r="371" spans="8:10" ht="15.75" x14ac:dyDescent="0.25">
      <c r="H371" s="164" t="str">
        <f t="shared" si="10"/>
        <v/>
      </c>
      <c r="J371" s="116">
        <f t="shared" ca="1" si="11"/>
        <v>0</v>
      </c>
    </row>
    <row r="372" spans="8:10" ht="15.75" x14ac:dyDescent="0.25">
      <c r="H372" s="164" t="str">
        <f t="shared" si="10"/>
        <v/>
      </c>
      <c r="J372" s="116">
        <f t="shared" ca="1" si="11"/>
        <v>0</v>
      </c>
    </row>
    <row r="373" spans="8:10" ht="15.75" x14ac:dyDescent="0.25">
      <c r="H373" s="164" t="str">
        <f t="shared" si="10"/>
        <v/>
      </c>
      <c r="J373" s="116">
        <f t="shared" ca="1" si="11"/>
        <v>0</v>
      </c>
    </row>
    <row r="374" spans="8:10" ht="15.75" x14ac:dyDescent="0.25">
      <c r="H374" s="164" t="str">
        <f t="shared" si="10"/>
        <v/>
      </c>
      <c r="J374" s="116">
        <f t="shared" ca="1" si="11"/>
        <v>0</v>
      </c>
    </row>
    <row r="375" spans="8:10" ht="15.75" x14ac:dyDescent="0.25">
      <c r="H375" s="164" t="str">
        <f t="shared" si="10"/>
        <v/>
      </c>
      <c r="J375" s="116">
        <f t="shared" ca="1" si="11"/>
        <v>0</v>
      </c>
    </row>
    <row r="376" spans="8:10" ht="15.75" x14ac:dyDescent="0.25">
      <c r="H376" s="164" t="str">
        <f t="shared" si="10"/>
        <v/>
      </c>
      <c r="J376" s="116">
        <f t="shared" ca="1" si="11"/>
        <v>0</v>
      </c>
    </row>
    <row r="377" spans="8:10" ht="15.75" x14ac:dyDescent="0.25">
      <c r="H377" s="164" t="str">
        <f t="shared" si="10"/>
        <v/>
      </c>
      <c r="J377" s="116">
        <f t="shared" ca="1" si="11"/>
        <v>0</v>
      </c>
    </row>
    <row r="378" spans="8:10" ht="15.75" x14ac:dyDescent="0.25">
      <c r="H378" s="164" t="str">
        <f t="shared" si="10"/>
        <v/>
      </c>
      <c r="J378" s="116">
        <f t="shared" ca="1" si="11"/>
        <v>0</v>
      </c>
    </row>
    <row r="379" spans="8:10" ht="15.75" x14ac:dyDescent="0.25">
      <c r="H379" s="164" t="str">
        <f t="shared" si="10"/>
        <v/>
      </c>
      <c r="J379" s="116">
        <f t="shared" ca="1" si="11"/>
        <v>0</v>
      </c>
    </row>
    <row r="380" spans="8:10" ht="15.75" x14ac:dyDescent="0.25">
      <c r="H380" s="164" t="str">
        <f t="shared" si="10"/>
        <v/>
      </c>
      <c r="J380" s="116">
        <f t="shared" ca="1" si="11"/>
        <v>0</v>
      </c>
    </row>
    <row r="381" spans="8:10" ht="15.75" x14ac:dyDescent="0.25">
      <c r="H381" s="164" t="str">
        <f t="shared" si="10"/>
        <v/>
      </c>
      <c r="J381" s="116">
        <f t="shared" ca="1" si="11"/>
        <v>0</v>
      </c>
    </row>
    <row r="382" spans="8:10" ht="15.75" x14ac:dyDescent="0.25">
      <c r="H382" s="164" t="str">
        <f t="shared" si="10"/>
        <v/>
      </c>
      <c r="J382" s="116">
        <f t="shared" ca="1" si="11"/>
        <v>0</v>
      </c>
    </row>
    <row r="383" spans="8:10" ht="15.75" x14ac:dyDescent="0.25">
      <c r="H383" s="164" t="str">
        <f t="shared" si="10"/>
        <v/>
      </c>
      <c r="J383" s="116">
        <f t="shared" ca="1" si="11"/>
        <v>0</v>
      </c>
    </row>
    <row r="384" spans="8:10" ht="15.75" x14ac:dyDescent="0.25">
      <c r="H384" s="164" t="str">
        <f t="shared" si="10"/>
        <v/>
      </c>
      <c r="J384" s="116">
        <f t="shared" ca="1" si="11"/>
        <v>0</v>
      </c>
    </row>
    <row r="385" spans="8:10" ht="15.75" x14ac:dyDescent="0.25">
      <c r="H385" s="164" t="str">
        <f t="shared" si="10"/>
        <v/>
      </c>
      <c r="J385" s="116">
        <f t="shared" ca="1" si="11"/>
        <v>0</v>
      </c>
    </row>
    <row r="386" spans="8:10" ht="15.75" x14ac:dyDescent="0.25">
      <c r="H386" s="164" t="str">
        <f t="shared" si="10"/>
        <v/>
      </c>
      <c r="J386" s="116">
        <f t="shared" ca="1" si="11"/>
        <v>0</v>
      </c>
    </row>
    <row r="387" spans="8:10" ht="15.75" x14ac:dyDescent="0.25">
      <c r="H387" s="164" t="str">
        <f t="shared" si="10"/>
        <v/>
      </c>
      <c r="J387" s="116">
        <f t="shared" ca="1" si="11"/>
        <v>0</v>
      </c>
    </row>
    <row r="388" spans="8:10" ht="15.75" x14ac:dyDescent="0.25">
      <c r="H388" s="164" t="str">
        <f t="shared" si="10"/>
        <v/>
      </c>
      <c r="J388" s="116">
        <f t="shared" ca="1" si="11"/>
        <v>0</v>
      </c>
    </row>
    <row r="389" spans="8:10" ht="15.75" x14ac:dyDescent="0.25">
      <c r="H389" s="164" t="str">
        <f t="shared" si="10"/>
        <v/>
      </c>
      <c r="J389" s="116">
        <f t="shared" ca="1" si="11"/>
        <v>0</v>
      </c>
    </row>
    <row r="390" spans="8:10" ht="15.75" x14ac:dyDescent="0.25">
      <c r="H390" s="164" t="str">
        <f t="shared" si="10"/>
        <v/>
      </c>
      <c r="J390" s="116">
        <f t="shared" ca="1" si="11"/>
        <v>0</v>
      </c>
    </row>
    <row r="391" spans="8:10" ht="15.75" x14ac:dyDescent="0.25">
      <c r="H391" s="164" t="str">
        <f t="shared" ref="H391:H417" si="12">IF(I391&lt;&gt;0,VLOOKUP(I391,nhanvien,3,0),"")</f>
        <v/>
      </c>
      <c r="J391" s="116">
        <f t="shared" ca="1" si="11"/>
        <v>0</v>
      </c>
    </row>
    <row r="392" spans="8:10" ht="15.75" x14ac:dyDescent="0.25">
      <c r="H392" s="164" t="str">
        <f t="shared" si="12"/>
        <v/>
      </c>
      <c r="J392" s="116">
        <f t="shared" ca="1" si="11"/>
        <v>0</v>
      </c>
    </row>
    <row r="393" spans="8:10" ht="15.75" x14ac:dyDescent="0.25">
      <c r="H393" s="164" t="str">
        <f t="shared" si="12"/>
        <v/>
      </c>
      <c r="J393" s="116">
        <f t="shared" ca="1" si="11"/>
        <v>0</v>
      </c>
    </row>
    <row r="394" spans="8:10" ht="15.75" x14ac:dyDescent="0.25">
      <c r="H394" s="164" t="str">
        <f t="shared" si="12"/>
        <v/>
      </c>
      <c r="J394" s="116">
        <f t="shared" ca="1" si="11"/>
        <v>0</v>
      </c>
    </row>
    <row r="395" spans="8:10" ht="15.75" x14ac:dyDescent="0.25">
      <c r="H395" s="164" t="str">
        <f t="shared" si="12"/>
        <v/>
      </c>
      <c r="J395" s="116">
        <f t="shared" ca="1" si="11"/>
        <v>0</v>
      </c>
    </row>
    <row r="396" spans="8:10" ht="15.75" x14ac:dyDescent="0.25">
      <c r="H396" s="164" t="str">
        <f t="shared" si="12"/>
        <v/>
      </c>
      <c r="J396" s="116">
        <f t="shared" ca="1" si="11"/>
        <v>0</v>
      </c>
    </row>
    <row r="397" spans="8:10" ht="15.75" x14ac:dyDescent="0.25">
      <c r="H397" s="164" t="str">
        <f t="shared" si="12"/>
        <v/>
      </c>
      <c r="J397" s="116">
        <f t="shared" ca="1" si="11"/>
        <v>0</v>
      </c>
    </row>
    <row r="398" spans="8:10" ht="15.75" x14ac:dyDescent="0.25">
      <c r="H398" s="164" t="str">
        <f t="shared" si="12"/>
        <v/>
      </c>
      <c r="J398" s="116">
        <f t="shared" ca="1" si="11"/>
        <v>0</v>
      </c>
    </row>
    <row r="399" spans="8:10" ht="15.75" x14ac:dyDescent="0.25">
      <c r="H399" s="164" t="str">
        <f t="shared" si="12"/>
        <v/>
      </c>
      <c r="J399" s="116">
        <f t="shared" ca="1" si="11"/>
        <v>0</v>
      </c>
    </row>
    <row r="400" spans="8:10" ht="15.75" x14ac:dyDescent="0.25">
      <c r="H400" s="164" t="str">
        <f t="shared" si="12"/>
        <v/>
      </c>
      <c r="J400" s="116">
        <f t="shared" ca="1" si="11"/>
        <v>0</v>
      </c>
    </row>
    <row r="401" spans="8:10" ht="15.75" x14ac:dyDescent="0.25">
      <c r="H401" s="164" t="str">
        <f t="shared" si="12"/>
        <v/>
      </c>
      <c r="J401" s="116">
        <f t="shared" ca="1" si="11"/>
        <v>0</v>
      </c>
    </row>
    <row r="402" spans="8:10" ht="15.75" x14ac:dyDescent="0.25">
      <c r="H402" s="164" t="str">
        <f t="shared" si="12"/>
        <v/>
      </c>
      <c r="J402" s="116">
        <f t="shared" ca="1" si="11"/>
        <v>0</v>
      </c>
    </row>
    <row r="403" spans="8:10" ht="15.75" x14ac:dyDescent="0.25">
      <c r="H403" s="164" t="str">
        <f t="shared" si="12"/>
        <v/>
      </c>
      <c r="J403" s="116">
        <f t="shared" ca="1" si="11"/>
        <v>0</v>
      </c>
    </row>
    <row r="404" spans="8:10" ht="15.75" x14ac:dyDescent="0.25">
      <c r="H404" s="164" t="str">
        <f t="shared" si="12"/>
        <v/>
      </c>
      <c r="J404" s="116">
        <f t="shared" ca="1" si="11"/>
        <v>0</v>
      </c>
    </row>
    <row r="405" spans="8:10" ht="15.75" x14ac:dyDescent="0.25">
      <c r="H405" s="164" t="str">
        <f t="shared" si="12"/>
        <v/>
      </c>
      <c r="J405" s="116">
        <f t="shared" ca="1" si="11"/>
        <v>0</v>
      </c>
    </row>
    <row r="406" spans="8:10" ht="15.75" x14ac:dyDescent="0.25">
      <c r="H406" s="164" t="str">
        <f t="shared" si="12"/>
        <v/>
      </c>
      <c r="J406" s="116">
        <f t="shared" ca="1" si="11"/>
        <v>0</v>
      </c>
    </row>
    <row r="407" spans="8:10" ht="15.75" x14ac:dyDescent="0.25">
      <c r="H407" s="164" t="str">
        <f t="shared" si="12"/>
        <v/>
      </c>
      <c r="J407" s="116">
        <f t="shared" ca="1" si="11"/>
        <v>0</v>
      </c>
    </row>
    <row r="408" spans="8:10" ht="15.75" x14ac:dyDescent="0.25">
      <c r="H408" s="164" t="str">
        <f t="shared" si="12"/>
        <v/>
      </c>
      <c r="J408" s="116">
        <f t="shared" ca="1" si="11"/>
        <v>0</v>
      </c>
    </row>
    <row r="409" spans="8:10" ht="15.75" x14ac:dyDescent="0.25">
      <c r="H409" s="164" t="str">
        <f t="shared" si="12"/>
        <v/>
      </c>
      <c r="J409" s="116">
        <f t="shared" ca="1" si="11"/>
        <v>0</v>
      </c>
    </row>
    <row r="410" spans="8:10" ht="15.75" x14ac:dyDescent="0.25">
      <c r="H410" s="164" t="str">
        <f t="shared" si="12"/>
        <v/>
      </c>
      <c r="J410" s="116">
        <f t="shared" ref="J410:J473" ca="1" si="13">IF(H410="",0,IF(F410="",OFFSET(J410,-1,0),F410/G410))</f>
        <v>0</v>
      </c>
    </row>
    <row r="411" spans="8:10" ht="15.75" x14ac:dyDescent="0.25">
      <c r="H411" s="164" t="str">
        <f t="shared" si="12"/>
        <v/>
      </c>
      <c r="J411" s="116">
        <f t="shared" ca="1" si="13"/>
        <v>0</v>
      </c>
    </row>
    <row r="412" spans="8:10" ht="15.75" x14ac:dyDescent="0.25">
      <c r="H412" s="164" t="str">
        <f t="shared" si="12"/>
        <v/>
      </c>
      <c r="J412" s="116">
        <f t="shared" ca="1" si="13"/>
        <v>0</v>
      </c>
    </row>
    <row r="413" spans="8:10" ht="15.75" x14ac:dyDescent="0.25">
      <c r="H413" s="164" t="str">
        <f t="shared" si="12"/>
        <v/>
      </c>
      <c r="J413" s="116">
        <f t="shared" ca="1" si="13"/>
        <v>0</v>
      </c>
    </row>
    <row r="414" spans="8:10" ht="15.75" x14ac:dyDescent="0.25">
      <c r="H414" s="164" t="str">
        <f t="shared" si="12"/>
        <v/>
      </c>
      <c r="J414" s="116">
        <f t="shared" ca="1" si="13"/>
        <v>0</v>
      </c>
    </row>
    <row r="415" spans="8:10" ht="15.75" x14ac:dyDescent="0.25">
      <c r="H415" s="164" t="str">
        <f t="shared" si="12"/>
        <v/>
      </c>
      <c r="J415" s="116">
        <f t="shared" ca="1" si="13"/>
        <v>0</v>
      </c>
    </row>
    <row r="416" spans="8:10" ht="15.75" x14ac:dyDescent="0.25">
      <c r="H416" s="164" t="str">
        <f t="shared" si="12"/>
        <v/>
      </c>
      <c r="J416" s="116">
        <f t="shared" ca="1" si="13"/>
        <v>0</v>
      </c>
    </row>
    <row r="417" spans="8:10" ht="15.75" x14ac:dyDescent="0.25">
      <c r="H417" s="164" t="str">
        <f t="shared" si="12"/>
        <v/>
      </c>
      <c r="J417" s="116">
        <f t="shared" ca="1" si="13"/>
        <v>0</v>
      </c>
    </row>
    <row r="418" spans="8:10" x14ac:dyDescent="0.25">
      <c r="H418" s="108" t="str">
        <f t="shared" ref="H418:H423" si="14">IF(I418&lt;&gt;0,VLOOKUP(I418,nhanvien,3,0),"")</f>
        <v/>
      </c>
      <c r="J418" s="116">
        <f t="shared" ca="1" si="13"/>
        <v>0</v>
      </c>
    </row>
    <row r="419" spans="8:10" x14ac:dyDescent="0.25">
      <c r="H419" s="108" t="str">
        <f t="shared" si="14"/>
        <v/>
      </c>
      <c r="J419" s="116">
        <f t="shared" ca="1" si="13"/>
        <v>0</v>
      </c>
    </row>
    <row r="420" spans="8:10" x14ac:dyDescent="0.25">
      <c r="H420" s="108" t="str">
        <f t="shared" si="14"/>
        <v/>
      </c>
      <c r="J420" s="116">
        <f t="shared" ca="1" si="13"/>
        <v>0</v>
      </c>
    </row>
    <row r="421" spans="8:10" x14ac:dyDescent="0.25">
      <c r="H421" s="108" t="str">
        <f t="shared" si="14"/>
        <v/>
      </c>
      <c r="J421" s="116">
        <f t="shared" ca="1" si="13"/>
        <v>0</v>
      </c>
    </row>
    <row r="422" spans="8:10" x14ac:dyDescent="0.25">
      <c r="H422" s="108" t="str">
        <f t="shared" si="14"/>
        <v/>
      </c>
      <c r="J422" s="116">
        <f t="shared" ca="1" si="13"/>
        <v>0</v>
      </c>
    </row>
    <row r="423" spans="8:10" x14ac:dyDescent="0.25">
      <c r="H423" s="108" t="str">
        <f t="shared" si="14"/>
        <v/>
      </c>
      <c r="J423" s="116">
        <f t="shared" ca="1" si="13"/>
        <v>0</v>
      </c>
    </row>
    <row r="424" spans="8:10" x14ac:dyDescent="0.25">
      <c r="H424" s="108" t="str">
        <f t="shared" ref="H424:H487" si="15">IF(I424&lt;&gt;0,VLOOKUP(I424,nhanvien,3,0),"")</f>
        <v/>
      </c>
      <c r="J424" s="116">
        <f t="shared" ca="1" si="13"/>
        <v>0</v>
      </c>
    </row>
    <row r="425" spans="8:10" x14ac:dyDescent="0.25">
      <c r="H425" s="108" t="str">
        <f t="shared" si="15"/>
        <v/>
      </c>
      <c r="J425" s="116">
        <f t="shared" ca="1" si="13"/>
        <v>0</v>
      </c>
    </row>
    <row r="426" spans="8:10" x14ac:dyDescent="0.25">
      <c r="H426" s="108" t="str">
        <f t="shared" si="15"/>
        <v/>
      </c>
      <c r="J426" s="116">
        <f t="shared" ca="1" si="13"/>
        <v>0</v>
      </c>
    </row>
    <row r="427" spans="8:10" x14ac:dyDescent="0.25">
      <c r="H427" s="108" t="str">
        <f t="shared" si="15"/>
        <v/>
      </c>
      <c r="J427" s="116">
        <f t="shared" ca="1" si="13"/>
        <v>0</v>
      </c>
    </row>
    <row r="428" spans="8:10" x14ac:dyDescent="0.25">
      <c r="H428" s="108" t="str">
        <f t="shared" si="15"/>
        <v/>
      </c>
      <c r="J428" s="116">
        <f t="shared" ca="1" si="13"/>
        <v>0</v>
      </c>
    </row>
    <row r="429" spans="8:10" x14ac:dyDescent="0.25">
      <c r="H429" s="108" t="str">
        <f t="shared" si="15"/>
        <v/>
      </c>
      <c r="J429" s="116">
        <f t="shared" ca="1" si="13"/>
        <v>0</v>
      </c>
    </row>
    <row r="430" spans="8:10" x14ac:dyDescent="0.25">
      <c r="H430" s="108" t="str">
        <f t="shared" si="15"/>
        <v/>
      </c>
      <c r="J430" s="116">
        <f t="shared" ca="1" si="13"/>
        <v>0</v>
      </c>
    </row>
    <row r="431" spans="8:10" x14ac:dyDescent="0.25">
      <c r="H431" s="108" t="str">
        <f t="shared" si="15"/>
        <v/>
      </c>
      <c r="J431" s="116">
        <f t="shared" ca="1" si="13"/>
        <v>0</v>
      </c>
    </row>
    <row r="432" spans="8:10" x14ac:dyDescent="0.25">
      <c r="H432" s="108" t="str">
        <f t="shared" si="15"/>
        <v/>
      </c>
      <c r="J432" s="116">
        <f t="shared" ca="1" si="13"/>
        <v>0</v>
      </c>
    </row>
    <row r="433" spans="8:10" x14ac:dyDescent="0.25">
      <c r="H433" s="108" t="str">
        <f t="shared" si="15"/>
        <v/>
      </c>
      <c r="J433" s="116">
        <f t="shared" ca="1" si="13"/>
        <v>0</v>
      </c>
    </row>
    <row r="434" spans="8:10" x14ac:dyDescent="0.25">
      <c r="H434" s="108" t="str">
        <f t="shared" si="15"/>
        <v/>
      </c>
      <c r="J434" s="116">
        <f t="shared" ca="1" si="13"/>
        <v>0</v>
      </c>
    </row>
    <row r="435" spans="8:10" x14ac:dyDescent="0.25">
      <c r="H435" s="108" t="str">
        <f t="shared" si="15"/>
        <v/>
      </c>
      <c r="J435" s="116">
        <f t="shared" ca="1" si="13"/>
        <v>0</v>
      </c>
    </row>
    <row r="436" spans="8:10" x14ac:dyDescent="0.25">
      <c r="H436" s="108" t="str">
        <f t="shared" si="15"/>
        <v/>
      </c>
      <c r="J436" s="116">
        <f t="shared" ca="1" si="13"/>
        <v>0</v>
      </c>
    </row>
    <row r="437" spans="8:10" x14ac:dyDescent="0.25">
      <c r="H437" s="108" t="str">
        <f t="shared" si="15"/>
        <v/>
      </c>
      <c r="J437" s="116">
        <f t="shared" ca="1" si="13"/>
        <v>0</v>
      </c>
    </row>
    <row r="438" spans="8:10" x14ac:dyDescent="0.25">
      <c r="H438" s="108" t="str">
        <f t="shared" si="15"/>
        <v/>
      </c>
      <c r="J438" s="116">
        <f t="shared" ca="1" si="13"/>
        <v>0</v>
      </c>
    </row>
    <row r="439" spans="8:10" x14ac:dyDescent="0.25">
      <c r="H439" s="108" t="str">
        <f t="shared" si="15"/>
        <v/>
      </c>
      <c r="J439" s="116">
        <f t="shared" ca="1" si="13"/>
        <v>0</v>
      </c>
    </row>
    <row r="440" spans="8:10" x14ac:dyDescent="0.25">
      <c r="H440" s="108" t="str">
        <f t="shared" si="15"/>
        <v/>
      </c>
      <c r="J440" s="116">
        <f t="shared" ca="1" si="13"/>
        <v>0</v>
      </c>
    </row>
    <row r="441" spans="8:10" x14ac:dyDescent="0.25">
      <c r="H441" s="108" t="str">
        <f t="shared" si="15"/>
        <v/>
      </c>
      <c r="J441" s="116">
        <f t="shared" ca="1" si="13"/>
        <v>0</v>
      </c>
    </row>
    <row r="442" spans="8:10" x14ac:dyDescent="0.25">
      <c r="H442" s="108" t="str">
        <f t="shared" si="15"/>
        <v/>
      </c>
      <c r="J442" s="116">
        <f t="shared" ca="1" si="13"/>
        <v>0</v>
      </c>
    </row>
    <row r="443" spans="8:10" x14ac:dyDescent="0.25">
      <c r="H443" s="108" t="str">
        <f t="shared" si="15"/>
        <v/>
      </c>
      <c r="J443" s="116">
        <f t="shared" ca="1" si="13"/>
        <v>0</v>
      </c>
    </row>
    <row r="444" spans="8:10" x14ac:dyDescent="0.25">
      <c r="H444" s="108" t="str">
        <f t="shared" si="15"/>
        <v/>
      </c>
      <c r="J444" s="116">
        <f t="shared" ca="1" si="13"/>
        <v>0</v>
      </c>
    </row>
    <row r="445" spans="8:10" x14ac:dyDescent="0.25">
      <c r="H445" s="108" t="str">
        <f t="shared" si="15"/>
        <v/>
      </c>
      <c r="J445" s="116">
        <f t="shared" ca="1" si="13"/>
        <v>0</v>
      </c>
    </row>
    <row r="446" spans="8:10" x14ac:dyDescent="0.25">
      <c r="H446" s="108" t="str">
        <f t="shared" si="15"/>
        <v/>
      </c>
      <c r="J446" s="116">
        <f t="shared" ca="1" si="13"/>
        <v>0</v>
      </c>
    </row>
    <row r="447" spans="8:10" x14ac:dyDescent="0.25">
      <c r="H447" s="108" t="str">
        <f t="shared" si="15"/>
        <v/>
      </c>
      <c r="J447" s="116">
        <f t="shared" ca="1" si="13"/>
        <v>0</v>
      </c>
    </row>
    <row r="448" spans="8:10" x14ac:dyDescent="0.25">
      <c r="H448" s="108" t="str">
        <f t="shared" si="15"/>
        <v/>
      </c>
      <c r="J448" s="116">
        <f t="shared" ca="1" si="13"/>
        <v>0</v>
      </c>
    </row>
    <row r="449" spans="8:10" x14ac:dyDescent="0.25">
      <c r="H449" s="108" t="str">
        <f t="shared" si="15"/>
        <v/>
      </c>
      <c r="J449" s="116">
        <f t="shared" ca="1" si="13"/>
        <v>0</v>
      </c>
    </row>
    <row r="450" spans="8:10" x14ac:dyDescent="0.25">
      <c r="H450" s="108" t="str">
        <f t="shared" si="15"/>
        <v/>
      </c>
      <c r="J450" s="116">
        <f t="shared" ca="1" si="13"/>
        <v>0</v>
      </c>
    </row>
    <row r="451" spans="8:10" x14ac:dyDescent="0.25">
      <c r="H451" s="108" t="str">
        <f t="shared" si="15"/>
        <v/>
      </c>
      <c r="J451" s="116">
        <f t="shared" ca="1" si="13"/>
        <v>0</v>
      </c>
    </row>
    <row r="452" spans="8:10" x14ac:dyDescent="0.25">
      <c r="H452" s="108" t="str">
        <f t="shared" si="15"/>
        <v/>
      </c>
      <c r="J452" s="116">
        <f t="shared" ca="1" si="13"/>
        <v>0</v>
      </c>
    </row>
    <row r="453" spans="8:10" x14ac:dyDescent="0.25">
      <c r="H453" s="108" t="str">
        <f t="shared" si="15"/>
        <v/>
      </c>
      <c r="J453" s="116">
        <f t="shared" ca="1" si="13"/>
        <v>0</v>
      </c>
    </row>
    <row r="454" spans="8:10" x14ac:dyDescent="0.25">
      <c r="H454" s="108" t="str">
        <f t="shared" si="15"/>
        <v/>
      </c>
      <c r="J454" s="116">
        <f t="shared" ca="1" si="13"/>
        <v>0</v>
      </c>
    </row>
    <row r="455" spans="8:10" x14ac:dyDescent="0.25">
      <c r="H455" s="108" t="str">
        <f t="shared" si="15"/>
        <v/>
      </c>
      <c r="J455" s="116">
        <f t="shared" ca="1" si="13"/>
        <v>0</v>
      </c>
    </row>
    <row r="456" spans="8:10" x14ac:dyDescent="0.25">
      <c r="H456" s="108" t="str">
        <f t="shared" si="15"/>
        <v/>
      </c>
      <c r="J456" s="116">
        <f t="shared" ca="1" si="13"/>
        <v>0</v>
      </c>
    </row>
    <row r="457" spans="8:10" x14ac:dyDescent="0.25">
      <c r="H457" s="108" t="str">
        <f t="shared" si="15"/>
        <v/>
      </c>
      <c r="J457" s="116">
        <f t="shared" ca="1" si="13"/>
        <v>0</v>
      </c>
    </row>
    <row r="458" spans="8:10" x14ac:dyDescent="0.25">
      <c r="H458" s="108" t="str">
        <f t="shared" si="15"/>
        <v/>
      </c>
      <c r="J458" s="116">
        <f t="shared" ca="1" si="13"/>
        <v>0</v>
      </c>
    </row>
    <row r="459" spans="8:10" x14ac:dyDescent="0.25">
      <c r="H459" s="108" t="str">
        <f t="shared" si="15"/>
        <v/>
      </c>
      <c r="J459" s="116">
        <f t="shared" ca="1" si="13"/>
        <v>0</v>
      </c>
    </row>
    <row r="460" spans="8:10" x14ac:dyDescent="0.25">
      <c r="H460" s="108" t="str">
        <f t="shared" si="15"/>
        <v/>
      </c>
      <c r="J460" s="116">
        <f t="shared" ca="1" si="13"/>
        <v>0</v>
      </c>
    </row>
    <row r="461" spans="8:10" x14ac:dyDescent="0.25">
      <c r="H461" s="108" t="str">
        <f t="shared" si="15"/>
        <v/>
      </c>
      <c r="J461" s="116">
        <f t="shared" ca="1" si="13"/>
        <v>0</v>
      </c>
    </row>
    <row r="462" spans="8:10" x14ac:dyDescent="0.25">
      <c r="H462" s="108" t="str">
        <f t="shared" si="15"/>
        <v/>
      </c>
      <c r="J462" s="116">
        <f t="shared" ca="1" si="13"/>
        <v>0</v>
      </c>
    </row>
    <row r="463" spans="8:10" x14ac:dyDescent="0.25">
      <c r="H463" s="108" t="str">
        <f t="shared" si="15"/>
        <v/>
      </c>
      <c r="J463" s="116">
        <f t="shared" ca="1" si="13"/>
        <v>0</v>
      </c>
    </row>
    <row r="464" spans="8:10" x14ac:dyDescent="0.25">
      <c r="H464" s="108" t="str">
        <f t="shared" si="15"/>
        <v/>
      </c>
      <c r="J464" s="116">
        <f t="shared" ca="1" si="13"/>
        <v>0</v>
      </c>
    </row>
    <row r="465" spans="8:10" x14ac:dyDescent="0.25">
      <c r="H465" s="108" t="str">
        <f t="shared" si="15"/>
        <v/>
      </c>
      <c r="J465" s="116">
        <f t="shared" ca="1" si="13"/>
        <v>0</v>
      </c>
    </row>
    <row r="466" spans="8:10" x14ac:dyDescent="0.25">
      <c r="H466" s="108" t="str">
        <f t="shared" si="15"/>
        <v/>
      </c>
      <c r="J466" s="116">
        <f t="shared" ca="1" si="13"/>
        <v>0</v>
      </c>
    </row>
    <row r="467" spans="8:10" x14ac:dyDescent="0.25">
      <c r="H467" s="108" t="str">
        <f t="shared" si="15"/>
        <v/>
      </c>
      <c r="J467" s="116">
        <f t="shared" ca="1" si="13"/>
        <v>0</v>
      </c>
    </row>
    <row r="468" spans="8:10" x14ac:dyDescent="0.25">
      <c r="H468" s="108" t="str">
        <f t="shared" si="15"/>
        <v/>
      </c>
      <c r="J468" s="116">
        <f t="shared" ca="1" si="13"/>
        <v>0</v>
      </c>
    </row>
    <row r="469" spans="8:10" x14ac:dyDescent="0.25">
      <c r="H469" s="108" t="str">
        <f t="shared" si="15"/>
        <v/>
      </c>
      <c r="J469" s="116">
        <f t="shared" ca="1" si="13"/>
        <v>0</v>
      </c>
    </row>
    <row r="470" spans="8:10" x14ac:dyDescent="0.25">
      <c r="H470" s="108" t="str">
        <f t="shared" si="15"/>
        <v/>
      </c>
      <c r="J470" s="116">
        <f t="shared" ca="1" si="13"/>
        <v>0</v>
      </c>
    </row>
    <row r="471" spans="8:10" x14ac:dyDescent="0.25">
      <c r="H471" s="108" t="str">
        <f t="shared" si="15"/>
        <v/>
      </c>
      <c r="J471" s="116">
        <f t="shared" ca="1" si="13"/>
        <v>0</v>
      </c>
    </row>
    <row r="472" spans="8:10" x14ac:dyDescent="0.25">
      <c r="H472" s="108" t="str">
        <f t="shared" si="15"/>
        <v/>
      </c>
      <c r="J472" s="116">
        <f t="shared" ca="1" si="13"/>
        <v>0</v>
      </c>
    </row>
    <row r="473" spans="8:10" x14ac:dyDescent="0.25">
      <c r="H473" s="108" t="str">
        <f t="shared" si="15"/>
        <v/>
      </c>
      <c r="J473" s="116">
        <f t="shared" ca="1" si="13"/>
        <v>0</v>
      </c>
    </row>
    <row r="474" spans="8:10" x14ac:dyDescent="0.25">
      <c r="H474" s="108" t="str">
        <f t="shared" si="15"/>
        <v/>
      </c>
      <c r="J474" s="116">
        <f t="shared" ref="J474:J537" ca="1" si="16">IF(H474="",0,IF(F474="",OFFSET(J474,-1,0),F474/G474))</f>
        <v>0</v>
      </c>
    </row>
    <row r="475" spans="8:10" x14ac:dyDescent="0.25">
      <c r="H475" s="108" t="str">
        <f t="shared" si="15"/>
        <v/>
      </c>
      <c r="J475" s="116">
        <f t="shared" ca="1" si="16"/>
        <v>0</v>
      </c>
    </row>
    <row r="476" spans="8:10" x14ac:dyDescent="0.25">
      <c r="H476" s="108" t="str">
        <f t="shared" si="15"/>
        <v/>
      </c>
      <c r="J476" s="116">
        <f t="shared" ca="1" si="16"/>
        <v>0</v>
      </c>
    </row>
    <row r="477" spans="8:10" x14ac:dyDescent="0.25">
      <c r="H477" s="108" t="str">
        <f t="shared" si="15"/>
        <v/>
      </c>
      <c r="J477" s="116">
        <f t="shared" ca="1" si="16"/>
        <v>0</v>
      </c>
    </row>
    <row r="478" spans="8:10" x14ac:dyDescent="0.25">
      <c r="H478" s="108" t="str">
        <f t="shared" si="15"/>
        <v/>
      </c>
      <c r="J478" s="116">
        <f t="shared" ca="1" si="16"/>
        <v>0</v>
      </c>
    </row>
    <row r="479" spans="8:10" x14ac:dyDescent="0.25">
      <c r="H479" s="108" t="str">
        <f t="shared" si="15"/>
        <v/>
      </c>
      <c r="J479" s="116">
        <f t="shared" ca="1" si="16"/>
        <v>0</v>
      </c>
    </row>
    <row r="480" spans="8:10" x14ac:dyDescent="0.25">
      <c r="H480" s="108" t="str">
        <f t="shared" si="15"/>
        <v/>
      </c>
      <c r="J480" s="116">
        <f t="shared" ca="1" si="16"/>
        <v>0</v>
      </c>
    </row>
    <row r="481" spans="8:10" x14ac:dyDescent="0.25">
      <c r="H481" s="108" t="str">
        <f t="shared" si="15"/>
        <v/>
      </c>
      <c r="J481" s="116">
        <f t="shared" ca="1" si="16"/>
        <v>0</v>
      </c>
    </row>
    <row r="482" spans="8:10" x14ac:dyDescent="0.25">
      <c r="H482" s="108" t="str">
        <f t="shared" si="15"/>
        <v/>
      </c>
      <c r="J482" s="116">
        <f t="shared" ca="1" si="16"/>
        <v>0</v>
      </c>
    </row>
    <row r="483" spans="8:10" x14ac:dyDescent="0.25">
      <c r="H483" s="108" t="str">
        <f t="shared" si="15"/>
        <v/>
      </c>
      <c r="J483" s="116">
        <f t="shared" ca="1" si="16"/>
        <v>0</v>
      </c>
    </row>
    <row r="484" spans="8:10" x14ac:dyDescent="0.25">
      <c r="H484" s="108" t="str">
        <f t="shared" si="15"/>
        <v/>
      </c>
      <c r="J484" s="116">
        <f t="shared" ca="1" si="16"/>
        <v>0</v>
      </c>
    </row>
    <row r="485" spans="8:10" x14ac:dyDescent="0.25">
      <c r="H485" s="108" t="str">
        <f t="shared" si="15"/>
        <v/>
      </c>
      <c r="J485" s="116">
        <f t="shared" ca="1" si="16"/>
        <v>0</v>
      </c>
    </row>
    <row r="486" spans="8:10" x14ac:dyDescent="0.25">
      <c r="H486" s="108" t="str">
        <f t="shared" si="15"/>
        <v/>
      </c>
      <c r="J486" s="116">
        <f t="shared" ca="1" si="16"/>
        <v>0</v>
      </c>
    </row>
    <row r="487" spans="8:10" x14ac:dyDescent="0.25">
      <c r="H487" s="108" t="str">
        <f t="shared" si="15"/>
        <v/>
      </c>
      <c r="J487" s="116">
        <f t="shared" ca="1" si="16"/>
        <v>0</v>
      </c>
    </row>
    <row r="488" spans="8:10" x14ac:dyDescent="0.25">
      <c r="H488" s="108" t="str">
        <f t="shared" ref="H488:H551" si="17">IF(I488&lt;&gt;0,VLOOKUP(I488,nhanvien,3,0),"")</f>
        <v/>
      </c>
      <c r="J488" s="116">
        <f t="shared" ca="1" si="16"/>
        <v>0</v>
      </c>
    </row>
    <row r="489" spans="8:10" x14ac:dyDescent="0.25">
      <c r="H489" s="108" t="str">
        <f t="shared" si="17"/>
        <v/>
      </c>
      <c r="J489" s="116">
        <f t="shared" ca="1" si="16"/>
        <v>0</v>
      </c>
    </row>
    <row r="490" spans="8:10" x14ac:dyDescent="0.25">
      <c r="H490" s="108" t="str">
        <f t="shared" si="17"/>
        <v/>
      </c>
      <c r="J490" s="116">
        <f t="shared" ca="1" si="16"/>
        <v>0</v>
      </c>
    </row>
    <row r="491" spans="8:10" x14ac:dyDescent="0.25">
      <c r="H491" s="108" t="str">
        <f t="shared" si="17"/>
        <v/>
      </c>
      <c r="J491" s="116">
        <f t="shared" ca="1" si="16"/>
        <v>0</v>
      </c>
    </row>
    <row r="492" spans="8:10" x14ac:dyDescent="0.25">
      <c r="H492" s="108" t="str">
        <f t="shared" si="17"/>
        <v/>
      </c>
      <c r="J492" s="116">
        <f t="shared" ca="1" si="16"/>
        <v>0</v>
      </c>
    </row>
    <row r="493" spans="8:10" x14ac:dyDescent="0.25">
      <c r="H493" s="108" t="str">
        <f t="shared" si="17"/>
        <v/>
      </c>
      <c r="J493" s="116">
        <f t="shared" ca="1" si="16"/>
        <v>0</v>
      </c>
    </row>
    <row r="494" spans="8:10" x14ac:dyDescent="0.25">
      <c r="H494" s="108" t="str">
        <f t="shared" si="17"/>
        <v/>
      </c>
      <c r="J494" s="116">
        <f t="shared" ca="1" si="16"/>
        <v>0</v>
      </c>
    </row>
    <row r="495" spans="8:10" x14ac:dyDescent="0.25">
      <c r="H495" s="108" t="str">
        <f t="shared" si="17"/>
        <v/>
      </c>
      <c r="J495" s="116">
        <f t="shared" ca="1" si="16"/>
        <v>0</v>
      </c>
    </row>
    <row r="496" spans="8:10" x14ac:dyDescent="0.25">
      <c r="H496" s="108" t="str">
        <f t="shared" si="17"/>
        <v/>
      </c>
      <c r="J496" s="116">
        <f t="shared" ca="1" si="16"/>
        <v>0</v>
      </c>
    </row>
    <row r="497" spans="8:10" x14ac:dyDescent="0.25">
      <c r="H497" s="108" t="str">
        <f t="shared" si="17"/>
        <v/>
      </c>
      <c r="J497" s="116">
        <f t="shared" ca="1" si="16"/>
        <v>0</v>
      </c>
    </row>
    <row r="498" spans="8:10" x14ac:dyDescent="0.25">
      <c r="H498" s="108" t="str">
        <f t="shared" si="17"/>
        <v/>
      </c>
      <c r="J498" s="116">
        <f t="shared" ca="1" si="16"/>
        <v>0</v>
      </c>
    </row>
    <row r="499" spans="8:10" x14ac:dyDescent="0.25">
      <c r="H499" s="108" t="str">
        <f t="shared" si="17"/>
        <v/>
      </c>
      <c r="J499" s="116">
        <f t="shared" ca="1" si="16"/>
        <v>0</v>
      </c>
    </row>
    <row r="500" spans="8:10" x14ac:dyDescent="0.25">
      <c r="H500" s="108" t="str">
        <f t="shared" si="17"/>
        <v/>
      </c>
      <c r="J500" s="116">
        <f t="shared" ca="1" si="16"/>
        <v>0</v>
      </c>
    </row>
    <row r="501" spans="8:10" x14ac:dyDescent="0.25">
      <c r="H501" s="108" t="str">
        <f t="shared" si="17"/>
        <v/>
      </c>
      <c r="J501" s="116">
        <f t="shared" ca="1" si="16"/>
        <v>0</v>
      </c>
    </row>
    <row r="502" spans="8:10" x14ac:dyDescent="0.25">
      <c r="H502" s="108" t="str">
        <f t="shared" si="17"/>
        <v/>
      </c>
      <c r="J502" s="116">
        <f t="shared" ca="1" si="16"/>
        <v>0</v>
      </c>
    </row>
    <row r="503" spans="8:10" x14ac:dyDescent="0.25">
      <c r="H503" s="108" t="str">
        <f t="shared" si="17"/>
        <v/>
      </c>
      <c r="J503" s="116">
        <f t="shared" ca="1" si="16"/>
        <v>0</v>
      </c>
    </row>
    <row r="504" spans="8:10" x14ac:dyDescent="0.25">
      <c r="H504" s="108" t="str">
        <f t="shared" si="17"/>
        <v/>
      </c>
      <c r="J504" s="116">
        <f t="shared" ca="1" si="16"/>
        <v>0</v>
      </c>
    </row>
    <row r="505" spans="8:10" x14ac:dyDescent="0.25">
      <c r="H505" s="108" t="str">
        <f t="shared" si="17"/>
        <v/>
      </c>
      <c r="J505" s="116">
        <f t="shared" ca="1" si="16"/>
        <v>0</v>
      </c>
    </row>
    <row r="506" spans="8:10" x14ac:dyDescent="0.25">
      <c r="H506" s="108" t="str">
        <f t="shared" si="17"/>
        <v/>
      </c>
      <c r="J506" s="116">
        <f t="shared" ca="1" si="16"/>
        <v>0</v>
      </c>
    </row>
    <row r="507" spans="8:10" x14ac:dyDescent="0.25">
      <c r="H507" s="108" t="str">
        <f t="shared" si="17"/>
        <v/>
      </c>
      <c r="J507" s="116">
        <f t="shared" ca="1" si="16"/>
        <v>0</v>
      </c>
    </row>
    <row r="508" spans="8:10" x14ac:dyDescent="0.25">
      <c r="H508" s="108" t="str">
        <f t="shared" si="17"/>
        <v/>
      </c>
      <c r="J508" s="116">
        <f t="shared" ca="1" si="16"/>
        <v>0</v>
      </c>
    </row>
    <row r="509" spans="8:10" x14ac:dyDescent="0.25">
      <c r="H509" s="108" t="str">
        <f t="shared" si="17"/>
        <v/>
      </c>
      <c r="J509" s="116">
        <f t="shared" ca="1" si="16"/>
        <v>0</v>
      </c>
    </row>
    <row r="510" spans="8:10" x14ac:dyDescent="0.25">
      <c r="H510" s="108" t="str">
        <f t="shared" si="17"/>
        <v/>
      </c>
      <c r="J510" s="116">
        <f t="shared" ca="1" si="16"/>
        <v>0</v>
      </c>
    </row>
    <row r="511" spans="8:10" x14ac:dyDescent="0.25">
      <c r="H511" s="108" t="str">
        <f t="shared" si="17"/>
        <v/>
      </c>
      <c r="J511" s="116">
        <f t="shared" ca="1" si="16"/>
        <v>0</v>
      </c>
    </row>
    <row r="512" spans="8:10" x14ac:dyDescent="0.25">
      <c r="H512" s="108" t="str">
        <f t="shared" si="17"/>
        <v/>
      </c>
      <c r="J512" s="116">
        <f t="shared" ca="1" si="16"/>
        <v>0</v>
      </c>
    </row>
    <row r="513" spans="8:10" x14ac:dyDescent="0.25">
      <c r="H513" s="108" t="str">
        <f t="shared" si="17"/>
        <v/>
      </c>
      <c r="J513" s="116">
        <f t="shared" ca="1" si="16"/>
        <v>0</v>
      </c>
    </row>
    <row r="514" spans="8:10" x14ac:dyDescent="0.25">
      <c r="H514" s="108" t="str">
        <f t="shared" si="17"/>
        <v/>
      </c>
      <c r="J514" s="116">
        <f t="shared" ca="1" si="16"/>
        <v>0</v>
      </c>
    </row>
    <row r="515" spans="8:10" x14ac:dyDescent="0.25">
      <c r="H515" s="108" t="str">
        <f t="shared" si="17"/>
        <v/>
      </c>
      <c r="J515" s="116">
        <f t="shared" ca="1" si="16"/>
        <v>0</v>
      </c>
    </row>
    <row r="516" spans="8:10" x14ac:dyDescent="0.25">
      <c r="H516" s="108" t="str">
        <f t="shared" si="17"/>
        <v/>
      </c>
      <c r="J516" s="116">
        <f t="shared" ca="1" si="16"/>
        <v>0</v>
      </c>
    </row>
    <row r="517" spans="8:10" x14ac:dyDescent="0.25">
      <c r="H517" s="108" t="str">
        <f t="shared" si="17"/>
        <v/>
      </c>
      <c r="J517" s="116">
        <f t="shared" ca="1" si="16"/>
        <v>0</v>
      </c>
    </row>
    <row r="518" spans="8:10" x14ac:dyDescent="0.25">
      <c r="H518" s="108" t="str">
        <f t="shared" si="17"/>
        <v/>
      </c>
      <c r="J518" s="116">
        <f t="shared" ca="1" si="16"/>
        <v>0</v>
      </c>
    </row>
    <row r="519" spans="8:10" x14ac:dyDescent="0.25">
      <c r="H519" s="108" t="str">
        <f t="shared" si="17"/>
        <v/>
      </c>
      <c r="J519" s="116">
        <f t="shared" ca="1" si="16"/>
        <v>0</v>
      </c>
    </row>
    <row r="520" spans="8:10" x14ac:dyDescent="0.25">
      <c r="H520" s="108" t="str">
        <f t="shared" si="17"/>
        <v/>
      </c>
      <c r="J520" s="116">
        <f t="shared" ca="1" si="16"/>
        <v>0</v>
      </c>
    </row>
    <row r="521" spans="8:10" x14ac:dyDescent="0.25">
      <c r="H521" s="108" t="str">
        <f t="shared" si="17"/>
        <v/>
      </c>
      <c r="J521" s="116">
        <f t="shared" ca="1" si="16"/>
        <v>0</v>
      </c>
    </row>
    <row r="522" spans="8:10" x14ac:dyDescent="0.25">
      <c r="H522" s="108" t="str">
        <f t="shared" si="17"/>
        <v/>
      </c>
      <c r="J522" s="116">
        <f t="shared" ca="1" si="16"/>
        <v>0</v>
      </c>
    </row>
    <row r="523" spans="8:10" x14ac:dyDescent="0.25">
      <c r="H523" s="108" t="str">
        <f t="shared" si="17"/>
        <v/>
      </c>
      <c r="J523" s="116">
        <f t="shared" ca="1" si="16"/>
        <v>0</v>
      </c>
    </row>
    <row r="524" spans="8:10" x14ac:dyDescent="0.25">
      <c r="H524" s="108" t="str">
        <f t="shared" si="17"/>
        <v/>
      </c>
      <c r="J524" s="116">
        <f t="shared" ca="1" si="16"/>
        <v>0</v>
      </c>
    </row>
    <row r="525" spans="8:10" x14ac:dyDescent="0.25">
      <c r="H525" s="108" t="str">
        <f t="shared" si="17"/>
        <v/>
      </c>
      <c r="J525" s="116">
        <f t="shared" ca="1" si="16"/>
        <v>0</v>
      </c>
    </row>
    <row r="526" spans="8:10" x14ac:dyDescent="0.25">
      <c r="H526" s="108" t="str">
        <f t="shared" si="17"/>
        <v/>
      </c>
      <c r="J526" s="116">
        <f t="shared" ca="1" si="16"/>
        <v>0</v>
      </c>
    </row>
    <row r="527" spans="8:10" x14ac:dyDescent="0.25">
      <c r="H527" s="108" t="str">
        <f t="shared" si="17"/>
        <v/>
      </c>
      <c r="J527" s="116">
        <f t="shared" ca="1" si="16"/>
        <v>0</v>
      </c>
    </row>
    <row r="528" spans="8:10" x14ac:dyDescent="0.25">
      <c r="H528" s="108" t="str">
        <f t="shared" si="17"/>
        <v/>
      </c>
      <c r="J528" s="116">
        <f t="shared" ca="1" si="16"/>
        <v>0</v>
      </c>
    </row>
    <row r="529" spans="8:10" x14ac:dyDescent="0.25">
      <c r="H529" s="108" t="str">
        <f t="shared" si="17"/>
        <v/>
      </c>
      <c r="J529" s="116">
        <f t="shared" ca="1" si="16"/>
        <v>0</v>
      </c>
    </row>
    <row r="530" spans="8:10" x14ac:dyDescent="0.25">
      <c r="H530" s="108" t="str">
        <f t="shared" si="17"/>
        <v/>
      </c>
      <c r="J530" s="116">
        <f t="shared" ca="1" si="16"/>
        <v>0</v>
      </c>
    </row>
    <row r="531" spans="8:10" x14ac:dyDescent="0.25">
      <c r="H531" s="108" t="str">
        <f t="shared" si="17"/>
        <v/>
      </c>
      <c r="J531" s="116">
        <f t="shared" ca="1" si="16"/>
        <v>0</v>
      </c>
    </row>
    <row r="532" spans="8:10" x14ac:dyDescent="0.25">
      <c r="H532" s="108" t="str">
        <f t="shared" si="17"/>
        <v/>
      </c>
      <c r="J532" s="116">
        <f t="shared" ca="1" si="16"/>
        <v>0</v>
      </c>
    </row>
    <row r="533" spans="8:10" x14ac:dyDescent="0.25">
      <c r="H533" s="108" t="str">
        <f t="shared" si="17"/>
        <v/>
      </c>
      <c r="J533" s="116">
        <f t="shared" ca="1" si="16"/>
        <v>0</v>
      </c>
    </row>
    <row r="534" spans="8:10" x14ac:dyDescent="0.25">
      <c r="H534" s="108" t="str">
        <f t="shared" si="17"/>
        <v/>
      </c>
      <c r="J534" s="116">
        <f t="shared" ca="1" si="16"/>
        <v>0</v>
      </c>
    </row>
    <row r="535" spans="8:10" x14ac:dyDescent="0.25">
      <c r="H535" s="108" t="str">
        <f t="shared" si="17"/>
        <v/>
      </c>
      <c r="J535" s="116">
        <f t="shared" ca="1" si="16"/>
        <v>0</v>
      </c>
    </row>
    <row r="536" spans="8:10" x14ac:dyDescent="0.25">
      <c r="H536" s="108" t="str">
        <f t="shared" si="17"/>
        <v/>
      </c>
      <c r="J536" s="116">
        <f t="shared" ca="1" si="16"/>
        <v>0</v>
      </c>
    </row>
    <row r="537" spans="8:10" x14ac:dyDescent="0.25">
      <c r="H537" s="108" t="str">
        <f t="shared" si="17"/>
        <v/>
      </c>
      <c r="J537" s="116">
        <f t="shared" ca="1" si="16"/>
        <v>0</v>
      </c>
    </row>
    <row r="538" spans="8:10" x14ac:dyDescent="0.25">
      <c r="H538" s="108" t="str">
        <f t="shared" si="17"/>
        <v/>
      </c>
      <c r="J538" s="116">
        <f t="shared" ref="J538:J601" ca="1" si="18">IF(H538="",0,IF(F538="",OFFSET(J538,-1,0),F538/G538))</f>
        <v>0</v>
      </c>
    </row>
    <row r="539" spans="8:10" x14ac:dyDescent="0.25">
      <c r="H539" s="108" t="str">
        <f t="shared" si="17"/>
        <v/>
      </c>
      <c r="J539" s="116">
        <f t="shared" ca="1" si="18"/>
        <v>0</v>
      </c>
    </row>
    <row r="540" spans="8:10" x14ac:dyDescent="0.25">
      <c r="H540" s="108" t="str">
        <f t="shared" si="17"/>
        <v/>
      </c>
      <c r="J540" s="116">
        <f t="shared" ca="1" si="18"/>
        <v>0</v>
      </c>
    </row>
    <row r="541" spans="8:10" x14ac:dyDescent="0.25">
      <c r="H541" s="108" t="str">
        <f t="shared" si="17"/>
        <v/>
      </c>
      <c r="J541" s="116">
        <f t="shared" ca="1" si="18"/>
        <v>0</v>
      </c>
    </row>
    <row r="542" spans="8:10" x14ac:dyDescent="0.25">
      <c r="H542" s="108" t="str">
        <f t="shared" si="17"/>
        <v/>
      </c>
      <c r="J542" s="116">
        <f t="shared" ca="1" si="18"/>
        <v>0</v>
      </c>
    </row>
    <row r="543" spans="8:10" x14ac:dyDescent="0.25">
      <c r="H543" s="108" t="str">
        <f t="shared" si="17"/>
        <v/>
      </c>
      <c r="J543" s="116">
        <f t="shared" ca="1" si="18"/>
        <v>0</v>
      </c>
    </row>
    <row r="544" spans="8:10" x14ac:dyDescent="0.25">
      <c r="H544" s="108" t="str">
        <f t="shared" si="17"/>
        <v/>
      </c>
      <c r="J544" s="116">
        <f t="shared" ca="1" si="18"/>
        <v>0</v>
      </c>
    </row>
    <row r="545" spans="8:10" x14ac:dyDescent="0.25">
      <c r="H545" s="108" t="str">
        <f t="shared" si="17"/>
        <v/>
      </c>
      <c r="J545" s="116">
        <f t="shared" ca="1" si="18"/>
        <v>0</v>
      </c>
    </row>
    <row r="546" spans="8:10" x14ac:dyDescent="0.25">
      <c r="H546" s="108" t="str">
        <f t="shared" si="17"/>
        <v/>
      </c>
      <c r="J546" s="116">
        <f t="shared" ca="1" si="18"/>
        <v>0</v>
      </c>
    </row>
    <row r="547" spans="8:10" x14ac:dyDescent="0.25">
      <c r="H547" s="108" t="str">
        <f t="shared" si="17"/>
        <v/>
      </c>
      <c r="J547" s="116">
        <f t="shared" ca="1" si="18"/>
        <v>0</v>
      </c>
    </row>
    <row r="548" spans="8:10" x14ac:dyDescent="0.25">
      <c r="H548" s="108" t="str">
        <f t="shared" si="17"/>
        <v/>
      </c>
      <c r="J548" s="116">
        <f t="shared" ca="1" si="18"/>
        <v>0</v>
      </c>
    </row>
    <row r="549" spans="8:10" x14ac:dyDescent="0.25">
      <c r="H549" s="108" t="str">
        <f t="shared" si="17"/>
        <v/>
      </c>
      <c r="J549" s="116">
        <f t="shared" ca="1" si="18"/>
        <v>0</v>
      </c>
    </row>
    <row r="550" spans="8:10" x14ac:dyDescent="0.25">
      <c r="H550" s="108" t="str">
        <f t="shared" si="17"/>
        <v/>
      </c>
      <c r="J550" s="116">
        <f t="shared" ca="1" si="18"/>
        <v>0</v>
      </c>
    </row>
    <row r="551" spans="8:10" x14ac:dyDescent="0.25">
      <c r="H551" s="108" t="str">
        <f t="shared" si="17"/>
        <v/>
      </c>
      <c r="J551" s="116">
        <f t="shared" ca="1" si="18"/>
        <v>0</v>
      </c>
    </row>
    <row r="552" spans="8:10" x14ac:dyDescent="0.25">
      <c r="H552" s="108" t="str">
        <f t="shared" ref="H552:H615" si="19">IF(I552&lt;&gt;0,VLOOKUP(I552,nhanvien,3,0),"")</f>
        <v/>
      </c>
      <c r="J552" s="116">
        <f t="shared" ca="1" si="18"/>
        <v>0</v>
      </c>
    </row>
    <row r="553" spans="8:10" x14ac:dyDescent="0.25">
      <c r="H553" s="108" t="str">
        <f t="shared" si="19"/>
        <v/>
      </c>
      <c r="J553" s="116">
        <f t="shared" ca="1" si="18"/>
        <v>0</v>
      </c>
    </row>
    <row r="554" spans="8:10" x14ac:dyDescent="0.25">
      <c r="H554" s="108" t="str">
        <f t="shared" si="19"/>
        <v/>
      </c>
      <c r="J554" s="116">
        <f t="shared" ca="1" si="18"/>
        <v>0</v>
      </c>
    </row>
    <row r="555" spans="8:10" x14ac:dyDescent="0.25">
      <c r="H555" s="108" t="str">
        <f t="shared" si="19"/>
        <v/>
      </c>
      <c r="J555" s="116">
        <f t="shared" ca="1" si="18"/>
        <v>0</v>
      </c>
    </row>
    <row r="556" spans="8:10" x14ac:dyDescent="0.25">
      <c r="H556" s="108" t="str">
        <f t="shared" si="19"/>
        <v/>
      </c>
      <c r="J556" s="116">
        <f t="shared" ca="1" si="18"/>
        <v>0</v>
      </c>
    </row>
    <row r="557" spans="8:10" x14ac:dyDescent="0.25">
      <c r="H557" s="108" t="str">
        <f t="shared" si="19"/>
        <v/>
      </c>
      <c r="J557" s="116">
        <f t="shared" ca="1" si="18"/>
        <v>0</v>
      </c>
    </row>
    <row r="558" spans="8:10" x14ac:dyDescent="0.25">
      <c r="H558" s="108" t="str">
        <f t="shared" si="19"/>
        <v/>
      </c>
      <c r="J558" s="116">
        <f t="shared" ca="1" si="18"/>
        <v>0</v>
      </c>
    </row>
    <row r="559" spans="8:10" x14ac:dyDescent="0.25">
      <c r="H559" s="108" t="str">
        <f t="shared" si="19"/>
        <v/>
      </c>
      <c r="J559" s="116">
        <f t="shared" ca="1" si="18"/>
        <v>0</v>
      </c>
    </row>
    <row r="560" spans="8:10" x14ac:dyDescent="0.25">
      <c r="H560" s="108" t="str">
        <f t="shared" si="19"/>
        <v/>
      </c>
      <c r="J560" s="116">
        <f t="shared" ca="1" si="18"/>
        <v>0</v>
      </c>
    </row>
    <row r="561" spans="8:10" x14ac:dyDescent="0.25">
      <c r="H561" s="108" t="str">
        <f t="shared" si="19"/>
        <v/>
      </c>
      <c r="J561" s="116">
        <f t="shared" ca="1" si="18"/>
        <v>0</v>
      </c>
    </row>
    <row r="562" spans="8:10" x14ac:dyDescent="0.25">
      <c r="H562" s="108" t="str">
        <f t="shared" si="19"/>
        <v/>
      </c>
      <c r="J562" s="116">
        <f t="shared" ca="1" si="18"/>
        <v>0</v>
      </c>
    </row>
    <row r="563" spans="8:10" x14ac:dyDescent="0.25">
      <c r="H563" s="108" t="str">
        <f t="shared" si="19"/>
        <v/>
      </c>
      <c r="J563" s="116">
        <f t="shared" ca="1" si="18"/>
        <v>0</v>
      </c>
    </row>
    <row r="564" spans="8:10" x14ac:dyDescent="0.25">
      <c r="H564" s="108" t="str">
        <f t="shared" si="19"/>
        <v/>
      </c>
      <c r="J564" s="116">
        <f t="shared" ca="1" si="18"/>
        <v>0</v>
      </c>
    </row>
    <row r="565" spans="8:10" x14ac:dyDescent="0.25">
      <c r="H565" s="108" t="str">
        <f t="shared" si="19"/>
        <v/>
      </c>
      <c r="J565" s="116">
        <f t="shared" ca="1" si="18"/>
        <v>0</v>
      </c>
    </row>
    <row r="566" spans="8:10" x14ac:dyDescent="0.25">
      <c r="H566" s="108" t="str">
        <f t="shared" si="19"/>
        <v/>
      </c>
      <c r="J566" s="116">
        <f t="shared" ca="1" si="18"/>
        <v>0</v>
      </c>
    </row>
    <row r="567" spans="8:10" x14ac:dyDescent="0.25">
      <c r="H567" s="108" t="str">
        <f t="shared" si="19"/>
        <v/>
      </c>
      <c r="J567" s="116">
        <f t="shared" ca="1" si="18"/>
        <v>0</v>
      </c>
    </row>
    <row r="568" spans="8:10" x14ac:dyDescent="0.25">
      <c r="H568" s="108" t="str">
        <f t="shared" si="19"/>
        <v/>
      </c>
      <c r="J568" s="116">
        <f t="shared" ca="1" si="18"/>
        <v>0</v>
      </c>
    </row>
    <row r="569" spans="8:10" x14ac:dyDescent="0.25">
      <c r="H569" s="108" t="str">
        <f t="shared" si="19"/>
        <v/>
      </c>
      <c r="J569" s="116">
        <f t="shared" ca="1" si="18"/>
        <v>0</v>
      </c>
    </row>
    <row r="570" spans="8:10" x14ac:dyDescent="0.25">
      <c r="H570" s="108" t="str">
        <f t="shared" si="19"/>
        <v/>
      </c>
      <c r="J570" s="116">
        <f t="shared" ca="1" si="18"/>
        <v>0</v>
      </c>
    </row>
    <row r="571" spans="8:10" x14ac:dyDescent="0.25">
      <c r="H571" s="108" t="str">
        <f t="shared" si="19"/>
        <v/>
      </c>
      <c r="J571" s="116">
        <f t="shared" ca="1" si="18"/>
        <v>0</v>
      </c>
    </row>
    <row r="572" spans="8:10" x14ac:dyDescent="0.25">
      <c r="H572" s="108" t="str">
        <f t="shared" si="19"/>
        <v/>
      </c>
      <c r="J572" s="116">
        <f t="shared" ca="1" si="18"/>
        <v>0</v>
      </c>
    </row>
    <row r="573" spans="8:10" x14ac:dyDescent="0.25">
      <c r="H573" s="108" t="str">
        <f t="shared" si="19"/>
        <v/>
      </c>
      <c r="J573" s="116">
        <f t="shared" ca="1" si="18"/>
        <v>0</v>
      </c>
    </row>
    <row r="574" spans="8:10" x14ac:dyDescent="0.25">
      <c r="H574" s="108" t="str">
        <f t="shared" si="19"/>
        <v/>
      </c>
      <c r="J574" s="116">
        <f t="shared" ca="1" si="18"/>
        <v>0</v>
      </c>
    </row>
    <row r="575" spans="8:10" x14ac:dyDescent="0.25">
      <c r="H575" s="108" t="str">
        <f t="shared" si="19"/>
        <v/>
      </c>
      <c r="J575" s="116">
        <f t="shared" ca="1" si="18"/>
        <v>0</v>
      </c>
    </row>
    <row r="576" spans="8:10" x14ac:dyDescent="0.25">
      <c r="H576" s="108" t="str">
        <f t="shared" si="19"/>
        <v/>
      </c>
      <c r="J576" s="116">
        <f t="shared" ca="1" si="18"/>
        <v>0</v>
      </c>
    </row>
    <row r="577" spans="8:10" x14ac:dyDescent="0.25">
      <c r="H577" s="108" t="str">
        <f t="shared" si="19"/>
        <v/>
      </c>
      <c r="J577" s="116">
        <f t="shared" ca="1" si="18"/>
        <v>0</v>
      </c>
    </row>
    <row r="578" spans="8:10" x14ac:dyDescent="0.25">
      <c r="H578" s="108" t="str">
        <f t="shared" si="19"/>
        <v/>
      </c>
      <c r="J578" s="116">
        <f t="shared" ca="1" si="18"/>
        <v>0</v>
      </c>
    </row>
    <row r="579" spans="8:10" x14ac:dyDescent="0.25">
      <c r="H579" s="108" t="str">
        <f t="shared" si="19"/>
        <v/>
      </c>
      <c r="J579" s="116">
        <f t="shared" ca="1" si="18"/>
        <v>0</v>
      </c>
    </row>
    <row r="580" spans="8:10" x14ac:dyDescent="0.25">
      <c r="H580" s="108" t="str">
        <f t="shared" si="19"/>
        <v/>
      </c>
      <c r="J580" s="116">
        <f t="shared" ca="1" si="18"/>
        <v>0</v>
      </c>
    </row>
    <row r="581" spans="8:10" x14ac:dyDescent="0.25">
      <c r="H581" s="108" t="str">
        <f t="shared" si="19"/>
        <v/>
      </c>
      <c r="J581" s="116">
        <f t="shared" ca="1" si="18"/>
        <v>0</v>
      </c>
    </row>
    <row r="582" spans="8:10" x14ac:dyDescent="0.25">
      <c r="H582" s="108" t="str">
        <f t="shared" si="19"/>
        <v/>
      </c>
      <c r="J582" s="116">
        <f t="shared" ca="1" si="18"/>
        <v>0</v>
      </c>
    </row>
    <row r="583" spans="8:10" x14ac:dyDescent="0.25">
      <c r="H583" s="108" t="str">
        <f t="shared" si="19"/>
        <v/>
      </c>
      <c r="J583" s="116">
        <f t="shared" ca="1" si="18"/>
        <v>0</v>
      </c>
    </row>
    <row r="584" spans="8:10" x14ac:dyDescent="0.25">
      <c r="H584" s="108" t="str">
        <f t="shared" si="19"/>
        <v/>
      </c>
      <c r="J584" s="116">
        <f t="shared" ca="1" si="18"/>
        <v>0</v>
      </c>
    </row>
    <row r="585" spans="8:10" x14ac:dyDescent="0.25">
      <c r="H585" s="108" t="str">
        <f t="shared" si="19"/>
        <v/>
      </c>
      <c r="J585" s="116">
        <f t="shared" ca="1" si="18"/>
        <v>0</v>
      </c>
    </row>
    <row r="586" spans="8:10" x14ac:dyDescent="0.25">
      <c r="H586" s="108" t="str">
        <f t="shared" si="19"/>
        <v/>
      </c>
      <c r="J586" s="116">
        <f t="shared" ca="1" si="18"/>
        <v>0</v>
      </c>
    </row>
    <row r="587" spans="8:10" x14ac:dyDescent="0.25">
      <c r="H587" s="108" t="str">
        <f t="shared" si="19"/>
        <v/>
      </c>
      <c r="J587" s="116">
        <f t="shared" ca="1" si="18"/>
        <v>0</v>
      </c>
    </row>
    <row r="588" spans="8:10" x14ac:dyDescent="0.25">
      <c r="H588" s="108" t="str">
        <f t="shared" si="19"/>
        <v/>
      </c>
      <c r="J588" s="116">
        <f t="shared" ca="1" si="18"/>
        <v>0</v>
      </c>
    </row>
    <row r="589" spans="8:10" x14ac:dyDescent="0.25">
      <c r="H589" s="108" t="str">
        <f t="shared" si="19"/>
        <v/>
      </c>
      <c r="J589" s="116">
        <f t="shared" ca="1" si="18"/>
        <v>0</v>
      </c>
    </row>
    <row r="590" spans="8:10" x14ac:dyDescent="0.25">
      <c r="H590" s="108" t="str">
        <f t="shared" si="19"/>
        <v/>
      </c>
      <c r="J590" s="116">
        <f t="shared" ca="1" si="18"/>
        <v>0</v>
      </c>
    </row>
    <row r="591" spans="8:10" x14ac:dyDescent="0.25">
      <c r="H591" s="108" t="str">
        <f t="shared" si="19"/>
        <v/>
      </c>
      <c r="J591" s="116">
        <f t="shared" ca="1" si="18"/>
        <v>0</v>
      </c>
    </row>
    <row r="592" spans="8:10" x14ac:dyDescent="0.25">
      <c r="H592" s="108" t="str">
        <f t="shared" si="19"/>
        <v/>
      </c>
      <c r="J592" s="116">
        <f t="shared" ca="1" si="18"/>
        <v>0</v>
      </c>
    </row>
    <row r="593" spans="8:10" x14ac:dyDescent="0.25">
      <c r="H593" s="108" t="str">
        <f t="shared" si="19"/>
        <v/>
      </c>
      <c r="J593" s="116">
        <f t="shared" ca="1" si="18"/>
        <v>0</v>
      </c>
    </row>
    <row r="594" spans="8:10" x14ac:dyDescent="0.25">
      <c r="H594" s="108" t="str">
        <f t="shared" si="19"/>
        <v/>
      </c>
      <c r="J594" s="116">
        <f t="shared" ca="1" si="18"/>
        <v>0</v>
      </c>
    </row>
    <row r="595" spans="8:10" x14ac:dyDescent="0.25">
      <c r="H595" s="108" t="str">
        <f t="shared" si="19"/>
        <v/>
      </c>
      <c r="J595" s="116">
        <f t="shared" ca="1" si="18"/>
        <v>0</v>
      </c>
    </row>
    <row r="596" spans="8:10" x14ac:dyDescent="0.25">
      <c r="H596" s="108" t="str">
        <f t="shared" si="19"/>
        <v/>
      </c>
      <c r="J596" s="116">
        <f t="shared" ca="1" si="18"/>
        <v>0</v>
      </c>
    </row>
    <row r="597" spans="8:10" x14ac:dyDescent="0.25">
      <c r="H597" s="108" t="str">
        <f t="shared" si="19"/>
        <v/>
      </c>
      <c r="J597" s="116">
        <f t="shared" ca="1" si="18"/>
        <v>0</v>
      </c>
    </row>
    <row r="598" spans="8:10" x14ac:dyDescent="0.25">
      <c r="H598" s="108" t="str">
        <f t="shared" si="19"/>
        <v/>
      </c>
      <c r="J598" s="116">
        <f t="shared" ca="1" si="18"/>
        <v>0</v>
      </c>
    </row>
    <row r="599" spans="8:10" x14ac:dyDescent="0.25">
      <c r="H599" s="108" t="str">
        <f t="shared" si="19"/>
        <v/>
      </c>
      <c r="J599" s="116">
        <f t="shared" ca="1" si="18"/>
        <v>0</v>
      </c>
    </row>
    <row r="600" spans="8:10" x14ac:dyDescent="0.25">
      <c r="H600" s="108" t="str">
        <f t="shared" si="19"/>
        <v/>
      </c>
      <c r="J600" s="116">
        <f t="shared" ca="1" si="18"/>
        <v>0</v>
      </c>
    </row>
    <row r="601" spans="8:10" x14ac:dyDescent="0.25">
      <c r="H601" s="108" t="str">
        <f t="shared" si="19"/>
        <v/>
      </c>
      <c r="J601" s="116">
        <f t="shared" ca="1" si="18"/>
        <v>0</v>
      </c>
    </row>
    <row r="602" spans="8:10" x14ac:dyDescent="0.25">
      <c r="H602" s="108" t="str">
        <f t="shared" si="19"/>
        <v/>
      </c>
      <c r="J602" s="116">
        <f t="shared" ref="J602:J665" ca="1" si="20">IF(H602="",0,IF(F602="",OFFSET(J602,-1,0),F602/G602))</f>
        <v>0</v>
      </c>
    </row>
    <row r="603" spans="8:10" x14ac:dyDescent="0.25">
      <c r="H603" s="108" t="str">
        <f t="shared" si="19"/>
        <v/>
      </c>
      <c r="J603" s="116">
        <f t="shared" ca="1" si="20"/>
        <v>0</v>
      </c>
    </row>
    <row r="604" spans="8:10" x14ac:dyDescent="0.25">
      <c r="H604" s="108" t="str">
        <f t="shared" si="19"/>
        <v/>
      </c>
      <c r="J604" s="116">
        <f t="shared" ca="1" si="20"/>
        <v>0</v>
      </c>
    </row>
    <row r="605" spans="8:10" x14ac:dyDescent="0.25">
      <c r="H605" s="108" t="str">
        <f t="shared" si="19"/>
        <v/>
      </c>
      <c r="J605" s="116">
        <f t="shared" ca="1" si="20"/>
        <v>0</v>
      </c>
    </row>
    <row r="606" spans="8:10" x14ac:dyDescent="0.25">
      <c r="H606" s="108" t="str">
        <f t="shared" si="19"/>
        <v/>
      </c>
      <c r="J606" s="116">
        <f t="shared" ca="1" si="20"/>
        <v>0</v>
      </c>
    </row>
    <row r="607" spans="8:10" x14ac:dyDescent="0.25">
      <c r="H607" s="108" t="str">
        <f t="shared" si="19"/>
        <v/>
      </c>
      <c r="J607" s="116">
        <f t="shared" ca="1" si="20"/>
        <v>0</v>
      </c>
    </row>
    <row r="608" spans="8:10" x14ac:dyDescent="0.25">
      <c r="H608" s="108" t="str">
        <f t="shared" si="19"/>
        <v/>
      </c>
      <c r="J608" s="116">
        <f t="shared" ca="1" si="20"/>
        <v>0</v>
      </c>
    </row>
    <row r="609" spans="8:10" x14ac:dyDescent="0.25">
      <c r="H609" s="108" t="str">
        <f t="shared" si="19"/>
        <v/>
      </c>
      <c r="J609" s="116">
        <f t="shared" ca="1" si="20"/>
        <v>0</v>
      </c>
    </row>
    <row r="610" spans="8:10" x14ac:dyDescent="0.25">
      <c r="H610" s="108" t="str">
        <f t="shared" si="19"/>
        <v/>
      </c>
      <c r="J610" s="116">
        <f t="shared" ca="1" si="20"/>
        <v>0</v>
      </c>
    </row>
    <row r="611" spans="8:10" x14ac:dyDescent="0.25">
      <c r="H611" s="108" t="str">
        <f t="shared" si="19"/>
        <v/>
      </c>
      <c r="J611" s="116">
        <f t="shared" ca="1" si="20"/>
        <v>0</v>
      </c>
    </row>
    <row r="612" spans="8:10" x14ac:dyDescent="0.25">
      <c r="H612" s="108" t="str">
        <f t="shared" si="19"/>
        <v/>
      </c>
      <c r="J612" s="116">
        <f t="shared" ca="1" si="20"/>
        <v>0</v>
      </c>
    </row>
    <row r="613" spans="8:10" x14ac:dyDescent="0.25">
      <c r="H613" s="108" t="str">
        <f t="shared" si="19"/>
        <v/>
      </c>
      <c r="J613" s="116">
        <f t="shared" ca="1" si="20"/>
        <v>0</v>
      </c>
    </row>
    <row r="614" spans="8:10" x14ac:dyDescent="0.25">
      <c r="H614" s="108" t="str">
        <f t="shared" si="19"/>
        <v/>
      </c>
      <c r="J614" s="116">
        <f t="shared" ca="1" si="20"/>
        <v>0</v>
      </c>
    </row>
    <row r="615" spans="8:10" x14ac:dyDescent="0.25">
      <c r="H615" s="108" t="str">
        <f t="shared" si="19"/>
        <v/>
      </c>
      <c r="J615" s="116">
        <f t="shared" ca="1" si="20"/>
        <v>0</v>
      </c>
    </row>
    <row r="616" spans="8:10" x14ac:dyDescent="0.25">
      <c r="H616" s="108" t="str">
        <f t="shared" ref="H616:H679" si="21">IF(I616&lt;&gt;0,VLOOKUP(I616,nhanvien,3,0),"")</f>
        <v/>
      </c>
      <c r="J616" s="116">
        <f t="shared" ca="1" si="20"/>
        <v>0</v>
      </c>
    </row>
    <row r="617" spans="8:10" x14ac:dyDescent="0.25">
      <c r="H617" s="108" t="str">
        <f t="shared" si="21"/>
        <v/>
      </c>
      <c r="J617" s="116">
        <f t="shared" ca="1" si="20"/>
        <v>0</v>
      </c>
    </row>
    <row r="618" spans="8:10" x14ac:dyDescent="0.25">
      <c r="H618" s="108" t="str">
        <f t="shared" si="21"/>
        <v/>
      </c>
      <c r="J618" s="116">
        <f t="shared" ca="1" si="20"/>
        <v>0</v>
      </c>
    </row>
    <row r="619" spans="8:10" x14ac:dyDescent="0.25">
      <c r="H619" s="108" t="str">
        <f t="shared" si="21"/>
        <v/>
      </c>
      <c r="J619" s="116">
        <f t="shared" ca="1" si="20"/>
        <v>0</v>
      </c>
    </row>
    <row r="620" spans="8:10" x14ac:dyDescent="0.25">
      <c r="H620" s="108" t="str">
        <f t="shared" si="21"/>
        <v/>
      </c>
      <c r="J620" s="116">
        <f t="shared" ca="1" si="20"/>
        <v>0</v>
      </c>
    </row>
    <row r="621" spans="8:10" x14ac:dyDescent="0.25">
      <c r="H621" s="108" t="str">
        <f t="shared" si="21"/>
        <v/>
      </c>
      <c r="J621" s="116">
        <f t="shared" ca="1" si="20"/>
        <v>0</v>
      </c>
    </row>
    <row r="622" spans="8:10" x14ac:dyDescent="0.25">
      <c r="H622" s="108" t="str">
        <f t="shared" si="21"/>
        <v/>
      </c>
      <c r="J622" s="116">
        <f t="shared" ca="1" si="20"/>
        <v>0</v>
      </c>
    </row>
    <row r="623" spans="8:10" x14ac:dyDescent="0.25">
      <c r="H623" s="108" t="str">
        <f t="shared" si="21"/>
        <v/>
      </c>
      <c r="J623" s="116">
        <f t="shared" ca="1" si="20"/>
        <v>0</v>
      </c>
    </row>
    <row r="624" spans="8:10" x14ac:dyDescent="0.25">
      <c r="H624" s="108" t="str">
        <f t="shared" si="21"/>
        <v/>
      </c>
      <c r="J624" s="116">
        <f t="shared" ca="1" si="20"/>
        <v>0</v>
      </c>
    </row>
    <row r="625" spans="8:10" x14ac:dyDescent="0.25">
      <c r="H625" s="108" t="str">
        <f t="shared" si="21"/>
        <v/>
      </c>
      <c r="J625" s="116">
        <f t="shared" ca="1" si="20"/>
        <v>0</v>
      </c>
    </row>
    <row r="626" spans="8:10" x14ac:dyDescent="0.25">
      <c r="H626" s="108" t="str">
        <f t="shared" si="21"/>
        <v/>
      </c>
      <c r="J626" s="116">
        <f t="shared" ca="1" si="20"/>
        <v>0</v>
      </c>
    </row>
    <row r="627" spans="8:10" x14ac:dyDescent="0.25">
      <c r="H627" s="108" t="str">
        <f t="shared" si="21"/>
        <v/>
      </c>
      <c r="J627" s="116">
        <f t="shared" ca="1" si="20"/>
        <v>0</v>
      </c>
    </row>
    <row r="628" spans="8:10" x14ac:dyDescent="0.25">
      <c r="H628" s="108" t="str">
        <f t="shared" si="21"/>
        <v/>
      </c>
      <c r="J628" s="116">
        <f t="shared" ca="1" si="20"/>
        <v>0</v>
      </c>
    </row>
    <row r="629" spans="8:10" x14ac:dyDescent="0.25">
      <c r="H629" s="108" t="str">
        <f t="shared" si="21"/>
        <v/>
      </c>
      <c r="J629" s="116">
        <f t="shared" ca="1" si="20"/>
        <v>0</v>
      </c>
    </row>
    <row r="630" spans="8:10" x14ac:dyDescent="0.25">
      <c r="H630" s="108" t="str">
        <f t="shared" si="21"/>
        <v/>
      </c>
      <c r="J630" s="116">
        <f t="shared" ca="1" si="20"/>
        <v>0</v>
      </c>
    </row>
    <row r="631" spans="8:10" x14ac:dyDescent="0.25">
      <c r="H631" s="108" t="str">
        <f t="shared" si="21"/>
        <v/>
      </c>
      <c r="J631" s="116">
        <f t="shared" ca="1" si="20"/>
        <v>0</v>
      </c>
    </row>
    <row r="632" spans="8:10" x14ac:dyDescent="0.25">
      <c r="H632" s="108" t="str">
        <f t="shared" si="21"/>
        <v/>
      </c>
      <c r="J632" s="116">
        <f t="shared" ca="1" si="20"/>
        <v>0</v>
      </c>
    </row>
    <row r="633" spans="8:10" x14ac:dyDescent="0.25">
      <c r="H633" s="108" t="str">
        <f t="shared" si="21"/>
        <v/>
      </c>
      <c r="J633" s="116">
        <f t="shared" ca="1" si="20"/>
        <v>0</v>
      </c>
    </row>
    <row r="634" spans="8:10" x14ac:dyDescent="0.25">
      <c r="H634" s="108" t="str">
        <f t="shared" si="21"/>
        <v/>
      </c>
      <c r="J634" s="116">
        <f t="shared" ca="1" si="20"/>
        <v>0</v>
      </c>
    </row>
    <row r="635" spans="8:10" x14ac:dyDescent="0.25">
      <c r="H635" s="108" t="str">
        <f t="shared" si="21"/>
        <v/>
      </c>
      <c r="J635" s="116">
        <f t="shared" ca="1" si="20"/>
        <v>0</v>
      </c>
    </row>
    <row r="636" spans="8:10" x14ac:dyDescent="0.25">
      <c r="H636" s="108" t="str">
        <f t="shared" si="21"/>
        <v/>
      </c>
      <c r="J636" s="116">
        <f t="shared" ca="1" si="20"/>
        <v>0</v>
      </c>
    </row>
    <row r="637" spans="8:10" x14ac:dyDescent="0.25">
      <c r="H637" s="108" t="str">
        <f t="shared" si="21"/>
        <v/>
      </c>
      <c r="J637" s="116">
        <f t="shared" ca="1" si="20"/>
        <v>0</v>
      </c>
    </row>
    <row r="638" spans="8:10" x14ac:dyDescent="0.25">
      <c r="H638" s="108" t="str">
        <f t="shared" si="21"/>
        <v/>
      </c>
      <c r="J638" s="116">
        <f t="shared" ca="1" si="20"/>
        <v>0</v>
      </c>
    </row>
    <row r="639" spans="8:10" x14ac:dyDescent="0.25">
      <c r="H639" s="108" t="str">
        <f t="shared" si="21"/>
        <v/>
      </c>
      <c r="J639" s="116">
        <f t="shared" ca="1" si="20"/>
        <v>0</v>
      </c>
    </row>
    <row r="640" spans="8:10" x14ac:dyDescent="0.25">
      <c r="H640" s="108" t="str">
        <f t="shared" si="21"/>
        <v/>
      </c>
      <c r="J640" s="116">
        <f t="shared" ca="1" si="20"/>
        <v>0</v>
      </c>
    </row>
    <row r="641" spans="8:10" x14ac:dyDescent="0.25">
      <c r="H641" s="108" t="str">
        <f t="shared" si="21"/>
        <v/>
      </c>
      <c r="J641" s="116">
        <f t="shared" ca="1" si="20"/>
        <v>0</v>
      </c>
    </row>
    <row r="642" spans="8:10" x14ac:dyDescent="0.25">
      <c r="H642" s="108" t="str">
        <f t="shared" si="21"/>
        <v/>
      </c>
      <c r="J642" s="116">
        <f t="shared" ca="1" si="20"/>
        <v>0</v>
      </c>
    </row>
    <row r="643" spans="8:10" x14ac:dyDescent="0.25">
      <c r="H643" s="108" t="str">
        <f t="shared" si="21"/>
        <v/>
      </c>
      <c r="J643" s="116">
        <f t="shared" ca="1" si="20"/>
        <v>0</v>
      </c>
    </row>
    <row r="644" spans="8:10" x14ac:dyDescent="0.25">
      <c r="H644" s="108" t="str">
        <f t="shared" si="21"/>
        <v/>
      </c>
      <c r="J644" s="116">
        <f t="shared" ca="1" si="20"/>
        <v>0</v>
      </c>
    </row>
    <row r="645" spans="8:10" x14ac:dyDescent="0.25">
      <c r="H645" s="108" t="str">
        <f t="shared" si="21"/>
        <v/>
      </c>
      <c r="J645" s="116">
        <f t="shared" ca="1" si="20"/>
        <v>0</v>
      </c>
    </row>
    <row r="646" spans="8:10" x14ac:dyDescent="0.25">
      <c r="H646" s="108" t="str">
        <f t="shared" si="21"/>
        <v/>
      </c>
      <c r="J646" s="116">
        <f t="shared" ca="1" si="20"/>
        <v>0</v>
      </c>
    </row>
    <row r="647" spans="8:10" x14ac:dyDescent="0.25">
      <c r="H647" s="108" t="str">
        <f t="shared" si="21"/>
        <v/>
      </c>
      <c r="J647" s="116">
        <f t="shared" ca="1" si="20"/>
        <v>0</v>
      </c>
    </row>
    <row r="648" spans="8:10" x14ac:dyDescent="0.25">
      <c r="H648" s="108" t="str">
        <f t="shared" si="21"/>
        <v/>
      </c>
      <c r="J648" s="116">
        <f t="shared" ca="1" si="20"/>
        <v>0</v>
      </c>
    </row>
    <row r="649" spans="8:10" x14ac:dyDescent="0.25">
      <c r="H649" s="108" t="str">
        <f t="shared" si="21"/>
        <v/>
      </c>
      <c r="J649" s="116">
        <f t="shared" ca="1" si="20"/>
        <v>0</v>
      </c>
    </row>
    <row r="650" spans="8:10" x14ac:dyDescent="0.25">
      <c r="H650" s="108" t="str">
        <f t="shared" si="21"/>
        <v/>
      </c>
      <c r="J650" s="116">
        <f t="shared" ca="1" si="20"/>
        <v>0</v>
      </c>
    </row>
    <row r="651" spans="8:10" x14ac:dyDescent="0.25">
      <c r="H651" s="108" t="str">
        <f t="shared" si="21"/>
        <v/>
      </c>
      <c r="J651" s="116">
        <f t="shared" ca="1" si="20"/>
        <v>0</v>
      </c>
    </row>
    <row r="652" spans="8:10" x14ac:dyDescent="0.25">
      <c r="H652" s="108" t="str">
        <f t="shared" si="21"/>
        <v/>
      </c>
      <c r="J652" s="116">
        <f t="shared" ca="1" si="20"/>
        <v>0</v>
      </c>
    </row>
    <row r="653" spans="8:10" x14ac:dyDescent="0.25">
      <c r="H653" s="108" t="str">
        <f t="shared" si="21"/>
        <v/>
      </c>
      <c r="J653" s="116">
        <f t="shared" ca="1" si="20"/>
        <v>0</v>
      </c>
    </row>
    <row r="654" spans="8:10" x14ac:dyDescent="0.25">
      <c r="H654" s="108" t="str">
        <f t="shared" si="21"/>
        <v/>
      </c>
      <c r="J654" s="116">
        <f t="shared" ca="1" si="20"/>
        <v>0</v>
      </c>
    </row>
    <row r="655" spans="8:10" x14ac:dyDescent="0.25">
      <c r="H655" s="108" t="str">
        <f t="shared" si="21"/>
        <v/>
      </c>
      <c r="J655" s="116">
        <f t="shared" ca="1" si="20"/>
        <v>0</v>
      </c>
    </row>
    <row r="656" spans="8:10" x14ac:dyDescent="0.25">
      <c r="H656" s="108" t="str">
        <f t="shared" si="21"/>
        <v/>
      </c>
      <c r="J656" s="116">
        <f t="shared" ca="1" si="20"/>
        <v>0</v>
      </c>
    </row>
    <row r="657" spans="8:10" x14ac:dyDescent="0.25">
      <c r="H657" s="108" t="str">
        <f t="shared" si="21"/>
        <v/>
      </c>
      <c r="J657" s="116">
        <f t="shared" ca="1" si="20"/>
        <v>0</v>
      </c>
    </row>
    <row r="658" spans="8:10" x14ac:dyDescent="0.25">
      <c r="H658" s="108" t="str">
        <f t="shared" si="21"/>
        <v/>
      </c>
      <c r="J658" s="116">
        <f t="shared" ca="1" si="20"/>
        <v>0</v>
      </c>
    </row>
    <row r="659" spans="8:10" x14ac:dyDescent="0.25">
      <c r="H659" s="108" t="str">
        <f t="shared" si="21"/>
        <v/>
      </c>
      <c r="J659" s="116">
        <f t="shared" ca="1" si="20"/>
        <v>0</v>
      </c>
    </row>
    <row r="660" spans="8:10" x14ac:dyDescent="0.25">
      <c r="H660" s="108" t="str">
        <f t="shared" si="21"/>
        <v/>
      </c>
      <c r="J660" s="116">
        <f t="shared" ca="1" si="20"/>
        <v>0</v>
      </c>
    </row>
    <row r="661" spans="8:10" x14ac:dyDescent="0.25">
      <c r="H661" s="108" t="str">
        <f t="shared" si="21"/>
        <v/>
      </c>
      <c r="J661" s="116">
        <f t="shared" ca="1" si="20"/>
        <v>0</v>
      </c>
    </row>
    <row r="662" spans="8:10" x14ac:dyDescent="0.25">
      <c r="H662" s="108" t="str">
        <f t="shared" si="21"/>
        <v/>
      </c>
      <c r="J662" s="116">
        <f t="shared" ca="1" si="20"/>
        <v>0</v>
      </c>
    </row>
    <row r="663" spans="8:10" x14ac:dyDescent="0.25">
      <c r="H663" s="108" t="str">
        <f t="shared" si="21"/>
        <v/>
      </c>
      <c r="J663" s="116">
        <f t="shared" ca="1" si="20"/>
        <v>0</v>
      </c>
    </row>
    <row r="664" spans="8:10" x14ac:dyDescent="0.25">
      <c r="H664" s="108" t="str">
        <f t="shared" si="21"/>
        <v/>
      </c>
      <c r="J664" s="116">
        <f t="shared" ca="1" si="20"/>
        <v>0</v>
      </c>
    </row>
    <row r="665" spans="8:10" x14ac:dyDescent="0.25">
      <c r="H665" s="108" t="str">
        <f t="shared" si="21"/>
        <v/>
      </c>
      <c r="J665" s="116">
        <f t="shared" ca="1" si="20"/>
        <v>0</v>
      </c>
    </row>
    <row r="666" spans="8:10" x14ac:dyDescent="0.25">
      <c r="H666" s="108" t="str">
        <f t="shared" si="21"/>
        <v/>
      </c>
      <c r="J666" s="116">
        <f t="shared" ref="J666:J729" ca="1" si="22">IF(H666="",0,IF(F666="",OFFSET(J666,-1,0),F666/G666))</f>
        <v>0</v>
      </c>
    </row>
    <row r="667" spans="8:10" x14ac:dyDescent="0.25">
      <c r="H667" s="108" t="str">
        <f t="shared" si="21"/>
        <v/>
      </c>
      <c r="J667" s="116">
        <f t="shared" ca="1" si="22"/>
        <v>0</v>
      </c>
    </row>
    <row r="668" spans="8:10" x14ac:dyDescent="0.25">
      <c r="H668" s="108" t="str">
        <f t="shared" si="21"/>
        <v/>
      </c>
      <c r="J668" s="116">
        <f t="shared" ca="1" si="22"/>
        <v>0</v>
      </c>
    </row>
    <row r="669" spans="8:10" x14ac:dyDescent="0.25">
      <c r="H669" s="108" t="str">
        <f t="shared" si="21"/>
        <v/>
      </c>
      <c r="J669" s="116">
        <f t="shared" ca="1" si="22"/>
        <v>0</v>
      </c>
    </row>
    <row r="670" spans="8:10" x14ac:dyDescent="0.25">
      <c r="H670" s="108" t="str">
        <f t="shared" si="21"/>
        <v/>
      </c>
      <c r="J670" s="116">
        <f t="shared" ca="1" si="22"/>
        <v>0</v>
      </c>
    </row>
    <row r="671" spans="8:10" x14ac:dyDescent="0.25">
      <c r="H671" s="108" t="str">
        <f t="shared" si="21"/>
        <v/>
      </c>
      <c r="J671" s="116">
        <f t="shared" ca="1" si="22"/>
        <v>0</v>
      </c>
    </row>
    <row r="672" spans="8:10" x14ac:dyDescent="0.25">
      <c r="H672" s="108" t="str">
        <f t="shared" si="21"/>
        <v/>
      </c>
      <c r="J672" s="116">
        <f t="shared" ca="1" si="22"/>
        <v>0</v>
      </c>
    </row>
    <row r="673" spans="8:10" x14ac:dyDescent="0.25">
      <c r="H673" s="108" t="str">
        <f t="shared" si="21"/>
        <v/>
      </c>
      <c r="J673" s="116">
        <f t="shared" ca="1" si="22"/>
        <v>0</v>
      </c>
    </row>
    <row r="674" spans="8:10" x14ac:dyDescent="0.25">
      <c r="H674" s="108" t="str">
        <f t="shared" si="21"/>
        <v/>
      </c>
      <c r="J674" s="116">
        <f t="shared" ca="1" si="22"/>
        <v>0</v>
      </c>
    </row>
    <row r="675" spans="8:10" x14ac:dyDescent="0.25">
      <c r="H675" s="108" t="str">
        <f t="shared" si="21"/>
        <v/>
      </c>
      <c r="J675" s="116">
        <f t="shared" ca="1" si="22"/>
        <v>0</v>
      </c>
    </row>
    <row r="676" spans="8:10" x14ac:dyDescent="0.25">
      <c r="H676" s="108" t="str">
        <f t="shared" si="21"/>
        <v/>
      </c>
      <c r="J676" s="116">
        <f t="shared" ca="1" si="22"/>
        <v>0</v>
      </c>
    </row>
    <row r="677" spans="8:10" x14ac:dyDescent="0.25">
      <c r="H677" s="108" t="str">
        <f t="shared" si="21"/>
        <v/>
      </c>
      <c r="J677" s="116">
        <f t="shared" ca="1" si="22"/>
        <v>0</v>
      </c>
    </row>
    <row r="678" spans="8:10" x14ac:dyDescent="0.25">
      <c r="H678" s="108" t="str">
        <f t="shared" si="21"/>
        <v/>
      </c>
      <c r="J678" s="116">
        <f t="shared" ca="1" si="22"/>
        <v>0</v>
      </c>
    </row>
    <row r="679" spans="8:10" x14ac:dyDescent="0.25">
      <c r="H679" s="108" t="str">
        <f t="shared" si="21"/>
        <v/>
      </c>
      <c r="J679" s="116">
        <f t="shared" ca="1" si="22"/>
        <v>0</v>
      </c>
    </row>
    <row r="680" spans="8:10" x14ac:dyDescent="0.25">
      <c r="H680" s="108" t="str">
        <f t="shared" ref="H680:H743" si="23">IF(I680&lt;&gt;0,VLOOKUP(I680,nhanvien,3,0),"")</f>
        <v/>
      </c>
      <c r="J680" s="116">
        <f t="shared" ca="1" si="22"/>
        <v>0</v>
      </c>
    </row>
    <row r="681" spans="8:10" x14ac:dyDescent="0.25">
      <c r="H681" s="108" t="str">
        <f t="shared" si="23"/>
        <v/>
      </c>
      <c r="J681" s="116">
        <f t="shared" ca="1" si="22"/>
        <v>0</v>
      </c>
    </row>
    <row r="682" spans="8:10" x14ac:dyDescent="0.25">
      <c r="H682" s="108" t="str">
        <f t="shared" si="23"/>
        <v/>
      </c>
      <c r="J682" s="116">
        <f t="shared" ca="1" si="22"/>
        <v>0</v>
      </c>
    </row>
    <row r="683" spans="8:10" x14ac:dyDescent="0.25">
      <c r="H683" s="108" t="str">
        <f t="shared" si="23"/>
        <v/>
      </c>
      <c r="J683" s="116">
        <f t="shared" ca="1" si="22"/>
        <v>0</v>
      </c>
    </row>
    <row r="684" spans="8:10" x14ac:dyDescent="0.25">
      <c r="H684" s="108" t="str">
        <f t="shared" si="23"/>
        <v/>
      </c>
      <c r="J684" s="116">
        <f t="shared" ca="1" si="22"/>
        <v>0</v>
      </c>
    </row>
    <row r="685" spans="8:10" x14ac:dyDescent="0.25">
      <c r="H685" s="108" t="str">
        <f t="shared" si="23"/>
        <v/>
      </c>
      <c r="J685" s="116">
        <f t="shared" ca="1" si="22"/>
        <v>0</v>
      </c>
    </row>
    <row r="686" spans="8:10" x14ac:dyDescent="0.25">
      <c r="H686" s="108" t="str">
        <f t="shared" si="23"/>
        <v/>
      </c>
      <c r="J686" s="116">
        <f t="shared" ca="1" si="22"/>
        <v>0</v>
      </c>
    </row>
    <row r="687" spans="8:10" x14ac:dyDescent="0.25">
      <c r="H687" s="108" t="str">
        <f t="shared" si="23"/>
        <v/>
      </c>
      <c r="J687" s="116">
        <f t="shared" ca="1" si="22"/>
        <v>0</v>
      </c>
    </row>
    <row r="688" spans="8:10" x14ac:dyDescent="0.25">
      <c r="H688" s="108" t="str">
        <f t="shared" si="23"/>
        <v/>
      </c>
      <c r="J688" s="116">
        <f t="shared" ca="1" si="22"/>
        <v>0</v>
      </c>
    </row>
    <row r="689" spans="8:10" x14ac:dyDescent="0.25">
      <c r="H689" s="108" t="str">
        <f t="shared" si="23"/>
        <v/>
      </c>
      <c r="J689" s="116">
        <f t="shared" ca="1" si="22"/>
        <v>0</v>
      </c>
    </row>
    <row r="690" spans="8:10" x14ac:dyDescent="0.25">
      <c r="H690" s="108" t="str">
        <f t="shared" si="23"/>
        <v/>
      </c>
      <c r="J690" s="116">
        <f t="shared" ca="1" si="22"/>
        <v>0</v>
      </c>
    </row>
    <row r="691" spans="8:10" x14ac:dyDescent="0.25">
      <c r="H691" s="108" t="str">
        <f t="shared" si="23"/>
        <v/>
      </c>
      <c r="J691" s="116">
        <f t="shared" ca="1" si="22"/>
        <v>0</v>
      </c>
    </row>
    <row r="692" spans="8:10" x14ac:dyDescent="0.25">
      <c r="H692" s="108" t="str">
        <f t="shared" si="23"/>
        <v/>
      </c>
      <c r="J692" s="116">
        <f t="shared" ca="1" si="22"/>
        <v>0</v>
      </c>
    </row>
    <row r="693" spans="8:10" x14ac:dyDescent="0.25">
      <c r="H693" s="108" t="str">
        <f t="shared" si="23"/>
        <v/>
      </c>
      <c r="J693" s="116">
        <f t="shared" ca="1" si="22"/>
        <v>0</v>
      </c>
    </row>
    <row r="694" spans="8:10" x14ac:dyDescent="0.25">
      <c r="H694" s="108" t="str">
        <f t="shared" si="23"/>
        <v/>
      </c>
      <c r="J694" s="116">
        <f t="shared" ca="1" si="22"/>
        <v>0</v>
      </c>
    </row>
    <row r="695" spans="8:10" x14ac:dyDescent="0.25">
      <c r="H695" s="108" t="str">
        <f t="shared" si="23"/>
        <v/>
      </c>
      <c r="J695" s="116">
        <f t="shared" ca="1" si="22"/>
        <v>0</v>
      </c>
    </row>
    <row r="696" spans="8:10" x14ac:dyDescent="0.25">
      <c r="H696" s="108" t="str">
        <f t="shared" si="23"/>
        <v/>
      </c>
      <c r="J696" s="116">
        <f t="shared" ca="1" si="22"/>
        <v>0</v>
      </c>
    </row>
    <row r="697" spans="8:10" x14ac:dyDescent="0.25">
      <c r="H697" s="108" t="str">
        <f t="shared" si="23"/>
        <v/>
      </c>
      <c r="J697" s="116">
        <f t="shared" ca="1" si="22"/>
        <v>0</v>
      </c>
    </row>
    <row r="698" spans="8:10" x14ac:dyDescent="0.25">
      <c r="H698" s="108" t="str">
        <f t="shared" si="23"/>
        <v/>
      </c>
      <c r="J698" s="116">
        <f t="shared" ca="1" si="22"/>
        <v>0</v>
      </c>
    </row>
    <row r="699" spans="8:10" x14ac:dyDescent="0.25">
      <c r="H699" s="108" t="str">
        <f t="shared" si="23"/>
        <v/>
      </c>
      <c r="J699" s="116">
        <f t="shared" ca="1" si="22"/>
        <v>0</v>
      </c>
    </row>
    <row r="700" spans="8:10" x14ac:dyDescent="0.25">
      <c r="H700" s="108" t="str">
        <f t="shared" si="23"/>
        <v/>
      </c>
      <c r="J700" s="116">
        <f t="shared" ca="1" si="22"/>
        <v>0</v>
      </c>
    </row>
    <row r="701" spans="8:10" x14ac:dyDescent="0.25">
      <c r="H701" s="108" t="str">
        <f t="shared" si="23"/>
        <v/>
      </c>
      <c r="J701" s="116">
        <f t="shared" ca="1" si="22"/>
        <v>0</v>
      </c>
    </row>
    <row r="702" spans="8:10" x14ac:dyDescent="0.25">
      <c r="H702" s="108" t="str">
        <f t="shared" si="23"/>
        <v/>
      </c>
      <c r="J702" s="116">
        <f t="shared" ca="1" si="22"/>
        <v>0</v>
      </c>
    </row>
    <row r="703" spans="8:10" x14ac:dyDescent="0.25">
      <c r="H703" s="108" t="str">
        <f t="shared" si="23"/>
        <v/>
      </c>
      <c r="J703" s="116">
        <f t="shared" ca="1" si="22"/>
        <v>0</v>
      </c>
    </row>
    <row r="704" spans="8:10" x14ac:dyDescent="0.25">
      <c r="H704" s="108" t="str">
        <f t="shared" si="23"/>
        <v/>
      </c>
      <c r="J704" s="116">
        <f t="shared" ca="1" si="22"/>
        <v>0</v>
      </c>
    </row>
    <row r="705" spans="8:10" x14ac:dyDescent="0.25">
      <c r="H705" s="108" t="str">
        <f t="shared" si="23"/>
        <v/>
      </c>
      <c r="J705" s="116">
        <f t="shared" ca="1" si="22"/>
        <v>0</v>
      </c>
    </row>
    <row r="706" spans="8:10" x14ac:dyDescent="0.25">
      <c r="H706" s="108" t="str">
        <f t="shared" si="23"/>
        <v/>
      </c>
      <c r="J706" s="116">
        <f t="shared" ca="1" si="22"/>
        <v>0</v>
      </c>
    </row>
    <row r="707" spans="8:10" x14ac:dyDescent="0.25">
      <c r="H707" s="108" t="str">
        <f t="shared" si="23"/>
        <v/>
      </c>
      <c r="J707" s="116">
        <f t="shared" ca="1" si="22"/>
        <v>0</v>
      </c>
    </row>
    <row r="708" spans="8:10" x14ac:dyDescent="0.25">
      <c r="H708" s="108" t="str">
        <f t="shared" si="23"/>
        <v/>
      </c>
      <c r="J708" s="116">
        <f t="shared" ca="1" si="22"/>
        <v>0</v>
      </c>
    </row>
    <row r="709" spans="8:10" x14ac:dyDescent="0.25">
      <c r="H709" s="108" t="str">
        <f t="shared" si="23"/>
        <v/>
      </c>
      <c r="J709" s="116">
        <f t="shared" ca="1" si="22"/>
        <v>0</v>
      </c>
    </row>
    <row r="710" spans="8:10" x14ac:dyDescent="0.25">
      <c r="H710" s="108" t="str">
        <f t="shared" si="23"/>
        <v/>
      </c>
      <c r="J710" s="116">
        <f t="shared" ca="1" si="22"/>
        <v>0</v>
      </c>
    </row>
    <row r="711" spans="8:10" x14ac:dyDescent="0.25">
      <c r="H711" s="108" t="str">
        <f t="shared" si="23"/>
        <v/>
      </c>
      <c r="J711" s="116">
        <f t="shared" ca="1" si="22"/>
        <v>0</v>
      </c>
    </row>
    <row r="712" spans="8:10" x14ac:dyDescent="0.25">
      <c r="H712" s="108" t="str">
        <f t="shared" si="23"/>
        <v/>
      </c>
      <c r="J712" s="116">
        <f t="shared" ca="1" si="22"/>
        <v>0</v>
      </c>
    </row>
    <row r="713" spans="8:10" x14ac:dyDescent="0.25">
      <c r="H713" s="108" t="str">
        <f t="shared" si="23"/>
        <v/>
      </c>
      <c r="J713" s="116">
        <f t="shared" ca="1" si="22"/>
        <v>0</v>
      </c>
    </row>
    <row r="714" spans="8:10" x14ac:dyDescent="0.25">
      <c r="H714" s="108" t="str">
        <f t="shared" si="23"/>
        <v/>
      </c>
      <c r="J714" s="116">
        <f t="shared" ca="1" si="22"/>
        <v>0</v>
      </c>
    </row>
    <row r="715" spans="8:10" x14ac:dyDescent="0.25">
      <c r="H715" s="108" t="str">
        <f t="shared" si="23"/>
        <v/>
      </c>
      <c r="J715" s="116">
        <f t="shared" ca="1" si="22"/>
        <v>0</v>
      </c>
    </row>
    <row r="716" spans="8:10" x14ac:dyDescent="0.25">
      <c r="H716" s="108" t="str">
        <f t="shared" si="23"/>
        <v/>
      </c>
      <c r="J716" s="116">
        <f t="shared" ca="1" si="22"/>
        <v>0</v>
      </c>
    </row>
    <row r="717" spans="8:10" x14ac:dyDescent="0.25">
      <c r="H717" s="108" t="str">
        <f t="shared" si="23"/>
        <v/>
      </c>
      <c r="J717" s="116">
        <f t="shared" ca="1" si="22"/>
        <v>0</v>
      </c>
    </row>
    <row r="718" spans="8:10" x14ac:dyDescent="0.25">
      <c r="H718" s="108" t="str">
        <f t="shared" si="23"/>
        <v/>
      </c>
      <c r="J718" s="116">
        <f t="shared" ca="1" si="22"/>
        <v>0</v>
      </c>
    </row>
    <row r="719" spans="8:10" x14ac:dyDescent="0.25">
      <c r="H719" s="108" t="str">
        <f t="shared" si="23"/>
        <v/>
      </c>
      <c r="J719" s="116">
        <f t="shared" ca="1" si="22"/>
        <v>0</v>
      </c>
    </row>
    <row r="720" spans="8:10" x14ac:dyDescent="0.25">
      <c r="H720" s="108" t="str">
        <f t="shared" si="23"/>
        <v/>
      </c>
      <c r="J720" s="116">
        <f t="shared" ca="1" si="22"/>
        <v>0</v>
      </c>
    </row>
    <row r="721" spans="8:10" x14ac:dyDescent="0.25">
      <c r="H721" s="108" t="str">
        <f t="shared" si="23"/>
        <v/>
      </c>
      <c r="J721" s="116">
        <f t="shared" ca="1" si="22"/>
        <v>0</v>
      </c>
    </row>
    <row r="722" spans="8:10" x14ac:dyDescent="0.25">
      <c r="H722" s="108" t="str">
        <f t="shared" si="23"/>
        <v/>
      </c>
      <c r="J722" s="116">
        <f t="shared" ca="1" si="22"/>
        <v>0</v>
      </c>
    </row>
    <row r="723" spans="8:10" x14ac:dyDescent="0.25">
      <c r="H723" s="108" t="str">
        <f t="shared" si="23"/>
        <v/>
      </c>
      <c r="J723" s="116">
        <f t="shared" ca="1" si="22"/>
        <v>0</v>
      </c>
    </row>
    <row r="724" spans="8:10" x14ac:dyDescent="0.25">
      <c r="H724" s="108" t="str">
        <f t="shared" si="23"/>
        <v/>
      </c>
      <c r="J724" s="116">
        <f t="shared" ca="1" si="22"/>
        <v>0</v>
      </c>
    </row>
    <row r="725" spans="8:10" x14ac:dyDescent="0.25">
      <c r="H725" s="108" t="str">
        <f t="shared" si="23"/>
        <v/>
      </c>
      <c r="J725" s="116">
        <f t="shared" ca="1" si="22"/>
        <v>0</v>
      </c>
    </row>
    <row r="726" spans="8:10" x14ac:dyDescent="0.25">
      <c r="H726" s="108" t="str">
        <f t="shared" si="23"/>
        <v/>
      </c>
      <c r="J726" s="116">
        <f t="shared" ca="1" si="22"/>
        <v>0</v>
      </c>
    </row>
    <row r="727" spans="8:10" x14ac:dyDescent="0.25">
      <c r="H727" s="108" t="str">
        <f t="shared" si="23"/>
        <v/>
      </c>
      <c r="J727" s="116">
        <f t="shared" ca="1" si="22"/>
        <v>0</v>
      </c>
    </row>
    <row r="728" spans="8:10" x14ac:dyDescent="0.25">
      <c r="H728" s="108" t="str">
        <f t="shared" si="23"/>
        <v/>
      </c>
      <c r="J728" s="116">
        <f t="shared" ca="1" si="22"/>
        <v>0</v>
      </c>
    </row>
    <row r="729" spans="8:10" x14ac:dyDescent="0.25">
      <c r="H729" s="108" t="str">
        <f t="shared" si="23"/>
        <v/>
      </c>
      <c r="J729" s="116">
        <f t="shared" ca="1" si="22"/>
        <v>0</v>
      </c>
    </row>
    <row r="730" spans="8:10" x14ac:dyDescent="0.25">
      <c r="H730" s="108" t="str">
        <f t="shared" si="23"/>
        <v/>
      </c>
      <c r="J730" s="116">
        <f t="shared" ref="J730:J749" ca="1" si="24">IF(H730="",0,IF(F730="",OFFSET(J730,-1,0),F730/G730))</f>
        <v>0</v>
      </c>
    </row>
    <row r="731" spans="8:10" x14ac:dyDescent="0.25">
      <c r="H731" s="108" t="str">
        <f t="shared" si="23"/>
        <v/>
      </c>
      <c r="J731" s="116">
        <f t="shared" ca="1" si="24"/>
        <v>0</v>
      </c>
    </row>
    <row r="732" spans="8:10" x14ac:dyDescent="0.25">
      <c r="H732" s="108" t="str">
        <f t="shared" si="23"/>
        <v/>
      </c>
      <c r="J732" s="116">
        <f t="shared" ca="1" si="24"/>
        <v>0</v>
      </c>
    </row>
    <row r="733" spans="8:10" x14ac:dyDescent="0.25">
      <c r="H733" s="108" t="str">
        <f t="shared" si="23"/>
        <v/>
      </c>
      <c r="J733" s="116">
        <f t="shared" ca="1" si="24"/>
        <v>0</v>
      </c>
    </row>
    <row r="734" spans="8:10" x14ac:dyDescent="0.25">
      <c r="H734" s="108" t="str">
        <f t="shared" si="23"/>
        <v/>
      </c>
      <c r="J734" s="116">
        <f t="shared" ca="1" si="24"/>
        <v>0</v>
      </c>
    </row>
    <row r="735" spans="8:10" x14ac:dyDescent="0.25">
      <c r="H735" s="108" t="str">
        <f t="shared" si="23"/>
        <v/>
      </c>
      <c r="J735" s="116">
        <f t="shared" ca="1" si="24"/>
        <v>0</v>
      </c>
    </row>
    <row r="736" spans="8:10" x14ac:dyDescent="0.25">
      <c r="H736" s="108" t="str">
        <f t="shared" si="23"/>
        <v/>
      </c>
      <c r="J736" s="116">
        <f t="shared" ca="1" si="24"/>
        <v>0</v>
      </c>
    </row>
    <row r="737" spans="8:10" x14ac:dyDescent="0.25">
      <c r="H737" s="108" t="str">
        <f t="shared" si="23"/>
        <v/>
      </c>
      <c r="J737" s="116">
        <f t="shared" ca="1" si="24"/>
        <v>0</v>
      </c>
    </row>
    <row r="738" spans="8:10" x14ac:dyDescent="0.25">
      <c r="H738" s="108" t="str">
        <f t="shared" si="23"/>
        <v/>
      </c>
      <c r="J738" s="116">
        <f t="shared" ca="1" si="24"/>
        <v>0</v>
      </c>
    </row>
    <row r="739" spans="8:10" x14ac:dyDescent="0.25">
      <c r="H739" s="108" t="str">
        <f t="shared" si="23"/>
        <v/>
      </c>
      <c r="J739" s="116">
        <f t="shared" ca="1" si="24"/>
        <v>0</v>
      </c>
    </row>
    <row r="740" spans="8:10" x14ac:dyDescent="0.25">
      <c r="H740" s="108" t="str">
        <f t="shared" si="23"/>
        <v/>
      </c>
      <c r="J740" s="116">
        <f t="shared" ca="1" si="24"/>
        <v>0</v>
      </c>
    </row>
    <row r="741" spans="8:10" x14ac:dyDescent="0.25">
      <c r="H741" s="108" t="str">
        <f t="shared" si="23"/>
        <v/>
      </c>
      <c r="J741" s="116">
        <f t="shared" ca="1" si="24"/>
        <v>0</v>
      </c>
    </row>
    <row r="742" spans="8:10" x14ac:dyDescent="0.25">
      <c r="H742" s="108" t="str">
        <f t="shared" si="23"/>
        <v/>
      </c>
      <c r="J742" s="116">
        <f t="shared" ca="1" si="24"/>
        <v>0</v>
      </c>
    </row>
    <row r="743" spans="8:10" x14ac:dyDescent="0.25">
      <c r="H743" s="108" t="str">
        <f t="shared" si="23"/>
        <v/>
      </c>
      <c r="J743" s="116">
        <f t="shared" ca="1" si="24"/>
        <v>0</v>
      </c>
    </row>
    <row r="744" spans="8:10" x14ac:dyDescent="0.25">
      <c r="H744" s="108" t="str">
        <f t="shared" ref="H744:H749" si="25">IF(I744&lt;&gt;0,VLOOKUP(I744,nhanvien,3,0),"")</f>
        <v/>
      </c>
      <c r="J744" s="116">
        <f t="shared" ca="1" si="24"/>
        <v>0</v>
      </c>
    </row>
    <row r="745" spans="8:10" x14ac:dyDescent="0.25">
      <c r="H745" s="108" t="str">
        <f t="shared" si="25"/>
        <v/>
      </c>
      <c r="J745" s="116">
        <f t="shared" ca="1" si="24"/>
        <v>0</v>
      </c>
    </row>
    <row r="746" spans="8:10" x14ac:dyDescent="0.25">
      <c r="H746" s="108" t="str">
        <f t="shared" si="25"/>
        <v/>
      </c>
      <c r="J746" s="116">
        <f t="shared" ca="1" si="24"/>
        <v>0</v>
      </c>
    </row>
    <row r="747" spans="8:10" x14ac:dyDescent="0.25">
      <c r="H747" s="108" t="str">
        <f t="shared" si="25"/>
        <v/>
      </c>
      <c r="J747" s="116">
        <f t="shared" ca="1" si="24"/>
        <v>0</v>
      </c>
    </row>
    <row r="748" spans="8:10" x14ac:dyDescent="0.25">
      <c r="H748" s="108" t="str">
        <f t="shared" si="25"/>
        <v/>
      </c>
      <c r="J748" s="116">
        <f t="shared" ca="1" si="24"/>
        <v>0</v>
      </c>
    </row>
    <row r="749" spans="8:10" x14ac:dyDescent="0.25">
      <c r="H749" s="108" t="str">
        <f t="shared" si="25"/>
        <v/>
      </c>
      <c r="J749" s="116">
        <f t="shared" ca="1" si="24"/>
        <v>0</v>
      </c>
    </row>
  </sheetData>
  <autoFilter ref="A12:J12"/>
  <mergeCells count="1">
    <mergeCell ref="C10:J10"/>
  </mergeCells>
  <dataValidations count="2">
    <dataValidation type="list" allowBlank="1" showInputMessage="1" showErrorMessage="1" sqref="I13:I364">
      <formula1>MANV</formula1>
    </dataValidation>
    <dataValidation type="list" allowBlank="1" showInputMessage="1" showErrorMessage="1" sqref="D13:D1048576">
      <formula1>XE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47"/>
  <sheetViews>
    <sheetView topLeftCell="BG28" zoomScale="85" zoomScaleNormal="85" workbookViewId="0">
      <selection activeCell="BG36" sqref="BG36"/>
    </sheetView>
  </sheetViews>
  <sheetFormatPr defaultRowHeight="15" x14ac:dyDescent="0.25"/>
  <cols>
    <col min="1" max="1" width="11.7109375" customWidth="1"/>
    <col min="2" max="2" width="18.5703125" bestFit="1" customWidth="1"/>
    <col min="3" max="3" width="2.7109375" style="18" customWidth="1"/>
    <col min="4" max="6" width="10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2" width="9.28515625" bestFit="1" customWidth="1"/>
    <col min="13" max="13" width="9.5703125" bestFit="1" customWidth="1"/>
    <col min="14" max="15" width="9.28515625" bestFit="1" customWidth="1"/>
    <col min="16" max="19" width="9.5703125" bestFit="1" customWidth="1"/>
    <col min="20" max="20" width="9.28515625" bestFit="1" customWidth="1"/>
    <col min="21" max="21" width="9.5703125" bestFit="1" customWidth="1"/>
    <col min="22" max="26" width="9.28515625" bestFit="1" customWidth="1"/>
    <col min="27" max="27" width="9.5703125" bestFit="1" customWidth="1"/>
    <col min="28" max="28" width="9.28515625" bestFit="1" customWidth="1"/>
    <col min="29" max="29" width="9.5703125" bestFit="1" customWidth="1"/>
    <col min="30" max="30" width="10.5703125" bestFit="1" customWidth="1"/>
    <col min="31" max="41" width="9.28515625" bestFit="1" customWidth="1"/>
    <col min="42" max="42" width="11.7109375" bestFit="1" customWidth="1"/>
    <col min="43" max="43" width="10.7109375" bestFit="1" customWidth="1"/>
    <col min="44" max="47" width="9.28515625" bestFit="1" customWidth="1"/>
    <col min="48" max="48" width="9.5703125" bestFit="1" customWidth="1"/>
    <col min="49" max="54" width="9.28515625" bestFit="1" customWidth="1"/>
    <col min="55" max="55" width="2.5703125" style="18" customWidth="1"/>
    <col min="56" max="56" width="19.7109375" style="9" hidden="1" customWidth="1"/>
    <col min="57" max="57" width="2.5703125" style="18" customWidth="1"/>
    <col min="58" max="63" width="9.28515625" bestFit="1" customWidth="1"/>
    <col min="64" max="64" width="11" customWidth="1"/>
    <col min="65" max="70" width="9.28515625" bestFit="1" customWidth="1"/>
    <col min="74" max="74" width="15.42578125" customWidth="1"/>
    <col min="75" max="75" width="17.42578125" customWidth="1"/>
    <col min="76" max="76" width="11.28515625" customWidth="1"/>
    <col min="77" max="77" width="18" style="3" bestFit="1" customWidth="1"/>
    <col min="78" max="78" width="13.28515625" style="3" bestFit="1" customWidth="1"/>
    <col min="79" max="79" width="18" bestFit="1" customWidth="1"/>
    <col min="80" max="80" width="13.28515625" bestFit="1" customWidth="1"/>
    <col min="82" max="82" width="14.28515625" bestFit="1" customWidth="1"/>
    <col min="83" max="83" width="14.28515625" customWidth="1"/>
    <col min="95" max="95" width="9.28515625" customWidth="1"/>
  </cols>
  <sheetData>
    <row r="1" spans="1:100" x14ac:dyDescent="0.25">
      <c r="A1" t="s">
        <v>144</v>
      </c>
    </row>
    <row r="2" spans="1:100" x14ac:dyDescent="0.25">
      <c r="A2" t="s">
        <v>145</v>
      </c>
    </row>
    <row r="3" spans="1:100" x14ac:dyDescent="0.25">
      <c r="A3" t="s">
        <v>146</v>
      </c>
    </row>
    <row r="4" spans="1:100" x14ac:dyDescent="0.25">
      <c r="A4" t="s">
        <v>147</v>
      </c>
    </row>
    <row r="6" spans="1:100" ht="23.25" x14ac:dyDescent="0.35">
      <c r="A6" s="500"/>
      <c r="B6" s="500"/>
      <c r="N6" s="500" t="s">
        <v>187</v>
      </c>
      <c r="O6" s="501"/>
      <c r="P6" s="501"/>
      <c r="Q6" s="501"/>
      <c r="R6" s="501"/>
      <c r="S6" s="501"/>
      <c r="T6" s="501"/>
      <c r="U6" s="501"/>
      <c r="BD6" s="110" t="s">
        <v>186</v>
      </c>
      <c r="BF6" s="500" t="s">
        <v>188</v>
      </c>
      <c r="BG6" s="500"/>
      <c r="BH6" s="500"/>
      <c r="BI6" s="500"/>
      <c r="BJ6" s="500"/>
      <c r="BK6" s="500"/>
      <c r="BL6" s="500"/>
      <c r="BM6" s="500"/>
      <c r="BN6" s="500"/>
      <c r="BO6" s="500"/>
      <c r="BP6" s="500"/>
      <c r="BQ6" s="500"/>
      <c r="BR6" s="500"/>
      <c r="BS6" s="500"/>
      <c r="BT6" s="98"/>
      <c r="BU6" s="106"/>
      <c r="BV6" s="66"/>
    </row>
    <row r="7" spans="1:100" x14ac:dyDescent="0.25">
      <c r="BL7" s="13"/>
    </row>
    <row r="8" spans="1:100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</row>
    <row r="9" spans="1:100" x14ac:dyDescent="0.25">
      <c r="C9"/>
      <c r="BC9"/>
      <c r="BE9"/>
      <c r="BP9">
        <f>+BP13*10%</f>
        <v>3688.0927291886201</v>
      </c>
      <c r="BQ9" s="104">
        <f>+BP9+BP13</f>
        <v>40569.020021074815</v>
      </c>
    </row>
    <row r="10" spans="1:100" x14ac:dyDescent="0.25">
      <c r="BX10" s="104"/>
      <c r="BY10" s="3">
        <v>26</v>
      </c>
      <c r="BZ10" s="3">
        <v>7000000</v>
      </c>
      <c r="CA10" s="3">
        <v>8500000</v>
      </c>
      <c r="CB10" s="3"/>
    </row>
    <row r="11" spans="1:100" s="7" customFormat="1" ht="75" customHeight="1" x14ac:dyDescent="0.25">
      <c r="A11" s="507" t="s">
        <v>137</v>
      </c>
      <c r="B11" s="508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15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237</v>
      </c>
      <c r="BX11" s="27" t="s">
        <v>238</v>
      </c>
      <c r="BY11" s="101" t="s">
        <v>242</v>
      </c>
      <c r="BZ11" s="101" t="s">
        <v>335</v>
      </c>
      <c r="CA11" s="65" t="s">
        <v>243</v>
      </c>
      <c r="CB11" s="65" t="s">
        <v>336</v>
      </c>
    </row>
    <row r="12" spans="1:100" s="9" customFormat="1" x14ac:dyDescent="0.25">
      <c r="A12" s="509" t="s">
        <v>138</v>
      </c>
      <c r="B12" s="510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16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01"/>
      <c r="BZ12" s="101"/>
      <c r="CA12" s="65"/>
      <c r="CB12" s="65"/>
      <c r="CG12" s="314"/>
      <c r="CJ12" s="314"/>
      <c r="CK12" s="314"/>
      <c r="CL12" s="314"/>
      <c r="CM12" s="314"/>
      <c r="CN12" s="314"/>
      <c r="CO12" s="314"/>
      <c r="CQ12" s="9">
        <v>1</v>
      </c>
    </row>
    <row r="13" spans="1:100" s="7" customFormat="1" ht="15" customHeight="1" x14ac:dyDescent="0.25">
      <c r="A13" s="511" t="s">
        <v>175</v>
      </c>
      <c r="B13" s="512"/>
      <c r="C13" s="20"/>
      <c r="D13" s="16">
        <f>VLOOKUP(D$12,'Định mức'!$A$6:$J$56,9,0)</f>
        <v>516.26226122870423</v>
      </c>
      <c r="E13" s="16">
        <f>VLOOKUP(E$12,'Định mức'!$A$6:$J$56,9,0)</f>
        <v>571.79732235482481</v>
      </c>
      <c r="F13" s="16">
        <f>VLOOKUP(F$12,'Định mức'!$A$6:$J$56,9,0)</f>
        <v>1229.3642430628731</v>
      </c>
      <c r="G13" s="16">
        <f>VLOOKUP(G$12,'Định mức'!$A$6:$J$56,9,0)</f>
        <v>1229.3642430628731</v>
      </c>
      <c r="H13" s="16">
        <f>VLOOKUP(H$12,'Định mức'!$A$6:$J$56,9,0)</f>
        <v>633.48416289592762</v>
      </c>
      <c r="I13" s="16">
        <f>VLOOKUP(I$12,'Định mức'!$A$6:$J$56,9,0)</f>
        <v>1229.3642430628731</v>
      </c>
      <c r="J13" s="16">
        <f>VLOOKUP(J$12,'Định mức'!$A$6:$J$56,9,0)</f>
        <v>633.48416289592762</v>
      </c>
      <c r="K13" s="16">
        <f>VLOOKUP(K$12,'Định mức'!$A$6:$J$56,9,0)</f>
        <v>516.26226122870423</v>
      </c>
      <c r="L13" s="16">
        <f>VLOOKUP(L$12,'Định mức'!$A$6:$J$56,9,0)</f>
        <v>642.81122776944505</v>
      </c>
      <c r="M13" s="16">
        <f>VLOOKUP(M$12,'Định mức'!$A$6:$J$56,9,0)</f>
        <v>633.48416289592762</v>
      </c>
      <c r="N13" s="16">
        <f>VLOOKUP(N$12,'Định mức'!$A$6:$J$56,9,0)</f>
        <v>1362.4248434885019</v>
      </c>
      <c r="O13" s="16">
        <f>VLOOKUP(O$12,'Định mức'!$A$6:$J$56,9,0)</f>
        <v>1229.3642430628731</v>
      </c>
      <c r="P13" s="16">
        <f>VLOOKUP(P$12,'Định mức'!$A$6:$J$56,9,0)</f>
        <v>571.79732235482481</v>
      </c>
      <c r="Q13" s="16">
        <f>VLOOKUP(Q$12,'Định mức'!$A$6:$J$56,9,0)</f>
        <v>653.47274085138167</v>
      </c>
      <c r="R13" s="16">
        <f>VLOOKUP(R$12,'Định mức'!$A$6:$J$56,9,0)</f>
        <v>1432.0785597381343</v>
      </c>
      <c r="S13" s="16">
        <f>VLOOKUP(S$12,'Định mức'!$A$6:$J$56,9,0)</f>
        <v>633.48416289592762</v>
      </c>
      <c r="T13" s="16">
        <f>VLOOKUP(T$12,'Định mức'!$A$6:$J$56,9,0)</f>
        <v>633.48416289592762</v>
      </c>
      <c r="U13" s="16">
        <f>VLOOKUP(U$12,'Định mức'!$A$6:$J$56,9,0)</f>
        <v>633.48416289592797</v>
      </c>
      <c r="V13" s="16">
        <f>VLOOKUP(V$12,'Định mức'!$A$6:$J$56,9,0)</f>
        <v>1432.0785597381343</v>
      </c>
      <c r="W13" s="16">
        <f>VLOOKUP(W$12,'Định mức'!$A$6:$J$56,9,0)</f>
        <v>633.48416289592762</v>
      </c>
      <c r="X13" s="16">
        <f>VLOOKUP(X$12,'Định mức'!$A$6:$J$56,9,0)</f>
        <v>1346.1538461538462</v>
      </c>
      <c r="Y13" s="16">
        <f>VLOOKUP(Y$12,'Định mức'!$A$6:$J$56,9,0)</f>
        <v>1346.1538461538462</v>
      </c>
      <c r="Z13" s="16">
        <f>VLOOKUP(Z$12,'Định mức'!$A$6:$J$56,9,0)</f>
        <v>1170.5685618729099</v>
      </c>
      <c r="AA13" s="16">
        <f>VLOOKUP(AA$12,'Định mức'!$A$6:$J$56,9,0)</f>
        <v>2019</v>
      </c>
      <c r="AB13" s="16">
        <f>VLOOKUP(AB$12,'Định mức'!$A$6:$J$56,9,0)</f>
        <v>1196.5811965811965</v>
      </c>
      <c r="AC13" s="16">
        <f>VLOOKUP(AC$12,'Định mức'!$A$6:$J$56,9,0)</f>
        <v>351.78236397748594</v>
      </c>
      <c r="AD13" s="16">
        <f>VLOOKUP(AD$12,'Định mức'!$A$6:$J$56,9,0)</f>
        <v>642.81122776944505</v>
      </c>
      <c r="AE13" s="16">
        <f>VLOOKUP(AE$12,'Định mức'!$A$6:$J$56,9,0)</f>
        <v>979.02097902097898</v>
      </c>
      <c r="AF13" s="16">
        <f>VLOOKUP(AF$12,'Định mức'!$A$6:$J$56,9,0)</f>
        <v>936.46821215314367</v>
      </c>
      <c r="AG13" s="16">
        <f>VLOOKUP(AG$12,'Định mức'!$A$6:$J$56,9,0)</f>
        <v>979.02097902097728</v>
      </c>
      <c r="AH13" s="16">
        <f>VLOOKUP(AH$12,'Định mức'!$A$6:$J$56,9,0)</f>
        <v>364.2191142191142</v>
      </c>
      <c r="AI13" s="16">
        <f>VLOOKUP(AI$12,'Định mức'!$A$6:$J$56,9,0)</f>
        <v>506.07287449392715</v>
      </c>
      <c r="AJ13" s="16">
        <f>VLOOKUP(AJ$12,'Định mức'!$A$6:$J$56,9,0)</f>
        <v>251.79403248143021</v>
      </c>
      <c r="AK13" s="16">
        <f>VLOOKUP(AK$12,'Định mức'!$A$6:$J$56,9,0)</f>
        <v>335.42039355992847</v>
      </c>
      <c r="AL13" s="16">
        <f>VLOOKUP(AL$12,'Định mức'!$A$6:$J$56,9,0)</f>
        <v>1468.5314685314684</v>
      </c>
      <c r="AM13" s="16">
        <f>VLOOKUP(AM$12,'Định mức'!$A$6:$J$56,9,0)</f>
        <v>1377.1394845563643</v>
      </c>
      <c r="AN13" s="16">
        <f>VLOOKUP(AN$12,'Định mức'!$A$6:$J$56,9,0)</f>
        <v>2043</v>
      </c>
      <c r="AO13" s="16">
        <f>VLOOKUP(AO$12,'Định mức'!$A$6:$J$56,9,0)</f>
        <v>2043</v>
      </c>
      <c r="AP13" s="16">
        <f>VLOOKUP(AP$12,'Định mức'!$A$6:$J$56,9,0)</f>
        <v>2043</v>
      </c>
      <c r="AQ13" s="16">
        <f>VLOOKUP(AQ$12,'Định mức'!$A$6:$J$56,9,0)</f>
        <v>2043</v>
      </c>
      <c r="AR13" s="16">
        <f>VLOOKUP(AR$12,'Định mức'!$A$6:$J$56,9,0)</f>
        <v>2043</v>
      </c>
      <c r="AS13" s="16">
        <f>VLOOKUP(AS$12,'Định mức'!$A$6:$J$56,9,0)</f>
        <v>2043</v>
      </c>
      <c r="AT13" s="16">
        <f>VLOOKUP(AT$12,'Định mức'!$A$6:$J$56,9,0)</f>
        <v>0</v>
      </c>
      <c r="AU13" s="16">
        <f>VLOOKUP(AU$12,'Định mức'!$A$6:$J$56,9,0)</f>
        <v>1229.3642430628731</v>
      </c>
      <c r="AV13" s="16">
        <f>VLOOKUP(AV$12,'Định mức'!$A$6:$J$56,9,0)</f>
        <v>383.08305240576158</v>
      </c>
      <c r="AW13" s="16">
        <f>VLOOKUP(AW$12,'Định mức'!$A$6:$J$56,9,0)</f>
        <v>316.74208144796381</v>
      </c>
      <c r="AX13" s="16">
        <f>VLOOKUP(AX$12,'Định mức'!$A$6:$J$56,9,0)</f>
        <v>1229.3642430628731</v>
      </c>
      <c r="AY13" s="16">
        <f>VLOOKUP(AY$12,'Định mức'!$A$6:$J$56,9,0)</f>
        <v>0</v>
      </c>
      <c r="AZ13" s="16">
        <f>VLOOKUP(AZ$12,'Định mức'!$A$6:$J$56,9,0)</f>
        <v>0</v>
      </c>
      <c r="BA13" s="16">
        <f>VLOOKUP(BA$12,'Định mức'!$A$6:$J$56,9,0)</f>
        <v>1229.3642430628731</v>
      </c>
      <c r="BB13" s="16">
        <f>VLOOKUP(BB$12,'Định mức'!$A$6:$J$56,9,0)</f>
        <v>1593.0814747382797</v>
      </c>
      <c r="BC13" s="25"/>
      <c r="BD13" s="112">
        <v>11200</v>
      </c>
      <c r="BE13" s="25"/>
      <c r="BF13" s="24">
        <f>7000000/26/7.3</f>
        <v>36880.927291886197</v>
      </c>
      <c r="BG13" s="24">
        <f t="shared" ref="BG13:BR13" si="0">7000000/26/7.3</f>
        <v>36880.927291886197</v>
      </c>
      <c r="BH13" s="24">
        <f t="shared" si="0"/>
        <v>36880.927291886197</v>
      </c>
      <c r="BI13" s="24">
        <f t="shared" si="0"/>
        <v>36880.927291886197</v>
      </c>
      <c r="BJ13" s="24">
        <f t="shared" si="0"/>
        <v>36880.927291886197</v>
      </c>
      <c r="BK13" s="24">
        <f t="shared" si="0"/>
        <v>36880.927291886197</v>
      </c>
      <c r="BL13" s="24">
        <f t="shared" si="0"/>
        <v>36880.927291886197</v>
      </c>
      <c r="BM13" s="24">
        <f t="shared" si="0"/>
        <v>36880.927291886197</v>
      </c>
      <c r="BN13" s="24">
        <f t="shared" si="0"/>
        <v>36880.927291886197</v>
      </c>
      <c r="BO13" s="24">
        <f t="shared" si="0"/>
        <v>36880.927291886197</v>
      </c>
      <c r="BP13" s="24">
        <f t="shared" si="0"/>
        <v>36880.927291886197</v>
      </c>
      <c r="BQ13" s="24">
        <f t="shared" si="0"/>
        <v>36880.927291886197</v>
      </c>
      <c r="BR13" s="24">
        <f t="shared" si="0"/>
        <v>36880.927291886197</v>
      </c>
      <c r="BS13" s="24">
        <f>7000000/26/7.3</f>
        <v>36880.927291886197</v>
      </c>
      <c r="BT13" s="24">
        <f>7000000/26/7.3</f>
        <v>36880.927291886197</v>
      </c>
      <c r="BU13" s="24"/>
      <c r="BV13" s="24"/>
      <c r="BW13" s="17"/>
      <c r="BX13" s="17"/>
      <c r="BY13" s="101"/>
      <c r="BZ13" s="101"/>
      <c r="CA13" s="65"/>
      <c r="CB13" s="65"/>
      <c r="CQ13" s="9">
        <v>2</v>
      </c>
    </row>
    <row r="14" spans="1:100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1"/>
      <c r="BD14" s="126">
        <f>SUBTOTAL(9,BD15:BD34)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17"/>
      <c r="BX14" s="17"/>
      <c r="BY14" s="101"/>
      <c r="BZ14" s="101"/>
      <c r="CA14" s="65"/>
      <c r="CB14" s="65"/>
      <c r="CQ14" s="9">
        <v>3</v>
      </c>
    </row>
    <row r="15" spans="1:100" ht="15.75" x14ac:dyDescent="0.25">
      <c r="A15" s="224" t="s">
        <v>101</v>
      </c>
      <c r="B15" s="2" t="str">
        <f>VLOOKUP(A15,'Mã NV'!$A$1:$C$27,2,0)</f>
        <v>Nguyễn Văn Chiến</v>
      </c>
      <c r="C15" s="22"/>
      <c r="D15" s="4">
        <f>SUMIF('Đóng gói trong giờ'!$A$12:$A$123,'Tổng hợp trong giờ'!$A15,'Đóng gói trong giờ'!D$12:D$123)</f>
        <v>1420</v>
      </c>
      <c r="E15" s="4">
        <f>SUMIF('Đóng gói trong giờ'!$A$12:$A$123,'Tổng hợp trong giờ'!$A15,'Đóng gói trong giờ'!E$12:E$123)</f>
        <v>3475</v>
      </c>
      <c r="F15" s="4">
        <f>SUMIF('Đóng gói trong giờ'!$A$12:$A$123,'Tổng hợp trong giờ'!$A15,'Đóng gói trong giờ'!F$12:F$123)</f>
        <v>3113.336666666667</v>
      </c>
      <c r="G15" s="4">
        <f>SUMIF('Đóng gói trong giờ'!$A$12:$A$123,'Tổng hợp trong giờ'!$A15,'Đóng gói trong giờ'!G$12:G$123)</f>
        <v>0</v>
      </c>
      <c r="H15" s="4">
        <f>SUMIF('Đóng gói trong giờ'!$A$12:$A$123,'Tổng hợp trong giờ'!$A15,'Đóng gói trong giờ'!H$12:H$123)</f>
        <v>150</v>
      </c>
      <c r="I15" s="4">
        <f>SUMIF('Đóng gói trong giờ'!$A$12:$A$123,'Tổng hợp trong giờ'!$A15,'Đóng gói trong giờ'!I$12:I$123)</f>
        <v>0</v>
      </c>
      <c r="J15" s="4">
        <f>SUMIF('Đóng gói trong giờ'!$A$12:$A$123,'Tổng hợp trong giờ'!$A15,'Đóng gói trong giờ'!J$12:J$123)</f>
        <v>500</v>
      </c>
      <c r="K15" s="4">
        <f>SUMIF('Đóng gói trong giờ'!$A$12:$A$123,'Tổng hợp trong giờ'!$A15,'Đóng gói trong giờ'!K$12:K$123)</f>
        <v>320</v>
      </c>
      <c r="L15" s="4">
        <f>SUMIF('Đóng gói trong giờ'!$A$12:$A$123,'Tổng hợp trong giờ'!$A15,'Đóng gói trong giờ'!L$12:L$123)</f>
        <v>300</v>
      </c>
      <c r="M15" s="4">
        <f>SUMIF('Đóng gói trong giờ'!$A$12:$A$123,'Tổng hợp trong giờ'!$A15,'Đóng gói trong giờ'!M$12:M$123)</f>
        <v>325</v>
      </c>
      <c r="N15" s="4">
        <f>SUMIF('Đóng gói trong giờ'!$A$12:$A$123,'Tổng hợp trong giờ'!$A15,'Đóng gói trong giờ'!N$12:N$123)</f>
        <v>0</v>
      </c>
      <c r="O15" s="4">
        <f>SUMIF('Đóng gói trong giờ'!$A$12:$A$123,'Tổng hợp trong giờ'!$A15,'Đóng gói trong giờ'!O$12:O$123)</f>
        <v>283.33333333333331</v>
      </c>
      <c r="P15" s="4">
        <f>SUMIF('Đóng gói trong giờ'!$A$12:$A$123,'Tổng hợp trong giờ'!$A15,'Đóng gói trong giờ'!P$12:P$123)</f>
        <v>900</v>
      </c>
      <c r="Q15" s="4">
        <f>SUMIF('Đóng gói trong giờ'!$A$12:$A$123,'Tổng hợp trong giờ'!$A15,'Đóng gói trong giờ'!Q$12:Q$123)</f>
        <v>325</v>
      </c>
      <c r="R15" s="4">
        <f>SUMIF('Đóng gói trong giờ'!$A$12:$A$123,'Tổng hợp trong giờ'!$A15,'Đóng gói trong giờ'!R$12:R$123)</f>
        <v>0</v>
      </c>
      <c r="S15" s="4">
        <f>SUMIF('Đóng gói trong giờ'!$A$12:$A$123,'Tổng hợp trong giờ'!$A15,'Đóng gói trong giờ'!S$12:S$123)</f>
        <v>0</v>
      </c>
      <c r="T15" s="4">
        <f>SUMIF('Đóng gói trong giờ'!$A$12:$A$123,'Tổng hợp trong giờ'!$A15,'Đóng gói trong giờ'!T$12:T$123)</f>
        <v>0</v>
      </c>
      <c r="U15" s="4">
        <f>SUMIF('Đóng gói trong giờ'!$A$12:$A$123,'Tổng hợp trong giờ'!$A15,'Đóng gói trong giờ'!U$12:U$123)</f>
        <v>0</v>
      </c>
      <c r="V15" s="4">
        <f>SUMIF('Đóng gói trong giờ'!$A$12:$A$123,'Tổng hợp trong giờ'!$A15,'Đóng gói trong giờ'!V$12:V$123)</f>
        <v>0</v>
      </c>
      <c r="W15" s="4">
        <f>SUMIF('Đóng gói trong giờ'!$A$12:$A$123,'Tổng hợp trong giờ'!$A15,'Đóng gói trong giờ'!W$12:W$123)</f>
        <v>0</v>
      </c>
      <c r="X15" s="4">
        <f>SUMIF('Đóng gói trong giờ'!$A$12:$A$123,'Tổng hợp trong giờ'!$A15,'Đóng gói trong giờ'!X$12:X$123)</f>
        <v>0</v>
      </c>
      <c r="Y15" s="4">
        <f>SUMIF('Đóng gói trong giờ'!$A$12:$A$123,'Tổng hợp trong giờ'!$A15,'Đóng gói trong giờ'!Y$12:Y$123)</f>
        <v>0</v>
      </c>
      <c r="Z15" s="4">
        <f>SUMIF('Đóng gói trong giờ'!$A$12:$A$123,'Tổng hợp trong giờ'!$A15,'Đóng gói trong giờ'!Z$12:Z$123)</f>
        <v>0</v>
      </c>
      <c r="AA15" s="4">
        <f>SUMIF('Đóng gói trong giờ'!$A$12:$A$123,'Tổng hợp trong giờ'!$A15,'Đóng gói trong giờ'!AA$12:AA$123)</f>
        <v>0</v>
      </c>
      <c r="AB15" s="4">
        <f>SUMIF('Đóng gói trong giờ'!$A$12:$A$123,'Tổng hợp trong giờ'!$A15,'Đóng gói trong giờ'!AB$12:AB$123)</f>
        <v>0</v>
      </c>
      <c r="AC15" s="4">
        <f>SUMIF('Đóng gói trong giờ'!$A$12:$A$123,'Tổng hợp trong giờ'!$A15,'Đóng gói trong giờ'!AC$12:AC$123)</f>
        <v>0</v>
      </c>
      <c r="AD15" s="4">
        <f>SUMIF('Đóng gói trong giờ'!$A$12:$A$123,'Tổng hợp trong giờ'!$A15,'Đóng gói trong giờ'!AD$12:AD$123)</f>
        <v>812.5</v>
      </c>
      <c r="AE15" s="4">
        <f>SUMIF('Đóng gói trong giờ'!$A$12:$A$123,'Tổng hợp trong giờ'!$A15,'Đóng gói trong giờ'!AE$12:AE$123)</f>
        <v>0</v>
      </c>
      <c r="AF15" s="4">
        <f>SUMIF('Đóng gói trong giờ'!$A$12:$A$123,'Tổng hợp trong giờ'!$A15,'Đóng gói trong giờ'!AF$12:AF$123)</f>
        <v>0</v>
      </c>
      <c r="AG15" s="4">
        <f>SUMIF('Đóng gói trong giờ'!$A$12:$A$123,'Tổng hợp trong giờ'!$A15,'Đóng gói trong giờ'!AG$12:AG$123)</f>
        <v>0</v>
      </c>
      <c r="AH15" s="4">
        <f>SUMIF('Đóng gói trong giờ'!$A$12:$A$123,'Tổng hợp trong giờ'!$A15,'Đóng gói trong giờ'!AH$12:AH$123)</f>
        <v>0</v>
      </c>
      <c r="AI15" s="4">
        <f>SUMIF('Đóng gói trong giờ'!$A$12:$A$123,'Tổng hợp trong giờ'!$A15,'Đóng gói trong giờ'!AI$12:AI$123)</f>
        <v>0</v>
      </c>
      <c r="AJ15" s="4">
        <f>SUMIF('Đóng gói trong giờ'!$A$12:$A$123,'Tổng hợp trong giờ'!$A15,'Đóng gói trong giờ'!AJ$12:AJ$123)</f>
        <v>0</v>
      </c>
      <c r="AK15" s="4">
        <f>SUMIF('Đóng gói trong giờ'!$A$12:$A$123,'Tổng hợp trong giờ'!$A15,'Đóng gói trong giờ'!AK$12:AK$123)</f>
        <v>0</v>
      </c>
      <c r="AL15" s="4">
        <f>SUMIF('Đóng gói trong giờ'!$A$12:$A$123,'Tổng hợp trong giờ'!$A15,'Đóng gói trong giờ'!AL$12:AL$123)</f>
        <v>0</v>
      </c>
      <c r="AM15" s="4">
        <f>SUMIF('Đóng gói trong giờ'!$A$12:$A$123,'Tổng hợp trong giờ'!$A15,'Đóng gói trong giờ'!AM$12:AM$123)</f>
        <v>213.33333333333334</v>
      </c>
      <c r="AN15" s="4">
        <f>SUMIF('Đóng gói trong giờ'!$A$12:$A$123,'Tổng hợp trong giờ'!$A15,'Đóng gói trong giờ'!AN$12:AN$123)</f>
        <v>0</v>
      </c>
      <c r="AO15" s="4">
        <f>SUMIF('Đóng gói trong giờ'!$A$12:$A$123,'Tổng hợp trong giờ'!$A15,'Đóng gói trong giờ'!AO$12:AO$123)</f>
        <v>0</v>
      </c>
      <c r="AP15" s="4">
        <f>SUMIF('Đóng gói trong giờ'!$A$12:$A$123,'Tổng hợp trong giờ'!$A15,'Đóng gói trong giờ'!AP$12:AP$123)</f>
        <v>0</v>
      </c>
      <c r="AQ15" s="4">
        <f>SUMIF('Đóng gói trong giờ'!$A$12:$A$123,'Tổng hợp trong giờ'!$A15,'Đóng gói trong giờ'!AQ$12:AQ$123)</f>
        <v>0</v>
      </c>
      <c r="AR15" s="4">
        <f>SUMIF('Đóng gói trong giờ'!$A$12:$A$123,'Tổng hợp trong giờ'!$A15,'Đóng gói trong giờ'!AR$12:AR$123)</f>
        <v>0</v>
      </c>
      <c r="AS15" s="4">
        <f>SUMIF('Đóng gói trong giờ'!$A$12:$A$123,'Tổng hợp trong giờ'!$A15,'Đóng gói trong giờ'!AS$12:AS$123)</f>
        <v>0</v>
      </c>
      <c r="AT15" s="4">
        <f>SUMIF('Đóng gói trong giờ'!$A$12:$A$123,'Tổng hợp trong giờ'!$A15,'Đóng gói trong giờ'!AT$12:AT$123)</f>
        <v>0</v>
      </c>
      <c r="AU15" s="4">
        <f>SUMIF('Đóng gói trong giờ'!$A$12:$A$123,'Tổng hợp trong giờ'!$A15,'Đóng gói trong giờ'!AU$12:AU$123)</f>
        <v>0</v>
      </c>
      <c r="AV15" s="4">
        <f>SUMIF('Đóng gói trong giờ'!$A$12:$A$123,'Tổng hợp trong giờ'!$A15,'Đóng gói trong giờ'!AV$12:AV$123)</f>
        <v>0</v>
      </c>
      <c r="AW15" s="4">
        <f>SUMIF('Đóng gói trong giờ'!$A$12:$A$123,'Tổng hợp trong giờ'!$A15,'Đóng gói trong giờ'!AW$12:AW$123)</f>
        <v>0</v>
      </c>
      <c r="AX15" s="4">
        <f>SUMIF('Đóng gói trong giờ'!$A$12:$A$123,'Tổng hợp trong giờ'!$A15,'Đóng gói trong giờ'!AX$12:AX$123)</f>
        <v>0</v>
      </c>
      <c r="AY15" s="4">
        <f>SUMIF('Đóng gói trong giờ'!$A$12:$A$123,'Tổng hợp trong giờ'!$A15,'Đóng gói trong giờ'!AY$12:AY$123)</f>
        <v>0</v>
      </c>
      <c r="AZ15" s="4">
        <f>SUMIF('Đóng gói trong giờ'!$A$12:$A$123,'Tổng hợp trong giờ'!$A15,'Đóng gói trong giờ'!AZ$12:AZ$123)</f>
        <v>0</v>
      </c>
      <c r="BA15" s="4">
        <f>SUMIF('Đóng gói trong giờ'!$A$12:$A$123,'Tổng hợp trong giờ'!$A15,'Đóng gói trong giờ'!BA$12:BA$123)</f>
        <v>0</v>
      </c>
      <c r="BB15" s="4">
        <f>SUMIF('Đóng gói trong giờ'!$A$12:$A$123,'Tổng hợp trong giờ'!$A15,'Đóng gói trong giờ'!BB$12:BB$123)</f>
        <v>0</v>
      </c>
      <c r="BC15" s="22">
        <f>SUMIF('Đóng gói trong giờ'!$A$12:$A$78,'Tổng hợp trong giờ'!$A15,'Đóng gói trong giờ'!BC$12:BC$78)</f>
        <v>0</v>
      </c>
      <c r="BD15" s="119">
        <f>SUMIF('Bốc hàng trong giờ new'!$H$13:$H$3398,'Tổng hợp trong giờ'!A15,'Bốc hàng trong giờ new'!$J$13:$J$3398)</f>
        <v>0</v>
      </c>
      <c r="BE15" s="22">
        <f>SUMIF('Đóng gói trong giờ'!$A$12:$A$78,'Tổng hợp trong giờ'!$A15,'Đóng gói trong giờ'!BE$12:BE$78)</f>
        <v>36.5</v>
      </c>
      <c r="BF15" s="4">
        <f>SUMIF('Đóng gói trong giờ'!$A$12:$A$123,'Tổng hợp trong giờ'!$A15,'Đóng gói trong giờ'!BD$12:BD$123)</f>
        <v>0</v>
      </c>
      <c r="BG15" s="4">
        <f>SUMIF('Đóng gói trong giờ'!$A$12:$A$123,'Tổng hợp trong giờ'!$A15,'Đóng gói trong giờ'!BE$12:BE$123)</f>
        <v>36.5</v>
      </c>
      <c r="BH15" s="4">
        <f>SUMIF('Đóng gói trong giờ'!$A$12:$A$123,'Tổng hợp trong giờ'!$A15,'Đóng gói trong giờ'!BF$12:BF$123)</f>
        <v>0</v>
      </c>
      <c r="BI15" s="4">
        <f>SUMIF('Đóng gói trong giờ'!$A$12:$A$123,'Tổng hợp trong giờ'!$A15,'Đóng gói trong giờ'!BG$12:BG$123)</f>
        <v>0</v>
      </c>
      <c r="BJ15" s="4">
        <f>SUMIF('Đóng gói trong giờ'!$A$12:$A$123,'Tổng hợp trong giờ'!$A15,'Đóng gói trong giờ'!BH$12:BH$123)</f>
        <v>0</v>
      </c>
      <c r="BK15" s="4">
        <f>SUMIF('Đóng gói trong giờ'!$A$12:$A$123,'Tổng hợp trong giờ'!$A15,'Đóng gói trong giờ'!BI$12:BI$123)</f>
        <v>0</v>
      </c>
      <c r="BL15" s="4">
        <f>SUMIF('Đóng gói trong giờ'!$A$12:$A$123,'Tổng hợp trong giờ'!$A15,'Đóng gói trong giờ'!BJ$12:BJ$123)</f>
        <v>0</v>
      </c>
      <c r="BM15" s="4">
        <f>SUMIF('Đóng gói trong giờ'!$A$12:$A$123,'Tổng hợp trong giờ'!$A15,'Đóng gói trong giờ'!BK$12:BK$123)</f>
        <v>0</v>
      </c>
      <c r="BN15" s="4">
        <f>SUMIF('Đóng gói trong giờ'!$A$12:$A$123,'Tổng hợp trong giờ'!$A15,'Đóng gói trong giờ'!BL$12:BL$123)</f>
        <v>26</v>
      </c>
      <c r="BO15" s="4">
        <f>SUMIF('Đóng gói trong giờ'!$A$12:$A$123,'Tổng hợp trong giờ'!$A15,'Đóng gói trong giờ'!BM$12:BM$123)</f>
        <v>0</v>
      </c>
      <c r="BP15" s="4">
        <f>SUMIF('Đóng gói trong giờ'!$A$12:$A$123,'Tổng hợp trong giờ'!$A15,'Đóng gói trong giờ'!BN$12:BN$123)</f>
        <v>0</v>
      </c>
      <c r="BQ15" s="4">
        <f>SUMIF('Đóng gói trong giờ'!$A$12:$A$123,'Tổng hợp trong giờ'!$A15,'Đóng gói trong giờ'!BO$12:BO$123)</f>
        <v>0</v>
      </c>
      <c r="BR15" s="4">
        <f>SUMIF('Đóng gói trong giờ'!$A$12:$A$123,'Tổng hợp trong giờ'!$A15,'Đóng gói trong giờ'!BP$12:BP$123)</f>
        <v>0</v>
      </c>
      <c r="BS15" s="4">
        <f>SUMIF('Đóng gói trong giờ'!$A$12:$A$123,'Tổng hợp trong giờ'!$A15,'Đóng gói trong giờ'!BQ$12:BQ$123)</f>
        <v>0</v>
      </c>
      <c r="BT15" s="4">
        <f>SUMIF('Đóng gói trong giờ'!$A$12:$A$123,'Tổng hợp trong giờ'!$A15,'Đóng gói trong giờ'!BR$12:BR$123)</f>
        <v>0</v>
      </c>
      <c r="BU15" s="169">
        <f>SUM(BF15:BT15)</f>
        <v>62.5</v>
      </c>
      <c r="BV15" s="168">
        <f>SUMPRODUCT($BF$13:$BT$13,BF15:BT15)</f>
        <v>2305057.9557428872</v>
      </c>
      <c r="BW15" s="168">
        <f>SUMPRODUCT($C$13:$BD$13,C15:BD15) + SUMPRODUCT($BF$13:$BT$13,BF15:BT15)</f>
        <v>11719655.166266657</v>
      </c>
      <c r="BX15" s="4">
        <f ca="1">VLOOKUP(A15,'Tổng hợp ngoài giờ'!$A$15:$BW$41,75,0)</f>
        <v>388531.21700687346</v>
      </c>
      <c r="BY15" s="10">
        <f ca="1">BW15+BX15</f>
        <v>12108186.383273531</v>
      </c>
      <c r="BZ15" s="96">
        <f>IF(ISNA(VLOOKUP(A15,' Bang luong'!$A$13:$M$59,11,0)),0,VLOOKUP(A15,' Bang luong'!$A$13:$M$59,11,0))</f>
        <v>25</v>
      </c>
      <c r="CA15" s="4">
        <f>$BZ$10/$BY$10*BZ15</f>
        <v>6730769.230769231</v>
      </c>
      <c r="CB15" s="14">
        <f ca="1">IF(BY15=0,0,BW15/CA15)</f>
        <v>1.7412059104167605</v>
      </c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Q15" s="9">
        <v>4</v>
      </c>
    </row>
    <row r="16" spans="1:100" ht="15.75" x14ac:dyDescent="0.25">
      <c r="A16" s="224" t="s">
        <v>102</v>
      </c>
      <c r="B16" s="2" t="str">
        <f>VLOOKUP(A16,'Mã NV'!$A$1:$C$27,2,0)</f>
        <v>Ngô Văn Thanh</v>
      </c>
      <c r="C16" s="22"/>
      <c r="D16" s="4">
        <f>SUMIF('Đóng gói trong giờ'!$A$12:$A$123,'Tổng hợp trong giờ'!$A16,'Đóng gói trong giờ'!D$12:D$123)</f>
        <v>650</v>
      </c>
      <c r="E16" s="4">
        <f>SUMIF('Đóng gói trong giờ'!$A$12:$A$123,'Tổng hợp trong giờ'!$A16,'Đóng gói trong giờ'!E$12:E$123)</f>
        <v>4875</v>
      </c>
      <c r="F16" s="4">
        <f>SUMIF('Đóng gói trong giờ'!$A$12:$A$123,'Tổng hợp trong giờ'!$A16,'Đóng gói trong giờ'!F$12:F$123)</f>
        <v>3066.67</v>
      </c>
      <c r="G16" s="4">
        <f>SUMIF('Đóng gói trong giờ'!$A$12:$A$123,'Tổng hợp trong giờ'!$A16,'Đóng gói trong giờ'!G$12:G$123)</f>
        <v>0</v>
      </c>
      <c r="H16" s="4">
        <f>SUMIF('Đóng gói trong giờ'!$A$12:$A$123,'Tổng hợp trong giờ'!$A16,'Đóng gói trong giờ'!H$12:H$123)</f>
        <v>375</v>
      </c>
      <c r="I16" s="4">
        <f>SUMIF('Đóng gói trong giờ'!$A$12:$A$123,'Tổng hợp trong giờ'!$A16,'Đóng gói trong giờ'!I$12:I$123)</f>
        <v>0</v>
      </c>
      <c r="J16" s="4">
        <f>SUMIF('Đóng gói trong giờ'!$A$12:$A$123,'Tổng hợp trong giờ'!$A16,'Đóng gói trong giờ'!J$12:J$123)</f>
        <v>575</v>
      </c>
      <c r="K16" s="4">
        <f>SUMIF('Đóng gói trong giờ'!$A$12:$A$123,'Tổng hợp trong giờ'!$A16,'Đóng gói trong giờ'!K$12:K$123)</f>
        <v>0</v>
      </c>
      <c r="L16" s="4">
        <f>SUMIF('Đóng gói trong giờ'!$A$12:$A$123,'Tổng hợp trong giờ'!$A16,'Đóng gói trong giờ'!L$12:L$123)</f>
        <v>0</v>
      </c>
      <c r="M16" s="4">
        <f>SUMIF('Đóng gói trong giờ'!$A$12:$A$123,'Tổng hợp trong giờ'!$A16,'Đóng gói trong giờ'!M$12:M$123)</f>
        <v>325</v>
      </c>
      <c r="N16" s="4">
        <f>SUMIF('Đóng gói trong giờ'!$A$12:$A$123,'Tổng hợp trong giờ'!$A16,'Đóng gói trong giờ'!N$12:N$123)</f>
        <v>0</v>
      </c>
      <c r="O16" s="4">
        <f>SUMIF('Đóng gói trong giờ'!$A$12:$A$123,'Tổng hợp trong giờ'!$A16,'Đóng gói trong giờ'!O$12:O$123)</f>
        <v>283.33</v>
      </c>
      <c r="P16" s="4">
        <f>SUMIF('Đóng gói trong giờ'!$A$12:$A$123,'Tổng hợp trong giờ'!$A16,'Đóng gói trong giờ'!P$12:P$123)</f>
        <v>1125</v>
      </c>
      <c r="Q16" s="4">
        <f>SUMIF('Đóng gói trong giờ'!$A$12:$A$123,'Tổng hợp trong giờ'!$A16,'Đóng gói trong giờ'!Q$12:Q$123)</f>
        <v>650</v>
      </c>
      <c r="R16" s="4">
        <f>SUMIF('Đóng gói trong giờ'!$A$12:$A$123,'Tổng hợp trong giờ'!$A16,'Đóng gói trong giờ'!R$12:R$123)</f>
        <v>366.66333333333336</v>
      </c>
      <c r="S16" s="4">
        <f>SUMIF('Đóng gói trong giờ'!$A$12:$A$123,'Tổng hợp trong giờ'!$A16,'Đóng gói trong giờ'!S$12:S$123)</f>
        <v>0</v>
      </c>
      <c r="T16" s="4">
        <f>SUMIF('Đóng gói trong giờ'!$A$12:$A$123,'Tổng hợp trong giờ'!$A16,'Đóng gói trong giờ'!T$12:T$123)</f>
        <v>0</v>
      </c>
      <c r="U16" s="4">
        <f>SUMIF('Đóng gói trong giờ'!$A$12:$A$123,'Tổng hợp trong giờ'!$A16,'Đóng gói trong giờ'!U$12:U$123)</f>
        <v>0</v>
      </c>
      <c r="V16" s="4">
        <f>SUMIF('Đóng gói trong giờ'!$A$12:$A$123,'Tổng hợp trong giờ'!$A16,'Đóng gói trong giờ'!V$12:V$123)</f>
        <v>0</v>
      </c>
      <c r="W16" s="4">
        <f>SUMIF('Đóng gói trong giờ'!$A$12:$A$123,'Tổng hợp trong giờ'!$A16,'Đóng gói trong giờ'!W$12:W$123)</f>
        <v>0</v>
      </c>
      <c r="X16" s="4">
        <f>SUMIF('Đóng gói trong giờ'!$A$12:$A$123,'Tổng hợp trong giờ'!$A16,'Đóng gói trong giờ'!X$12:X$123)</f>
        <v>0</v>
      </c>
      <c r="Y16" s="4">
        <f>SUMIF('Đóng gói trong giờ'!$A$12:$A$123,'Tổng hợp trong giờ'!$A16,'Đóng gói trong giờ'!Y$12:Y$123)</f>
        <v>0</v>
      </c>
      <c r="Z16" s="4">
        <f>SUMIF('Đóng gói trong giờ'!$A$12:$A$123,'Tổng hợp trong giờ'!$A16,'Đóng gói trong giờ'!Z$12:Z$123)</f>
        <v>0</v>
      </c>
      <c r="AA16" s="4">
        <f>SUMIF('Đóng gói trong giờ'!$A$12:$A$123,'Tổng hợp trong giờ'!$A16,'Đóng gói trong giờ'!AA$12:AA$123)</f>
        <v>146.66666666666669</v>
      </c>
      <c r="AB16" s="4">
        <f>SUMIF('Đóng gói trong giờ'!$A$12:$A$123,'Tổng hợp trong giờ'!$A16,'Đóng gói trong giờ'!AB$12:AB$123)</f>
        <v>0</v>
      </c>
      <c r="AC16" s="4">
        <f>SUMIF('Đóng gói trong giờ'!$A$12:$A$123,'Tổng hợp trong giờ'!$A16,'Đóng gói trong giờ'!AC$12:AC$123)</f>
        <v>0</v>
      </c>
      <c r="AD16" s="4">
        <f>SUMIF('Đóng gói trong giờ'!$A$12:$A$123,'Tổng hợp trong giờ'!$A16,'Đóng gói trong giờ'!AD$12:AD$123)</f>
        <v>322.5</v>
      </c>
      <c r="AE16" s="4">
        <f>SUMIF('Đóng gói trong giờ'!$A$12:$A$123,'Tổng hợp trong giờ'!$A16,'Đóng gói trong giờ'!AE$12:AE$123)</f>
        <v>0</v>
      </c>
      <c r="AF16" s="4">
        <f>SUMIF('Đóng gói trong giờ'!$A$12:$A$123,'Tổng hợp trong giờ'!$A16,'Đóng gói trong giờ'!AF$12:AF$123)</f>
        <v>0</v>
      </c>
      <c r="AG16" s="4">
        <f>SUMIF('Đóng gói trong giờ'!$A$12:$A$123,'Tổng hợp trong giờ'!$A16,'Đóng gói trong giờ'!AG$12:AG$123)</f>
        <v>0</v>
      </c>
      <c r="AH16" s="4">
        <f>SUMIF('Đóng gói trong giờ'!$A$12:$A$123,'Tổng hợp trong giờ'!$A16,'Đóng gói trong giờ'!AH$12:AH$123)</f>
        <v>0</v>
      </c>
      <c r="AI16" s="4">
        <f>SUMIF('Đóng gói trong giờ'!$A$12:$A$123,'Tổng hợp trong giờ'!$A16,'Đóng gói trong giờ'!AI$12:AI$123)</f>
        <v>0</v>
      </c>
      <c r="AJ16" s="4">
        <f>SUMIF('Đóng gói trong giờ'!$A$12:$A$123,'Tổng hợp trong giờ'!$A16,'Đóng gói trong giờ'!AJ$12:AJ$123)</f>
        <v>0</v>
      </c>
      <c r="AK16" s="4">
        <f>SUMIF('Đóng gói trong giờ'!$A$12:$A$123,'Tổng hợp trong giờ'!$A16,'Đóng gói trong giờ'!AK$12:AK$123)</f>
        <v>0</v>
      </c>
      <c r="AL16" s="4">
        <f>SUMIF('Đóng gói trong giờ'!$A$12:$A$123,'Tổng hợp trong giờ'!$A16,'Đóng gói trong giờ'!AL$12:AL$123)</f>
        <v>0</v>
      </c>
      <c r="AM16" s="4">
        <f>SUMIF('Đóng gói trong giờ'!$A$12:$A$123,'Tổng hợp trong giờ'!$A16,'Đóng gói trong giờ'!AM$12:AM$123)</f>
        <v>58.33</v>
      </c>
      <c r="AN16" s="4">
        <f>SUMIF('Đóng gói trong giờ'!$A$12:$A$123,'Tổng hợp trong giờ'!$A16,'Đóng gói trong giờ'!AN$12:AN$123)</f>
        <v>0</v>
      </c>
      <c r="AO16" s="4">
        <f>SUMIF('Đóng gói trong giờ'!$A$12:$A$123,'Tổng hợp trong giờ'!$A16,'Đóng gói trong giờ'!AO$12:AO$123)</f>
        <v>0</v>
      </c>
      <c r="AP16" s="4">
        <f>SUMIF('Đóng gói trong giờ'!$A$12:$A$123,'Tổng hợp trong giờ'!$A16,'Đóng gói trong giờ'!AP$12:AP$123)</f>
        <v>0</v>
      </c>
      <c r="AQ16" s="4">
        <f>SUMIF('Đóng gói trong giờ'!$A$12:$A$123,'Tổng hợp trong giờ'!$A16,'Đóng gói trong giờ'!AQ$12:AQ$123)</f>
        <v>0</v>
      </c>
      <c r="AR16" s="4">
        <f>SUMIF('Đóng gói trong giờ'!$A$12:$A$123,'Tổng hợp trong giờ'!$A16,'Đóng gói trong giờ'!AR$12:AR$123)</f>
        <v>0</v>
      </c>
      <c r="AS16" s="4">
        <f>SUMIF('Đóng gói trong giờ'!$A$12:$A$123,'Tổng hợp trong giờ'!$A16,'Đóng gói trong giờ'!AS$12:AS$123)</f>
        <v>0</v>
      </c>
      <c r="AT16" s="4">
        <f>SUMIF('Đóng gói trong giờ'!$A$12:$A$123,'Tổng hợp trong giờ'!$A16,'Đóng gói trong giờ'!AT$12:AT$123)</f>
        <v>0</v>
      </c>
      <c r="AU16" s="4">
        <f>SUMIF('Đóng gói trong giờ'!$A$12:$A$123,'Tổng hợp trong giờ'!$A16,'Đóng gói trong giờ'!AU$12:AU$123)</f>
        <v>0</v>
      </c>
      <c r="AV16" s="4">
        <f>SUMIF('Đóng gói trong giờ'!$A$12:$A$123,'Tổng hợp trong giờ'!$A16,'Đóng gói trong giờ'!AV$12:AV$123)</f>
        <v>0</v>
      </c>
      <c r="AW16" s="4">
        <f>SUMIF('Đóng gói trong giờ'!$A$12:$A$123,'Tổng hợp trong giờ'!$A16,'Đóng gói trong giờ'!AW$12:AW$123)</f>
        <v>0</v>
      </c>
      <c r="AX16" s="4">
        <f>SUMIF('Đóng gói trong giờ'!$A$12:$A$123,'Tổng hợp trong giờ'!$A16,'Đóng gói trong giờ'!AX$12:AX$123)</f>
        <v>0</v>
      </c>
      <c r="AY16" s="4">
        <f>SUMIF('Đóng gói trong giờ'!$A$12:$A$123,'Tổng hợp trong giờ'!$A16,'Đóng gói trong giờ'!AY$12:AY$123)</f>
        <v>0</v>
      </c>
      <c r="AZ16" s="4">
        <f>SUMIF('Đóng gói trong giờ'!$A$12:$A$123,'Tổng hợp trong giờ'!$A16,'Đóng gói trong giờ'!AZ$12:AZ$123)</f>
        <v>0</v>
      </c>
      <c r="BA16" s="4">
        <f>SUMIF('Đóng gói trong giờ'!$A$12:$A$123,'Tổng hợp trong giờ'!$A16,'Đóng gói trong giờ'!BA$12:BA$123)</f>
        <v>0</v>
      </c>
      <c r="BB16" s="4">
        <f>SUMIF('Đóng gói trong giờ'!$A$12:$A$123,'Tổng hợp trong giờ'!$A16,'Đóng gói trong giờ'!BB$12:BB$123)</f>
        <v>0</v>
      </c>
      <c r="BC16" s="22">
        <f>SUMIF('Đóng gói trong giờ'!$A$12:$A$78,'Tổng hợp trong giờ'!$A16,'Đóng gói trong giờ'!BC$12:BC$78)</f>
        <v>0</v>
      </c>
      <c r="BD16" s="119">
        <f>SUMIF('Bốc hàng trong giờ new'!$H$13:$H$3398,'Tổng hợp trong giờ'!A16,'Bốc hàng trong giờ new'!$J$13:$J$3398)</f>
        <v>0</v>
      </c>
      <c r="BE16" s="22">
        <f>SUMIF('Đóng gói trong giờ'!$A$12:$A$78,'Tổng hợp trong giờ'!$A16,'Đóng gói trong giờ'!BE$12:BE$78)</f>
        <v>31.5</v>
      </c>
      <c r="BF16" s="4">
        <f>SUMIF('Đóng gói trong giờ'!$A$12:$A$123,'Tổng hợp trong giờ'!$A16,'Đóng gói trong giờ'!BD$12:BD$123)</f>
        <v>0</v>
      </c>
      <c r="BG16" s="4">
        <f>SUMIF('Đóng gói trong giờ'!$A$12:$A$123,'Tổng hợp trong giờ'!$A16,'Đóng gói trong giờ'!BE$12:BE$123)</f>
        <v>31.5</v>
      </c>
      <c r="BH16" s="4">
        <f>SUMIF('Đóng gói trong giờ'!$A$12:$A$123,'Tổng hợp trong giờ'!$A16,'Đóng gói trong giờ'!BF$12:BF$123)</f>
        <v>0</v>
      </c>
      <c r="BI16" s="4">
        <f>SUMIF('Đóng gói trong giờ'!$A$12:$A$123,'Tổng hợp trong giờ'!$A16,'Đóng gói trong giờ'!BG$12:BG$123)</f>
        <v>0</v>
      </c>
      <c r="BJ16" s="4">
        <f>SUMIF('Đóng gói trong giờ'!$A$12:$A$123,'Tổng hợp trong giờ'!$A16,'Đóng gói trong giờ'!BH$12:BH$123)</f>
        <v>0</v>
      </c>
      <c r="BK16" s="4">
        <f>SUMIF('Đóng gói trong giờ'!$A$12:$A$123,'Tổng hợp trong giờ'!$A16,'Đóng gói trong giờ'!BI$12:BI$123)</f>
        <v>0</v>
      </c>
      <c r="BL16" s="4">
        <f>SUMIF('Đóng gói trong giờ'!$A$12:$A$123,'Tổng hợp trong giờ'!$A16,'Đóng gói trong giờ'!BJ$12:BJ$123)</f>
        <v>0</v>
      </c>
      <c r="BM16" s="4">
        <f>SUMIF('Đóng gói trong giờ'!$A$12:$A$123,'Tổng hợp trong giờ'!$A16,'Đóng gói trong giờ'!BK$12:BK$123)</f>
        <v>0</v>
      </c>
      <c r="BN16" s="4">
        <f>SUMIF('Đóng gói trong giờ'!$A$12:$A$123,'Tổng hợp trong giờ'!$A16,'Đóng gói trong giờ'!BL$12:BL$123)</f>
        <v>23.5</v>
      </c>
      <c r="BO16" s="4">
        <f>SUMIF('Đóng gói trong giờ'!$A$12:$A$123,'Tổng hợp trong giờ'!$A16,'Đóng gói trong giờ'!BM$12:BM$123)</f>
        <v>0</v>
      </c>
      <c r="BP16" s="4">
        <f>SUMIF('Đóng gói trong giờ'!$A$12:$A$123,'Tổng hợp trong giờ'!$A16,'Đóng gói trong giờ'!BN$12:BN$123)</f>
        <v>0.5</v>
      </c>
      <c r="BQ16" s="4">
        <f>SUMIF('Đóng gói trong giờ'!$A$12:$A$123,'Tổng hợp trong giờ'!$A16,'Đóng gói trong giờ'!BO$12:BO$123)</f>
        <v>0</v>
      </c>
      <c r="BR16" s="4">
        <f>SUMIF('Đóng gói trong giờ'!$A$12:$A$123,'Tổng hợp trong giờ'!$A16,'Đóng gói trong giờ'!BP$12:BP$123)</f>
        <v>0</v>
      </c>
      <c r="BS16" s="4">
        <f>SUMIF('Đóng gói trong giờ'!$A$12:$A$123,'Tổng hợp trong giờ'!$A16,'Đóng gói trong giờ'!BQ$12:BQ$123)</f>
        <v>0</v>
      </c>
      <c r="BT16" s="4">
        <f>SUMIF('Đóng gói trong giờ'!$A$12:$A$123,'Tổng hợp trong giờ'!$A16,'Đóng gói trong giờ'!BR$12:BR$123)</f>
        <v>0</v>
      </c>
      <c r="BU16" s="169">
        <f t="shared" ref="BU16:BU36" si="1">SUM(BF16:BT16)</f>
        <v>55.5</v>
      </c>
      <c r="BV16" s="168">
        <f t="shared" ref="BV16:BV36" si="2">SUMPRODUCT($BF$13:$BT$13,BF16:BT16)</f>
        <v>2046891.4646996839</v>
      </c>
      <c r="BW16" s="168">
        <f t="shared" ref="BW16:BW35" si="3">SUMPRODUCT($C$13:$BD$13,C16:BD16) + SUMPRODUCT($BF$13:$BT$13,BF16:BT16)</f>
        <v>12272911.537532223</v>
      </c>
      <c r="BX16" s="4">
        <f ca="1">VLOOKUP(A16,'Tổng hợp ngoài giờ'!$A$15:$BW$41,75,0)</f>
        <v>513128.13330360921</v>
      </c>
      <c r="BY16" s="10">
        <f t="shared" ref="BY16:BY35" ca="1" si="4">BW16+BX16</f>
        <v>12786039.670835832</v>
      </c>
      <c r="BZ16" s="96">
        <f>IF(ISNA(VLOOKUP(A16,' Bang luong'!$A$13:$M$59,11,0)),0,VLOOKUP(A16,' Bang luong'!$A$13:$M$59,11,0))</f>
        <v>26</v>
      </c>
      <c r="CA16" s="4">
        <f>$BZ$10/$BY$10*BZ16</f>
        <v>7000000</v>
      </c>
      <c r="CB16" s="14">
        <f ca="1">IF(BY16=0,0,BW16/CA16)</f>
        <v>1.7532730767903175</v>
      </c>
      <c r="CD16" s="104"/>
      <c r="CE16" s="104"/>
      <c r="CF16" s="7"/>
      <c r="CG16" s="7"/>
      <c r="CH16" s="7"/>
      <c r="CI16" s="7"/>
      <c r="CN16" s="7"/>
      <c r="CQ16" s="9">
        <v>5</v>
      </c>
    </row>
    <row r="17" spans="1:95" ht="15.75" x14ac:dyDescent="0.25">
      <c r="A17" s="224" t="s">
        <v>103</v>
      </c>
      <c r="B17" s="2" t="str">
        <f>VLOOKUP(A17,'Mã NV'!$A$1:$C$27,2,0)</f>
        <v>Võ Văn Giàu</v>
      </c>
      <c r="C17" s="22"/>
      <c r="D17" s="4">
        <f>SUMIF('Đóng gói trong giờ'!$A$12:$A$123,'Tổng hợp trong giờ'!$A17,'Đóng gói trong giờ'!D$12:D$123)</f>
        <v>800</v>
      </c>
      <c r="E17" s="4">
        <f>SUMIF('Đóng gói trong giờ'!$A$12:$A$123,'Tổng hợp trong giờ'!$A17,'Đóng gói trong giờ'!E$12:E$123)</f>
        <v>5600</v>
      </c>
      <c r="F17" s="4">
        <f>SUMIF('Đóng gói trong giờ'!$A$12:$A$123,'Tổng hợp trong giờ'!$A17,'Đóng gói trong giờ'!F$12:F$123)</f>
        <v>3626.66</v>
      </c>
      <c r="G17" s="4">
        <f>SUMIF('Đóng gói trong giờ'!$A$12:$A$123,'Tổng hợp trong giờ'!$A17,'Đóng gói trong giờ'!G$12:G$123)</f>
        <v>0</v>
      </c>
      <c r="H17" s="4">
        <f>SUMIF('Đóng gói trong giờ'!$A$12:$A$123,'Tổng hợp trong giờ'!$A17,'Đóng gói trong giờ'!H$12:H$123)</f>
        <v>0</v>
      </c>
      <c r="I17" s="4">
        <f>SUMIF('Đóng gói trong giờ'!$A$12:$A$123,'Tổng hợp trong giờ'!$A17,'Đóng gói trong giờ'!I$12:I$123)</f>
        <v>0</v>
      </c>
      <c r="J17" s="4">
        <f>SUMIF('Đóng gói trong giờ'!$A$12:$A$123,'Tổng hợp trong giờ'!$A17,'Đóng gói trong giờ'!J$12:J$123)</f>
        <v>75</v>
      </c>
      <c r="K17" s="4">
        <f>SUMIF('Đóng gói trong giờ'!$A$12:$A$123,'Tổng hợp trong giờ'!$A17,'Đóng gói trong giờ'!K$12:K$123)</f>
        <v>0</v>
      </c>
      <c r="L17" s="4">
        <f>SUMIF('Đóng gói trong giờ'!$A$12:$A$123,'Tổng hợp trong giờ'!$A17,'Đóng gói trong giờ'!L$12:L$123)</f>
        <v>0</v>
      </c>
      <c r="M17" s="4">
        <f>SUMIF('Đóng gói trong giờ'!$A$12:$A$123,'Tổng hợp trong giờ'!$A17,'Đóng gói trong giờ'!M$12:M$123)</f>
        <v>650</v>
      </c>
      <c r="N17" s="4">
        <f>SUMIF('Đóng gói trong giờ'!$A$12:$A$123,'Tổng hợp trong giờ'!$A17,'Đóng gói trong giờ'!N$12:N$123)</f>
        <v>0</v>
      </c>
      <c r="O17" s="4">
        <f>SUMIF('Đóng gói trong giờ'!$A$12:$A$123,'Tổng hợp trong giờ'!$A17,'Đóng gói trong giờ'!O$12:O$123)</f>
        <v>0</v>
      </c>
      <c r="P17" s="4">
        <f>SUMIF('Đóng gói trong giờ'!$A$12:$A$123,'Tổng hợp trong giờ'!$A17,'Đóng gói trong giờ'!P$12:P$123)</f>
        <v>0</v>
      </c>
      <c r="Q17" s="4">
        <f>SUMIF('Đóng gói trong giờ'!$A$12:$A$123,'Tổng hợp trong giờ'!$A17,'Đóng gói trong giờ'!Q$12:Q$123)</f>
        <v>0</v>
      </c>
      <c r="R17" s="4">
        <f>SUMIF('Đóng gói trong giờ'!$A$12:$A$123,'Tổng hợp trong giờ'!$A17,'Đóng gói trong giờ'!R$12:R$123)</f>
        <v>533.33000000000004</v>
      </c>
      <c r="S17" s="4">
        <f>SUMIF('Đóng gói trong giờ'!$A$12:$A$123,'Tổng hợp trong giờ'!$A17,'Đóng gói trong giờ'!S$12:S$123)</f>
        <v>0</v>
      </c>
      <c r="T17" s="4">
        <f>SUMIF('Đóng gói trong giờ'!$A$12:$A$123,'Tổng hợp trong giờ'!$A17,'Đóng gói trong giờ'!T$12:T$123)</f>
        <v>0</v>
      </c>
      <c r="U17" s="4">
        <f>SUMIF('Đóng gói trong giờ'!$A$12:$A$123,'Tổng hợp trong giờ'!$A17,'Đóng gói trong giờ'!U$12:U$123)</f>
        <v>0</v>
      </c>
      <c r="V17" s="4">
        <f>SUMIF('Đóng gói trong giờ'!$A$12:$A$123,'Tổng hợp trong giờ'!$A17,'Đóng gói trong giờ'!V$12:V$123)</f>
        <v>0</v>
      </c>
      <c r="W17" s="4">
        <f>SUMIF('Đóng gói trong giờ'!$A$12:$A$123,'Tổng hợp trong giờ'!$A17,'Đóng gói trong giờ'!W$12:W$123)</f>
        <v>0</v>
      </c>
      <c r="X17" s="4">
        <f>SUMIF('Đóng gói trong giờ'!$A$12:$A$123,'Tổng hợp trong giờ'!$A17,'Đóng gói trong giờ'!X$12:X$123)</f>
        <v>0</v>
      </c>
      <c r="Y17" s="4">
        <f>SUMIF('Đóng gói trong giờ'!$A$12:$A$123,'Tổng hợp trong giờ'!$A17,'Đóng gói trong giờ'!Y$12:Y$123)</f>
        <v>0</v>
      </c>
      <c r="Z17" s="4">
        <f>SUMIF('Đóng gói trong giờ'!$A$12:$A$123,'Tổng hợp trong giờ'!$A17,'Đóng gói trong giờ'!Z$12:Z$123)</f>
        <v>0</v>
      </c>
      <c r="AA17" s="4">
        <f>SUMIF('Đóng gói trong giờ'!$A$12:$A$123,'Tổng hợp trong giờ'!$A17,'Đóng gói trong giờ'!AA$12:AA$123)</f>
        <v>216.67000000000002</v>
      </c>
      <c r="AB17" s="4">
        <f>SUMIF('Đóng gói trong giờ'!$A$12:$A$123,'Tổng hợp trong giờ'!$A17,'Đóng gói trong giờ'!AB$12:AB$123)</f>
        <v>0</v>
      </c>
      <c r="AC17" s="4">
        <f>SUMIF('Đóng gói trong giờ'!$A$12:$A$123,'Tổng hợp trong giờ'!$A17,'Đóng gói trong giờ'!AC$12:AC$123)</f>
        <v>0</v>
      </c>
      <c r="AD17" s="4">
        <f>SUMIF('Đóng gói trong giờ'!$A$12:$A$123,'Tổng hợp trong giờ'!$A17,'Đóng gói trong giờ'!AD$12:AD$123)</f>
        <v>437.5</v>
      </c>
      <c r="AE17" s="4">
        <f>SUMIF('Đóng gói trong giờ'!$A$12:$A$123,'Tổng hợp trong giờ'!$A17,'Đóng gói trong giờ'!AE$12:AE$123)</f>
        <v>0</v>
      </c>
      <c r="AF17" s="4">
        <f>SUMIF('Đóng gói trong giờ'!$A$12:$A$123,'Tổng hợp trong giờ'!$A17,'Đóng gói trong giờ'!AF$12:AF$123)</f>
        <v>0</v>
      </c>
      <c r="AG17" s="4">
        <f>SUMIF('Đóng gói trong giờ'!$A$12:$A$123,'Tổng hợp trong giờ'!$A17,'Đóng gói trong giờ'!AG$12:AG$123)</f>
        <v>0</v>
      </c>
      <c r="AH17" s="4">
        <f>SUMIF('Đóng gói trong giờ'!$A$12:$A$123,'Tổng hợp trong giờ'!$A17,'Đóng gói trong giờ'!AH$12:AH$123)</f>
        <v>0</v>
      </c>
      <c r="AI17" s="4">
        <f>SUMIF('Đóng gói trong giờ'!$A$12:$A$123,'Tổng hợp trong giờ'!$A17,'Đóng gói trong giờ'!AI$12:AI$123)</f>
        <v>0</v>
      </c>
      <c r="AJ17" s="4">
        <f>SUMIF('Đóng gói trong giờ'!$A$12:$A$123,'Tổng hợp trong giờ'!$A17,'Đóng gói trong giờ'!AJ$12:AJ$123)</f>
        <v>0</v>
      </c>
      <c r="AK17" s="4">
        <f>SUMIF('Đóng gói trong giờ'!$A$12:$A$123,'Tổng hợp trong giờ'!$A17,'Đóng gói trong giờ'!AK$12:AK$123)</f>
        <v>0</v>
      </c>
      <c r="AL17" s="4">
        <f>SUMIF('Đóng gói trong giờ'!$A$12:$A$123,'Tổng hợp trong giờ'!$A17,'Đóng gói trong giờ'!AL$12:AL$123)</f>
        <v>0</v>
      </c>
      <c r="AM17" s="4">
        <f>SUMIF('Đóng gói trong giờ'!$A$12:$A$123,'Tổng hợp trong giờ'!$A17,'Đóng gói trong giờ'!AM$12:AM$123)</f>
        <v>50</v>
      </c>
      <c r="AN17" s="4">
        <f>SUMIF('Đóng gói trong giờ'!$A$12:$A$123,'Tổng hợp trong giờ'!$A17,'Đóng gói trong giờ'!AN$12:AN$123)</f>
        <v>0</v>
      </c>
      <c r="AO17" s="4">
        <f>SUMIF('Đóng gói trong giờ'!$A$12:$A$123,'Tổng hợp trong giờ'!$A17,'Đóng gói trong giờ'!AO$12:AO$123)</f>
        <v>0</v>
      </c>
      <c r="AP17" s="4">
        <f>SUMIF('Đóng gói trong giờ'!$A$12:$A$123,'Tổng hợp trong giờ'!$A17,'Đóng gói trong giờ'!AP$12:AP$123)</f>
        <v>0</v>
      </c>
      <c r="AQ17" s="4">
        <f>SUMIF('Đóng gói trong giờ'!$A$12:$A$123,'Tổng hợp trong giờ'!$A17,'Đóng gói trong giờ'!AQ$12:AQ$123)</f>
        <v>0</v>
      </c>
      <c r="AR17" s="4">
        <f>SUMIF('Đóng gói trong giờ'!$A$12:$A$123,'Tổng hợp trong giờ'!$A17,'Đóng gói trong giờ'!AR$12:AR$123)</f>
        <v>0</v>
      </c>
      <c r="AS17" s="4">
        <f>SUMIF('Đóng gói trong giờ'!$A$12:$A$123,'Tổng hợp trong giờ'!$A17,'Đóng gói trong giờ'!AS$12:AS$123)</f>
        <v>0</v>
      </c>
      <c r="AT17" s="4">
        <f>SUMIF('Đóng gói trong giờ'!$A$12:$A$123,'Tổng hợp trong giờ'!$A17,'Đóng gói trong giờ'!AT$12:AT$123)</f>
        <v>0</v>
      </c>
      <c r="AU17" s="4">
        <f>SUMIF('Đóng gói trong giờ'!$A$12:$A$123,'Tổng hợp trong giờ'!$A17,'Đóng gói trong giờ'!AU$12:AU$123)</f>
        <v>0</v>
      </c>
      <c r="AV17" s="4">
        <f>SUMIF('Đóng gói trong giờ'!$A$12:$A$123,'Tổng hợp trong giờ'!$A17,'Đóng gói trong giờ'!AV$12:AV$123)</f>
        <v>0</v>
      </c>
      <c r="AW17" s="4">
        <f>SUMIF('Đóng gói trong giờ'!$A$12:$A$123,'Tổng hợp trong giờ'!$A17,'Đóng gói trong giờ'!AW$12:AW$123)</f>
        <v>0</v>
      </c>
      <c r="AX17" s="4">
        <f>SUMIF('Đóng gói trong giờ'!$A$12:$A$123,'Tổng hợp trong giờ'!$A17,'Đóng gói trong giờ'!AX$12:AX$123)</f>
        <v>0</v>
      </c>
      <c r="AY17" s="4">
        <f>SUMIF('Đóng gói trong giờ'!$A$12:$A$123,'Tổng hợp trong giờ'!$A17,'Đóng gói trong giờ'!AY$12:AY$123)</f>
        <v>0</v>
      </c>
      <c r="AZ17" s="4">
        <f>SUMIF('Đóng gói trong giờ'!$A$12:$A$123,'Tổng hợp trong giờ'!$A17,'Đóng gói trong giờ'!AZ$12:AZ$123)</f>
        <v>0</v>
      </c>
      <c r="BA17" s="4">
        <f>SUMIF('Đóng gói trong giờ'!$A$12:$A$123,'Tổng hợp trong giờ'!$A17,'Đóng gói trong giờ'!BA$12:BA$123)</f>
        <v>0</v>
      </c>
      <c r="BB17" s="4">
        <f>SUMIF('Đóng gói trong giờ'!$A$12:$A$123,'Tổng hợp trong giờ'!$A17,'Đóng gói trong giờ'!BB$12:BB$123)</f>
        <v>0</v>
      </c>
      <c r="BC17" s="22">
        <f>SUMIF('Đóng gói trong giờ'!$A$12:$A$78,'Tổng hợp trong giờ'!$A17,'Đóng gói trong giờ'!BC$12:BC$78)</f>
        <v>0</v>
      </c>
      <c r="BD17" s="119">
        <f>SUMIF('Bốc hàng trong giờ new'!$H$13:$H$3398,'Tổng hợp trong giờ'!A17,'Bốc hàng trong giờ new'!$J$13:$J$3398)</f>
        <v>0</v>
      </c>
      <c r="BE17" s="22">
        <f>SUMIF('Đóng gói trong giờ'!$A$12:$A$78,'Tổng hợp trong giờ'!$A17,'Đóng gói trong giờ'!BE$12:BE$78)</f>
        <v>36</v>
      </c>
      <c r="BF17" s="4">
        <f>SUMIF('Đóng gói trong giờ'!$A$12:$A$123,'Tổng hợp trong giờ'!$A17,'Đóng gói trong giờ'!BD$12:BD$123)</f>
        <v>0</v>
      </c>
      <c r="BG17" s="4">
        <f>SUMIF('Đóng gói trong giờ'!$A$12:$A$123,'Tổng hợp trong giờ'!$A17,'Đóng gói trong giờ'!BE$12:BE$123)</f>
        <v>36</v>
      </c>
      <c r="BH17" s="4">
        <f>SUMIF('Đóng gói trong giờ'!$A$12:$A$123,'Tổng hợp trong giờ'!$A17,'Đóng gói trong giờ'!BF$12:BF$123)</f>
        <v>0</v>
      </c>
      <c r="BI17" s="4">
        <f>SUMIF('Đóng gói trong giờ'!$A$12:$A$123,'Tổng hợp trong giờ'!$A17,'Đóng gói trong giờ'!BG$12:BG$123)</f>
        <v>0</v>
      </c>
      <c r="BJ17" s="4">
        <f>SUMIF('Đóng gói trong giờ'!$A$12:$A$123,'Tổng hợp trong giờ'!$A17,'Đóng gói trong giờ'!BH$12:BH$123)</f>
        <v>0</v>
      </c>
      <c r="BK17" s="4">
        <f>SUMIF('Đóng gói trong giờ'!$A$12:$A$123,'Tổng hợp trong giờ'!$A17,'Đóng gói trong giờ'!BI$12:BI$123)</f>
        <v>0</v>
      </c>
      <c r="BL17" s="4">
        <f>SUMIF('Đóng gói trong giờ'!$A$12:$A$123,'Tổng hợp trong giờ'!$A17,'Đóng gói trong giờ'!BJ$12:BJ$123)</f>
        <v>0</v>
      </c>
      <c r="BM17" s="4">
        <f>SUMIF('Đóng gói trong giờ'!$A$12:$A$123,'Tổng hợp trong giờ'!$A17,'Đóng gói trong giờ'!BK$12:BK$123)</f>
        <v>0</v>
      </c>
      <c r="BN17" s="4">
        <f>SUMIF('Đóng gói trong giờ'!$A$12:$A$123,'Tổng hợp trong giờ'!$A17,'Đóng gói trong giờ'!BL$12:BL$123)</f>
        <v>26.5</v>
      </c>
      <c r="BO17" s="4">
        <f>SUMIF('Đóng gói trong giờ'!$A$12:$A$123,'Tổng hợp trong giờ'!$A17,'Đóng gói trong giờ'!BM$12:BM$123)</f>
        <v>0</v>
      </c>
      <c r="BP17" s="4">
        <f>SUMIF('Đóng gói trong giờ'!$A$12:$A$123,'Tổng hợp trong giờ'!$A17,'Đóng gói trong giờ'!BN$12:BN$123)</f>
        <v>0</v>
      </c>
      <c r="BQ17" s="4">
        <f>SUMIF('Đóng gói trong giờ'!$A$12:$A$123,'Tổng hợp trong giờ'!$A17,'Đóng gói trong giờ'!BO$12:BO$123)</f>
        <v>0</v>
      </c>
      <c r="BR17" s="4">
        <f>SUMIF('Đóng gói trong giờ'!$A$12:$A$123,'Tổng hợp trong giờ'!$A17,'Đóng gói trong giờ'!BP$12:BP$123)</f>
        <v>0</v>
      </c>
      <c r="BS17" s="4">
        <f>SUMIF('Đóng gói trong giờ'!$A$12:$A$123,'Tổng hợp trong giờ'!$A17,'Đóng gói trong giờ'!BQ$12:BQ$123)</f>
        <v>0</v>
      </c>
      <c r="BT17" s="4">
        <f>SUMIF('Đóng gói trong giờ'!$A$12:$A$123,'Tổng hợp trong giờ'!$A17,'Đóng gói trong giờ'!BR$12:BR$123)</f>
        <v>0</v>
      </c>
      <c r="BU17" s="169">
        <f t="shared" si="1"/>
        <v>62.5</v>
      </c>
      <c r="BV17" s="168">
        <f t="shared" si="2"/>
        <v>2305057.9557428872</v>
      </c>
      <c r="BW17" s="168">
        <f t="shared" si="3"/>
        <v>12389208.988400906</v>
      </c>
      <c r="BX17" s="4">
        <f ca="1">VLOOKUP(A17,'Tổng hợp ngoài giờ'!$A$15:$BW$41,75,0)</f>
        <v>1137813.1159578133</v>
      </c>
      <c r="BY17" s="10">
        <f t="shared" ca="1" si="4"/>
        <v>13527022.10435872</v>
      </c>
      <c r="BZ17" s="96">
        <f>IF(ISNA(VLOOKUP(A17,' Bang luong'!$A$13:$M$59,11,0)),0,VLOOKUP(A17,' Bang luong'!$A$13:$M$59,11,0))</f>
        <v>26</v>
      </c>
      <c r="CA17" s="4">
        <f t="shared" ref="CA17:CA34" si="5">$BZ$10/$BY$10*BZ17</f>
        <v>7000000</v>
      </c>
      <c r="CB17" s="14">
        <f t="shared" ref="CB17:CB35" ca="1" si="6">IF(BY17=0,0,BW17/CA17)</f>
        <v>1.7698869983429866</v>
      </c>
      <c r="CD17" s="7"/>
      <c r="CE17" s="7"/>
      <c r="CF17" s="7"/>
      <c r="CG17" s="7"/>
      <c r="CH17" s="7"/>
      <c r="CI17" s="7"/>
      <c r="CN17" s="7"/>
      <c r="CQ17" s="9">
        <v>6</v>
      </c>
    </row>
    <row r="18" spans="1:95" ht="15.75" x14ac:dyDescent="0.25">
      <c r="A18" s="224" t="s">
        <v>105</v>
      </c>
      <c r="B18" s="2" t="str">
        <f>VLOOKUP(A18,'Mã NV'!$A$1:$C$27,2,0)</f>
        <v>Lê Phi Trung</v>
      </c>
      <c r="C18" s="22"/>
      <c r="D18" s="4">
        <f>SUMIF('Đóng gói trong giờ'!$A$12:$A$123,'Tổng hợp trong giờ'!$A18,'Đóng gói trong giờ'!D$12:D$123)</f>
        <v>15</v>
      </c>
      <c r="E18" s="4">
        <f>SUMIF('Đóng gói trong giờ'!$A$12:$A$123,'Tổng hợp trong giờ'!$A18,'Đóng gói trong giờ'!E$12:E$123)</f>
        <v>6950</v>
      </c>
      <c r="F18" s="4">
        <f>SUMIF('Đóng gói trong giờ'!$A$12:$A$123,'Tổng hợp trong giờ'!$A18,'Đóng gói trong giờ'!F$12:F$123)</f>
        <v>3250.01</v>
      </c>
      <c r="G18" s="4">
        <f>SUMIF('Đóng gói trong giờ'!$A$12:$A$123,'Tổng hợp trong giờ'!$A18,'Đóng gói trong giờ'!G$12:G$123)</f>
        <v>0</v>
      </c>
      <c r="H18" s="4">
        <f>SUMIF('Đóng gói trong giờ'!$A$12:$A$123,'Tổng hợp trong giờ'!$A18,'Đóng gói trong giờ'!H$12:H$123)</f>
        <v>325</v>
      </c>
      <c r="I18" s="4">
        <f>SUMIF('Đóng gói trong giờ'!$A$12:$A$123,'Tổng hợp trong giờ'!$A18,'Đóng gói trong giờ'!I$12:I$123)</f>
        <v>0</v>
      </c>
      <c r="J18" s="4">
        <f>SUMIF('Đóng gói trong giờ'!$A$12:$A$123,'Tổng hợp trong giờ'!$A18,'Đóng gói trong giờ'!J$12:J$123)</f>
        <v>475</v>
      </c>
      <c r="K18" s="4">
        <f>SUMIF('Đóng gói trong giờ'!$A$12:$A$123,'Tổng hợp trong giờ'!$A18,'Đóng gói trong giờ'!K$12:K$123)</f>
        <v>0</v>
      </c>
      <c r="L18" s="4">
        <f>SUMIF('Đóng gói trong giờ'!$A$12:$A$123,'Tổng hợp trong giờ'!$A18,'Đóng gói trong giờ'!L$12:L$123)</f>
        <v>0</v>
      </c>
      <c r="M18" s="4">
        <f>SUMIF('Đóng gói trong giờ'!$A$12:$A$123,'Tổng hợp trong giờ'!$A18,'Đóng gói trong giờ'!M$12:M$123)</f>
        <v>325</v>
      </c>
      <c r="N18" s="4">
        <f>SUMIF('Đóng gói trong giờ'!$A$12:$A$123,'Tổng hợp trong giờ'!$A18,'Đóng gói trong giờ'!N$12:N$123)</f>
        <v>0</v>
      </c>
      <c r="O18" s="4">
        <f>SUMIF('Đóng gói trong giờ'!$A$12:$A$123,'Tổng hợp trong giờ'!$A18,'Đóng gói trong giờ'!O$12:O$123)</f>
        <v>0</v>
      </c>
      <c r="P18" s="4">
        <f>SUMIF('Đóng gói trong giờ'!$A$12:$A$123,'Tổng hợp trong giờ'!$A18,'Đóng gói trong giờ'!P$12:P$123)</f>
        <v>0</v>
      </c>
      <c r="Q18" s="4">
        <f>SUMIF('Đóng gói trong giờ'!$A$12:$A$123,'Tổng hợp trong giờ'!$A18,'Đóng gói trong giờ'!Q$12:Q$123)</f>
        <v>325</v>
      </c>
      <c r="R18" s="4">
        <f>SUMIF('Đóng gói trong giờ'!$A$12:$A$123,'Tổng hợp trong giờ'!$A18,'Đóng gói trong giờ'!R$12:R$123)</f>
        <v>183.33333333333334</v>
      </c>
      <c r="S18" s="4">
        <f>SUMIF('Đóng gói trong giờ'!$A$12:$A$123,'Tổng hợp trong giờ'!$A18,'Đóng gói trong giờ'!S$12:S$123)</f>
        <v>0</v>
      </c>
      <c r="T18" s="4">
        <f>SUMIF('Đóng gói trong giờ'!$A$12:$A$123,'Tổng hợp trong giờ'!$A18,'Đóng gói trong giờ'!T$12:T$123)</f>
        <v>0</v>
      </c>
      <c r="U18" s="4">
        <f>SUMIF('Đóng gói trong giờ'!$A$12:$A$123,'Tổng hợp trong giờ'!$A18,'Đóng gói trong giờ'!U$12:U$123)</f>
        <v>0</v>
      </c>
      <c r="V18" s="4">
        <f>SUMIF('Đóng gói trong giờ'!$A$12:$A$123,'Tổng hợp trong giờ'!$A18,'Đóng gói trong giờ'!V$12:V$123)</f>
        <v>0</v>
      </c>
      <c r="W18" s="4">
        <f>SUMIF('Đóng gói trong giờ'!$A$12:$A$123,'Tổng hợp trong giờ'!$A18,'Đóng gói trong giờ'!W$12:W$123)</f>
        <v>0</v>
      </c>
      <c r="X18" s="4">
        <f>SUMIF('Đóng gói trong giờ'!$A$12:$A$123,'Tổng hợp trong giờ'!$A18,'Đóng gói trong giờ'!X$12:X$123)</f>
        <v>0</v>
      </c>
      <c r="Y18" s="4">
        <f>SUMIF('Đóng gói trong giờ'!$A$12:$A$123,'Tổng hợp trong giờ'!$A18,'Đóng gói trong giờ'!Y$12:Y$123)</f>
        <v>0</v>
      </c>
      <c r="Z18" s="4">
        <f>SUMIF('Đóng gói trong giờ'!$A$12:$A$123,'Tổng hợp trong giờ'!$A18,'Đóng gói trong giờ'!Z$12:Z$123)</f>
        <v>0</v>
      </c>
      <c r="AA18" s="4">
        <f>SUMIF('Đóng gói trong giờ'!$A$12:$A$123,'Tổng hợp trong giờ'!$A18,'Đóng gói trong giờ'!AA$12:AA$123)</f>
        <v>146.66666666666669</v>
      </c>
      <c r="AB18" s="4">
        <f>SUMIF('Đóng gói trong giờ'!$A$12:$A$123,'Tổng hợp trong giờ'!$A18,'Đóng gói trong giờ'!AB$12:AB$123)</f>
        <v>0</v>
      </c>
      <c r="AC18" s="4">
        <f>SUMIF('Đóng gói trong giờ'!$A$12:$A$123,'Tổng hợp trong giờ'!$A18,'Đóng gói trong giờ'!AC$12:AC$123)</f>
        <v>0</v>
      </c>
      <c r="AD18" s="4">
        <f>SUMIF('Đóng gói trong giờ'!$A$12:$A$123,'Tổng hợp trong giờ'!$A18,'Đóng gói trong giờ'!AD$12:AD$123)</f>
        <v>375</v>
      </c>
      <c r="AE18" s="4">
        <f>SUMIF('Đóng gói trong giờ'!$A$12:$A$123,'Tổng hợp trong giờ'!$A18,'Đóng gói trong giờ'!AE$12:AE$123)</f>
        <v>0</v>
      </c>
      <c r="AF18" s="4">
        <f>SUMIF('Đóng gói trong giờ'!$A$12:$A$123,'Tổng hợp trong giờ'!$A18,'Đóng gói trong giờ'!AF$12:AF$123)</f>
        <v>0</v>
      </c>
      <c r="AG18" s="4">
        <f>SUMIF('Đóng gói trong giờ'!$A$12:$A$123,'Tổng hợp trong giờ'!$A18,'Đóng gói trong giờ'!AG$12:AG$123)</f>
        <v>0</v>
      </c>
      <c r="AH18" s="4">
        <f>SUMIF('Đóng gói trong giờ'!$A$12:$A$123,'Tổng hợp trong giờ'!$A18,'Đóng gói trong giờ'!AH$12:AH$123)</f>
        <v>0</v>
      </c>
      <c r="AI18" s="4">
        <f>SUMIF('Đóng gói trong giờ'!$A$12:$A$123,'Tổng hợp trong giờ'!$A18,'Đóng gói trong giờ'!AI$12:AI$123)</f>
        <v>0</v>
      </c>
      <c r="AJ18" s="4">
        <f>SUMIF('Đóng gói trong giờ'!$A$12:$A$123,'Tổng hợp trong giờ'!$A18,'Đóng gói trong giờ'!AJ$12:AJ$123)</f>
        <v>0</v>
      </c>
      <c r="AK18" s="4">
        <f>SUMIF('Đóng gói trong giờ'!$A$12:$A$123,'Tổng hợp trong giờ'!$A18,'Đóng gói trong giờ'!AK$12:AK$123)</f>
        <v>0</v>
      </c>
      <c r="AL18" s="4">
        <f>SUMIF('Đóng gói trong giờ'!$A$12:$A$123,'Tổng hợp trong giờ'!$A18,'Đóng gói trong giờ'!AL$12:AL$123)</f>
        <v>0</v>
      </c>
      <c r="AM18" s="4">
        <f>SUMIF('Đóng gói trong giờ'!$A$12:$A$123,'Tổng hợp trong giờ'!$A18,'Đóng gói trong giờ'!AM$12:AM$123)</f>
        <v>58.33</v>
      </c>
      <c r="AN18" s="4">
        <f>SUMIF('Đóng gói trong giờ'!$A$12:$A$123,'Tổng hợp trong giờ'!$A18,'Đóng gói trong giờ'!AN$12:AN$123)</f>
        <v>0</v>
      </c>
      <c r="AO18" s="4">
        <f>SUMIF('Đóng gói trong giờ'!$A$12:$A$123,'Tổng hợp trong giờ'!$A18,'Đóng gói trong giờ'!AO$12:AO$123)</f>
        <v>0</v>
      </c>
      <c r="AP18" s="4">
        <f>SUMIF('Đóng gói trong giờ'!$A$12:$A$123,'Tổng hợp trong giờ'!$A18,'Đóng gói trong giờ'!AP$12:AP$123)</f>
        <v>0</v>
      </c>
      <c r="AQ18" s="4">
        <f>SUMIF('Đóng gói trong giờ'!$A$12:$A$123,'Tổng hợp trong giờ'!$A18,'Đóng gói trong giờ'!AQ$12:AQ$123)</f>
        <v>0</v>
      </c>
      <c r="AR18" s="4">
        <f>SUMIF('Đóng gói trong giờ'!$A$12:$A$123,'Tổng hợp trong giờ'!$A18,'Đóng gói trong giờ'!AR$12:AR$123)</f>
        <v>0</v>
      </c>
      <c r="AS18" s="4">
        <f>SUMIF('Đóng gói trong giờ'!$A$12:$A$123,'Tổng hợp trong giờ'!$A18,'Đóng gói trong giờ'!AS$12:AS$123)</f>
        <v>0</v>
      </c>
      <c r="AT18" s="4">
        <f>SUMIF('Đóng gói trong giờ'!$A$12:$A$123,'Tổng hợp trong giờ'!$A18,'Đóng gói trong giờ'!AT$12:AT$123)</f>
        <v>0</v>
      </c>
      <c r="AU18" s="4">
        <f>SUMIF('Đóng gói trong giờ'!$A$12:$A$123,'Tổng hợp trong giờ'!$A18,'Đóng gói trong giờ'!AU$12:AU$123)</f>
        <v>0</v>
      </c>
      <c r="AV18" s="4">
        <f>SUMIF('Đóng gói trong giờ'!$A$12:$A$123,'Tổng hợp trong giờ'!$A18,'Đóng gói trong giờ'!AV$12:AV$123)</f>
        <v>0</v>
      </c>
      <c r="AW18" s="4">
        <f>SUMIF('Đóng gói trong giờ'!$A$12:$A$123,'Tổng hợp trong giờ'!$A18,'Đóng gói trong giờ'!AW$12:AW$123)</f>
        <v>0</v>
      </c>
      <c r="AX18" s="4">
        <f>SUMIF('Đóng gói trong giờ'!$A$12:$A$123,'Tổng hợp trong giờ'!$A18,'Đóng gói trong giờ'!AX$12:AX$123)</f>
        <v>0</v>
      </c>
      <c r="AY18" s="4">
        <f>SUMIF('Đóng gói trong giờ'!$A$12:$A$123,'Tổng hợp trong giờ'!$A18,'Đóng gói trong giờ'!AY$12:AY$123)</f>
        <v>0</v>
      </c>
      <c r="AZ18" s="4">
        <f>SUMIF('Đóng gói trong giờ'!$A$12:$A$123,'Tổng hợp trong giờ'!$A18,'Đóng gói trong giờ'!AZ$12:AZ$123)</f>
        <v>0</v>
      </c>
      <c r="BA18" s="4">
        <f>SUMIF('Đóng gói trong giờ'!$A$12:$A$123,'Tổng hợp trong giờ'!$A18,'Đóng gói trong giờ'!BA$12:BA$123)</f>
        <v>0</v>
      </c>
      <c r="BB18" s="4">
        <f>SUMIF('Đóng gói trong giờ'!$A$12:$A$123,'Tổng hợp trong giờ'!$A18,'Đóng gói trong giờ'!BB$12:BB$123)</f>
        <v>0</v>
      </c>
      <c r="BC18" s="22">
        <f>SUMIF('Đóng gói trong giờ'!$A$12:$A$78,'Tổng hợp trong giờ'!$A18,'Đóng gói trong giờ'!BC$12:BC$78)</f>
        <v>0</v>
      </c>
      <c r="BD18" s="119">
        <f>SUMIF('Bốc hàng trong giờ new'!$H$13:$H$3398,'Tổng hợp trong giờ'!A18,'Bốc hàng trong giờ new'!$J$13:$J$3398)</f>
        <v>0</v>
      </c>
      <c r="BE18" s="22">
        <f>SUMIF('Đóng gói trong giờ'!$A$12:$A$78,'Tổng hợp trong giờ'!$A18,'Đóng gói trong giờ'!BE$12:BE$78)</f>
        <v>35.75</v>
      </c>
      <c r="BF18" s="4">
        <f>SUMIF('Đóng gói trong giờ'!$A$12:$A$123,'Tổng hợp trong giờ'!$A18,'Đóng gói trong giờ'!BD$12:BD$123)</f>
        <v>0</v>
      </c>
      <c r="BG18" s="4">
        <f>SUMIF('Đóng gói trong giờ'!$A$12:$A$123,'Tổng hợp trong giờ'!$A18,'Đóng gói trong giờ'!BE$12:BE$123)</f>
        <v>35.75</v>
      </c>
      <c r="BH18" s="4">
        <f>SUMIF('Đóng gói trong giờ'!$A$12:$A$123,'Tổng hợp trong giờ'!$A18,'Đóng gói trong giờ'!BF$12:BF$123)</f>
        <v>0</v>
      </c>
      <c r="BI18" s="4">
        <f>SUMIF('Đóng gói trong giờ'!$A$12:$A$123,'Tổng hợp trong giờ'!$A18,'Đóng gói trong giờ'!BG$12:BG$123)</f>
        <v>0</v>
      </c>
      <c r="BJ18" s="4">
        <f>SUMIF('Đóng gói trong giờ'!$A$12:$A$123,'Tổng hợp trong giờ'!$A18,'Đóng gói trong giờ'!BH$12:BH$123)</f>
        <v>0</v>
      </c>
      <c r="BK18" s="4">
        <f>SUMIF('Đóng gói trong giờ'!$A$12:$A$123,'Tổng hợp trong giờ'!$A18,'Đóng gói trong giờ'!BI$12:BI$123)</f>
        <v>0</v>
      </c>
      <c r="BL18" s="4">
        <f>SUMIF('Đóng gói trong giờ'!$A$12:$A$123,'Tổng hợp trong giờ'!$A18,'Đóng gói trong giờ'!BJ$12:BJ$123)</f>
        <v>0</v>
      </c>
      <c r="BM18" s="4">
        <f>SUMIF('Đóng gói trong giờ'!$A$12:$A$123,'Tổng hợp trong giờ'!$A18,'Đóng gói trong giờ'!BK$12:BK$123)</f>
        <v>0</v>
      </c>
      <c r="BN18" s="4">
        <f>SUMIF('Đóng gói trong giờ'!$A$12:$A$123,'Tổng hợp trong giờ'!$A18,'Đóng gói trong giờ'!BL$12:BL$123)</f>
        <v>23.5</v>
      </c>
      <c r="BO18" s="4">
        <f>SUMIF('Đóng gói trong giờ'!$A$12:$A$123,'Tổng hợp trong giờ'!$A18,'Đóng gói trong giờ'!BM$12:BM$123)</f>
        <v>0</v>
      </c>
      <c r="BP18" s="4">
        <f>SUMIF('Đóng gói trong giờ'!$A$12:$A$123,'Tổng hợp trong giờ'!$A18,'Đóng gói trong giờ'!BN$12:BN$123)</f>
        <v>2.5</v>
      </c>
      <c r="BQ18" s="4">
        <f>SUMIF('Đóng gói trong giờ'!$A$12:$A$123,'Tổng hợp trong giờ'!$A18,'Đóng gói trong giờ'!BO$12:BO$123)</f>
        <v>0</v>
      </c>
      <c r="BR18" s="4">
        <f>SUMIF('Đóng gói trong giờ'!$A$12:$A$123,'Tổng hợp trong giờ'!$A18,'Đóng gói trong giờ'!BP$12:BP$123)</f>
        <v>0</v>
      </c>
      <c r="BS18" s="4">
        <f>SUMIF('Đóng gói trong giờ'!$A$12:$A$123,'Tổng hợp trong giờ'!$A18,'Đóng gói trong giờ'!BQ$12:BQ$123)</f>
        <v>0</v>
      </c>
      <c r="BT18" s="4">
        <f>SUMIF('Đóng gói trong giờ'!$A$12:$A$123,'Tổng hợp trong giờ'!$A18,'Đóng gói trong giờ'!BR$12:BR$123)</f>
        <v>0</v>
      </c>
      <c r="BU18" s="169">
        <f t="shared" si="1"/>
        <v>61.75</v>
      </c>
      <c r="BV18" s="168">
        <f t="shared" si="2"/>
        <v>2277397.2602739725</v>
      </c>
      <c r="BW18" s="168">
        <f t="shared" si="3"/>
        <v>12059677.484689528</v>
      </c>
      <c r="BX18" s="4">
        <f ca="1">VLOOKUP(A18,'Tổng hợp ngoài giờ'!$A$15:$BW$41,75,0)</f>
        <v>1520277.6419663385</v>
      </c>
      <c r="BY18" s="10">
        <f t="shared" ca="1" si="4"/>
        <v>13579955.126655867</v>
      </c>
      <c r="BZ18" s="96">
        <f>IF(ISNA(VLOOKUP(A18,' Bang luong'!$A$13:$M$59,11,0)),0,VLOOKUP(A18,' Bang luong'!$A$13:$M$59,11,0))</f>
        <v>25</v>
      </c>
      <c r="CA18" s="4">
        <f t="shared" si="5"/>
        <v>6730769.230769231</v>
      </c>
      <c r="CB18" s="14">
        <f t="shared" ca="1" si="6"/>
        <v>1.7917235120110155</v>
      </c>
      <c r="CD18" s="7"/>
      <c r="CE18" s="7"/>
      <c r="CF18" s="7"/>
      <c r="CG18" s="7"/>
      <c r="CH18" s="7"/>
      <c r="CI18" s="7"/>
      <c r="CQ18" s="9">
        <v>7</v>
      </c>
    </row>
    <row r="19" spans="1:95" ht="15.75" x14ac:dyDescent="0.25">
      <c r="A19" s="224" t="s">
        <v>106</v>
      </c>
      <c r="B19" s="2" t="str">
        <f>VLOOKUP(A19,'Mã NV'!$A$1:$C$27,2,0)</f>
        <v>Lâm Văn Thương</v>
      </c>
      <c r="C19" s="22"/>
      <c r="D19" s="4">
        <f>SUMIF('Đóng gói trong giờ'!$A$12:$A$123,'Tổng hợp trong giờ'!$A19,'Đóng gói trong giờ'!D$12:D$123)</f>
        <v>765</v>
      </c>
      <c r="E19" s="4">
        <f>SUMIF('Đóng gói trong giờ'!$A$12:$A$123,'Tổng hợp trong giờ'!$A19,'Đóng gói trong giờ'!E$12:E$123)</f>
        <v>4950</v>
      </c>
      <c r="F19" s="4">
        <f>SUMIF('Đóng gói trong giờ'!$A$12:$A$123,'Tổng hợp trong giờ'!$A19,'Đóng gói trong giờ'!F$12:F$123)</f>
        <v>3633.3433333333332</v>
      </c>
      <c r="G19" s="4">
        <f>SUMIF('Đóng gói trong giờ'!$A$12:$A$123,'Tổng hợp trong giờ'!$A19,'Đóng gói trong giờ'!G$12:G$123)</f>
        <v>0</v>
      </c>
      <c r="H19" s="4">
        <f>SUMIF('Đóng gói trong giờ'!$A$12:$A$123,'Tổng hợp trong giờ'!$A19,'Đóng gói trong giờ'!H$12:H$123)</f>
        <v>0</v>
      </c>
      <c r="I19" s="4">
        <f>SUMIF('Đóng gói trong giờ'!$A$12:$A$123,'Tổng hợp trong giờ'!$A19,'Đóng gói trong giờ'!I$12:I$123)</f>
        <v>0</v>
      </c>
      <c r="J19" s="4">
        <f>SUMIF('Đóng gói trong giờ'!$A$12:$A$123,'Tổng hợp trong giờ'!$A19,'Đóng gói trong giờ'!J$12:J$123)</f>
        <v>0</v>
      </c>
      <c r="K19" s="4">
        <f>SUMIF('Đóng gói trong giờ'!$A$12:$A$123,'Tổng hợp trong giờ'!$A19,'Đóng gói trong giờ'!K$12:K$123)</f>
        <v>0</v>
      </c>
      <c r="L19" s="4">
        <f>SUMIF('Đóng gói trong giờ'!$A$12:$A$123,'Tổng hợp trong giờ'!$A19,'Đóng gói trong giờ'!L$12:L$123)</f>
        <v>50</v>
      </c>
      <c r="M19" s="4">
        <f>SUMIF('Đóng gói trong giờ'!$A$12:$A$123,'Tổng hợp trong giờ'!$A19,'Đóng gói trong giờ'!M$12:M$123)</f>
        <v>0</v>
      </c>
      <c r="N19" s="4">
        <f>SUMIF('Đóng gói trong giờ'!$A$12:$A$123,'Tổng hợp trong giờ'!$A19,'Đóng gói trong giờ'!N$12:N$123)</f>
        <v>0</v>
      </c>
      <c r="O19" s="4">
        <f>SUMIF('Đóng gói trong giờ'!$A$12:$A$123,'Tổng hợp trong giờ'!$A19,'Đóng gói trong giờ'!O$12:O$123)</f>
        <v>283.33</v>
      </c>
      <c r="P19" s="4">
        <f>SUMIF('Đóng gói trong giờ'!$A$12:$A$123,'Tổng hợp trong giờ'!$A19,'Đóng gói trong giờ'!P$12:P$123)</f>
        <v>0</v>
      </c>
      <c r="Q19" s="4">
        <f>SUMIF('Đóng gói trong giờ'!$A$12:$A$123,'Tổng hợp trong giờ'!$A19,'Đóng gói trong giờ'!Q$12:Q$123)</f>
        <v>0</v>
      </c>
      <c r="R19" s="4">
        <f>SUMIF('Đóng gói trong giờ'!$A$12:$A$123,'Tổng hợp trong giờ'!$A19,'Đóng gói trong giờ'!R$12:R$123)</f>
        <v>0</v>
      </c>
      <c r="S19" s="4">
        <f>SUMIF('Đóng gói trong giờ'!$A$12:$A$123,'Tổng hợp trong giờ'!$A19,'Đóng gói trong giờ'!S$12:S$123)</f>
        <v>0</v>
      </c>
      <c r="T19" s="4">
        <f>SUMIF('Đóng gói trong giờ'!$A$12:$A$123,'Tổng hợp trong giờ'!$A19,'Đóng gói trong giờ'!T$12:T$123)</f>
        <v>0</v>
      </c>
      <c r="U19" s="4">
        <f>SUMIF('Đóng gói trong giờ'!$A$12:$A$123,'Tổng hợp trong giờ'!$A19,'Đóng gói trong giờ'!U$12:U$123)</f>
        <v>0</v>
      </c>
      <c r="V19" s="4">
        <f>SUMIF('Đóng gói trong giờ'!$A$12:$A$123,'Tổng hợp trong giờ'!$A19,'Đóng gói trong giờ'!V$12:V$123)</f>
        <v>0</v>
      </c>
      <c r="W19" s="4">
        <f>SUMIF('Đóng gói trong giờ'!$A$12:$A$123,'Tổng hợp trong giờ'!$A19,'Đóng gói trong giờ'!W$12:W$123)</f>
        <v>0</v>
      </c>
      <c r="X19" s="4">
        <f>SUMIF('Đóng gói trong giờ'!$A$12:$A$123,'Tổng hợp trong giờ'!$A19,'Đóng gói trong giờ'!X$12:X$123)</f>
        <v>0</v>
      </c>
      <c r="Y19" s="4">
        <f>SUMIF('Đóng gói trong giờ'!$A$12:$A$123,'Tổng hợp trong giờ'!$A19,'Đóng gói trong giờ'!Y$12:Y$123)</f>
        <v>0</v>
      </c>
      <c r="Z19" s="4">
        <f>SUMIF('Đóng gói trong giờ'!$A$12:$A$123,'Tổng hợp trong giờ'!$A19,'Đóng gói trong giờ'!Z$12:Z$123)</f>
        <v>0</v>
      </c>
      <c r="AA19" s="4">
        <f>SUMIF('Đóng gói trong giờ'!$A$12:$A$123,'Tổng hợp trong giờ'!$A19,'Đóng gói trong giờ'!AA$12:AA$123)</f>
        <v>163.33333333333331</v>
      </c>
      <c r="AB19" s="4">
        <f>SUMIF('Đóng gói trong giờ'!$A$12:$A$123,'Tổng hợp trong giờ'!$A19,'Đóng gói trong giờ'!AB$12:AB$123)</f>
        <v>0</v>
      </c>
      <c r="AC19" s="4">
        <f>SUMIF('Đóng gói trong giờ'!$A$12:$A$123,'Tổng hợp trong giờ'!$A19,'Đóng gói trong giờ'!AC$12:AC$123)</f>
        <v>795</v>
      </c>
      <c r="AD19" s="4">
        <f>SUMIF('Đóng gói trong giờ'!$A$12:$A$123,'Tổng hợp trong giờ'!$A19,'Đóng gói trong giờ'!AD$12:AD$123)</f>
        <v>400</v>
      </c>
      <c r="AE19" s="4">
        <f>SUMIF('Đóng gói trong giờ'!$A$12:$A$123,'Tổng hợp trong giờ'!$A19,'Đóng gói trong giờ'!AE$12:AE$123)</f>
        <v>0</v>
      </c>
      <c r="AF19" s="4">
        <f>SUMIF('Đóng gói trong giờ'!$A$12:$A$123,'Tổng hợp trong giờ'!$A19,'Đóng gói trong giờ'!AF$12:AF$123)</f>
        <v>0</v>
      </c>
      <c r="AG19" s="4">
        <f>SUMIF('Đóng gói trong giờ'!$A$12:$A$123,'Tổng hợp trong giờ'!$A19,'Đóng gói trong giờ'!AG$12:AG$123)</f>
        <v>0</v>
      </c>
      <c r="AH19" s="4">
        <f>SUMIF('Đóng gói trong giờ'!$A$12:$A$123,'Tổng hợp trong giờ'!$A19,'Đóng gói trong giờ'!AH$12:AH$123)</f>
        <v>0</v>
      </c>
      <c r="AI19" s="4">
        <f>SUMIF('Đóng gói trong giờ'!$A$12:$A$123,'Tổng hợp trong giờ'!$A19,'Đóng gói trong giờ'!AI$12:AI$123)</f>
        <v>0</v>
      </c>
      <c r="AJ19" s="4">
        <f>SUMIF('Đóng gói trong giờ'!$A$12:$A$123,'Tổng hợp trong giờ'!$A19,'Đóng gói trong giờ'!AJ$12:AJ$123)</f>
        <v>2.5</v>
      </c>
      <c r="AK19" s="4">
        <f>SUMIF('Đóng gói trong giờ'!$A$12:$A$123,'Tổng hợp trong giờ'!$A19,'Đóng gói trong giờ'!AK$12:AK$123)</f>
        <v>75</v>
      </c>
      <c r="AL19" s="4">
        <f>SUMIF('Đóng gói trong giờ'!$A$12:$A$123,'Tổng hợp trong giờ'!$A19,'Đóng gói trong giờ'!AL$12:AL$123)</f>
        <v>0</v>
      </c>
      <c r="AM19" s="4">
        <f>SUMIF('Đóng gói trong giờ'!$A$12:$A$123,'Tổng hợp trong giờ'!$A19,'Đóng gói trong giờ'!AM$12:AM$123)</f>
        <v>108.33</v>
      </c>
      <c r="AN19" s="4">
        <f>SUMIF('Đóng gói trong giờ'!$A$12:$A$123,'Tổng hợp trong giờ'!$A19,'Đóng gói trong giờ'!AN$12:AN$123)</f>
        <v>0</v>
      </c>
      <c r="AO19" s="4">
        <f>SUMIF('Đóng gói trong giờ'!$A$12:$A$123,'Tổng hợp trong giờ'!$A19,'Đóng gói trong giờ'!AO$12:AO$123)</f>
        <v>0</v>
      </c>
      <c r="AP19" s="4">
        <f>SUMIF('Đóng gói trong giờ'!$A$12:$A$123,'Tổng hợp trong giờ'!$A19,'Đóng gói trong giờ'!AP$12:AP$123)</f>
        <v>0</v>
      </c>
      <c r="AQ19" s="4">
        <f>SUMIF('Đóng gói trong giờ'!$A$12:$A$123,'Tổng hợp trong giờ'!$A19,'Đóng gói trong giờ'!AQ$12:AQ$123)</f>
        <v>0</v>
      </c>
      <c r="AR19" s="4">
        <f>SUMIF('Đóng gói trong giờ'!$A$12:$A$123,'Tổng hợp trong giờ'!$A19,'Đóng gói trong giờ'!AR$12:AR$123)</f>
        <v>0</v>
      </c>
      <c r="AS19" s="4">
        <f>SUMIF('Đóng gói trong giờ'!$A$12:$A$123,'Tổng hợp trong giờ'!$A19,'Đóng gói trong giờ'!AS$12:AS$123)</f>
        <v>0</v>
      </c>
      <c r="AT19" s="4">
        <f>SUMIF('Đóng gói trong giờ'!$A$12:$A$123,'Tổng hợp trong giờ'!$A19,'Đóng gói trong giờ'!AT$12:AT$123)</f>
        <v>0</v>
      </c>
      <c r="AU19" s="4">
        <f>SUMIF('Đóng gói trong giờ'!$A$12:$A$123,'Tổng hợp trong giờ'!$A19,'Đóng gói trong giờ'!AU$12:AU$123)</f>
        <v>0</v>
      </c>
      <c r="AV19" s="4">
        <f>SUMIF('Đóng gói trong giờ'!$A$12:$A$123,'Tổng hợp trong giờ'!$A19,'Đóng gói trong giờ'!AV$12:AV$123)</f>
        <v>600</v>
      </c>
      <c r="AW19" s="4">
        <f>SUMIF('Đóng gói trong giờ'!$A$12:$A$123,'Tổng hợp trong giờ'!$A19,'Đóng gói trong giờ'!AW$12:AW$123)</f>
        <v>0</v>
      </c>
      <c r="AX19" s="4">
        <f>SUMIF('Đóng gói trong giờ'!$A$12:$A$123,'Tổng hợp trong giờ'!$A19,'Đóng gói trong giờ'!AX$12:AX$123)</f>
        <v>0</v>
      </c>
      <c r="AY19" s="4">
        <f>SUMIF('Đóng gói trong giờ'!$A$12:$A$123,'Tổng hợp trong giờ'!$A19,'Đóng gói trong giờ'!AY$12:AY$123)</f>
        <v>0</v>
      </c>
      <c r="AZ19" s="4">
        <f>SUMIF('Đóng gói trong giờ'!$A$12:$A$123,'Tổng hợp trong giờ'!$A19,'Đóng gói trong giờ'!AZ$12:AZ$123)</f>
        <v>0</v>
      </c>
      <c r="BA19" s="4">
        <f>SUMIF('Đóng gói trong giờ'!$A$12:$A$123,'Tổng hợp trong giờ'!$A19,'Đóng gói trong giờ'!BA$12:BA$123)</f>
        <v>0</v>
      </c>
      <c r="BB19" s="4">
        <f>SUMIF('Đóng gói trong giờ'!$A$12:$A$123,'Tổng hợp trong giờ'!$A19,'Đóng gói trong giờ'!BB$12:BB$123)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>SUMIF('Đóng gói trong giờ'!$A$12:$A$123,'Tổng hợp trong giờ'!$A19,'Đóng gói trong giờ'!BD$12:BD$123)</f>
        <v>0</v>
      </c>
      <c r="BG19" s="4">
        <f>SUMIF('Đóng gói trong giờ'!$A$12:$A$123,'Tổng hợp trong giờ'!$A19,'Đóng gói trong giờ'!BE$12:BE$123)</f>
        <v>37.75</v>
      </c>
      <c r="BH19" s="4">
        <f>SUMIF('Đóng gói trong giờ'!$A$12:$A$123,'Tổng hợp trong giờ'!$A19,'Đóng gói trong giờ'!BF$12:BF$123)</f>
        <v>0</v>
      </c>
      <c r="BI19" s="4">
        <f>SUMIF('Đóng gói trong giờ'!$A$12:$A$123,'Tổng hợp trong giờ'!$A19,'Đóng gói trong giờ'!BG$12:BG$123)</f>
        <v>0</v>
      </c>
      <c r="BJ19" s="4">
        <f>SUMIF('Đóng gói trong giờ'!$A$12:$A$123,'Tổng hợp trong giờ'!$A19,'Đóng gói trong giờ'!BH$12:BH$123)</f>
        <v>0</v>
      </c>
      <c r="BK19" s="4">
        <f>SUMIF('Đóng gói trong giờ'!$A$12:$A$123,'Tổng hợp trong giờ'!$A19,'Đóng gói trong giờ'!BI$12:BI$123)</f>
        <v>0</v>
      </c>
      <c r="BL19" s="4">
        <f>SUMIF('Đóng gói trong giờ'!$A$12:$A$123,'Tổng hợp trong giờ'!$A19,'Đóng gói trong giờ'!BJ$12:BJ$123)</f>
        <v>0</v>
      </c>
      <c r="BM19" s="4">
        <f>SUMIF('Đóng gói trong giờ'!$A$12:$A$123,'Tổng hợp trong giờ'!$A19,'Đóng gói trong giờ'!BK$12:BK$123)</f>
        <v>0</v>
      </c>
      <c r="BN19" s="4">
        <f>SUMIF('Đóng gói trong giờ'!$A$12:$A$123,'Tổng hợp trong giờ'!$A19,'Đóng gói trong giờ'!BL$12:BL$123)</f>
        <v>20.5</v>
      </c>
      <c r="BO19" s="4">
        <f>SUMIF('Đóng gói trong giờ'!$A$12:$A$123,'Tổng hợp trong giờ'!$A19,'Đóng gói trong giờ'!BM$12:BM$123)</f>
        <v>0</v>
      </c>
      <c r="BP19" s="4">
        <f>SUMIF('Đóng gói trong giờ'!$A$12:$A$123,'Tổng hợp trong giờ'!$A19,'Đóng gói trong giờ'!BN$12:BN$123)</f>
        <v>0.5</v>
      </c>
      <c r="BQ19" s="4">
        <f>SUMIF('Đóng gói trong giờ'!$A$12:$A$123,'Tổng hợp trong giờ'!$A19,'Đóng gói trong giờ'!BO$12:BO$123)</f>
        <v>0</v>
      </c>
      <c r="BR19" s="4">
        <f>SUMIF('Đóng gói trong giờ'!$A$12:$A$123,'Tổng hợp trong giờ'!$A19,'Đóng gói trong giờ'!BP$12:BP$123)</f>
        <v>0</v>
      </c>
      <c r="BS19" s="4">
        <f>SUMIF('Đóng gói trong giờ'!$A$12:$A$123,'Tổng hợp trong giờ'!$A19,'Đóng gói trong giờ'!BQ$12:BQ$123)</f>
        <v>0</v>
      </c>
      <c r="BT19" s="4">
        <f>SUMIF('Đóng gói trong giờ'!$A$12:$A$123,'Tổng hợp trong giờ'!$A19,'Đóng gói trong giờ'!BR$12:BR$123)</f>
        <v>0</v>
      </c>
      <c r="BU19" s="169">
        <f>SUM(BF19:BT19)</f>
        <v>58.75</v>
      </c>
      <c r="BV19" s="168">
        <f>SUMPRODUCT($BF$13:$BT$13,BF19:BT19)</f>
        <v>2166754.4783983142</v>
      </c>
      <c r="BW19" s="168">
        <f t="shared" si="3"/>
        <v>11510633.399914529</v>
      </c>
      <c r="BX19" s="4">
        <f ca="1">VLOOKUP(A19,'Tổng hợp ngoài giờ'!$A$15:$BW$41,75,0)</f>
        <v>604451.66046954948</v>
      </c>
      <c r="BY19" s="10">
        <f ca="1">BW19+BX19</f>
        <v>12115085.060384078</v>
      </c>
      <c r="BZ19" s="96">
        <f>IF(ISNA(VLOOKUP(A19,' Bang luong'!$A$13:$M$59,11,0)),0,VLOOKUP(A19,' Bang luong'!$A$13:$M$59,11,0))</f>
        <v>26</v>
      </c>
      <c r="CA19" s="4">
        <f>$BZ$10/$BY$10*BZ19</f>
        <v>7000000</v>
      </c>
      <c r="CB19" s="14">
        <f ca="1">IF(BY19=0,0,BW19/CA19)</f>
        <v>1.6443761999877899</v>
      </c>
      <c r="CF19" s="7"/>
      <c r="CG19" s="7"/>
      <c r="CH19" s="7"/>
      <c r="CI19" s="7"/>
      <c r="CQ19" s="9">
        <v>8</v>
      </c>
    </row>
    <row r="20" spans="1:95" ht="15.75" x14ac:dyDescent="0.25">
      <c r="A20" s="224" t="s">
        <v>107</v>
      </c>
      <c r="B20" s="2" t="str">
        <f>VLOOKUP(A20,'Mã NV'!$A$1:$C$27,2,0)</f>
        <v>Võ Văn Có</v>
      </c>
      <c r="C20" s="22"/>
      <c r="D20" s="4">
        <f>SUMIF('Đóng gói trong giờ'!$A$12:$A$123,'Tổng hợp trong giờ'!$A20,'Đóng gói trong giờ'!D$12:D$123)</f>
        <v>800</v>
      </c>
      <c r="E20" s="4">
        <f>SUMIF('Đóng gói trong giờ'!$A$12:$A$123,'Tổng hợp trong giờ'!$A20,'Đóng gói trong giờ'!E$12:E$123)</f>
        <v>5600</v>
      </c>
      <c r="F20" s="4">
        <f>SUMIF('Đóng gói trong giờ'!$A$12:$A$123,'Tổng hợp trong giờ'!$A20,'Đóng gói trong giờ'!F$12:F$123)</f>
        <v>3626.66</v>
      </c>
      <c r="G20" s="4">
        <f>SUMIF('Đóng gói trong giờ'!$A$12:$A$123,'Tổng hợp trong giờ'!$A20,'Đóng gói trong giờ'!G$12:G$123)</f>
        <v>0</v>
      </c>
      <c r="H20" s="4">
        <f>SUMIF('Đóng gói trong giờ'!$A$12:$A$123,'Tổng hợp trong giờ'!$A20,'Đóng gói trong giờ'!H$12:H$123)</f>
        <v>0</v>
      </c>
      <c r="I20" s="4">
        <f>SUMIF('Đóng gói trong giờ'!$A$12:$A$123,'Tổng hợp trong giờ'!$A20,'Đóng gói trong giờ'!I$12:I$123)</f>
        <v>0</v>
      </c>
      <c r="J20" s="4">
        <f>SUMIF('Đóng gói trong giờ'!$A$12:$A$123,'Tổng hợp trong giờ'!$A20,'Đóng gói trong giờ'!J$12:J$123)</f>
        <v>225</v>
      </c>
      <c r="K20" s="4">
        <f>SUMIF('Đóng gói trong giờ'!$A$12:$A$123,'Tổng hợp trong giờ'!$A20,'Đóng gói trong giờ'!K$12:K$123)</f>
        <v>0</v>
      </c>
      <c r="L20" s="4">
        <f>SUMIF('Đóng gói trong giờ'!$A$12:$A$123,'Tổng hợp trong giờ'!$A20,'Đóng gói trong giờ'!L$12:L$123)</f>
        <v>0</v>
      </c>
      <c r="M20" s="4">
        <f>SUMIF('Đóng gói trong giờ'!$A$12:$A$123,'Tổng hợp trong giờ'!$A20,'Đóng gói trong giờ'!M$12:M$123)</f>
        <v>650</v>
      </c>
      <c r="N20" s="4">
        <f>SUMIF('Đóng gói trong giờ'!$A$12:$A$123,'Tổng hợp trong giờ'!$A20,'Đóng gói trong giờ'!N$12:N$123)</f>
        <v>0</v>
      </c>
      <c r="O20" s="4">
        <f>SUMIF('Đóng gói trong giờ'!$A$12:$A$123,'Tổng hợp trong giờ'!$A20,'Đóng gói trong giờ'!O$12:O$123)</f>
        <v>0</v>
      </c>
      <c r="P20" s="4">
        <f>SUMIF('Đóng gói trong giờ'!$A$12:$A$123,'Tổng hợp trong giờ'!$A20,'Đóng gói trong giờ'!P$12:P$123)</f>
        <v>0</v>
      </c>
      <c r="Q20" s="4">
        <f>SUMIF('Đóng gói trong giờ'!$A$12:$A$123,'Tổng hợp trong giờ'!$A20,'Đóng gói trong giờ'!Q$12:Q$123)</f>
        <v>0</v>
      </c>
      <c r="R20" s="4">
        <f>SUMIF('Đóng gói trong giờ'!$A$12:$A$123,'Tổng hợp trong giờ'!$A20,'Đóng gói trong giờ'!R$12:R$123)</f>
        <v>533.33000000000004</v>
      </c>
      <c r="S20" s="4">
        <f>SUMIF('Đóng gói trong giờ'!$A$12:$A$123,'Tổng hợp trong giờ'!$A20,'Đóng gói trong giờ'!S$12:S$123)</f>
        <v>0</v>
      </c>
      <c r="T20" s="4">
        <f>SUMIF('Đóng gói trong giờ'!$A$12:$A$123,'Tổng hợp trong giờ'!$A20,'Đóng gói trong giờ'!T$12:T$123)</f>
        <v>0</v>
      </c>
      <c r="U20" s="4">
        <f>SUMIF('Đóng gói trong giờ'!$A$12:$A$123,'Tổng hợp trong giờ'!$A20,'Đóng gói trong giờ'!U$12:U$123)</f>
        <v>0</v>
      </c>
      <c r="V20" s="4">
        <f>SUMIF('Đóng gói trong giờ'!$A$12:$A$123,'Tổng hợp trong giờ'!$A20,'Đóng gói trong giờ'!V$12:V$123)</f>
        <v>0</v>
      </c>
      <c r="W20" s="4">
        <f>SUMIF('Đóng gói trong giờ'!$A$12:$A$123,'Tổng hợp trong giờ'!$A20,'Đóng gói trong giờ'!W$12:W$123)</f>
        <v>0</v>
      </c>
      <c r="X20" s="4">
        <f>SUMIF('Đóng gói trong giờ'!$A$12:$A$123,'Tổng hợp trong giờ'!$A20,'Đóng gói trong giờ'!X$12:X$123)</f>
        <v>0</v>
      </c>
      <c r="Y20" s="4">
        <f>SUMIF('Đóng gói trong giờ'!$A$12:$A$123,'Tổng hợp trong giờ'!$A20,'Đóng gói trong giờ'!Y$12:Y$123)</f>
        <v>0</v>
      </c>
      <c r="Z20" s="4">
        <f>SUMIF('Đóng gói trong giờ'!$A$12:$A$123,'Tổng hợp trong giờ'!$A20,'Đóng gói trong giờ'!Z$12:Z$123)</f>
        <v>0</v>
      </c>
      <c r="AA20" s="4">
        <f>SUMIF('Đóng gói trong giờ'!$A$12:$A$123,'Tổng hợp trong giờ'!$A20,'Đóng gói trong giờ'!AA$12:AA$123)</f>
        <v>216.67000000000002</v>
      </c>
      <c r="AB20" s="4">
        <f>SUMIF('Đóng gói trong giờ'!$A$12:$A$123,'Tổng hợp trong giờ'!$A20,'Đóng gói trong giờ'!AB$12:AB$123)</f>
        <v>0</v>
      </c>
      <c r="AC20" s="4">
        <f>SUMIF('Đóng gói trong giờ'!$A$12:$A$123,'Tổng hợp trong giờ'!$A20,'Đóng gói trong giờ'!AC$12:AC$123)</f>
        <v>0</v>
      </c>
      <c r="AD20" s="4">
        <f>SUMIF('Đóng gói trong giờ'!$A$12:$A$123,'Tổng hợp trong giờ'!$A20,'Đóng gói trong giờ'!AD$12:AD$123)</f>
        <v>437.5</v>
      </c>
      <c r="AE20" s="4">
        <f>SUMIF('Đóng gói trong giờ'!$A$12:$A$123,'Tổng hợp trong giờ'!$A20,'Đóng gói trong giờ'!AE$12:AE$123)</f>
        <v>0</v>
      </c>
      <c r="AF20" s="4">
        <f>SUMIF('Đóng gói trong giờ'!$A$12:$A$123,'Tổng hợp trong giờ'!$A20,'Đóng gói trong giờ'!AF$12:AF$123)</f>
        <v>0</v>
      </c>
      <c r="AG20" s="4">
        <f>SUMIF('Đóng gói trong giờ'!$A$12:$A$123,'Tổng hợp trong giờ'!$A20,'Đóng gói trong giờ'!AG$12:AG$123)</f>
        <v>0</v>
      </c>
      <c r="AH20" s="4">
        <f>SUMIF('Đóng gói trong giờ'!$A$12:$A$123,'Tổng hợp trong giờ'!$A20,'Đóng gói trong giờ'!AH$12:AH$123)</f>
        <v>0</v>
      </c>
      <c r="AI20" s="4">
        <f>SUMIF('Đóng gói trong giờ'!$A$12:$A$123,'Tổng hợp trong giờ'!$A20,'Đóng gói trong giờ'!AI$12:AI$123)</f>
        <v>0</v>
      </c>
      <c r="AJ20" s="4">
        <f>SUMIF('Đóng gói trong giờ'!$A$12:$A$123,'Tổng hợp trong giờ'!$A20,'Đóng gói trong giờ'!AJ$12:AJ$123)</f>
        <v>0</v>
      </c>
      <c r="AK20" s="4">
        <f>SUMIF('Đóng gói trong giờ'!$A$12:$A$123,'Tổng hợp trong giờ'!$A20,'Đóng gói trong giờ'!AK$12:AK$123)</f>
        <v>285</v>
      </c>
      <c r="AL20" s="4">
        <f>SUMIF('Đóng gói trong giờ'!$A$12:$A$123,'Tổng hợp trong giờ'!$A20,'Đóng gói trong giờ'!AL$12:AL$123)</f>
        <v>0</v>
      </c>
      <c r="AM20" s="4">
        <f>SUMIF('Đóng gói trong giờ'!$A$12:$A$123,'Tổng hợp trong giờ'!$A20,'Đóng gói trong giờ'!AM$12:AM$123)</f>
        <v>50</v>
      </c>
      <c r="AN20" s="4">
        <f>SUMIF('Đóng gói trong giờ'!$A$12:$A$123,'Tổng hợp trong giờ'!$A20,'Đóng gói trong giờ'!AN$12:AN$123)</f>
        <v>0</v>
      </c>
      <c r="AO20" s="4">
        <f>SUMIF('Đóng gói trong giờ'!$A$12:$A$123,'Tổng hợp trong giờ'!$A20,'Đóng gói trong giờ'!AO$12:AO$123)</f>
        <v>0</v>
      </c>
      <c r="AP20" s="4">
        <f>SUMIF('Đóng gói trong giờ'!$A$12:$A$123,'Tổng hợp trong giờ'!$A20,'Đóng gói trong giờ'!AP$12:AP$123)</f>
        <v>0</v>
      </c>
      <c r="AQ20" s="4">
        <f>SUMIF('Đóng gói trong giờ'!$A$12:$A$123,'Tổng hợp trong giờ'!$A20,'Đóng gói trong giờ'!AQ$12:AQ$123)</f>
        <v>0</v>
      </c>
      <c r="AR20" s="4">
        <f>SUMIF('Đóng gói trong giờ'!$A$12:$A$123,'Tổng hợp trong giờ'!$A20,'Đóng gói trong giờ'!AR$12:AR$123)</f>
        <v>0</v>
      </c>
      <c r="AS20" s="4">
        <f>SUMIF('Đóng gói trong giờ'!$A$12:$A$123,'Tổng hợp trong giờ'!$A20,'Đóng gói trong giờ'!AS$12:AS$123)</f>
        <v>0</v>
      </c>
      <c r="AT20" s="4">
        <f>SUMIF('Đóng gói trong giờ'!$A$12:$A$123,'Tổng hợp trong giờ'!$A20,'Đóng gói trong giờ'!AT$12:AT$123)</f>
        <v>0</v>
      </c>
      <c r="AU20" s="4">
        <f>SUMIF('Đóng gói trong giờ'!$A$12:$A$123,'Tổng hợp trong giờ'!$A20,'Đóng gói trong giờ'!AU$12:AU$123)</f>
        <v>0</v>
      </c>
      <c r="AV20" s="4">
        <f>SUMIF('Đóng gói trong giờ'!$A$12:$A$123,'Tổng hợp trong giờ'!$A20,'Đóng gói trong giờ'!AV$12:AV$123)</f>
        <v>0</v>
      </c>
      <c r="AW20" s="4">
        <f>SUMIF('Đóng gói trong giờ'!$A$12:$A$123,'Tổng hợp trong giờ'!$A20,'Đóng gói trong giờ'!AW$12:AW$123)</f>
        <v>0</v>
      </c>
      <c r="AX20" s="4">
        <f>SUMIF('Đóng gói trong giờ'!$A$12:$A$123,'Tổng hợp trong giờ'!$A20,'Đóng gói trong giờ'!AX$12:AX$123)</f>
        <v>0</v>
      </c>
      <c r="AY20" s="4">
        <f>SUMIF('Đóng gói trong giờ'!$A$12:$A$123,'Tổng hợp trong giờ'!$A20,'Đóng gói trong giờ'!AY$12:AY$123)</f>
        <v>0</v>
      </c>
      <c r="AZ20" s="4">
        <f>SUMIF('Đóng gói trong giờ'!$A$12:$A$123,'Tổng hợp trong giờ'!$A20,'Đóng gói trong giờ'!AZ$12:AZ$123)</f>
        <v>0</v>
      </c>
      <c r="BA20" s="4">
        <f>SUMIF('Đóng gói trong giờ'!$A$12:$A$123,'Tổng hợp trong giờ'!$A20,'Đóng gói trong giờ'!BA$12:BA$123)</f>
        <v>0</v>
      </c>
      <c r="BB20" s="4">
        <f>SUMIF('Đóng gói trong giờ'!$A$12:$A$123,'Tổng hợp trong giờ'!$A20,'Đóng gói trong giờ'!BB$12:BB$123)</f>
        <v>0</v>
      </c>
      <c r="BC20" s="22">
        <f>SUMIF('Đóng gói trong giờ'!$A$12:$A$78,'Tổng hợp trong giờ'!$A20,'Đóng gói trong giờ'!BC$12:BC$78)</f>
        <v>0</v>
      </c>
      <c r="BD20" s="119">
        <f>SUMIF('Bốc hàng trong giờ new'!$H$13:$H$3398,'Tổng hợp trong giờ'!A20,'Bốc hàng trong giờ new'!$J$13:$J$3398)</f>
        <v>0</v>
      </c>
      <c r="BE20" s="22">
        <f>SUMIF('Đóng gói trong giờ'!$A$12:$A$78,'Tổng hợp trong giờ'!$A20,'Đóng gói trong giờ'!BE$12:BE$78)</f>
        <v>34.5</v>
      </c>
      <c r="BF20" s="4">
        <f>SUMIF('Đóng gói trong giờ'!$A$12:$A$123,'Tổng hợp trong giờ'!$A20,'Đóng gói trong giờ'!BD$12:BD$123)</f>
        <v>0</v>
      </c>
      <c r="BG20" s="4">
        <f>SUMIF('Đóng gói trong giờ'!$A$12:$A$123,'Tổng hợp trong giờ'!$A20,'Đóng gói trong giờ'!BE$12:BE$123)</f>
        <v>34.5</v>
      </c>
      <c r="BH20" s="4">
        <f>SUMIF('Đóng gói trong giờ'!$A$12:$A$123,'Tổng hợp trong giờ'!$A20,'Đóng gói trong giờ'!BF$12:BF$123)</f>
        <v>0</v>
      </c>
      <c r="BI20" s="4">
        <f>SUMIF('Đóng gói trong giờ'!$A$12:$A$123,'Tổng hợp trong giờ'!$A20,'Đóng gói trong giờ'!BG$12:BG$123)</f>
        <v>0</v>
      </c>
      <c r="BJ20" s="4">
        <f>SUMIF('Đóng gói trong giờ'!$A$12:$A$123,'Tổng hợp trong giờ'!$A20,'Đóng gói trong giờ'!BH$12:BH$123)</f>
        <v>0</v>
      </c>
      <c r="BK20" s="4">
        <f>SUMIF('Đóng gói trong giờ'!$A$12:$A$123,'Tổng hợp trong giờ'!$A20,'Đóng gói trong giờ'!BI$12:BI$123)</f>
        <v>0</v>
      </c>
      <c r="BL20" s="4">
        <f>SUMIF('Đóng gói trong giờ'!$A$12:$A$123,'Tổng hợp trong giờ'!$A20,'Đóng gói trong giờ'!BJ$12:BJ$123)</f>
        <v>0</v>
      </c>
      <c r="BM20" s="4">
        <f>SUMIF('Đóng gói trong giờ'!$A$12:$A$123,'Tổng hợp trong giờ'!$A20,'Đóng gói trong giờ'!BK$12:BK$123)</f>
        <v>0</v>
      </c>
      <c r="BN20" s="4">
        <f>SUMIF('Đóng gói trong giờ'!$A$12:$A$123,'Tổng hợp trong giờ'!$A20,'Đóng gói trong giờ'!BL$12:BL$123)</f>
        <v>26</v>
      </c>
      <c r="BO20" s="4">
        <f>SUMIF('Đóng gói trong giờ'!$A$12:$A$123,'Tổng hợp trong giờ'!$A20,'Đóng gói trong giờ'!BM$12:BM$123)</f>
        <v>0</v>
      </c>
      <c r="BP20" s="4">
        <f>SUMIF('Đóng gói trong giờ'!$A$12:$A$123,'Tổng hợp trong giờ'!$A20,'Đóng gói trong giờ'!BN$12:BN$123)</f>
        <v>0</v>
      </c>
      <c r="BQ20" s="4">
        <f>SUMIF('Đóng gói trong giờ'!$A$12:$A$123,'Tổng hợp trong giờ'!$A20,'Đóng gói trong giờ'!BO$12:BO$123)</f>
        <v>0</v>
      </c>
      <c r="BR20" s="4">
        <f>SUMIF('Đóng gói trong giờ'!$A$12:$A$123,'Tổng hợp trong giờ'!$A20,'Đóng gói trong giờ'!BP$12:BP$123)</f>
        <v>0</v>
      </c>
      <c r="BS20" s="4">
        <f>SUMIF('Đóng gói trong giờ'!$A$12:$A$123,'Tổng hợp trong giờ'!$A20,'Đóng gói trong giờ'!BQ$12:BQ$123)</f>
        <v>0</v>
      </c>
      <c r="BT20" s="4">
        <f>SUMIF('Đóng gói trong giờ'!$A$12:$A$123,'Tổng hợp trong giờ'!$A20,'Đóng gói trong giờ'!BR$12:BR$123)</f>
        <v>0</v>
      </c>
      <c r="BU20" s="169">
        <f t="shared" si="1"/>
        <v>60.5</v>
      </c>
      <c r="BV20" s="168">
        <f t="shared" si="2"/>
        <v>2231296.1011591149</v>
      </c>
      <c r="BW20" s="168">
        <f t="shared" si="3"/>
        <v>12506064.570416104</v>
      </c>
      <c r="BX20" s="4">
        <f ca="1">VLOOKUP(A20,'Tổng hợp ngoài giờ'!$A$15:$BW$41,75,0)</f>
        <v>1218951.1559999627</v>
      </c>
      <c r="BY20" s="10">
        <f t="shared" ca="1" si="4"/>
        <v>13725015.726416066</v>
      </c>
      <c r="BZ20" s="96">
        <f>IF(ISNA(VLOOKUP(A20,' Bang luong'!$A$13:$M$59,11,0)),0,VLOOKUP(A20,' Bang luong'!$A$13:$M$59,11,0))</f>
        <v>26</v>
      </c>
      <c r="CA20" s="4">
        <f t="shared" si="5"/>
        <v>7000000</v>
      </c>
      <c r="CB20" s="14">
        <f t="shared" ca="1" si="6"/>
        <v>1.7865806529165862</v>
      </c>
      <c r="CF20" s="7"/>
      <c r="CG20" s="7"/>
      <c r="CH20" s="7"/>
      <c r="CI20" s="7"/>
      <c r="CQ20" s="9">
        <v>9</v>
      </c>
    </row>
    <row r="21" spans="1:95" ht="15.75" x14ac:dyDescent="0.25">
      <c r="A21" s="224" t="s">
        <v>108</v>
      </c>
      <c r="B21" s="2" t="str">
        <f>VLOOKUP(A21,'Mã NV'!$A$1:$C$27,2,0)</f>
        <v>Lê Minh Nghĩa</v>
      </c>
      <c r="C21" s="22"/>
      <c r="D21" s="4">
        <f>SUMIF('Đóng gói trong giờ'!$A$12:$A$123,'Tổng hợp trong giờ'!$A21,'Đóng gói trong giờ'!D$12:D$123)</f>
        <v>650</v>
      </c>
      <c r="E21" s="4">
        <f>SUMIF('Đóng gói trong giờ'!$A$12:$A$123,'Tổng hợp trong giờ'!$A21,'Đóng gói trong giờ'!E$12:E$123)</f>
        <v>3425</v>
      </c>
      <c r="F21" s="4">
        <f>SUMIF('Đóng gói trong giờ'!$A$12:$A$123,'Tổng hợp trong giờ'!$A21,'Đóng gói trong giờ'!F$12:F$123)</f>
        <v>2036.67</v>
      </c>
      <c r="G21" s="4">
        <f>SUMIF('Đóng gói trong giờ'!$A$12:$A$123,'Tổng hợp trong giờ'!$A21,'Đóng gói trong giờ'!G$12:G$123)</f>
        <v>0</v>
      </c>
      <c r="H21" s="4">
        <f>SUMIF('Đóng gói trong giờ'!$A$12:$A$123,'Tổng hợp trong giờ'!$A21,'Đóng gói trong giờ'!H$12:H$123)</f>
        <v>225</v>
      </c>
      <c r="I21" s="4">
        <f>SUMIF('Đóng gói trong giờ'!$A$12:$A$123,'Tổng hợp trong giờ'!$A21,'Đóng gói trong giờ'!I$12:I$123)</f>
        <v>0</v>
      </c>
      <c r="J21" s="4">
        <f>SUMIF('Đóng gói trong giờ'!$A$12:$A$123,'Tổng hợp trong giờ'!$A21,'Đóng gói trong giờ'!J$12:J$123)</f>
        <v>150</v>
      </c>
      <c r="K21" s="4">
        <f>SUMIF('Đóng gói trong giờ'!$A$12:$A$123,'Tổng hợp trong giờ'!$A21,'Đóng gói trong giờ'!K$12:K$123)</f>
        <v>0</v>
      </c>
      <c r="L21" s="4">
        <f>SUMIF('Đóng gói trong giờ'!$A$12:$A$123,'Tổng hợp trong giờ'!$A21,'Đóng gói trong giờ'!L$12:L$123)</f>
        <v>200</v>
      </c>
      <c r="M21" s="4">
        <f>SUMIF('Đóng gói trong giờ'!$A$12:$A$123,'Tổng hợp trong giờ'!$A21,'Đóng gói trong giờ'!M$12:M$123)</f>
        <v>450</v>
      </c>
      <c r="N21" s="4">
        <f>SUMIF('Đóng gói trong giờ'!$A$12:$A$123,'Tổng hợp trong giờ'!$A21,'Đóng gói trong giờ'!N$12:N$123)</f>
        <v>0</v>
      </c>
      <c r="O21" s="4">
        <f>SUMIF('Đóng gói trong giờ'!$A$12:$A$123,'Tổng hợp trong giờ'!$A21,'Đóng gói trong giờ'!O$12:O$123)</f>
        <v>0</v>
      </c>
      <c r="P21" s="4">
        <f>SUMIF('Đóng gói trong giờ'!$A$12:$A$123,'Tổng hợp trong giờ'!$A21,'Đóng gói trong giờ'!P$12:P$123)</f>
        <v>0</v>
      </c>
      <c r="Q21" s="4">
        <f>SUMIF('Đóng gói trong giờ'!$A$12:$A$123,'Tổng hợp trong giờ'!$A21,'Đóng gói trong giờ'!Q$12:Q$123)</f>
        <v>0</v>
      </c>
      <c r="R21" s="4">
        <f>SUMIF('Đóng gói trong giờ'!$A$12:$A$123,'Tổng hợp trong giờ'!$A21,'Đóng gói trong giờ'!R$12:R$123)</f>
        <v>0</v>
      </c>
      <c r="S21" s="4">
        <f>SUMIF('Đóng gói trong giờ'!$A$12:$A$123,'Tổng hợp trong giờ'!$A21,'Đóng gói trong giờ'!S$12:S$123)</f>
        <v>0</v>
      </c>
      <c r="T21" s="4">
        <f>SUMIF('Đóng gói trong giờ'!$A$12:$A$123,'Tổng hợp trong giờ'!$A21,'Đóng gói trong giờ'!T$12:T$123)</f>
        <v>0</v>
      </c>
      <c r="U21" s="4">
        <f>SUMIF('Đóng gói trong giờ'!$A$12:$A$123,'Tổng hợp trong giờ'!$A21,'Đóng gói trong giờ'!U$12:U$123)</f>
        <v>0</v>
      </c>
      <c r="V21" s="4">
        <f>SUMIF('Đóng gói trong giờ'!$A$12:$A$123,'Tổng hợp trong giờ'!$A21,'Đóng gói trong giờ'!V$12:V$123)</f>
        <v>0</v>
      </c>
      <c r="W21" s="4">
        <f>SUMIF('Đóng gói trong giờ'!$A$12:$A$123,'Tổng hợp trong giờ'!$A21,'Đóng gói trong giờ'!W$12:W$123)</f>
        <v>0</v>
      </c>
      <c r="X21" s="4">
        <f>SUMIF('Đóng gói trong giờ'!$A$12:$A$123,'Tổng hợp trong giờ'!$A21,'Đóng gói trong giờ'!X$12:X$123)</f>
        <v>0</v>
      </c>
      <c r="Y21" s="4">
        <f>SUMIF('Đóng gói trong giờ'!$A$12:$A$123,'Tổng hợp trong giờ'!$A21,'Đóng gói trong giờ'!Y$12:Y$123)</f>
        <v>0</v>
      </c>
      <c r="Z21" s="4">
        <f>SUMIF('Đóng gói trong giờ'!$A$12:$A$123,'Tổng hợp trong giờ'!$A21,'Đóng gói trong giờ'!Z$12:Z$123)</f>
        <v>0</v>
      </c>
      <c r="AA21" s="4">
        <f>SUMIF('Đóng gói trong giờ'!$A$12:$A$123,'Tổng hợp trong giờ'!$A21,'Đóng gói trong giờ'!AA$12:AA$123)</f>
        <v>66.67</v>
      </c>
      <c r="AB21" s="4">
        <f>SUMIF('Đóng gói trong giờ'!$A$12:$A$123,'Tổng hợp trong giờ'!$A21,'Đóng gói trong giờ'!AB$12:AB$123)</f>
        <v>0</v>
      </c>
      <c r="AC21" s="4">
        <f>SUMIF('Đóng gói trong giờ'!$A$12:$A$123,'Tổng hợp trong giờ'!$A21,'Đóng gói trong giờ'!AC$12:AC$123)</f>
        <v>0</v>
      </c>
      <c r="AD21" s="4">
        <f>SUMIF('Đóng gói trong giờ'!$A$12:$A$123,'Tổng hợp trong giờ'!$A21,'Đóng gói trong giờ'!AD$12:AD$123)</f>
        <v>375</v>
      </c>
      <c r="AE21" s="4">
        <f>SUMIF('Đóng gói trong giờ'!$A$12:$A$123,'Tổng hợp trong giờ'!$A21,'Đóng gói trong giờ'!AE$12:AE$123)</f>
        <v>0</v>
      </c>
      <c r="AF21" s="4">
        <f>SUMIF('Đóng gói trong giờ'!$A$12:$A$123,'Tổng hợp trong giờ'!$A21,'Đóng gói trong giờ'!AF$12:AF$123)</f>
        <v>0</v>
      </c>
      <c r="AG21" s="4">
        <f>SUMIF('Đóng gói trong giờ'!$A$12:$A$123,'Tổng hợp trong giờ'!$A21,'Đóng gói trong giờ'!AG$12:AG$123)</f>
        <v>0</v>
      </c>
      <c r="AH21" s="4">
        <f>SUMIF('Đóng gói trong giờ'!$A$12:$A$123,'Tổng hợp trong giờ'!$A21,'Đóng gói trong giờ'!AH$12:AH$123)</f>
        <v>0</v>
      </c>
      <c r="AI21" s="4">
        <f>SUMIF('Đóng gói trong giờ'!$A$12:$A$123,'Tổng hợp trong giờ'!$A21,'Đóng gói trong giờ'!AI$12:AI$123)</f>
        <v>0</v>
      </c>
      <c r="AJ21" s="4">
        <f>SUMIF('Đóng gói trong giờ'!$A$12:$A$123,'Tổng hợp trong giờ'!$A21,'Đóng gói trong giờ'!AJ$12:AJ$123)</f>
        <v>0</v>
      </c>
      <c r="AK21" s="4">
        <f>SUMIF('Đóng gói trong giờ'!$A$12:$A$123,'Tổng hợp trong giờ'!$A21,'Đóng gói trong giờ'!AK$12:AK$123)</f>
        <v>0</v>
      </c>
      <c r="AL21" s="4">
        <f>SUMIF('Đóng gói trong giờ'!$A$12:$A$123,'Tổng hợp trong giờ'!$A21,'Đóng gói trong giờ'!AL$12:AL$123)</f>
        <v>0</v>
      </c>
      <c r="AM21" s="4">
        <f>SUMIF('Đóng gói trong giờ'!$A$12:$A$123,'Tổng hợp trong giờ'!$A21,'Đóng gói trong giờ'!AM$12:AM$123)</f>
        <v>0</v>
      </c>
      <c r="AN21" s="4">
        <f>SUMIF('Đóng gói trong giờ'!$A$12:$A$123,'Tổng hợp trong giờ'!$A21,'Đóng gói trong giờ'!AN$12:AN$123)</f>
        <v>0</v>
      </c>
      <c r="AO21" s="4">
        <f>SUMIF('Đóng gói trong giờ'!$A$12:$A$123,'Tổng hợp trong giờ'!$A21,'Đóng gói trong giờ'!AO$12:AO$123)</f>
        <v>0</v>
      </c>
      <c r="AP21" s="4">
        <f>SUMIF('Đóng gói trong giờ'!$A$12:$A$123,'Tổng hợp trong giờ'!$A21,'Đóng gói trong giờ'!AP$12:AP$123)</f>
        <v>0</v>
      </c>
      <c r="AQ21" s="4">
        <f>SUMIF('Đóng gói trong giờ'!$A$12:$A$123,'Tổng hợp trong giờ'!$A21,'Đóng gói trong giờ'!AQ$12:AQ$123)</f>
        <v>0</v>
      </c>
      <c r="AR21" s="4">
        <f>SUMIF('Đóng gói trong giờ'!$A$12:$A$123,'Tổng hợp trong giờ'!$A21,'Đóng gói trong giờ'!AR$12:AR$123)</f>
        <v>0</v>
      </c>
      <c r="AS21" s="4">
        <f>SUMIF('Đóng gói trong giờ'!$A$12:$A$123,'Tổng hợp trong giờ'!$A21,'Đóng gói trong giờ'!AS$12:AS$123)</f>
        <v>0</v>
      </c>
      <c r="AT21" s="4">
        <f>SUMIF('Đóng gói trong giờ'!$A$12:$A$123,'Tổng hợp trong giờ'!$A21,'Đóng gói trong giờ'!AT$12:AT$123)</f>
        <v>0</v>
      </c>
      <c r="AU21" s="4">
        <f>SUMIF('Đóng gói trong giờ'!$A$12:$A$123,'Tổng hợp trong giờ'!$A21,'Đóng gói trong giờ'!AU$12:AU$123)</f>
        <v>0</v>
      </c>
      <c r="AV21" s="4">
        <f>SUMIF('Đóng gói trong giờ'!$A$12:$A$123,'Tổng hợp trong giờ'!$A21,'Đóng gói trong giờ'!AV$12:AV$123)</f>
        <v>0</v>
      </c>
      <c r="AW21" s="4">
        <f>SUMIF('Đóng gói trong giờ'!$A$12:$A$123,'Tổng hợp trong giờ'!$A21,'Đóng gói trong giờ'!AW$12:AW$123)</f>
        <v>0</v>
      </c>
      <c r="AX21" s="4">
        <f>SUMIF('Đóng gói trong giờ'!$A$12:$A$123,'Tổng hợp trong giờ'!$A21,'Đóng gói trong giờ'!AX$12:AX$123)</f>
        <v>0</v>
      </c>
      <c r="AY21" s="4">
        <f>SUMIF('Đóng gói trong giờ'!$A$12:$A$123,'Tổng hợp trong giờ'!$A21,'Đóng gói trong giờ'!AY$12:AY$123)</f>
        <v>0</v>
      </c>
      <c r="AZ21" s="4">
        <f>SUMIF('Đóng gói trong giờ'!$A$12:$A$123,'Tổng hợp trong giờ'!$A21,'Đóng gói trong giờ'!AZ$12:AZ$123)</f>
        <v>0</v>
      </c>
      <c r="BA21" s="4">
        <f>SUMIF('Đóng gói trong giờ'!$A$12:$A$123,'Tổng hợp trong giờ'!$A21,'Đóng gói trong giờ'!BA$12:BA$123)</f>
        <v>0</v>
      </c>
      <c r="BB21" s="4">
        <f>SUMIF('Đóng gói trong giờ'!$A$12:$A$123,'Tổng hợp trong giờ'!$A21,'Đóng gói trong giờ'!BB$12:BB$123)</f>
        <v>0</v>
      </c>
      <c r="BC21" s="22">
        <f>SUMIF('Đóng gói trong giờ'!$A$12:$A$78,'Tổng hợp trong giờ'!$A21,'Đóng gói trong giờ'!BC$12:BC$78)</f>
        <v>0</v>
      </c>
      <c r="BD21" s="119">
        <f>SUMIF('Bốc hàng trong giờ new'!$H$13:$H$3398,'Tổng hợp trong giờ'!A21,'Bốc hàng trong giờ new'!$J$13:$J$3398)</f>
        <v>0</v>
      </c>
      <c r="BE21" s="22">
        <f>SUMIF('Đóng gói trong giờ'!$A$12:$A$78,'Tổng hợp trong giờ'!$A21,'Đóng gói trong giờ'!BE$12:BE$78)</f>
        <v>17</v>
      </c>
      <c r="BF21" s="4">
        <f>SUMIF('Đóng gói trong giờ'!$A$12:$A$123,'Tổng hợp trong giờ'!$A21,'Đóng gói trong giờ'!BD$12:BD$123)</f>
        <v>0</v>
      </c>
      <c r="BG21" s="4">
        <f>SUMIF('Đóng gói trong giờ'!$A$12:$A$123,'Tổng hợp trong giờ'!$A21,'Đóng gói trong giờ'!BE$12:BE$123)</f>
        <v>17</v>
      </c>
      <c r="BH21" s="4">
        <f>SUMIF('Đóng gói trong giờ'!$A$12:$A$123,'Tổng hợp trong giờ'!$A21,'Đóng gói trong giờ'!BF$12:BF$123)</f>
        <v>0</v>
      </c>
      <c r="BI21" s="4">
        <f>SUMIF('Đóng gói trong giờ'!$A$12:$A$123,'Tổng hợp trong giờ'!$A21,'Đóng gói trong giờ'!BG$12:BG$123)</f>
        <v>0</v>
      </c>
      <c r="BJ21" s="4">
        <f>SUMIF('Đóng gói trong giờ'!$A$12:$A$123,'Tổng hợp trong giờ'!$A21,'Đóng gói trong giờ'!BH$12:BH$123)</f>
        <v>0</v>
      </c>
      <c r="BK21" s="4">
        <f>SUMIF('Đóng gói trong giờ'!$A$12:$A$123,'Tổng hợp trong giờ'!$A21,'Đóng gói trong giờ'!BI$12:BI$123)</f>
        <v>0</v>
      </c>
      <c r="BL21" s="4">
        <f>SUMIF('Đóng gói trong giờ'!$A$12:$A$123,'Tổng hợp trong giờ'!$A21,'Đóng gói trong giờ'!BJ$12:BJ$123)</f>
        <v>0</v>
      </c>
      <c r="BM21" s="4">
        <f>SUMIF('Đóng gói trong giờ'!$A$12:$A$123,'Tổng hợp trong giờ'!$A21,'Đóng gói trong giờ'!BK$12:BK$123)</f>
        <v>0</v>
      </c>
      <c r="BN21" s="4">
        <f>SUMIF('Đóng gói trong giờ'!$A$12:$A$123,'Tổng hợp trong giờ'!$A21,'Đóng gói trong giờ'!BL$12:BL$123)</f>
        <v>11.5</v>
      </c>
      <c r="BO21" s="4">
        <f>SUMIF('Đóng gói trong giờ'!$A$12:$A$123,'Tổng hợp trong giờ'!$A21,'Đóng gói trong giờ'!BM$12:BM$123)</f>
        <v>0</v>
      </c>
      <c r="BP21" s="4">
        <f>SUMIF('Đóng gói trong giờ'!$A$12:$A$123,'Tổng hợp trong giờ'!$A21,'Đóng gói trong giờ'!BN$12:BN$123)</f>
        <v>2</v>
      </c>
      <c r="BQ21" s="4">
        <f>SUMIF('Đóng gói trong giờ'!$A$12:$A$123,'Tổng hợp trong giờ'!$A21,'Đóng gói trong giờ'!BO$12:BO$123)</f>
        <v>0</v>
      </c>
      <c r="BR21" s="4">
        <f>SUMIF('Đóng gói trong giờ'!$A$12:$A$123,'Tổng hợp trong giờ'!$A21,'Đóng gói trong giờ'!BP$12:BP$123)</f>
        <v>0</v>
      </c>
      <c r="BS21" s="4">
        <f>SUMIF('Đóng gói trong giờ'!$A$12:$A$123,'Tổng hợp trong giờ'!$A21,'Đóng gói trong giờ'!BQ$12:BQ$123)</f>
        <v>0</v>
      </c>
      <c r="BT21" s="4">
        <f>SUMIF('Đóng gói trong giờ'!$A$12:$A$123,'Tổng hợp trong giờ'!$A21,'Đóng gói trong giờ'!BR$12:BR$123)</f>
        <v>0</v>
      </c>
      <c r="BU21" s="169">
        <f t="shared" si="1"/>
        <v>30.5</v>
      </c>
      <c r="BV21" s="168">
        <f t="shared" si="2"/>
        <v>1124868.2824025289</v>
      </c>
      <c r="BW21" s="168">
        <f t="shared" si="3"/>
        <v>6949501.4745418951</v>
      </c>
      <c r="BX21" s="4">
        <f ca="1">VLOOKUP(A21,'Tổng hợp ngoài giờ'!$A$15:$BW$41,75,0)</f>
        <v>446259.22023182304</v>
      </c>
      <c r="BY21" s="10">
        <f t="shared" ca="1" si="4"/>
        <v>7395760.6947737178</v>
      </c>
      <c r="BZ21" s="96">
        <f>IF(ISNA(VLOOKUP(A21,' Bang luong'!$A$13:$M$59,11,0)),0,VLOOKUP(A21,' Bang luong'!$A$13:$M$59,11,0))</f>
        <v>15</v>
      </c>
      <c r="CA21" s="4">
        <f t="shared" si="5"/>
        <v>4038461.538461539</v>
      </c>
      <c r="CB21" s="14">
        <f t="shared" ca="1" si="6"/>
        <v>1.720828936553231</v>
      </c>
      <c r="CF21" s="7"/>
      <c r="CG21" s="7"/>
      <c r="CH21" s="7"/>
      <c r="CI21" s="7"/>
      <c r="CQ21" s="9">
        <v>10</v>
      </c>
    </row>
    <row r="22" spans="1:95" ht="15.75" x14ac:dyDescent="0.25">
      <c r="A22" s="224" t="s">
        <v>109</v>
      </c>
      <c r="B22" s="2" t="str">
        <f>VLOOKUP(A22,'Mã NV'!$A$1:$C$27,2,0)</f>
        <v>Trần Văn Tây</v>
      </c>
      <c r="C22" s="22"/>
      <c r="D22" s="4">
        <f>SUMIF('Đóng gói trong giờ'!$A$12:$A$123,'Tổng hợp trong giờ'!$A22,'Đóng gói trong giờ'!D$12:D$123)</f>
        <v>800</v>
      </c>
      <c r="E22" s="4">
        <f>SUMIF('Đóng gói trong giờ'!$A$12:$A$123,'Tổng hợp trong giờ'!$A22,'Đóng gói trong giờ'!E$12:E$123)</f>
        <v>5425</v>
      </c>
      <c r="F22" s="4">
        <f>SUMIF('Đóng gói trong giờ'!$A$12:$A$123,'Tổng hợp trong giờ'!$A22,'Đóng gói trong giờ'!F$12:F$123)</f>
        <v>3626.66</v>
      </c>
      <c r="G22" s="4">
        <f>SUMIF('Đóng gói trong giờ'!$A$12:$A$123,'Tổng hợp trong giờ'!$A22,'Đóng gói trong giờ'!G$12:G$123)</f>
        <v>0</v>
      </c>
      <c r="H22" s="4">
        <f>SUMIF('Đóng gói trong giờ'!$A$12:$A$123,'Tổng hợp trong giờ'!$A22,'Đóng gói trong giờ'!H$12:H$123)</f>
        <v>0</v>
      </c>
      <c r="I22" s="4">
        <f>SUMIF('Đóng gói trong giờ'!$A$12:$A$123,'Tổng hợp trong giờ'!$A22,'Đóng gói trong giờ'!I$12:I$123)</f>
        <v>0</v>
      </c>
      <c r="J22" s="4">
        <f>SUMIF('Đóng gói trong giờ'!$A$12:$A$123,'Tổng hợp trong giờ'!$A22,'Đóng gói trong giờ'!J$12:J$123)</f>
        <v>225</v>
      </c>
      <c r="K22" s="4">
        <f>SUMIF('Đóng gói trong giờ'!$A$12:$A$123,'Tổng hợp trong giờ'!$A22,'Đóng gói trong giờ'!K$12:K$123)</f>
        <v>0</v>
      </c>
      <c r="L22" s="4">
        <f>SUMIF('Đóng gói trong giờ'!$A$12:$A$123,'Tổng hợp trong giờ'!$A22,'Đóng gói trong giờ'!L$12:L$123)</f>
        <v>0</v>
      </c>
      <c r="M22" s="4">
        <f>SUMIF('Đóng gói trong giờ'!$A$12:$A$123,'Tổng hợp trong giờ'!$A22,'Đóng gói trong giờ'!M$12:M$123)</f>
        <v>0</v>
      </c>
      <c r="N22" s="4">
        <f>SUMIF('Đóng gói trong giờ'!$A$12:$A$123,'Tổng hợp trong giờ'!$A22,'Đóng gói trong giờ'!N$12:N$123)</f>
        <v>0</v>
      </c>
      <c r="O22" s="4">
        <f>SUMIF('Đóng gói trong giờ'!$A$12:$A$123,'Tổng hợp trong giờ'!$A22,'Đóng gói trong giờ'!O$12:O$123)</f>
        <v>0</v>
      </c>
      <c r="P22" s="4">
        <f>SUMIF('Đóng gói trong giờ'!$A$12:$A$123,'Tổng hợp trong giờ'!$A22,'Đóng gói trong giờ'!P$12:P$123)</f>
        <v>200</v>
      </c>
      <c r="Q22" s="4">
        <f>SUMIF('Đóng gói trong giờ'!$A$12:$A$123,'Tổng hợp trong giờ'!$A22,'Đóng gói trong giờ'!Q$12:Q$123)</f>
        <v>0</v>
      </c>
      <c r="R22" s="4">
        <f>SUMIF('Đóng gói trong giờ'!$A$12:$A$123,'Tổng hợp trong giờ'!$A22,'Đóng gói trong giờ'!R$12:R$123)</f>
        <v>533.33000000000004</v>
      </c>
      <c r="S22" s="4">
        <f>SUMIF('Đóng gói trong giờ'!$A$12:$A$123,'Tổng hợp trong giờ'!$A22,'Đóng gói trong giờ'!S$12:S$123)</f>
        <v>0</v>
      </c>
      <c r="T22" s="4">
        <f>SUMIF('Đóng gói trong giờ'!$A$12:$A$123,'Tổng hợp trong giờ'!$A22,'Đóng gói trong giờ'!T$12:T$123)</f>
        <v>0</v>
      </c>
      <c r="U22" s="4">
        <f>SUMIF('Đóng gói trong giờ'!$A$12:$A$123,'Tổng hợp trong giờ'!$A22,'Đóng gói trong giờ'!U$12:U$123)</f>
        <v>0</v>
      </c>
      <c r="V22" s="4">
        <f>SUMIF('Đóng gói trong giờ'!$A$12:$A$123,'Tổng hợp trong giờ'!$A22,'Đóng gói trong giờ'!V$12:V$123)</f>
        <v>0</v>
      </c>
      <c r="W22" s="4">
        <f>SUMIF('Đóng gói trong giờ'!$A$12:$A$123,'Tổng hợp trong giờ'!$A22,'Đóng gói trong giờ'!W$12:W$123)</f>
        <v>0</v>
      </c>
      <c r="X22" s="4">
        <f>SUMIF('Đóng gói trong giờ'!$A$12:$A$123,'Tổng hợp trong giờ'!$A22,'Đóng gói trong giờ'!X$12:X$123)</f>
        <v>0</v>
      </c>
      <c r="Y22" s="4">
        <f>SUMIF('Đóng gói trong giờ'!$A$12:$A$123,'Tổng hợp trong giờ'!$A22,'Đóng gói trong giờ'!Y$12:Y$123)</f>
        <v>0</v>
      </c>
      <c r="Z22" s="4">
        <f>SUMIF('Đóng gói trong giờ'!$A$12:$A$123,'Tổng hợp trong giờ'!$A22,'Đóng gói trong giờ'!Z$12:Z$123)</f>
        <v>0</v>
      </c>
      <c r="AA22" s="4">
        <f>SUMIF('Đóng gói trong giờ'!$A$12:$A$123,'Tổng hợp trong giờ'!$A22,'Đóng gói trong giờ'!AA$12:AA$123)</f>
        <v>216.67000000000002</v>
      </c>
      <c r="AB22" s="4">
        <f>SUMIF('Đóng gói trong giờ'!$A$12:$A$123,'Tổng hợp trong giờ'!$A22,'Đóng gói trong giờ'!AB$12:AB$123)</f>
        <v>0</v>
      </c>
      <c r="AC22" s="4">
        <f>SUMIF('Đóng gói trong giờ'!$A$12:$A$123,'Tổng hợp trong giờ'!$A22,'Đóng gói trong giờ'!AC$12:AC$123)</f>
        <v>0</v>
      </c>
      <c r="AD22" s="4">
        <f>SUMIF('Đóng gói trong giờ'!$A$12:$A$123,'Tổng hợp trong giờ'!$A22,'Đóng gói trong giờ'!AD$12:AD$123)</f>
        <v>385</v>
      </c>
      <c r="AE22" s="4">
        <f>SUMIF('Đóng gói trong giờ'!$A$12:$A$123,'Tổng hợp trong giờ'!$A22,'Đóng gói trong giờ'!AE$12:AE$123)</f>
        <v>0</v>
      </c>
      <c r="AF22" s="4">
        <f>SUMIF('Đóng gói trong giờ'!$A$12:$A$123,'Tổng hợp trong giờ'!$A22,'Đóng gói trong giờ'!AF$12:AF$123)</f>
        <v>0</v>
      </c>
      <c r="AG22" s="4">
        <f>SUMIF('Đóng gói trong giờ'!$A$12:$A$123,'Tổng hợp trong giờ'!$A22,'Đóng gói trong giờ'!AG$12:AG$123)</f>
        <v>0</v>
      </c>
      <c r="AH22" s="4">
        <f>SUMIF('Đóng gói trong giờ'!$A$12:$A$123,'Tổng hợp trong giờ'!$A22,'Đóng gói trong giờ'!AH$12:AH$123)</f>
        <v>0</v>
      </c>
      <c r="AI22" s="4">
        <f>SUMIF('Đóng gói trong giờ'!$A$12:$A$123,'Tổng hợp trong giờ'!$A22,'Đóng gói trong giờ'!AI$12:AI$123)</f>
        <v>0</v>
      </c>
      <c r="AJ22" s="4">
        <f>SUMIF('Đóng gói trong giờ'!$A$12:$A$123,'Tổng hợp trong giờ'!$A22,'Đóng gói trong giờ'!AJ$12:AJ$123)</f>
        <v>0</v>
      </c>
      <c r="AK22" s="4">
        <f>SUMIF('Đóng gói trong giờ'!$A$12:$A$123,'Tổng hợp trong giờ'!$A22,'Đóng gói trong giờ'!AK$12:AK$123)</f>
        <v>0</v>
      </c>
      <c r="AL22" s="4">
        <f>SUMIF('Đóng gói trong giờ'!$A$12:$A$123,'Tổng hợp trong giờ'!$A22,'Đóng gói trong giờ'!AL$12:AL$123)</f>
        <v>0</v>
      </c>
      <c r="AM22" s="4">
        <f>SUMIF('Đóng gói trong giờ'!$A$12:$A$123,'Tổng hợp trong giờ'!$A22,'Đóng gói trong giờ'!AM$12:AM$123)</f>
        <v>0</v>
      </c>
      <c r="AN22" s="4">
        <f>SUMIF('Đóng gói trong giờ'!$A$12:$A$123,'Tổng hợp trong giờ'!$A22,'Đóng gói trong giờ'!AN$12:AN$123)</f>
        <v>0</v>
      </c>
      <c r="AO22" s="4">
        <f>SUMIF('Đóng gói trong giờ'!$A$12:$A$123,'Tổng hợp trong giờ'!$A22,'Đóng gói trong giờ'!AO$12:AO$123)</f>
        <v>0</v>
      </c>
      <c r="AP22" s="4">
        <f>SUMIF('Đóng gói trong giờ'!$A$12:$A$123,'Tổng hợp trong giờ'!$A22,'Đóng gói trong giờ'!AP$12:AP$123)</f>
        <v>0</v>
      </c>
      <c r="AQ22" s="4">
        <f>SUMIF('Đóng gói trong giờ'!$A$12:$A$123,'Tổng hợp trong giờ'!$A22,'Đóng gói trong giờ'!AQ$12:AQ$123)</f>
        <v>0</v>
      </c>
      <c r="AR22" s="4">
        <f>SUMIF('Đóng gói trong giờ'!$A$12:$A$123,'Tổng hợp trong giờ'!$A22,'Đóng gói trong giờ'!AR$12:AR$123)</f>
        <v>0</v>
      </c>
      <c r="AS22" s="4">
        <f>SUMIF('Đóng gói trong giờ'!$A$12:$A$123,'Tổng hợp trong giờ'!$A22,'Đóng gói trong giờ'!AS$12:AS$123)</f>
        <v>0</v>
      </c>
      <c r="AT22" s="4">
        <f>SUMIF('Đóng gói trong giờ'!$A$12:$A$123,'Tổng hợp trong giờ'!$A22,'Đóng gói trong giờ'!AT$12:AT$123)</f>
        <v>0</v>
      </c>
      <c r="AU22" s="4">
        <f>SUMIF('Đóng gói trong giờ'!$A$12:$A$123,'Tổng hợp trong giờ'!$A22,'Đóng gói trong giờ'!AU$12:AU$123)</f>
        <v>0</v>
      </c>
      <c r="AV22" s="4">
        <f>SUMIF('Đóng gói trong giờ'!$A$12:$A$123,'Tổng hợp trong giờ'!$A22,'Đóng gói trong giờ'!AV$12:AV$123)</f>
        <v>720</v>
      </c>
      <c r="AW22" s="4">
        <f>SUMIF('Đóng gói trong giờ'!$A$12:$A$123,'Tổng hợp trong giờ'!$A22,'Đóng gói trong giờ'!AW$12:AW$123)</f>
        <v>0</v>
      </c>
      <c r="AX22" s="4">
        <f>SUMIF('Đóng gói trong giờ'!$A$12:$A$123,'Tổng hợp trong giờ'!$A22,'Đóng gói trong giờ'!AX$12:AX$123)</f>
        <v>0</v>
      </c>
      <c r="AY22" s="4">
        <f>SUMIF('Đóng gói trong giờ'!$A$12:$A$123,'Tổng hợp trong giờ'!$A22,'Đóng gói trong giờ'!AY$12:AY$123)</f>
        <v>0</v>
      </c>
      <c r="AZ22" s="4">
        <f>SUMIF('Đóng gói trong giờ'!$A$12:$A$123,'Tổng hợp trong giờ'!$A22,'Đóng gói trong giờ'!AZ$12:AZ$123)</f>
        <v>0</v>
      </c>
      <c r="BA22" s="4">
        <f>SUMIF('Đóng gói trong giờ'!$A$12:$A$123,'Tổng hợp trong giờ'!$A22,'Đóng gói trong giờ'!BA$12:BA$123)</f>
        <v>0</v>
      </c>
      <c r="BB22" s="4">
        <f>SUMIF('Đóng gói trong giờ'!$A$12:$A$123,'Tổng hợp trong giờ'!$A22,'Đóng gói trong giờ'!BB$12:BB$123)</f>
        <v>0</v>
      </c>
      <c r="BC22" s="22">
        <f>SUMIF('Đóng gói trong giờ'!$A$12:$A$78,'Tổng hợp trong giờ'!$A22,'Đóng gói trong giờ'!BC$12:BC$78)</f>
        <v>0</v>
      </c>
      <c r="BD22" s="119">
        <f>SUMIF('Bốc hàng trong giờ new'!$H$13:$H$3398,'Tổng hợp trong giờ'!A22,'Bốc hàng trong giờ new'!$J$13:$J$3398)</f>
        <v>0</v>
      </c>
      <c r="BE22" s="22">
        <f>SUMIF('Đóng gói trong giờ'!$A$12:$A$78,'Tổng hợp trong giờ'!$A22,'Đóng gói trong giờ'!BE$12:BE$78)</f>
        <v>29</v>
      </c>
      <c r="BF22" s="4">
        <f>SUMIF('Đóng gói trong giờ'!$A$12:$A$123,'Tổng hợp trong giờ'!$A22,'Đóng gói trong giờ'!BD$12:BD$123)</f>
        <v>0</v>
      </c>
      <c r="BG22" s="4">
        <f>SUMIF('Đóng gói trong giờ'!$A$12:$A$123,'Tổng hợp trong giờ'!$A22,'Đóng gói trong giờ'!BE$12:BE$123)</f>
        <v>29</v>
      </c>
      <c r="BH22" s="4">
        <f>SUMIF('Đóng gói trong giờ'!$A$12:$A$123,'Tổng hợp trong giờ'!$A22,'Đóng gói trong giờ'!BF$12:BF$123)</f>
        <v>0</v>
      </c>
      <c r="BI22" s="4">
        <f>SUMIF('Đóng gói trong giờ'!$A$12:$A$123,'Tổng hợp trong giờ'!$A22,'Đóng gói trong giờ'!BG$12:BG$123)</f>
        <v>0</v>
      </c>
      <c r="BJ22" s="4">
        <f>SUMIF('Đóng gói trong giờ'!$A$12:$A$123,'Tổng hợp trong giờ'!$A22,'Đóng gói trong giờ'!BH$12:BH$123)</f>
        <v>0</v>
      </c>
      <c r="BK22" s="4">
        <f>SUMIF('Đóng gói trong giờ'!$A$12:$A$123,'Tổng hợp trong giờ'!$A22,'Đóng gói trong giờ'!BI$12:BI$123)</f>
        <v>0</v>
      </c>
      <c r="BL22" s="4">
        <f>SUMIF('Đóng gói trong giờ'!$A$12:$A$123,'Tổng hợp trong giờ'!$A22,'Đóng gói trong giờ'!BJ$12:BJ$123)</f>
        <v>0</v>
      </c>
      <c r="BM22" s="4">
        <f>SUMIF('Đóng gói trong giờ'!$A$12:$A$123,'Tổng hợp trong giờ'!$A22,'Đóng gói trong giờ'!BK$12:BK$123)</f>
        <v>0</v>
      </c>
      <c r="BN22" s="4">
        <f>SUMIF('Đóng gói trong giờ'!$A$12:$A$123,'Tổng hợp trong giờ'!$A22,'Đóng gói trong giờ'!BL$12:BL$123)</f>
        <v>21.5</v>
      </c>
      <c r="BO22" s="4">
        <f>SUMIF('Đóng gói trong giờ'!$A$12:$A$123,'Tổng hợp trong giờ'!$A22,'Đóng gói trong giờ'!BM$12:BM$123)</f>
        <v>0</v>
      </c>
      <c r="BP22" s="4">
        <f>SUMIF('Đóng gói trong giờ'!$A$12:$A$123,'Tổng hợp trong giờ'!$A22,'Đóng gói trong giờ'!BN$12:BN$123)</f>
        <v>0</v>
      </c>
      <c r="BQ22" s="4">
        <f>SUMIF('Đóng gói trong giờ'!$A$12:$A$123,'Tổng hợp trong giờ'!$A22,'Đóng gói trong giờ'!BO$12:BO$123)</f>
        <v>0</v>
      </c>
      <c r="BR22" s="4">
        <f>SUMIF('Đóng gói trong giờ'!$A$12:$A$123,'Tổng hợp trong giờ'!$A22,'Đóng gói trong giờ'!BP$12:BP$123)</f>
        <v>0</v>
      </c>
      <c r="BS22" s="4">
        <f>SUMIF('Đóng gói trong giờ'!$A$12:$A$123,'Tổng hợp trong giờ'!$A22,'Đóng gói trong giờ'!BQ$12:BQ$123)</f>
        <v>0</v>
      </c>
      <c r="BT22" s="4">
        <f>SUMIF('Đóng gói trong giờ'!$A$12:$A$123,'Tổng hợp trong giờ'!$A22,'Đóng gói trong giờ'!BR$12:BR$123)</f>
        <v>0</v>
      </c>
      <c r="BU22" s="169">
        <f t="shared" si="1"/>
        <v>50.5</v>
      </c>
      <c r="BV22" s="168">
        <f t="shared" si="2"/>
        <v>1862486.828240253</v>
      </c>
      <c r="BW22" s="168">
        <f t="shared" si="3"/>
        <v>11817405.946555613</v>
      </c>
      <c r="BX22" s="4">
        <f ca="1">VLOOKUP(A22,'Tổng hợp ngoài giờ'!$A$15:$BW$41,75,0)</f>
        <v>1301334.1674810569</v>
      </c>
      <c r="BY22" s="10">
        <f t="shared" ca="1" si="4"/>
        <v>13118740.11403667</v>
      </c>
      <c r="BZ22" s="96">
        <f>IF(ISNA(VLOOKUP(A22,' Bang luong'!$A$13:$M$59,11,0)),0,VLOOKUP(A22,' Bang luong'!$A$13:$M$59,11,0))</f>
        <v>25</v>
      </c>
      <c r="CA22" s="4">
        <f t="shared" si="5"/>
        <v>6730769.230769231</v>
      </c>
      <c r="CB22" s="14">
        <f t="shared" ca="1" si="6"/>
        <v>1.7557288834882623</v>
      </c>
      <c r="CF22" s="7"/>
      <c r="CG22" s="7"/>
      <c r="CH22" s="7"/>
      <c r="CI22" s="7"/>
      <c r="CQ22" s="9">
        <v>11</v>
      </c>
    </row>
    <row r="23" spans="1:95" ht="15.75" x14ac:dyDescent="0.25">
      <c r="A23" s="224" t="s">
        <v>110</v>
      </c>
      <c r="B23" s="2" t="str">
        <f>VLOOKUP(A23,'Mã NV'!$A$1:$C$27,2,0)</f>
        <v>Huỳnh Huy Phụng</v>
      </c>
      <c r="C23" s="22"/>
      <c r="D23" s="4">
        <f>SUMIF('Đóng gói trong giờ'!$A$12:$A$123,'Tổng hợp trong giờ'!$A23,'Đóng gói trong giờ'!D$12:D$123)</f>
        <v>700</v>
      </c>
      <c r="E23" s="4">
        <f>SUMIF('Đóng gói trong giờ'!$A$12:$A$123,'Tổng hợp trong giờ'!$A23,'Đóng gói trong giờ'!E$12:E$123)</f>
        <v>4900</v>
      </c>
      <c r="F23" s="4">
        <f>SUMIF('Đóng gói trong giờ'!$A$12:$A$123,'Tổng hợp trong giờ'!$A23,'Đóng gói trong giờ'!F$12:F$123)</f>
        <v>3975.9866666666667</v>
      </c>
      <c r="G23" s="4">
        <f>SUMIF('Đóng gói trong giờ'!$A$12:$A$123,'Tổng hợp trong giờ'!$A23,'Đóng gói trong giờ'!G$12:G$123)</f>
        <v>0</v>
      </c>
      <c r="H23" s="4">
        <f>SUMIF('Đóng gói trong giờ'!$A$12:$A$123,'Tổng hợp trong giờ'!$A23,'Đóng gói trong giờ'!H$12:H$123)</f>
        <v>0</v>
      </c>
      <c r="I23" s="4">
        <f>SUMIF('Đóng gói trong giờ'!$A$12:$A$123,'Tổng hợp trong giờ'!$A23,'Đóng gói trong giờ'!I$12:I$123)</f>
        <v>0</v>
      </c>
      <c r="J23" s="4">
        <f>SUMIF('Đóng gói trong giờ'!$A$12:$A$123,'Tổng hợp trong giờ'!$A23,'Đóng gói trong giờ'!J$12:J$123)</f>
        <v>75</v>
      </c>
      <c r="K23" s="4">
        <f>SUMIF('Đóng gói trong giờ'!$A$12:$A$123,'Tổng hợp trong giờ'!$A23,'Đóng gói trong giờ'!K$12:K$123)</f>
        <v>0</v>
      </c>
      <c r="L23" s="4">
        <f>SUMIF('Đóng gói trong giờ'!$A$12:$A$123,'Tổng hợp trong giờ'!$A23,'Đóng gói trong giờ'!L$12:L$123)</f>
        <v>150</v>
      </c>
      <c r="M23" s="4">
        <f>SUMIF('Đóng gói trong giờ'!$A$12:$A$123,'Tổng hợp trong giờ'!$A23,'Đóng gói trong giờ'!M$12:M$123)</f>
        <v>650</v>
      </c>
      <c r="N23" s="4">
        <f>SUMIF('Đóng gói trong giờ'!$A$12:$A$123,'Tổng hợp trong giờ'!$A23,'Đóng gói trong giờ'!N$12:N$123)</f>
        <v>0</v>
      </c>
      <c r="O23" s="4">
        <f>SUMIF('Đóng gói trong giờ'!$A$12:$A$123,'Tổng hợp trong giờ'!$A23,'Đóng gói trong giờ'!O$12:O$123)</f>
        <v>0</v>
      </c>
      <c r="P23" s="4">
        <f>SUMIF('Đóng gói trong giờ'!$A$12:$A$123,'Tổng hợp trong giờ'!$A23,'Đóng gói trong giờ'!P$12:P$123)</f>
        <v>0</v>
      </c>
      <c r="Q23" s="4">
        <f>SUMIF('Đóng gói trong giờ'!$A$12:$A$123,'Tổng hợp trong giờ'!$A23,'Đóng gói trong giờ'!Q$12:Q$123)</f>
        <v>0</v>
      </c>
      <c r="R23" s="4">
        <f>SUMIF('Đóng gói trong giờ'!$A$12:$A$123,'Tổng hợp trong giờ'!$A23,'Đóng gói trong giờ'!R$12:R$123)</f>
        <v>533.33333333333337</v>
      </c>
      <c r="S23" s="4">
        <f>SUMIF('Đóng gói trong giờ'!$A$12:$A$123,'Tổng hợp trong giờ'!$A23,'Đóng gói trong giờ'!S$12:S$123)</f>
        <v>0</v>
      </c>
      <c r="T23" s="4">
        <f>SUMIF('Đóng gói trong giờ'!$A$12:$A$123,'Tổng hợp trong giờ'!$A23,'Đóng gói trong giờ'!T$12:T$123)</f>
        <v>0</v>
      </c>
      <c r="U23" s="4">
        <f>SUMIF('Đóng gói trong giờ'!$A$12:$A$123,'Tổng hợp trong giờ'!$A23,'Đóng gói trong giờ'!U$12:U$123)</f>
        <v>0</v>
      </c>
      <c r="V23" s="4">
        <f>SUMIF('Đóng gói trong giờ'!$A$12:$A$123,'Tổng hợp trong giờ'!$A23,'Đóng gói trong giờ'!V$12:V$123)</f>
        <v>0</v>
      </c>
      <c r="W23" s="4">
        <f>SUMIF('Đóng gói trong giờ'!$A$12:$A$123,'Tổng hợp trong giờ'!$A23,'Đóng gói trong giờ'!W$12:W$123)</f>
        <v>0</v>
      </c>
      <c r="X23" s="4">
        <f>SUMIF('Đóng gói trong giờ'!$A$12:$A$123,'Tổng hợp trong giờ'!$A23,'Đóng gói trong giờ'!X$12:X$123)</f>
        <v>0</v>
      </c>
      <c r="Y23" s="4">
        <f>SUMIF('Đóng gói trong giờ'!$A$12:$A$123,'Tổng hợp trong giờ'!$A23,'Đóng gói trong giờ'!Y$12:Y$123)</f>
        <v>0</v>
      </c>
      <c r="Z23" s="4">
        <f>SUMIF('Đóng gói trong giờ'!$A$12:$A$123,'Tổng hợp trong giờ'!$A23,'Đóng gói trong giờ'!Z$12:Z$123)</f>
        <v>0</v>
      </c>
      <c r="AA23" s="4">
        <f>SUMIF('Đóng gói trong giờ'!$A$12:$A$123,'Tổng hợp trong giờ'!$A23,'Đóng gói trong giờ'!AA$12:AA$123)</f>
        <v>216.67333333333335</v>
      </c>
      <c r="AB23" s="4">
        <f>SUMIF('Đóng gói trong giờ'!$A$12:$A$123,'Tổng hợp trong giờ'!$A23,'Đóng gói trong giờ'!AB$12:AB$123)</f>
        <v>0</v>
      </c>
      <c r="AC23" s="4">
        <f>SUMIF('Đóng gói trong giờ'!$A$12:$A$123,'Tổng hợp trong giờ'!$A23,'Đóng gói trong giờ'!AC$12:AC$123)</f>
        <v>0</v>
      </c>
      <c r="AD23" s="4">
        <f>SUMIF('Đóng gói trong giờ'!$A$12:$A$123,'Tổng hợp trong giờ'!$A23,'Đóng gói trong giờ'!AD$12:AD$123)</f>
        <v>437.5</v>
      </c>
      <c r="AE23" s="4">
        <f>SUMIF('Đóng gói trong giờ'!$A$12:$A$123,'Tổng hợp trong giờ'!$A23,'Đóng gói trong giờ'!AE$12:AE$123)</f>
        <v>0</v>
      </c>
      <c r="AF23" s="4">
        <f>SUMIF('Đóng gói trong giờ'!$A$12:$A$123,'Tổng hợp trong giờ'!$A23,'Đóng gói trong giờ'!AF$12:AF$123)</f>
        <v>0</v>
      </c>
      <c r="AG23" s="4">
        <f>SUMIF('Đóng gói trong giờ'!$A$12:$A$123,'Tổng hợp trong giờ'!$A23,'Đóng gói trong giờ'!AG$12:AG$123)</f>
        <v>0</v>
      </c>
      <c r="AH23" s="4">
        <f>SUMIF('Đóng gói trong giờ'!$A$12:$A$123,'Tổng hợp trong giờ'!$A23,'Đóng gói trong giờ'!AH$12:AH$123)</f>
        <v>0</v>
      </c>
      <c r="AI23" s="4">
        <f>SUMIF('Đóng gói trong giờ'!$A$12:$A$123,'Tổng hợp trong giờ'!$A23,'Đóng gói trong giờ'!AI$12:AI$123)</f>
        <v>0</v>
      </c>
      <c r="AJ23" s="4">
        <f>SUMIF('Đóng gói trong giờ'!$A$12:$A$123,'Tổng hợp trong giờ'!$A23,'Đóng gói trong giờ'!AJ$12:AJ$123)</f>
        <v>0</v>
      </c>
      <c r="AK23" s="4">
        <f>SUMIF('Đóng gói trong giờ'!$A$12:$A$123,'Tổng hợp trong giờ'!$A23,'Đóng gói trong giờ'!AK$12:AK$123)</f>
        <v>0</v>
      </c>
      <c r="AL23" s="4">
        <f>SUMIF('Đóng gói trong giờ'!$A$12:$A$123,'Tổng hợp trong giờ'!$A23,'Đóng gói trong giờ'!AL$12:AL$123)</f>
        <v>0</v>
      </c>
      <c r="AM23" s="4">
        <f>SUMIF('Đóng gói trong giờ'!$A$12:$A$123,'Tổng hợp trong giờ'!$A23,'Đóng gói trong giờ'!AM$12:AM$123)</f>
        <v>83.33</v>
      </c>
      <c r="AN23" s="4">
        <f>SUMIF('Đóng gói trong giờ'!$A$12:$A$123,'Tổng hợp trong giờ'!$A23,'Đóng gói trong giờ'!AN$12:AN$123)</f>
        <v>0</v>
      </c>
      <c r="AO23" s="4">
        <f>SUMIF('Đóng gói trong giờ'!$A$12:$A$123,'Tổng hợp trong giờ'!$A23,'Đóng gói trong giờ'!AO$12:AO$123)</f>
        <v>0</v>
      </c>
      <c r="AP23" s="4">
        <f>SUMIF('Đóng gói trong giờ'!$A$12:$A$123,'Tổng hợp trong giờ'!$A23,'Đóng gói trong giờ'!AP$12:AP$123)</f>
        <v>0</v>
      </c>
      <c r="AQ23" s="4">
        <f>SUMIF('Đóng gói trong giờ'!$A$12:$A$123,'Tổng hợp trong giờ'!$A23,'Đóng gói trong giờ'!AQ$12:AQ$123)</f>
        <v>0</v>
      </c>
      <c r="AR23" s="4">
        <f>SUMIF('Đóng gói trong giờ'!$A$12:$A$123,'Tổng hợp trong giờ'!$A23,'Đóng gói trong giờ'!AR$12:AR$123)</f>
        <v>0</v>
      </c>
      <c r="AS23" s="4">
        <f>SUMIF('Đóng gói trong giờ'!$A$12:$A$123,'Tổng hợp trong giờ'!$A23,'Đóng gói trong giờ'!AS$12:AS$123)</f>
        <v>0</v>
      </c>
      <c r="AT23" s="4">
        <f>SUMIF('Đóng gói trong giờ'!$A$12:$A$123,'Tổng hợp trong giờ'!$A23,'Đóng gói trong giờ'!AT$12:AT$123)</f>
        <v>0</v>
      </c>
      <c r="AU23" s="4">
        <f>SUMIF('Đóng gói trong giờ'!$A$12:$A$123,'Tổng hợp trong giờ'!$A23,'Đóng gói trong giờ'!AU$12:AU$123)</f>
        <v>0</v>
      </c>
      <c r="AV23" s="4">
        <f>SUMIF('Đóng gói trong giờ'!$A$12:$A$123,'Tổng hợp trong giờ'!$A23,'Đóng gói trong giờ'!AV$12:AV$123)</f>
        <v>0</v>
      </c>
      <c r="AW23" s="4">
        <f>SUMIF('Đóng gói trong giờ'!$A$12:$A$123,'Tổng hợp trong giờ'!$A23,'Đóng gói trong giờ'!AW$12:AW$123)</f>
        <v>0</v>
      </c>
      <c r="AX23" s="4">
        <f>SUMIF('Đóng gói trong giờ'!$A$12:$A$123,'Tổng hợp trong giờ'!$A23,'Đóng gói trong giờ'!AX$12:AX$123)</f>
        <v>0</v>
      </c>
      <c r="AY23" s="4">
        <f>SUMIF('Đóng gói trong giờ'!$A$12:$A$123,'Tổng hợp trong giờ'!$A23,'Đóng gói trong giờ'!AY$12:AY$123)</f>
        <v>0</v>
      </c>
      <c r="AZ23" s="4">
        <f>SUMIF('Đóng gói trong giờ'!$A$12:$A$123,'Tổng hợp trong giờ'!$A23,'Đóng gói trong giờ'!AZ$12:AZ$123)</f>
        <v>0</v>
      </c>
      <c r="BA23" s="4">
        <f>SUMIF('Đóng gói trong giờ'!$A$12:$A$123,'Tổng hợp trong giờ'!$A23,'Đóng gói trong giờ'!BA$12:BA$123)</f>
        <v>0</v>
      </c>
      <c r="BB23" s="4">
        <f>SUMIF('Đóng gói trong giờ'!$A$12:$A$123,'Tổng hợp trong giờ'!$A23,'Đóng gói trong giờ'!BB$12:BB$123)</f>
        <v>0</v>
      </c>
      <c r="BC23" s="22">
        <f>SUMIF('Đóng gói trong giờ'!$A$12:$A$78,'Tổng hợp trong giờ'!$A23,'Đóng gói trong giờ'!BC$12:BC$78)</f>
        <v>0</v>
      </c>
      <c r="BD23" s="119">
        <f>SUMIF('Bốc hàng trong giờ new'!$H$13:$H$3398,'Tổng hợp trong giờ'!A23,'Bốc hàng trong giờ new'!$J$13:$J$3398)</f>
        <v>0</v>
      </c>
      <c r="BE23" s="22">
        <f>SUMIF('Đóng gói trong giờ'!$A$12:$A$78,'Tổng hợp trong giờ'!$A23,'Đóng gói trong giờ'!BE$12:BE$78)</f>
        <v>29.5</v>
      </c>
      <c r="BF23" s="4">
        <f>SUMIF('Đóng gói trong giờ'!$A$12:$A$123,'Tổng hợp trong giờ'!$A23,'Đóng gói trong giờ'!BD$12:BD$123)</f>
        <v>0</v>
      </c>
      <c r="BG23" s="4">
        <f>SUMIF('Đóng gói trong giờ'!$A$12:$A$123,'Tổng hợp trong giờ'!$A23,'Đóng gói trong giờ'!BE$12:BE$123)</f>
        <v>29.5</v>
      </c>
      <c r="BH23" s="4">
        <f>SUMIF('Đóng gói trong giờ'!$A$12:$A$123,'Tổng hợp trong giờ'!$A23,'Đóng gói trong giờ'!BF$12:BF$123)</f>
        <v>0</v>
      </c>
      <c r="BI23" s="4">
        <f>SUMIF('Đóng gói trong giờ'!$A$12:$A$123,'Tổng hợp trong giờ'!$A23,'Đóng gói trong giờ'!BG$12:BG$123)</f>
        <v>0</v>
      </c>
      <c r="BJ23" s="4">
        <f>SUMIF('Đóng gói trong giờ'!$A$12:$A$123,'Tổng hợp trong giờ'!$A23,'Đóng gói trong giờ'!BH$12:BH$123)</f>
        <v>0</v>
      </c>
      <c r="BK23" s="4">
        <f>SUMIF('Đóng gói trong giờ'!$A$12:$A$123,'Tổng hợp trong giờ'!$A23,'Đóng gói trong giờ'!BI$12:BI$123)</f>
        <v>0</v>
      </c>
      <c r="BL23" s="4">
        <f>SUMIF('Đóng gói trong giờ'!$A$12:$A$123,'Tổng hợp trong giờ'!$A23,'Đóng gói trong giờ'!BJ$12:BJ$123)</f>
        <v>0</v>
      </c>
      <c r="BM23" s="4">
        <f>SUMIF('Đóng gói trong giờ'!$A$12:$A$123,'Tổng hợp trong giờ'!$A23,'Đóng gói trong giờ'!BK$12:BK$123)</f>
        <v>0</v>
      </c>
      <c r="BN23" s="4">
        <f>SUMIF('Đóng gói trong giờ'!$A$12:$A$123,'Tổng hợp trong giờ'!$A23,'Đóng gói trong giờ'!BL$12:BL$123)</f>
        <v>25.5</v>
      </c>
      <c r="BO23" s="4">
        <f>SUMIF('Đóng gói trong giờ'!$A$12:$A$123,'Tổng hợp trong giờ'!$A23,'Đóng gói trong giờ'!BM$12:BM$123)</f>
        <v>0</v>
      </c>
      <c r="BP23" s="4">
        <f>SUMIF('Đóng gói trong giờ'!$A$12:$A$123,'Tổng hợp trong giờ'!$A23,'Đóng gói trong giờ'!BN$12:BN$123)</f>
        <v>0</v>
      </c>
      <c r="BQ23" s="4">
        <f>SUMIF('Đóng gói trong giờ'!$A$12:$A$123,'Tổng hợp trong giờ'!$A23,'Đóng gói trong giờ'!BO$12:BO$123)</f>
        <v>0</v>
      </c>
      <c r="BR23" s="4">
        <f>SUMIF('Đóng gói trong giờ'!$A$12:$A$123,'Tổng hợp trong giờ'!$A23,'Đóng gói trong giờ'!BP$12:BP$123)</f>
        <v>0</v>
      </c>
      <c r="BS23" s="4">
        <f>SUMIF('Đóng gói trong giờ'!$A$12:$A$123,'Tổng hợp trong giờ'!$A23,'Đóng gói trong giờ'!BQ$12:BQ$123)</f>
        <v>0</v>
      </c>
      <c r="BT23" s="4">
        <f>SUMIF('Đóng gói trong giờ'!$A$12:$A$123,'Tổng hợp trong giờ'!$A23,'Đóng gói trong giờ'!BR$12:BR$123)</f>
        <v>0</v>
      </c>
      <c r="BU23" s="169">
        <f t="shared" si="1"/>
        <v>55</v>
      </c>
      <c r="BV23" s="168">
        <f t="shared" si="2"/>
        <v>2028451.0010537407</v>
      </c>
      <c r="BW23" s="168">
        <f t="shared" si="3"/>
        <v>12232500.641869737</v>
      </c>
      <c r="BX23" s="4">
        <f ca="1">VLOOKUP(A23,'Tổng hợp ngoài giờ'!$A$15:$BW$41,75,0)</f>
        <v>1888339.9863476977</v>
      </c>
      <c r="BY23" s="10">
        <f t="shared" ca="1" si="4"/>
        <v>14120840.628217435</v>
      </c>
      <c r="BZ23" s="96">
        <f>IF(ISNA(VLOOKUP(A23,' Bang luong'!$A$13:$M$59,11,0)),0,VLOOKUP(A23,' Bang luong'!$A$13:$M$59,11,0))</f>
        <v>26</v>
      </c>
      <c r="CA23" s="4">
        <f t="shared" si="5"/>
        <v>7000000</v>
      </c>
      <c r="CB23" s="14">
        <f t="shared" ca="1" si="6"/>
        <v>1.7475000916956767</v>
      </c>
      <c r="CF23" s="7"/>
      <c r="CG23" s="7"/>
      <c r="CH23" s="7"/>
      <c r="CI23" s="7"/>
      <c r="CQ23" s="9">
        <v>12</v>
      </c>
    </row>
    <row r="24" spans="1:95" ht="15.75" x14ac:dyDescent="0.25">
      <c r="A24" s="224" t="s">
        <v>112</v>
      </c>
      <c r="B24" s="2" t="str">
        <f>VLOOKUP(A24,'Mã NV'!$A$1:$C$27,2,0)</f>
        <v>Lê Hiệp</v>
      </c>
      <c r="C24" s="22"/>
      <c r="D24" s="4">
        <f>SUMIF('Đóng gói trong giờ'!$A$12:$A$123,'Tổng hợp trong giờ'!$A24,'Đóng gói trong giờ'!D$12:D$123)</f>
        <v>860</v>
      </c>
      <c r="E24" s="4">
        <f>SUMIF('Đóng gói trong giờ'!$A$12:$A$123,'Tổng hợp trong giờ'!$A24,'Đóng gói trong giờ'!E$12:E$123)</f>
        <v>6400</v>
      </c>
      <c r="F24" s="4">
        <f>SUMIF('Đóng gói trong giờ'!$A$12:$A$123,'Tổng hợp trong giờ'!$A24,'Đóng gói trong giờ'!F$12:F$123)</f>
        <v>3543.3266666666668</v>
      </c>
      <c r="G24" s="4">
        <f>SUMIF('Đóng gói trong giờ'!$A$12:$A$123,'Tổng hợp trong giờ'!$A24,'Đóng gói trong giờ'!G$12:G$123)</f>
        <v>0</v>
      </c>
      <c r="H24" s="4">
        <f>SUMIF('Đóng gói trong giờ'!$A$12:$A$123,'Tổng hợp trong giờ'!$A24,'Đóng gói trong giờ'!H$12:H$123)</f>
        <v>450</v>
      </c>
      <c r="I24" s="4">
        <f>SUMIF('Đóng gói trong giờ'!$A$12:$A$123,'Tổng hợp trong giờ'!$A24,'Đóng gói trong giờ'!I$12:I$123)</f>
        <v>0</v>
      </c>
      <c r="J24" s="4">
        <f>SUMIF('Đóng gói trong giờ'!$A$12:$A$123,'Tổng hợp trong giờ'!$A24,'Đóng gói trong giờ'!J$12:J$123)</f>
        <v>300</v>
      </c>
      <c r="K24" s="4">
        <f>SUMIF('Đóng gói trong giờ'!$A$12:$A$123,'Tổng hợp trong giờ'!$A24,'Đóng gói trong giờ'!K$12:K$123)</f>
        <v>0</v>
      </c>
      <c r="L24" s="4">
        <f>SUMIF('Đóng gói trong giờ'!$A$12:$A$123,'Tổng hợp trong giờ'!$A24,'Đóng gói trong giờ'!L$12:L$123)</f>
        <v>0</v>
      </c>
      <c r="M24" s="4">
        <f>SUMIF('Đóng gói trong giờ'!$A$12:$A$123,'Tổng hợp trong giờ'!$A24,'Đóng gói trong giờ'!M$12:M$123)</f>
        <v>450</v>
      </c>
      <c r="N24" s="4">
        <f>SUMIF('Đóng gói trong giờ'!$A$12:$A$123,'Tổng hợp trong giờ'!$A24,'Đóng gói trong giờ'!N$12:N$123)</f>
        <v>0</v>
      </c>
      <c r="O24" s="4">
        <f>SUMIF('Đóng gói trong giờ'!$A$12:$A$123,'Tổng hợp trong giờ'!$A24,'Đóng gói trong giờ'!O$12:O$123)</f>
        <v>0</v>
      </c>
      <c r="P24" s="4">
        <f>SUMIF('Đóng gói trong giờ'!$A$12:$A$123,'Tổng hợp trong giờ'!$A24,'Đóng gói trong giờ'!P$12:P$123)</f>
        <v>425</v>
      </c>
      <c r="Q24" s="4">
        <f>SUMIF('Đóng gói trong giờ'!$A$12:$A$123,'Tổng hợp trong giờ'!$A24,'Đóng gói trong giờ'!Q$12:Q$123)</f>
        <v>0</v>
      </c>
      <c r="R24" s="4">
        <f>SUMIF('Đóng gói trong giờ'!$A$12:$A$123,'Tổng hợp trong giờ'!$A24,'Đóng gói trong giờ'!R$12:R$123)</f>
        <v>0</v>
      </c>
      <c r="S24" s="4">
        <f>SUMIF('Đóng gói trong giờ'!$A$12:$A$123,'Tổng hợp trong giờ'!$A24,'Đóng gói trong giờ'!S$12:S$123)</f>
        <v>0</v>
      </c>
      <c r="T24" s="4">
        <f>SUMIF('Đóng gói trong giờ'!$A$12:$A$123,'Tổng hợp trong giờ'!$A24,'Đóng gói trong giờ'!T$12:T$123)</f>
        <v>0</v>
      </c>
      <c r="U24" s="4">
        <f>SUMIF('Đóng gói trong giờ'!$A$12:$A$123,'Tổng hợp trong giờ'!$A24,'Đóng gói trong giờ'!U$12:U$123)</f>
        <v>0</v>
      </c>
      <c r="V24" s="4">
        <f>SUMIF('Đóng gói trong giờ'!$A$12:$A$123,'Tổng hợp trong giờ'!$A24,'Đóng gói trong giờ'!V$12:V$123)</f>
        <v>0</v>
      </c>
      <c r="W24" s="4">
        <f>SUMIF('Đóng gói trong giờ'!$A$12:$A$123,'Tổng hợp trong giờ'!$A24,'Đóng gói trong giờ'!W$12:W$123)</f>
        <v>0</v>
      </c>
      <c r="X24" s="4">
        <f>SUMIF('Đóng gói trong giờ'!$A$12:$A$123,'Tổng hợp trong giờ'!$A24,'Đóng gói trong giờ'!X$12:X$123)</f>
        <v>0</v>
      </c>
      <c r="Y24" s="4">
        <f>SUMIF('Đóng gói trong giờ'!$A$12:$A$123,'Tổng hợp trong giờ'!$A24,'Đóng gói trong giờ'!Y$12:Y$123)</f>
        <v>0</v>
      </c>
      <c r="Z24" s="4">
        <f>SUMIF('Đóng gói trong giờ'!$A$12:$A$123,'Tổng hợp trong giờ'!$A24,'Đóng gói trong giờ'!Z$12:Z$123)</f>
        <v>0</v>
      </c>
      <c r="AA24" s="4">
        <f>SUMIF('Đóng gói trong giờ'!$A$12:$A$123,'Tổng hợp trong giờ'!$A24,'Đóng gói trong giờ'!AA$12:AA$123)</f>
        <v>150.00333333333333</v>
      </c>
      <c r="AB24" s="4">
        <f>SUMIF('Đóng gói trong giờ'!$A$12:$A$123,'Tổng hợp trong giờ'!$A24,'Đóng gói trong giờ'!AB$12:AB$123)</f>
        <v>0</v>
      </c>
      <c r="AC24" s="4">
        <f>SUMIF('Đóng gói trong giờ'!$A$12:$A$123,'Tổng hợp trong giờ'!$A24,'Đóng gói trong giờ'!AC$12:AC$123)</f>
        <v>0</v>
      </c>
      <c r="AD24" s="4">
        <f>SUMIF('Đóng gói trong giờ'!$A$12:$A$123,'Tổng hợp trong giờ'!$A24,'Đóng gói trong giờ'!AD$12:AD$123)</f>
        <v>0</v>
      </c>
      <c r="AE24" s="4">
        <f>SUMIF('Đóng gói trong giờ'!$A$12:$A$123,'Tổng hợp trong giờ'!$A24,'Đóng gói trong giờ'!AE$12:AE$123)</f>
        <v>0</v>
      </c>
      <c r="AF24" s="4">
        <f>SUMIF('Đóng gói trong giờ'!$A$12:$A$123,'Tổng hợp trong giờ'!$A24,'Đóng gói trong giờ'!AF$12:AF$123)</f>
        <v>0</v>
      </c>
      <c r="AG24" s="4">
        <f>SUMIF('Đóng gói trong giờ'!$A$12:$A$123,'Tổng hợp trong giờ'!$A24,'Đóng gói trong giờ'!AG$12:AG$123)</f>
        <v>0</v>
      </c>
      <c r="AH24" s="4">
        <f>SUMIF('Đóng gói trong giờ'!$A$12:$A$123,'Tổng hợp trong giờ'!$A24,'Đóng gói trong giờ'!AH$12:AH$123)</f>
        <v>0</v>
      </c>
      <c r="AI24" s="4">
        <f>SUMIF('Đóng gói trong giờ'!$A$12:$A$123,'Tổng hợp trong giờ'!$A24,'Đóng gói trong giờ'!AI$12:AI$123)</f>
        <v>0</v>
      </c>
      <c r="AJ24" s="4">
        <f>SUMIF('Đóng gói trong giờ'!$A$12:$A$123,'Tổng hợp trong giờ'!$A24,'Đóng gói trong giờ'!AJ$12:AJ$123)</f>
        <v>2.5</v>
      </c>
      <c r="AK24" s="4">
        <f>SUMIF('Đóng gói trong giờ'!$A$12:$A$123,'Tổng hợp trong giờ'!$A24,'Đóng gói trong giờ'!AK$12:AK$123)</f>
        <v>75</v>
      </c>
      <c r="AL24" s="4">
        <f>SUMIF('Đóng gói trong giờ'!$A$12:$A$123,'Tổng hợp trong giờ'!$A24,'Đóng gói trong giờ'!AL$12:AL$123)</f>
        <v>0</v>
      </c>
      <c r="AM24" s="4">
        <f>SUMIF('Đóng gói trong giờ'!$A$12:$A$123,'Tổng hợp trong giờ'!$A24,'Đóng gói trong giờ'!AM$12:AM$123)</f>
        <v>33.33</v>
      </c>
      <c r="AN24" s="4">
        <f>SUMIF('Đóng gói trong giờ'!$A$12:$A$123,'Tổng hợp trong giờ'!$A24,'Đóng gói trong giờ'!AN$12:AN$123)</f>
        <v>0</v>
      </c>
      <c r="AO24" s="4">
        <f>SUMIF('Đóng gói trong giờ'!$A$12:$A$123,'Tổng hợp trong giờ'!$A24,'Đóng gói trong giờ'!AO$12:AO$123)</f>
        <v>0</v>
      </c>
      <c r="AP24" s="4">
        <f>SUMIF('Đóng gói trong giờ'!$A$12:$A$123,'Tổng hợp trong giờ'!$A24,'Đóng gói trong giờ'!AP$12:AP$123)</f>
        <v>0</v>
      </c>
      <c r="AQ24" s="4">
        <f>SUMIF('Đóng gói trong giờ'!$A$12:$A$123,'Tổng hợp trong giờ'!$A24,'Đóng gói trong giờ'!AQ$12:AQ$123)</f>
        <v>0</v>
      </c>
      <c r="AR24" s="4">
        <f>SUMIF('Đóng gói trong giờ'!$A$12:$A$123,'Tổng hợp trong giờ'!$A24,'Đóng gói trong giờ'!AR$12:AR$123)</f>
        <v>0</v>
      </c>
      <c r="AS24" s="4">
        <f>SUMIF('Đóng gói trong giờ'!$A$12:$A$123,'Tổng hợp trong giờ'!$A24,'Đóng gói trong giờ'!AS$12:AS$123)</f>
        <v>0</v>
      </c>
      <c r="AT24" s="4">
        <f>SUMIF('Đóng gói trong giờ'!$A$12:$A$123,'Tổng hợp trong giờ'!$A24,'Đóng gói trong giờ'!AT$12:AT$123)</f>
        <v>0</v>
      </c>
      <c r="AU24" s="4">
        <f>SUMIF('Đóng gói trong giờ'!$A$12:$A$123,'Tổng hợp trong giờ'!$A24,'Đóng gói trong giờ'!AU$12:AU$123)</f>
        <v>0</v>
      </c>
      <c r="AV24" s="4">
        <f>SUMIF('Đóng gói trong giờ'!$A$12:$A$123,'Tổng hợp trong giờ'!$A24,'Đóng gói trong giờ'!AV$12:AV$123)</f>
        <v>0</v>
      </c>
      <c r="AW24" s="4">
        <f>SUMIF('Đóng gói trong giờ'!$A$12:$A$123,'Tổng hợp trong giờ'!$A24,'Đóng gói trong giờ'!AW$12:AW$123)</f>
        <v>0</v>
      </c>
      <c r="AX24" s="4">
        <f>SUMIF('Đóng gói trong giờ'!$A$12:$A$123,'Tổng hợp trong giờ'!$A24,'Đóng gói trong giờ'!AX$12:AX$123)</f>
        <v>0</v>
      </c>
      <c r="AY24" s="4">
        <f>SUMIF('Đóng gói trong giờ'!$A$12:$A$123,'Tổng hợp trong giờ'!$A24,'Đóng gói trong giờ'!AY$12:AY$123)</f>
        <v>0</v>
      </c>
      <c r="AZ24" s="4">
        <f>SUMIF('Đóng gói trong giờ'!$A$12:$A$123,'Tổng hợp trong giờ'!$A24,'Đóng gói trong giờ'!AZ$12:AZ$123)</f>
        <v>0</v>
      </c>
      <c r="BA24" s="4">
        <f>SUMIF('Đóng gói trong giờ'!$A$12:$A$123,'Tổng hợp trong giờ'!$A24,'Đóng gói trong giờ'!BA$12:BA$123)</f>
        <v>0</v>
      </c>
      <c r="BB24" s="4">
        <f>SUMIF('Đóng gói trong giờ'!$A$12:$A$123,'Tổng hợp trong giờ'!$A24,'Đóng gói trong giờ'!BB$12:BB$123)</f>
        <v>0</v>
      </c>
      <c r="BC24" s="22">
        <f>SUMIF('Đóng gói trong giờ'!$A$12:$A$78,'Tổng hợp trong giờ'!$A24,'Đóng gói trong giờ'!BC$12:BC$78)</f>
        <v>0</v>
      </c>
      <c r="BD24" s="119">
        <f>SUMIF('Bốc hàng trong giờ new'!$H$13:$H$3398,'Tổng hợp trong giờ'!A24,'Bốc hàng trong giờ new'!$J$13:$J$3398)</f>
        <v>0</v>
      </c>
      <c r="BE24" s="22">
        <f>SUMIF('Đóng gói trong giờ'!$A$12:$A$78,'Tổng hợp trong giờ'!$A24,'Đóng gói trong giờ'!BE$12:BE$78)</f>
        <v>36.5</v>
      </c>
      <c r="BF24" s="4">
        <f>SUMIF('Đóng gói trong giờ'!$A$12:$A$123,'Tổng hợp trong giờ'!$A24,'Đóng gói trong giờ'!BD$12:BD$123)</f>
        <v>0</v>
      </c>
      <c r="BG24" s="4">
        <f>SUMIF('Đóng gói trong giờ'!$A$12:$A$123,'Tổng hợp trong giờ'!$A24,'Đóng gói trong giờ'!BE$12:BE$123)</f>
        <v>36.5</v>
      </c>
      <c r="BH24" s="4">
        <f>SUMIF('Đóng gói trong giờ'!$A$12:$A$123,'Tổng hợp trong giờ'!$A24,'Đóng gói trong giờ'!BF$12:BF$123)</f>
        <v>0</v>
      </c>
      <c r="BI24" s="4">
        <f>SUMIF('Đóng gói trong giờ'!$A$12:$A$123,'Tổng hợp trong giờ'!$A24,'Đóng gói trong giờ'!BG$12:BG$123)</f>
        <v>0</v>
      </c>
      <c r="BJ24" s="4">
        <f>SUMIF('Đóng gói trong giờ'!$A$12:$A$123,'Tổng hợp trong giờ'!$A24,'Đóng gói trong giờ'!BH$12:BH$123)</f>
        <v>0</v>
      </c>
      <c r="BK24" s="4">
        <f>SUMIF('Đóng gói trong giờ'!$A$12:$A$123,'Tổng hợp trong giờ'!$A24,'Đóng gói trong giờ'!BI$12:BI$123)</f>
        <v>0</v>
      </c>
      <c r="BL24" s="4">
        <f>SUMIF('Đóng gói trong giờ'!$A$12:$A$123,'Tổng hợp trong giờ'!$A24,'Đóng gói trong giờ'!BJ$12:BJ$123)</f>
        <v>0</v>
      </c>
      <c r="BM24" s="4">
        <f>SUMIF('Đóng gói trong giờ'!$A$12:$A$123,'Tổng hợp trong giờ'!$A24,'Đóng gói trong giờ'!BK$12:BK$123)</f>
        <v>0</v>
      </c>
      <c r="BN24" s="4">
        <f>SUMIF('Đóng gói trong giờ'!$A$12:$A$123,'Tổng hợp trong giờ'!$A24,'Đóng gói trong giờ'!BL$12:BL$123)</f>
        <v>25.5</v>
      </c>
      <c r="BO24" s="4">
        <f>SUMIF('Đóng gói trong giờ'!$A$12:$A$123,'Tổng hợp trong giờ'!$A24,'Đóng gói trong giờ'!BM$12:BM$123)</f>
        <v>0</v>
      </c>
      <c r="BP24" s="4">
        <f>SUMIF('Đóng gói trong giờ'!$A$12:$A$123,'Tổng hợp trong giờ'!$A24,'Đóng gói trong giờ'!BN$12:BN$123)</f>
        <v>4</v>
      </c>
      <c r="BQ24" s="4">
        <f>SUMIF('Đóng gói trong giờ'!$A$12:$A$123,'Tổng hợp trong giờ'!$A24,'Đóng gói trong giờ'!BO$12:BO$123)</f>
        <v>0</v>
      </c>
      <c r="BR24" s="4">
        <f>SUMIF('Đóng gói trong giờ'!$A$12:$A$123,'Tổng hợp trong giờ'!$A24,'Đóng gói trong giờ'!BP$12:BP$123)</f>
        <v>0</v>
      </c>
      <c r="BS24" s="4">
        <f>SUMIF('Đóng gói trong giờ'!$A$12:$A$123,'Tổng hợp trong giờ'!$A24,'Đóng gói trong giờ'!BQ$12:BQ$123)</f>
        <v>0</v>
      </c>
      <c r="BT24" s="4">
        <f>SUMIF('Đóng gói trong giờ'!$A$12:$A$123,'Tổng hợp trong giờ'!$A24,'Đóng gói trong giờ'!BR$12:BR$123)</f>
        <v>0</v>
      </c>
      <c r="BU24" s="169">
        <f t="shared" si="1"/>
        <v>66</v>
      </c>
      <c r="BV24" s="168">
        <f t="shared" si="2"/>
        <v>2434141.201264489</v>
      </c>
      <c r="BW24" s="168">
        <f t="shared" si="3"/>
        <v>12271406.375577591</v>
      </c>
      <c r="BX24" s="4">
        <f ca="1">VLOOKUP(A24,'Tổng hợp ngoài giờ'!$A$15:$BW$41,75,0)</f>
        <v>1238903.8910456207</v>
      </c>
      <c r="BY24" s="10">
        <f t="shared" ca="1" si="4"/>
        <v>13510310.266623212</v>
      </c>
      <c r="BZ24" s="96">
        <f>IF(ISNA(VLOOKUP(A24,' Bang luong'!$A$13:$M$59,11,0)),0,VLOOKUP(A24,' Bang luong'!$A$13:$M$59,11,0))</f>
        <v>26</v>
      </c>
      <c r="CA24" s="4">
        <f t="shared" si="5"/>
        <v>7000000</v>
      </c>
      <c r="CB24" s="14">
        <f t="shared" ca="1" si="6"/>
        <v>1.7530580536539415</v>
      </c>
      <c r="CF24" s="7"/>
      <c r="CG24" s="7"/>
      <c r="CH24" s="7"/>
      <c r="CI24" s="7"/>
      <c r="CQ24" s="9">
        <v>13</v>
      </c>
    </row>
    <row r="25" spans="1:95" ht="15.75" x14ac:dyDescent="0.25">
      <c r="A25" s="224" t="s">
        <v>113</v>
      </c>
      <c r="B25" s="2" t="str">
        <f>VLOOKUP(A25,'Mã NV'!$A$1:$C$27,2,0)</f>
        <v>Lê Văn Bi</v>
      </c>
      <c r="C25" s="22"/>
      <c r="D25" s="4">
        <f>SUMIF('Đóng gói trong giờ'!$A$12:$A$123,'Tổng hợp trong giờ'!$A25,'Đóng gói trong giờ'!D$12:D$123)</f>
        <v>855</v>
      </c>
      <c r="E25" s="4">
        <f>SUMIF('Đóng gói trong giờ'!$A$12:$A$123,'Tổng hợp trong giờ'!$A25,'Đóng gói trong giờ'!E$12:E$123)</f>
        <v>8175</v>
      </c>
      <c r="F25" s="4">
        <f>SUMIF('Đóng gói trong giờ'!$A$12:$A$123,'Tổng hợp trong giờ'!$A25,'Đóng gói trong giờ'!F$12:F$123)</f>
        <v>3166.67</v>
      </c>
      <c r="G25" s="4">
        <f>SUMIF('Đóng gói trong giờ'!$A$12:$A$123,'Tổng hợp trong giờ'!$A25,'Đóng gói trong giờ'!G$12:G$123)</f>
        <v>0</v>
      </c>
      <c r="H25" s="4">
        <f>SUMIF('Đóng gói trong giờ'!$A$12:$A$123,'Tổng hợp trong giờ'!$A25,'Đóng gói trong giờ'!H$12:H$123)</f>
        <v>325</v>
      </c>
      <c r="I25" s="4">
        <f>SUMIF('Đóng gói trong giờ'!$A$12:$A$123,'Tổng hợp trong giờ'!$A25,'Đóng gói trong giờ'!I$12:I$123)</f>
        <v>0</v>
      </c>
      <c r="J25" s="4">
        <f>SUMIF('Đóng gói trong giờ'!$A$12:$A$123,'Tổng hợp trong giờ'!$A25,'Đóng gói trong giờ'!J$12:J$123)</f>
        <v>325</v>
      </c>
      <c r="K25" s="4">
        <f>SUMIF('Đóng gói trong giờ'!$A$12:$A$123,'Tổng hợp trong giờ'!$A25,'Đóng gói trong giờ'!K$12:K$123)</f>
        <v>0</v>
      </c>
      <c r="L25" s="4">
        <f>SUMIF('Đóng gói trong giờ'!$A$12:$A$123,'Tổng hợp trong giờ'!$A25,'Đóng gói trong giờ'!L$12:L$123)</f>
        <v>0</v>
      </c>
      <c r="M25" s="4">
        <f>SUMIF('Đóng gói trong giờ'!$A$12:$A$123,'Tổng hợp trong giờ'!$A25,'Đóng gói trong giờ'!M$12:M$123)</f>
        <v>325</v>
      </c>
      <c r="N25" s="4">
        <f>SUMIF('Đóng gói trong giờ'!$A$12:$A$123,'Tổng hợp trong giờ'!$A25,'Đóng gói trong giờ'!N$12:N$123)</f>
        <v>0</v>
      </c>
      <c r="O25" s="4">
        <f>SUMIF('Đóng gói trong giờ'!$A$12:$A$123,'Tổng hợp trong giờ'!$A25,'Đóng gói trong giờ'!O$12:O$123)</f>
        <v>0</v>
      </c>
      <c r="P25" s="4">
        <f>SUMIF('Đóng gói trong giờ'!$A$12:$A$123,'Tổng hợp trong giờ'!$A25,'Đóng gói trong giờ'!P$12:P$123)</f>
        <v>0</v>
      </c>
      <c r="Q25" s="4">
        <f>SUMIF('Đóng gói trong giờ'!$A$12:$A$123,'Tổng hợp trong giờ'!$A25,'Đóng gói trong giờ'!Q$12:Q$123)</f>
        <v>650</v>
      </c>
      <c r="R25" s="4">
        <f>SUMIF('Đóng gói trong giờ'!$A$12:$A$123,'Tổng hợp trong giờ'!$A25,'Đóng gói trong giờ'!R$12:R$123)</f>
        <v>0</v>
      </c>
      <c r="S25" s="4">
        <f>SUMIF('Đóng gói trong giờ'!$A$12:$A$123,'Tổng hợp trong giờ'!$A25,'Đóng gói trong giờ'!S$12:S$123)</f>
        <v>0</v>
      </c>
      <c r="T25" s="4">
        <f>SUMIF('Đóng gói trong giờ'!$A$12:$A$123,'Tổng hợp trong giờ'!$A25,'Đóng gói trong giờ'!T$12:T$123)</f>
        <v>0</v>
      </c>
      <c r="U25" s="4">
        <f>SUMIF('Đóng gói trong giờ'!$A$12:$A$123,'Tổng hợp trong giờ'!$A25,'Đóng gói trong giờ'!U$12:U$123)</f>
        <v>0</v>
      </c>
      <c r="V25" s="4">
        <f>SUMIF('Đóng gói trong giờ'!$A$12:$A$123,'Tổng hợp trong giờ'!$A25,'Đóng gói trong giờ'!V$12:V$123)</f>
        <v>0</v>
      </c>
      <c r="W25" s="4">
        <f>SUMIF('Đóng gói trong giờ'!$A$12:$A$123,'Tổng hợp trong giờ'!$A25,'Đóng gói trong giờ'!W$12:W$123)</f>
        <v>0</v>
      </c>
      <c r="X25" s="4">
        <f>SUMIF('Đóng gói trong giờ'!$A$12:$A$123,'Tổng hợp trong giờ'!$A25,'Đóng gói trong giờ'!X$12:X$123)</f>
        <v>0</v>
      </c>
      <c r="Y25" s="4">
        <f>SUMIF('Đóng gói trong giờ'!$A$12:$A$123,'Tổng hợp trong giờ'!$A25,'Đóng gói trong giờ'!Y$12:Y$123)</f>
        <v>0</v>
      </c>
      <c r="Z25" s="4">
        <f>SUMIF('Đóng gói trong giờ'!$A$12:$A$123,'Tổng hợp trong giờ'!$A25,'Đóng gói trong giờ'!Z$12:Z$123)</f>
        <v>0</v>
      </c>
      <c r="AA25" s="4">
        <f>SUMIF('Đóng gói trong giờ'!$A$12:$A$123,'Tổng hợp trong giờ'!$A25,'Đóng gói trong giờ'!AA$12:AA$123)</f>
        <v>163.33333333333331</v>
      </c>
      <c r="AB25" s="4">
        <f>SUMIF('Đóng gói trong giờ'!$A$12:$A$123,'Tổng hợp trong giờ'!$A25,'Đóng gói trong giờ'!AB$12:AB$123)</f>
        <v>0</v>
      </c>
      <c r="AC25" s="4">
        <f>SUMIF('Đóng gói trong giờ'!$A$12:$A$123,'Tổng hợp trong giờ'!$A25,'Đóng gói trong giờ'!AC$12:AC$123)</f>
        <v>0</v>
      </c>
      <c r="AD25" s="4">
        <f>SUMIF('Đóng gói trong giờ'!$A$12:$A$123,'Tổng hợp trong giờ'!$A25,'Đóng gói trong giờ'!AD$12:AD$123)</f>
        <v>375</v>
      </c>
      <c r="AE25" s="4">
        <f>SUMIF('Đóng gói trong giờ'!$A$12:$A$123,'Tổng hợp trong giờ'!$A25,'Đóng gói trong giờ'!AE$12:AE$123)</f>
        <v>0</v>
      </c>
      <c r="AF25" s="4">
        <f>SUMIF('Đóng gói trong giờ'!$A$12:$A$123,'Tổng hợp trong giờ'!$A25,'Đóng gói trong giờ'!AF$12:AF$123)</f>
        <v>0</v>
      </c>
      <c r="AG25" s="4">
        <f>SUMIF('Đóng gói trong giờ'!$A$12:$A$123,'Tổng hợp trong giờ'!$A25,'Đóng gói trong giờ'!AG$12:AG$123)</f>
        <v>0</v>
      </c>
      <c r="AH25" s="4">
        <f>SUMIF('Đóng gói trong giờ'!$A$12:$A$123,'Tổng hợp trong giờ'!$A25,'Đóng gói trong giờ'!AH$12:AH$123)</f>
        <v>0</v>
      </c>
      <c r="AI25" s="4">
        <f>SUMIF('Đóng gói trong giờ'!$A$12:$A$123,'Tổng hợp trong giờ'!$A25,'Đóng gói trong giờ'!AI$12:AI$123)</f>
        <v>0</v>
      </c>
      <c r="AJ25" s="4">
        <f>SUMIF('Đóng gói trong giờ'!$A$12:$A$123,'Tổng hợp trong giờ'!$A25,'Đóng gói trong giờ'!AJ$12:AJ$123)</f>
        <v>0</v>
      </c>
      <c r="AK25" s="4">
        <f>SUMIF('Đóng gói trong giờ'!$A$12:$A$123,'Tổng hợp trong giờ'!$A25,'Đóng gói trong giờ'!AK$12:AK$123)</f>
        <v>0</v>
      </c>
      <c r="AL25" s="4">
        <f>SUMIF('Đóng gói trong giờ'!$A$12:$A$123,'Tổng hợp trong giờ'!$A25,'Đóng gói trong giờ'!AL$12:AL$123)</f>
        <v>0</v>
      </c>
      <c r="AM25" s="4">
        <f>SUMIF('Đóng gói trong giờ'!$A$12:$A$123,'Tổng hợp trong giờ'!$A25,'Đóng gói trong giờ'!AM$12:AM$123)</f>
        <v>8.33</v>
      </c>
      <c r="AN25" s="4">
        <f>SUMIF('Đóng gói trong giờ'!$A$12:$A$123,'Tổng hợp trong giờ'!$A25,'Đóng gói trong giờ'!AN$12:AN$123)</f>
        <v>0</v>
      </c>
      <c r="AO25" s="4">
        <f>SUMIF('Đóng gói trong giờ'!$A$12:$A$123,'Tổng hợp trong giờ'!$A25,'Đóng gói trong giờ'!AO$12:AO$123)</f>
        <v>0</v>
      </c>
      <c r="AP25" s="4">
        <f>SUMIF('Đóng gói trong giờ'!$A$12:$A$123,'Tổng hợp trong giờ'!$A25,'Đóng gói trong giờ'!AP$12:AP$123)</f>
        <v>0</v>
      </c>
      <c r="AQ25" s="4">
        <f>SUMIF('Đóng gói trong giờ'!$A$12:$A$123,'Tổng hợp trong giờ'!$A25,'Đóng gói trong giờ'!AQ$12:AQ$123)</f>
        <v>0</v>
      </c>
      <c r="AR25" s="4">
        <f>SUMIF('Đóng gói trong giờ'!$A$12:$A$123,'Tổng hợp trong giờ'!$A25,'Đóng gói trong giờ'!AR$12:AR$123)</f>
        <v>0</v>
      </c>
      <c r="AS25" s="4">
        <f>SUMIF('Đóng gói trong giờ'!$A$12:$A$123,'Tổng hợp trong giờ'!$A25,'Đóng gói trong giờ'!AS$12:AS$123)</f>
        <v>0</v>
      </c>
      <c r="AT25" s="4">
        <f>SUMIF('Đóng gói trong giờ'!$A$12:$A$123,'Tổng hợp trong giờ'!$A25,'Đóng gói trong giờ'!AT$12:AT$123)</f>
        <v>0</v>
      </c>
      <c r="AU25" s="4">
        <f>SUMIF('Đóng gói trong giờ'!$A$12:$A$123,'Tổng hợp trong giờ'!$A25,'Đóng gói trong giờ'!AU$12:AU$123)</f>
        <v>0</v>
      </c>
      <c r="AV25" s="4">
        <f>SUMIF('Đóng gói trong giờ'!$A$12:$A$123,'Tổng hợp trong giờ'!$A25,'Đóng gói trong giờ'!AV$12:AV$123)</f>
        <v>0</v>
      </c>
      <c r="AW25" s="4">
        <f>SUMIF('Đóng gói trong giờ'!$A$12:$A$123,'Tổng hợp trong giờ'!$A25,'Đóng gói trong giờ'!AW$12:AW$123)</f>
        <v>0</v>
      </c>
      <c r="AX25" s="4">
        <f>SUMIF('Đóng gói trong giờ'!$A$12:$A$123,'Tổng hợp trong giờ'!$A25,'Đóng gói trong giờ'!AX$12:AX$123)</f>
        <v>0</v>
      </c>
      <c r="AY25" s="4">
        <f>SUMIF('Đóng gói trong giờ'!$A$12:$A$123,'Tổng hợp trong giờ'!$A25,'Đóng gói trong giờ'!AY$12:AY$123)</f>
        <v>0</v>
      </c>
      <c r="AZ25" s="4">
        <f>SUMIF('Đóng gói trong giờ'!$A$12:$A$123,'Tổng hợp trong giờ'!$A25,'Đóng gói trong giờ'!AZ$12:AZ$123)</f>
        <v>0</v>
      </c>
      <c r="BA25" s="4">
        <f>SUMIF('Đóng gói trong giờ'!$A$12:$A$123,'Tổng hợp trong giờ'!$A25,'Đóng gói trong giờ'!BA$12:BA$123)</f>
        <v>0</v>
      </c>
      <c r="BB25" s="4">
        <f>SUMIF('Đóng gói trong giờ'!$A$12:$A$123,'Tổng hợp trong giờ'!$A25,'Đóng gói trong giờ'!BB$12:BB$123)</f>
        <v>0</v>
      </c>
      <c r="BC25" s="22">
        <f>SUMIF('Đóng gói trong giờ'!$A$12:$A$78,'Tổng hợp trong giờ'!$A25,'Đóng gói trong giờ'!BC$12:BC$78)</f>
        <v>0</v>
      </c>
      <c r="BD25" s="119">
        <f>SUMIF('Bốc hàng trong giờ new'!$H$13:$H$3398,'Tổng hợp trong giờ'!A25,'Bốc hàng trong giờ new'!$J$13:$J$3398)</f>
        <v>0</v>
      </c>
      <c r="BE25" s="22">
        <f>SUMIF('Đóng gói trong giờ'!$A$12:$A$78,'Tổng hợp trong giờ'!$A25,'Đóng gói trong giờ'!BE$12:BE$78)</f>
        <v>29.75</v>
      </c>
      <c r="BF25" s="4">
        <f>SUMIF('Đóng gói trong giờ'!$A$12:$A$123,'Tổng hợp trong giờ'!$A25,'Đóng gói trong giờ'!BD$12:BD$123)</f>
        <v>0</v>
      </c>
      <c r="BG25" s="4">
        <f>SUMIF('Đóng gói trong giờ'!$A$12:$A$123,'Tổng hợp trong giờ'!$A25,'Đóng gói trong giờ'!BE$12:BE$123)</f>
        <v>29.75</v>
      </c>
      <c r="BH25" s="4">
        <f>SUMIF('Đóng gói trong giờ'!$A$12:$A$123,'Tổng hợp trong giờ'!$A25,'Đóng gói trong giờ'!BF$12:BF$123)</f>
        <v>0</v>
      </c>
      <c r="BI25" s="4">
        <f>SUMIF('Đóng gói trong giờ'!$A$12:$A$123,'Tổng hợp trong giờ'!$A25,'Đóng gói trong giờ'!BG$12:BG$123)</f>
        <v>0</v>
      </c>
      <c r="BJ25" s="4">
        <f>SUMIF('Đóng gói trong giờ'!$A$12:$A$123,'Tổng hợp trong giờ'!$A25,'Đóng gói trong giờ'!BH$12:BH$123)</f>
        <v>0</v>
      </c>
      <c r="BK25" s="4">
        <f>SUMIF('Đóng gói trong giờ'!$A$12:$A$123,'Tổng hợp trong giờ'!$A25,'Đóng gói trong giờ'!BI$12:BI$123)</f>
        <v>0</v>
      </c>
      <c r="BL25" s="4">
        <f>SUMIF('Đóng gói trong giờ'!$A$12:$A$123,'Tổng hợp trong giờ'!$A25,'Đóng gói trong giờ'!BJ$12:BJ$123)</f>
        <v>0</v>
      </c>
      <c r="BM25" s="4">
        <f>SUMIF('Đóng gói trong giờ'!$A$12:$A$123,'Tổng hợp trong giờ'!$A25,'Đóng gói trong giờ'!BK$12:BK$123)</f>
        <v>0</v>
      </c>
      <c r="BN25" s="4">
        <f>SUMIF('Đóng gói trong giờ'!$A$12:$A$123,'Tổng hợp trong giờ'!$A25,'Đóng gói trong giờ'!BL$12:BL$123)</f>
        <v>21</v>
      </c>
      <c r="BO25" s="4">
        <f>SUMIF('Đóng gói trong giờ'!$A$12:$A$123,'Tổng hợp trong giờ'!$A25,'Đóng gói trong giờ'!BM$12:BM$123)</f>
        <v>0</v>
      </c>
      <c r="BP25" s="4">
        <f>SUMIF('Đóng gói trong giờ'!$A$12:$A$123,'Tổng hợp trong giờ'!$A25,'Đóng gói trong giờ'!BN$12:BN$123)</f>
        <v>5</v>
      </c>
      <c r="BQ25" s="4">
        <f>SUMIF('Đóng gói trong giờ'!$A$12:$A$123,'Tổng hợp trong giờ'!$A25,'Đóng gói trong giờ'!BO$12:BO$123)</f>
        <v>0</v>
      </c>
      <c r="BR25" s="4">
        <f>SUMIF('Đóng gói trong giờ'!$A$12:$A$123,'Tổng hợp trong giờ'!$A25,'Đóng gói trong giờ'!BP$12:BP$123)</f>
        <v>0</v>
      </c>
      <c r="BS25" s="4">
        <f>SUMIF('Đóng gói trong giờ'!$A$12:$A$123,'Tổng hợp trong giờ'!$A25,'Đóng gói trong giờ'!BQ$12:BQ$123)</f>
        <v>0</v>
      </c>
      <c r="BT25" s="4">
        <f>SUMIF('Đóng gói trong giờ'!$A$12:$A$123,'Tổng hợp trong giờ'!$A25,'Đóng gói trong giờ'!BR$12:BR$123)</f>
        <v>0</v>
      </c>
      <c r="BU25" s="169">
        <f t="shared" si="1"/>
        <v>55.75</v>
      </c>
      <c r="BV25" s="168">
        <f t="shared" si="2"/>
        <v>2056111.6965226557</v>
      </c>
      <c r="BW25" s="168">
        <f t="shared" si="3"/>
        <v>12689650.030400621</v>
      </c>
      <c r="BX25" s="4">
        <f ca="1">VLOOKUP(A25,'Tổng hợp ngoài giờ'!$A$15:$BW$41,75,0)</f>
        <v>604451.66046954948</v>
      </c>
      <c r="BY25" s="10">
        <f t="shared" ca="1" si="4"/>
        <v>13294101.69087017</v>
      </c>
      <c r="BZ25" s="96">
        <f>IF(ISNA(VLOOKUP(A25,' Bang luong'!$A$13:$M$59,11,0)),0,VLOOKUP(A25,' Bang luong'!$A$13:$M$59,11,0))</f>
        <v>26</v>
      </c>
      <c r="CA25" s="4">
        <f t="shared" si="5"/>
        <v>7000000</v>
      </c>
      <c r="CB25" s="14">
        <f t="shared" ca="1" si="6"/>
        <v>1.8128071472000886</v>
      </c>
      <c r="CF25" s="7"/>
      <c r="CG25" s="7"/>
      <c r="CH25" s="7"/>
      <c r="CI25" s="7"/>
      <c r="CQ25" s="9">
        <v>14</v>
      </c>
    </row>
    <row r="26" spans="1:95" s="222" customFormat="1" ht="15.75" x14ac:dyDescent="0.25">
      <c r="A26" s="224" t="s">
        <v>115</v>
      </c>
      <c r="B26" s="2" t="str">
        <f>VLOOKUP(A26,'Mã NV'!$A$1:$C$27,2,0)</f>
        <v>Trần Anh Dũ</v>
      </c>
      <c r="C26" s="22"/>
      <c r="D26" s="4">
        <f>SUMIF('Đóng gói trong giờ'!$A$12:$A$123,'Tổng hợp trong giờ'!$A26,'Đóng gói trong giờ'!D$12:D$123)</f>
        <v>1500</v>
      </c>
      <c r="E26" s="4">
        <f>SUMIF('Đóng gói trong giờ'!$A$12:$A$123,'Tổng hợp trong giờ'!$A26,'Đóng gói trong giờ'!E$12:E$123)</f>
        <v>4350</v>
      </c>
      <c r="F26" s="4">
        <f>SUMIF('Đóng gói trong giờ'!$A$12:$A$123,'Tổng hợp trong giờ'!$A26,'Đóng gói trong giờ'!F$12:F$123)</f>
        <v>3403.336666666667</v>
      </c>
      <c r="G26" s="4">
        <f>SUMIF('Đóng gói trong giờ'!$A$12:$A$123,'Tổng hợp trong giờ'!$A26,'Đóng gói trong giờ'!G$12:G$123)</f>
        <v>0</v>
      </c>
      <c r="H26" s="4">
        <f>SUMIF('Đóng gói trong giờ'!$A$12:$A$123,'Tổng hợp trong giờ'!$A26,'Đóng gói trong giờ'!H$12:H$123)</f>
        <v>0</v>
      </c>
      <c r="I26" s="4">
        <f>SUMIF('Đóng gói trong giờ'!$A$12:$A$123,'Tổng hợp trong giờ'!$A26,'Đóng gói trong giờ'!I$12:I$123)</f>
        <v>0</v>
      </c>
      <c r="J26" s="4">
        <f>SUMIF('Đóng gói trong giờ'!$A$12:$A$123,'Tổng hợp trong giờ'!$A26,'Đóng gói trong giờ'!J$12:J$123)</f>
        <v>325</v>
      </c>
      <c r="K26" s="4">
        <f>SUMIF('Đóng gói trong giờ'!$A$12:$A$123,'Tổng hợp trong giờ'!$A26,'Đóng gói trong giờ'!K$12:K$123)</f>
        <v>0</v>
      </c>
      <c r="L26" s="4">
        <f>SUMIF('Đóng gói trong giờ'!$A$12:$A$123,'Tổng hợp trong giờ'!$A26,'Đóng gói trong giờ'!L$12:L$123)</f>
        <v>50</v>
      </c>
      <c r="M26" s="4">
        <f>SUMIF('Đóng gói trong giờ'!$A$12:$A$123,'Tổng hợp trong giờ'!$A26,'Đóng gói trong giờ'!M$12:M$123)</f>
        <v>0</v>
      </c>
      <c r="N26" s="4">
        <f>SUMIF('Đóng gói trong giờ'!$A$12:$A$123,'Tổng hợp trong giờ'!$A26,'Đóng gói trong giờ'!N$12:N$123)</f>
        <v>0</v>
      </c>
      <c r="O26" s="4">
        <f>SUMIF('Đóng gói trong giờ'!$A$12:$A$123,'Tổng hợp trong giờ'!$A26,'Đóng gói trong giờ'!O$12:O$123)</f>
        <v>0</v>
      </c>
      <c r="P26" s="4">
        <f>SUMIF('Đóng gói trong giờ'!$A$12:$A$123,'Tổng hợp trong giờ'!$A26,'Đóng gói trong giờ'!P$12:P$123)</f>
        <v>0</v>
      </c>
      <c r="Q26" s="4">
        <f>SUMIF('Đóng gói trong giờ'!$A$12:$A$123,'Tổng hợp trong giờ'!$A26,'Đóng gói trong giờ'!Q$12:Q$123)</f>
        <v>325</v>
      </c>
      <c r="R26" s="4">
        <f>SUMIF('Đóng gói trong giờ'!$A$12:$A$123,'Tổng hợp trong giờ'!$A26,'Đóng gói trong giờ'!R$12:R$123)</f>
        <v>350</v>
      </c>
      <c r="S26" s="4">
        <f>SUMIF('Đóng gói trong giờ'!$A$12:$A$123,'Tổng hợp trong giờ'!$A26,'Đóng gói trong giờ'!S$12:S$123)</f>
        <v>0</v>
      </c>
      <c r="T26" s="4">
        <f>SUMIF('Đóng gói trong giờ'!$A$12:$A$123,'Tổng hợp trong giờ'!$A26,'Đóng gói trong giờ'!T$12:T$123)</f>
        <v>0</v>
      </c>
      <c r="U26" s="4">
        <f>SUMIF('Đóng gói trong giờ'!$A$12:$A$123,'Tổng hợp trong giờ'!$A26,'Đóng gói trong giờ'!U$12:U$123)</f>
        <v>0</v>
      </c>
      <c r="V26" s="4">
        <f>SUMIF('Đóng gói trong giờ'!$A$12:$A$123,'Tổng hợp trong giờ'!$A26,'Đóng gói trong giờ'!V$12:V$123)</f>
        <v>0</v>
      </c>
      <c r="W26" s="4">
        <f>SUMIF('Đóng gói trong giờ'!$A$12:$A$123,'Tổng hợp trong giờ'!$A26,'Đóng gói trong giờ'!W$12:W$123)</f>
        <v>0</v>
      </c>
      <c r="X26" s="4">
        <f>SUMIF('Đóng gói trong giờ'!$A$12:$A$123,'Tổng hợp trong giờ'!$A26,'Đóng gói trong giờ'!X$12:X$123)</f>
        <v>0</v>
      </c>
      <c r="Y26" s="4">
        <f>SUMIF('Đóng gói trong giờ'!$A$12:$A$123,'Tổng hợp trong giờ'!$A26,'Đóng gói trong giờ'!Y$12:Y$123)</f>
        <v>0</v>
      </c>
      <c r="Z26" s="4">
        <f>SUMIF('Đóng gói trong giờ'!$A$12:$A$123,'Tổng hợp trong giờ'!$A26,'Đóng gói trong giờ'!Z$12:Z$123)</f>
        <v>0</v>
      </c>
      <c r="AA26" s="4">
        <f>SUMIF('Đóng gói trong giờ'!$A$12:$A$123,'Tổng hợp trong giờ'!$A26,'Đóng gói trong giờ'!AA$12:AA$123)</f>
        <v>216.66666666666669</v>
      </c>
      <c r="AB26" s="4">
        <f>SUMIF('Đóng gói trong giờ'!$A$12:$A$123,'Tổng hợp trong giờ'!$A26,'Đóng gói trong giờ'!AB$12:AB$123)</f>
        <v>0</v>
      </c>
      <c r="AC26" s="4">
        <f>SUMIF('Đóng gói trong giờ'!$A$12:$A$123,'Tổng hợp trong giờ'!$A26,'Đóng gói trong giờ'!AC$12:AC$123)</f>
        <v>0</v>
      </c>
      <c r="AD26" s="4">
        <f>SUMIF('Đóng gói trong giờ'!$A$12:$A$123,'Tổng hợp trong giờ'!$A26,'Đóng gói trong giờ'!AD$12:AD$123)</f>
        <v>322.5</v>
      </c>
      <c r="AE26" s="4">
        <f>SUMIF('Đóng gói trong giờ'!$A$12:$A$123,'Tổng hợp trong giờ'!$A26,'Đóng gói trong giờ'!AE$12:AE$123)</f>
        <v>0</v>
      </c>
      <c r="AF26" s="4">
        <f>SUMIF('Đóng gói trong giờ'!$A$12:$A$123,'Tổng hợp trong giờ'!$A26,'Đóng gói trong giờ'!AF$12:AF$123)</f>
        <v>0</v>
      </c>
      <c r="AG26" s="4">
        <f>SUMIF('Đóng gói trong giờ'!$A$12:$A$123,'Tổng hợp trong giờ'!$A26,'Đóng gói trong giờ'!AG$12:AG$123)</f>
        <v>0</v>
      </c>
      <c r="AH26" s="4">
        <f>SUMIF('Đóng gói trong giờ'!$A$12:$A$123,'Tổng hợp trong giờ'!$A26,'Đóng gói trong giờ'!AH$12:AH$123)</f>
        <v>0</v>
      </c>
      <c r="AI26" s="4">
        <f>SUMIF('Đóng gói trong giờ'!$A$12:$A$123,'Tổng hợp trong giờ'!$A26,'Đóng gói trong giờ'!AI$12:AI$123)</f>
        <v>0</v>
      </c>
      <c r="AJ26" s="4">
        <f>SUMIF('Đóng gói trong giờ'!$A$12:$A$123,'Tổng hợp trong giờ'!$A26,'Đóng gói trong giờ'!AJ$12:AJ$123)</f>
        <v>0</v>
      </c>
      <c r="AK26" s="4">
        <f>SUMIF('Đóng gói trong giờ'!$A$12:$A$123,'Tổng hợp trong giờ'!$A26,'Đóng gói trong giờ'!AK$12:AK$123)</f>
        <v>0</v>
      </c>
      <c r="AL26" s="4">
        <f>SUMIF('Đóng gói trong giờ'!$A$12:$A$123,'Tổng hợp trong giờ'!$A26,'Đóng gói trong giờ'!AL$12:AL$123)</f>
        <v>0</v>
      </c>
      <c r="AM26" s="4">
        <f>SUMIF('Đóng gói trong giờ'!$A$12:$A$123,'Tổng hợp trong giờ'!$A26,'Đóng gói trong giờ'!AM$12:AM$123)</f>
        <v>83.333333333333343</v>
      </c>
      <c r="AN26" s="4">
        <f>SUMIF('Đóng gói trong giờ'!$A$12:$A$123,'Tổng hợp trong giờ'!$A26,'Đóng gói trong giờ'!AN$12:AN$123)</f>
        <v>0</v>
      </c>
      <c r="AO26" s="4">
        <f>SUMIF('Đóng gói trong giờ'!$A$12:$A$123,'Tổng hợp trong giờ'!$A26,'Đóng gói trong giờ'!AO$12:AO$123)</f>
        <v>0</v>
      </c>
      <c r="AP26" s="4">
        <f>SUMIF('Đóng gói trong giờ'!$A$12:$A$123,'Tổng hợp trong giờ'!$A26,'Đóng gói trong giờ'!AP$12:AP$123)</f>
        <v>0</v>
      </c>
      <c r="AQ26" s="4">
        <f>SUMIF('Đóng gói trong giờ'!$A$12:$A$123,'Tổng hợp trong giờ'!$A26,'Đóng gói trong giờ'!AQ$12:AQ$123)</f>
        <v>0</v>
      </c>
      <c r="AR26" s="4">
        <f>SUMIF('Đóng gói trong giờ'!$A$12:$A$123,'Tổng hợp trong giờ'!$A26,'Đóng gói trong giờ'!AR$12:AR$123)</f>
        <v>0</v>
      </c>
      <c r="AS26" s="4">
        <f>SUMIF('Đóng gói trong giờ'!$A$12:$A$123,'Tổng hợp trong giờ'!$A26,'Đóng gói trong giờ'!AS$12:AS$123)</f>
        <v>0</v>
      </c>
      <c r="AT26" s="4">
        <f>SUMIF('Đóng gói trong giờ'!$A$12:$A$123,'Tổng hợp trong giờ'!$A26,'Đóng gói trong giờ'!AT$12:AT$123)</f>
        <v>0</v>
      </c>
      <c r="AU26" s="4">
        <f>SUMIF('Đóng gói trong giờ'!$A$12:$A$123,'Tổng hợp trong giờ'!$A26,'Đóng gói trong giờ'!AU$12:AU$123)</f>
        <v>0</v>
      </c>
      <c r="AV26" s="4">
        <f>SUMIF('Đóng gói trong giờ'!$A$12:$A$123,'Tổng hợp trong giờ'!$A26,'Đóng gói trong giờ'!AV$12:AV$123)</f>
        <v>0</v>
      </c>
      <c r="AW26" s="4">
        <f>SUMIF('Đóng gói trong giờ'!$A$12:$A$123,'Tổng hợp trong giờ'!$A26,'Đóng gói trong giờ'!AW$12:AW$123)</f>
        <v>0</v>
      </c>
      <c r="AX26" s="4">
        <f>SUMIF('Đóng gói trong giờ'!$A$12:$A$123,'Tổng hợp trong giờ'!$A26,'Đóng gói trong giờ'!AX$12:AX$123)</f>
        <v>0</v>
      </c>
      <c r="AY26" s="4">
        <f>SUMIF('Đóng gói trong giờ'!$A$12:$A$123,'Tổng hợp trong giờ'!$A26,'Đóng gói trong giờ'!AY$12:AY$123)</f>
        <v>0</v>
      </c>
      <c r="AZ26" s="4">
        <f>SUMIF('Đóng gói trong giờ'!$A$12:$A$123,'Tổng hợp trong giờ'!$A26,'Đóng gói trong giờ'!AZ$12:AZ$123)</f>
        <v>0</v>
      </c>
      <c r="BA26" s="4">
        <f>SUMIF('Đóng gói trong giờ'!$A$12:$A$123,'Tổng hợp trong giờ'!$A26,'Đóng gói trong giờ'!BA$12:BA$123)</f>
        <v>0</v>
      </c>
      <c r="BB26" s="4">
        <f>SUMIF('Đóng gói trong giờ'!$A$12:$A$123,'Tổng hợp trong giờ'!$A26,'Đóng gói trong giờ'!BB$12:BB$123)</f>
        <v>0</v>
      </c>
      <c r="BC26" s="22">
        <f>SUMIF('Đóng gói trong giờ'!$A$12:$A$78,'Tổng hợp trong giờ'!$A26,'Đóng gói trong giờ'!BC$12:BC$78)</f>
        <v>0</v>
      </c>
      <c r="BD26" s="119">
        <f>SUMIF('Bốc hàng trong giờ new'!$H$13:$H$3398,'Tổng hợp trong giờ'!A26,'Bốc hàng trong giờ new'!$J$13:$J$3398)</f>
        <v>0</v>
      </c>
      <c r="BE26" s="22">
        <f>SUMIF('Đóng gói trong giờ'!$A$12:$A$78,'Tổng hợp trong giờ'!$A26,'Đóng gói trong giờ'!BE$12:BE$78)</f>
        <v>35.5</v>
      </c>
      <c r="BF26" s="4">
        <f>SUMIF('Đóng gói trong giờ'!$A$12:$A$123,'Tổng hợp trong giờ'!$A26,'Đóng gói trong giờ'!BD$12:BD$123)</f>
        <v>0</v>
      </c>
      <c r="BG26" s="4">
        <f>SUMIF('Đóng gói trong giờ'!$A$12:$A$123,'Tổng hợp trong giờ'!$A26,'Đóng gói trong giờ'!BE$12:BE$123)</f>
        <v>35.5</v>
      </c>
      <c r="BH26" s="4">
        <f>SUMIF('Đóng gói trong giờ'!$A$12:$A$123,'Tổng hợp trong giờ'!$A26,'Đóng gói trong giờ'!BF$12:BF$123)</f>
        <v>0</v>
      </c>
      <c r="BI26" s="4">
        <f>SUMIF('Đóng gói trong giờ'!$A$12:$A$123,'Tổng hợp trong giờ'!$A26,'Đóng gói trong giờ'!BG$12:BG$123)</f>
        <v>0</v>
      </c>
      <c r="BJ26" s="4">
        <f>SUMIF('Đóng gói trong giờ'!$A$12:$A$123,'Tổng hợp trong giờ'!$A26,'Đóng gói trong giờ'!BH$12:BH$123)</f>
        <v>0</v>
      </c>
      <c r="BK26" s="4">
        <f>SUMIF('Đóng gói trong giờ'!$A$12:$A$123,'Tổng hợp trong giờ'!$A26,'Đóng gói trong giờ'!BI$12:BI$123)</f>
        <v>0</v>
      </c>
      <c r="BL26" s="4">
        <f>SUMIF('Đóng gói trong giờ'!$A$12:$A$123,'Tổng hợp trong giờ'!$A26,'Đóng gói trong giờ'!BJ$12:BJ$123)</f>
        <v>0</v>
      </c>
      <c r="BM26" s="4">
        <f>SUMIF('Đóng gói trong giờ'!$A$12:$A$123,'Tổng hợp trong giờ'!$A26,'Đóng gói trong giờ'!BK$12:BK$123)</f>
        <v>0</v>
      </c>
      <c r="BN26" s="4">
        <f>SUMIF('Đóng gói trong giờ'!$A$12:$A$123,'Tổng hợp trong giờ'!$A26,'Đóng gói trong giờ'!BL$12:BL$123)</f>
        <v>24</v>
      </c>
      <c r="BO26" s="4">
        <f>SUMIF('Đóng gói trong giờ'!$A$12:$A$123,'Tổng hợp trong giờ'!$A26,'Đóng gói trong giờ'!BM$12:BM$123)</f>
        <v>0</v>
      </c>
      <c r="BP26" s="4">
        <f>SUMIF('Đóng gói trong giờ'!$A$12:$A$123,'Tổng hợp trong giờ'!$A26,'Đóng gói trong giờ'!BN$12:BN$123)</f>
        <v>0.5</v>
      </c>
      <c r="BQ26" s="4">
        <f>SUMIF('Đóng gói trong giờ'!$A$12:$A$123,'Tổng hợp trong giờ'!$A26,'Đóng gói trong giờ'!BO$12:BO$123)</f>
        <v>0</v>
      </c>
      <c r="BR26" s="4">
        <f>SUMIF('Đóng gói trong giờ'!$A$12:$A$123,'Tổng hợp trong giờ'!$A26,'Đóng gói trong giờ'!BP$12:BP$123)</f>
        <v>0</v>
      </c>
      <c r="BS26" s="4">
        <f>SUMIF('Đóng gói trong giờ'!$A$12:$A$123,'Tổng hợp trong giờ'!$A26,'Đóng gói trong giờ'!BQ$12:BQ$123)</f>
        <v>0</v>
      </c>
      <c r="BT26" s="4">
        <f>SUMIF('Đóng gói trong giờ'!$A$12:$A$123,'Tổng hợp trong giờ'!$A26,'Đóng gói trong giờ'!BR$12:BR$123)</f>
        <v>0</v>
      </c>
      <c r="BU26" s="169">
        <f t="shared" si="1"/>
        <v>60</v>
      </c>
      <c r="BV26" s="168">
        <f t="shared" si="2"/>
        <v>2212855.6375131719</v>
      </c>
      <c r="BW26" s="168">
        <f t="shared" si="3"/>
        <v>11369655.082387876</v>
      </c>
      <c r="BX26" s="4">
        <f ca="1">VLOOKUP(A26,'Tổng hợp ngoài giờ'!$A$15:$BW$41,75,0)</f>
        <v>322991.44531178748</v>
      </c>
      <c r="BY26" s="10">
        <f t="shared" ca="1" si="4"/>
        <v>11692646.527699662</v>
      </c>
      <c r="BZ26" s="96">
        <f>IF(ISNA(VLOOKUP(A26,' Bang luong'!$A$13:$M$59,11,0)),0,VLOOKUP(A26,' Bang luong'!$A$13:$M$59,11,0))</f>
        <v>26</v>
      </c>
      <c r="CA26" s="4">
        <f t="shared" si="5"/>
        <v>7000000</v>
      </c>
      <c r="CB26" s="14">
        <f t="shared" ca="1" si="6"/>
        <v>1.6242364403411251</v>
      </c>
      <c r="CQ26" s="9">
        <v>15</v>
      </c>
    </row>
    <row r="27" spans="1:95" ht="15.75" x14ac:dyDescent="0.25">
      <c r="A27" s="224" t="s">
        <v>116</v>
      </c>
      <c r="B27" s="2" t="str">
        <f>VLOOKUP(A27,'Mã NV'!$A$1:$C$27,2,0)</f>
        <v>Thạch Ngọc Tiến</v>
      </c>
      <c r="C27" s="22"/>
      <c r="D27" s="4">
        <f>SUMIF('Đóng gói trong giờ'!$A$12:$A$123,'Tổng hợp trong giờ'!$A27,'Đóng gói trong giờ'!D$12:D$123)</f>
        <v>700</v>
      </c>
      <c r="E27" s="4">
        <f>SUMIF('Đóng gói trong giờ'!$A$12:$A$123,'Tổng hợp trong giờ'!$A27,'Đóng gói trong giờ'!E$12:E$123)</f>
        <v>1925</v>
      </c>
      <c r="F27" s="4">
        <f>SUMIF('Đóng gói trong giờ'!$A$12:$A$123,'Tổng hợp trong giờ'!$A27,'Đóng gói trong giờ'!F$12:F$123)</f>
        <v>3676.663333333333</v>
      </c>
      <c r="G27" s="4">
        <f>SUMIF('Đóng gói trong giờ'!$A$12:$A$123,'Tổng hợp trong giờ'!$A27,'Đóng gói trong giờ'!G$12:G$123)</f>
        <v>0</v>
      </c>
      <c r="H27" s="4">
        <f>SUMIF('Đóng gói trong giờ'!$A$12:$A$123,'Tổng hợp trong giờ'!$A27,'Đóng gói trong giờ'!H$12:H$123)</f>
        <v>375</v>
      </c>
      <c r="I27" s="4">
        <f>SUMIF('Đóng gói trong giờ'!$A$12:$A$123,'Tổng hợp trong giờ'!$A27,'Đóng gói trong giờ'!I$12:I$123)</f>
        <v>0</v>
      </c>
      <c r="J27" s="4">
        <f>SUMIF('Đóng gói trong giờ'!$A$12:$A$123,'Tổng hợp trong giờ'!$A27,'Đóng gói trong giờ'!J$12:J$123)</f>
        <v>325</v>
      </c>
      <c r="K27" s="4">
        <f>SUMIF('Đóng gói trong giờ'!$A$12:$A$123,'Tổng hợp trong giờ'!$A27,'Đóng gói trong giờ'!K$12:K$123)</f>
        <v>0</v>
      </c>
      <c r="L27" s="4">
        <f>SUMIF('Đóng gói trong giờ'!$A$12:$A$123,'Tổng hợp trong giờ'!$A27,'Đóng gói trong giờ'!L$12:L$123)</f>
        <v>150</v>
      </c>
      <c r="M27" s="4">
        <f>SUMIF('Đóng gói trong giờ'!$A$12:$A$123,'Tổng hợp trong giờ'!$A27,'Đóng gói trong giờ'!M$12:M$123)</f>
        <v>775</v>
      </c>
      <c r="N27" s="4">
        <f>SUMIF('Đóng gói trong giờ'!$A$12:$A$123,'Tổng hợp trong giờ'!$A27,'Đóng gói trong giờ'!N$12:N$123)</f>
        <v>0</v>
      </c>
      <c r="O27" s="4">
        <f>SUMIF('Đóng gói trong giờ'!$A$12:$A$123,'Tổng hợp trong giờ'!$A27,'Đóng gói trong giờ'!O$12:O$123)</f>
        <v>0</v>
      </c>
      <c r="P27" s="4">
        <f>SUMIF('Đóng gói trong giờ'!$A$12:$A$123,'Tổng hợp trong giờ'!$A27,'Đóng gói trong giờ'!P$12:P$123)</f>
        <v>700</v>
      </c>
      <c r="Q27" s="4">
        <f>SUMIF('Đóng gói trong giờ'!$A$12:$A$123,'Tổng hợp trong giờ'!$A27,'Đóng gói trong giờ'!Q$12:Q$123)</f>
        <v>325</v>
      </c>
      <c r="R27" s="4">
        <f>SUMIF('Đóng gói trong giờ'!$A$12:$A$123,'Tổng hợp trong giờ'!$A27,'Đóng gói trong giờ'!R$12:R$123)</f>
        <v>183.33333333333334</v>
      </c>
      <c r="S27" s="4">
        <f>SUMIF('Đóng gói trong giờ'!$A$12:$A$123,'Tổng hợp trong giờ'!$A27,'Đóng gói trong giờ'!S$12:S$123)</f>
        <v>0</v>
      </c>
      <c r="T27" s="4">
        <f>SUMIF('Đóng gói trong giờ'!$A$12:$A$123,'Tổng hợp trong giờ'!$A27,'Đóng gói trong giờ'!T$12:T$123)</f>
        <v>0</v>
      </c>
      <c r="U27" s="4">
        <f>SUMIF('Đóng gói trong giờ'!$A$12:$A$123,'Tổng hợp trong giờ'!$A27,'Đóng gói trong giờ'!U$12:U$123)</f>
        <v>0</v>
      </c>
      <c r="V27" s="4">
        <f>SUMIF('Đóng gói trong giờ'!$A$12:$A$123,'Tổng hợp trong giờ'!$A27,'Đóng gói trong giờ'!V$12:V$123)</f>
        <v>0</v>
      </c>
      <c r="W27" s="4">
        <f>SUMIF('Đóng gói trong giờ'!$A$12:$A$123,'Tổng hợp trong giờ'!$A27,'Đóng gói trong giờ'!W$12:W$123)</f>
        <v>0</v>
      </c>
      <c r="X27" s="4">
        <f>SUMIF('Đóng gói trong giờ'!$A$12:$A$123,'Tổng hợp trong giờ'!$A27,'Đóng gói trong giờ'!X$12:X$123)</f>
        <v>0</v>
      </c>
      <c r="Y27" s="4">
        <f>SUMIF('Đóng gói trong giờ'!$A$12:$A$123,'Tổng hợp trong giờ'!$A27,'Đóng gói trong giờ'!Y$12:Y$123)</f>
        <v>0</v>
      </c>
      <c r="Z27" s="4">
        <f>SUMIF('Đóng gói trong giờ'!$A$12:$A$123,'Tổng hợp trong giờ'!$A27,'Đóng gói trong giờ'!Z$12:Z$123)</f>
        <v>0</v>
      </c>
      <c r="AA27" s="4">
        <f>SUMIF('Đóng gói trong giờ'!$A$12:$A$123,'Tổng hợp trong giờ'!$A27,'Đóng gói trong giờ'!AA$12:AA$123)</f>
        <v>133.33666666666667</v>
      </c>
      <c r="AB27" s="4">
        <f>SUMIF('Đóng gói trong giờ'!$A$12:$A$123,'Tổng hợp trong giờ'!$A27,'Đóng gói trong giờ'!AB$12:AB$123)</f>
        <v>0</v>
      </c>
      <c r="AC27" s="4">
        <f>SUMIF('Đóng gói trong giờ'!$A$12:$A$123,'Tổng hợp trong giờ'!$A27,'Đóng gói trong giờ'!AC$12:AC$123)</f>
        <v>0</v>
      </c>
      <c r="AD27" s="4">
        <f>SUMIF('Đóng gói trong giờ'!$A$12:$A$123,'Tổng hợp trong giờ'!$A27,'Đóng gói trong giờ'!AD$12:AD$123)</f>
        <v>375</v>
      </c>
      <c r="AE27" s="4">
        <f>SUMIF('Đóng gói trong giờ'!$A$12:$A$123,'Tổng hợp trong giờ'!$A27,'Đóng gói trong giờ'!AE$12:AE$123)</f>
        <v>0</v>
      </c>
      <c r="AF27" s="4">
        <f>SUMIF('Đóng gói trong giờ'!$A$12:$A$123,'Tổng hợp trong giờ'!$A27,'Đóng gói trong giờ'!AF$12:AF$123)</f>
        <v>0</v>
      </c>
      <c r="AG27" s="4">
        <f>SUMIF('Đóng gói trong giờ'!$A$12:$A$123,'Tổng hợp trong giờ'!$A27,'Đóng gói trong giờ'!AG$12:AG$123)</f>
        <v>0</v>
      </c>
      <c r="AH27" s="4">
        <f>SUMIF('Đóng gói trong giờ'!$A$12:$A$123,'Tổng hợp trong giờ'!$A27,'Đóng gói trong giờ'!AH$12:AH$123)</f>
        <v>0</v>
      </c>
      <c r="AI27" s="4">
        <f>SUMIF('Đóng gói trong giờ'!$A$12:$A$123,'Tổng hợp trong giờ'!$A27,'Đóng gói trong giờ'!AI$12:AI$123)</f>
        <v>0</v>
      </c>
      <c r="AJ27" s="4">
        <f>SUMIF('Đóng gói trong giờ'!$A$12:$A$123,'Tổng hợp trong giờ'!$A27,'Đóng gói trong giờ'!AJ$12:AJ$123)</f>
        <v>0</v>
      </c>
      <c r="AK27" s="4">
        <f>SUMIF('Đóng gói trong giờ'!$A$12:$A$123,'Tổng hợp trong giờ'!$A27,'Đóng gói trong giờ'!AK$12:AK$123)</f>
        <v>0</v>
      </c>
      <c r="AL27" s="4">
        <f>SUMIF('Đóng gói trong giờ'!$A$12:$A$123,'Tổng hợp trong giờ'!$A27,'Đóng gói trong giờ'!AL$12:AL$123)</f>
        <v>0</v>
      </c>
      <c r="AM27" s="4">
        <f>SUMIF('Đóng gói trong giờ'!$A$12:$A$123,'Tổng hợp trong giờ'!$A27,'Đóng gói trong giờ'!AM$12:AM$123)</f>
        <v>100</v>
      </c>
      <c r="AN27" s="4">
        <f>SUMIF('Đóng gói trong giờ'!$A$12:$A$123,'Tổng hợp trong giờ'!$A27,'Đóng gói trong giờ'!AN$12:AN$123)</f>
        <v>0</v>
      </c>
      <c r="AO27" s="4">
        <f>SUMIF('Đóng gói trong giờ'!$A$12:$A$123,'Tổng hợp trong giờ'!$A27,'Đóng gói trong giờ'!AO$12:AO$123)</f>
        <v>0</v>
      </c>
      <c r="AP27" s="4">
        <f>SUMIF('Đóng gói trong giờ'!$A$12:$A$123,'Tổng hợp trong giờ'!$A27,'Đóng gói trong giờ'!AP$12:AP$123)</f>
        <v>0</v>
      </c>
      <c r="AQ27" s="4">
        <f>SUMIF('Đóng gói trong giờ'!$A$12:$A$123,'Tổng hợp trong giờ'!$A27,'Đóng gói trong giờ'!AQ$12:AQ$123)</f>
        <v>0</v>
      </c>
      <c r="AR27" s="4">
        <f>SUMIF('Đóng gói trong giờ'!$A$12:$A$123,'Tổng hợp trong giờ'!$A27,'Đóng gói trong giờ'!AR$12:AR$123)</f>
        <v>0</v>
      </c>
      <c r="AS27" s="4">
        <f>SUMIF('Đóng gói trong giờ'!$A$12:$A$123,'Tổng hợp trong giờ'!$A27,'Đóng gói trong giờ'!AS$12:AS$123)</f>
        <v>0</v>
      </c>
      <c r="AT27" s="4">
        <f>SUMIF('Đóng gói trong giờ'!$A$12:$A$123,'Tổng hợp trong giờ'!$A27,'Đóng gói trong giờ'!AT$12:AT$123)</f>
        <v>0</v>
      </c>
      <c r="AU27" s="4">
        <f>SUMIF('Đóng gói trong giờ'!$A$12:$A$123,'Tổng hợp trong giờ'!$A27,'Đóng gói trong giờ'!AU$12:AU$123)</f>
        <v>0</v>
      </c>
      <c r="AV27" s="4">
        <f>SUMIF('Đóng gói trong giờ'!$A$12:$A$123,'Tổng hợp trong giờ'!$A27,'Đóng gói trong giờ'!AV$12:AV$123)</f>
        <v>0</v>
      </c>
      <c r="AW27" s="4">
        <f>SUMIF('Đóng gói trong giờ'!$A$12:$A$123,'Tổng hợp trong giờ'!$A27,'Đóng gói trong giờ'!AW$12:AW$123)</f>
        <v>0</v>
      </c>
      <c r="AX27" s="4">
        <f>SUMIF('Đóng gói trong giờ'!$A$12:$A$123,'Tổng hợp trong giờ'!$A27,'Đóng gói trong giờ'!AX$12:AX$123)</f>
        <v>0</v>
      </c>
      <c r="AY27" s="4">
        <f>SUMIF('Đóng gói trong giờ'!$A$12:$A$123,'Tổng hợp trong giờ'!$A27,'Đóng gói trong giờ'!AY$12:AY$123)</f>
        <v>0</v>
      </c>
      <c r="AZ27" s="4">
        <f>SUMIF('Đóng gói trong giờ'!$A$12:$A$123,'Tổng hợp trong giờ'!$A27,'Đóng gói trong giờ'!AZ$12:AZ$123)</f>
        <v>0</v>
      </c>
      <c r="BA27" s="4">
        <f>SUMIF('Đóng gói trong giờ'!$A$12:$A$123,'Tổng hợp trong giờ'!$A27,'Đóng gói trong giờ'!BA$12:BA$123)</f>
        <v>0</v>
      </c>
      <c r="BB27" s="4">
        <f>SUMIF('Đóng gói trong giờ'!$A$12:$A$123,'Tổng hợp trong giờ'!$A27,'Đóng gói trong giờ'!BB$12:BB$123)</f>
        <v>0</v>
      </c>
      <c r="BC27" s="22">
        <f>SUMIF('Đóng gói trong giờ'!$A$12:$A$78,'Tổng hợp trong giờ'!$A27,'Đóng gói trong giờ'!BC$12:BC$78)</f>
        <v>0</v>
      </c>
      <c r="BD27" s="119">
        <f>SUMIF('Bốc hàng trong giờ new'!$H$13:$H$3398,'Tổng hợp trong giờ'!A27,'Bốc hàng trong giờ new'!$J$13:$J$3398)</f>
        <v>0</v>
      </c>
      <c r="BE27" s="22">
        <f>SUMIF('Đóng gói trong giờ'!$A$12:$A$78,'Tổng hợp trong giờ'!$A27,'Đóng gói trong giờ'!BE$12:BE$78)</f>
        <v>28.5</v>
      </c>
      <c r="BF27" s="4">
        <f>SUMIF('Đóng gói trong giờ'!$A$12:$A$123,'Tổng hợp trong giờ'!$A27,'Đóng gói trong giờ'!BD$12:BD$123)</f>
        <v>0</v>
      </c>
      <c r="BG27" s="4">
        <f>SUMIF('Đóng gói trong giờ'!$A$12:$A$123,'Tổng hợp trong giờ'!$A27,'Đóng gói trong giờ'!BE$12:BE$123)</f>
        <v>28.5</v>
      </c>
      <c r="BH27" s="4">
        <f>SUMIF('Đóng gói trong giờ'!$A$12:$A$123,'Tổng hợp trong giờ'!$A27,'Đóng gói trong giờ'!BF$12:BF$123)</f>
        <v>0</v>
      </c>
      <c r="BI27" s="4">
        <f>SUMIF('Đóng gói trong giờ'!$A$12:$A$123,'Tổng hợp trong giờ'!$A27,'Đóng gói trong giờ'!BG$12:BG$123)</f>
        <v>0</v>
      </c>
      <c r="BJ27" s="4">
        <f>SUMIF('Đóng gói trong giờ'!$A$12:$A$123,'Tổng hợp trong giờ'!$A27,'Đóng gói trong giờ'!BH$12:BH$123)</f>
        <v>0</v>
      </c>
      <c r="BK27" s="4">
        <f>SUMIF('Đóng gói trong giờ'!$A$12:$A$123,'Tổng hợp trong giờ'!$A27,'Đóng gói trong giờ'!BI$12:BI$123)</f>
        <v>0</v>
      </c>
      <c r="BL27" s="4">
        <f>SUMIF('Đóng gói trong giờ'!$A$12:$A$123,'Tổng hợp trong giờ'!$A27,'Đóng gói trong giờ'!BJ$12:BJ$123)</f>
        <v>0</v>
      </c>
      <c r="BM27" s="4">
        <f>SUMIF('Đóng gói trong giờ'!$A$12:$A$123,'Tổng hợp trong giờ'!$A27,'Đóng gói trong giờ'!BK$12:BK$123)</f>
        <v>0</v>
      </c>
      <c r="BN27" s="4">
        <f>SUMIF('Đóng gói trong giờ'!$A$12:$A$123,'Tổng hợp trong giờ'!$A27,'Đóng gói trong giờ'!BL$12:BL$123)</f>
        <v>32</v>
      </c>
      <c r="BO27" s="4">
        <f>SUMIF('Đóng gói trong giờ'!$A$12:$A$123,'Tổng hợp trong giờ'!$A27,'Đóng gói trong giờ'!BM$12:BM$123)</f>
        <v>0</v>
      </c>
      <c r="BP27" s="4">
        <f>SUMIF('Đóng gói trong giờ'!$A$12:$A$123,'Tổng hợp trong giờ'!$A27,'Đóng gói trong giờ'!BN$12:BN$123)</f>
        <v>1.5</v>
      </c>
      <c r="BQ27" s="4">
        <f>SUMIF('Đóng gói trong giờ'!$A$12:$A$123,'Tổng hợp trong giờ'!$A27,'Đóng gói trong giờ'!BO$12:BO$123)</f>
        <v>0</v>
      </c>
      <c r="BR27" s="4">
        <f>SUMIF('Đóng gói trong giờ'!$A$12:$A$123,'Tổng hợp trong giờ'!$A27,'Đóng gói trong giờ'!BP$12:BP$123)</f>
        <v>0</v>
      </c>
      <c r="BS27" s="4">
        <f>SUMIF('Đóng gói trong giờ'!$A$12:$A$123,'Tổng hợp trong giờ'!$A27,'Đóng gói trong giờ'!BQ$12:BQ$123)</f>
        <v>0</v>
      </c>
      <c r="BT27" s="4">
        <f>SUMIF('Đóng gói trong giờ'!$A$12:$A$123,'Tổng hợp trong giờ'!$A27,'Đóng gói trong giờ'!BR$12:BR$123)</f>
        <v>0</v>
      </c>
      <c r="BU27" s="169">
        <f t="shared" si="1"/>
        <v>62</v>
      </c>
      <c r="BV27" s="168">
        <f t="shared" si="2"/>
        <v>2286617.4920969442</v>
      </c>
      <c r="BW27" s="168">
        <f t="shared" si="3"/>
        <v>10822639.571953585</v>
      </c>
      <c r="BX27" s="4">
        <f ca="1">VLOOKUP(A27,'Tổng hợp ngoài giờ'!$A$15:$BW$41,75,0)</f>
        <v>525836.54541716154</v>
      </c>
      <c r="BY27" s="10">
        <f t="shared" ca="1" si="4"/>
        <v>11348476.117370747</v>
      </c>
      <c r="BZ27" s="96">
        <f>IF(ISNA(VLOOKUP(A27,' Bang luong'!$A$13:$M$59,11,0)),0,VLOOKUP(A27,' Bang luong'!$A$13:$M$59,11,0))</f>
        <v>23</v>
      </c>
      <c r="CA27" s="4">
        <f t="shared" si="5"/>
        <v>6192307.692307693</v>
      </c>
      <c r="CB27" s="14">
        <f t="shared" ca="1" si="6"/>
        <v>1.7477554588248023</v>
      </c>
      <c r="CH27" s="7"/>
      <c r="CI27" s="7"/>
      <c r="CQ27" s="9">
        <v>16</v>
      </c>
    </row>
    <row r="28" spans="1:95" ht="15.75" x14ac:dyDescent="0.25">
      <c r="A28" s="224" t="s">
        <v>117</v>
      </c>
      <c r="B28" s="2" t="str">
        <f>VLOOKUP(A28,'Mã NV'!$A$1:$C$27,2,0)</f>
        <v>Nguyễn Tuấn Vinh</v>
      </c>
      <c r="C28" s="22"/>
      <c r="D28" s="4">
        <f>SUMIF('Đóng gói trong giờ'!$A$12:$A$123,'Tổng hợp trong giờ'!$A28,'Đóng gói trong giờ'!D$12:D$123)</f>
        <v>650</v>
      </c>
      <c r="E28" s="4">
        <f>SUMIF('Đóng gói trong giờ'!$A$12:$A$123,'Tổng hợp trong giờ'!$A28,'Đóng gói trong giờ'!E$12:E$123)</f>
        <v>3250</v>
      </c>
      <c r="F28" s="4">
        <f>SUMIF('Đóng gói trong giờ'!$A$12:$A$123,'Tổng hợp trong giờ'!$A28,'Đóng gói trong giờ'!F$12:F$123)</f>
        <v>3616.6733333333304</v>
      </c>
      <c r="G28" s="4">
        <f>SUMIF('Đóng gói trong giờ'!$A$12:$A$123,'Tổng hợp trong giờ'!$A28,'Đóng gói trong giờ'!G$12:G$123)</f>
        <v>0</v>
      </c>
      <c r="H28" s="4">
        <f>SUMIF('Đóng gói trong giờ'!$A$12:$A$123,'Tổng hợp trong giờ'!$A28,'Đóng gói trong giờ'!H$12:H$123)</f>
        <v>700</v>
      </c>
      <c r="I28" s="4">
        <f>SUMIF('Đóng gói trong giờ'!$A$12:$A$123,'Tổng hợp trong giờ'!$A28,'Đóng gói trong giờ'!I$12:I$123)</f>
        <v>0</v>
      </c>
      <c r="J28" s="4">
        <f>SUMIF('Đóng gói trong giờ'!$A$12:$A$123,'Tổng hợp trong giờ'!$A28,'Đóng gói trong giờ'!J$12:J$123)</f>
        <v>500</v>
      </c>
      <c r="K28" s="4">
        <f>SUMIF('Đóng gói trong giờ'!$A$12:$A$123,'Tổng hợp trong giờ'!$A28,'Đóng gói trong giờ'!K$12:K$123)</f>
        <v>0</v>
      </c>
      <c r="L28" s="4">
        <f>SUMIF('Đóng gói trong giờ'!$A$12:$A$123,'Tổng hợp trong giờ'!$A28,'Đóng gói trong giờ'!L$12:L$123)</f>
        <v>200</v>
      </c>
      <c r="M28" s="4">
        <f>SUMIF('Đóng gói trong giờ'!$A$12:$A$123,'Tổng hợp trong giờ'!$A28,'Đóng gói trong giờ'!M$12:M$123)</f>
        <v>1425</v>
      </c>
      <c r="N28" s="4">
        <f>SUMIF('Đóng gói trong giờ'!$A$12:$A$123,'Tổng hợp trong giờ'!$A28,'Đóng gói trong giờ'!N$12:N$123)</f>
        <v>0</v>
      </c>
      <c r="O28" s="4">
        <f>SUMIF('Đóng gói trong giờ'!$A$12:$A$123,'Tổng hợp trong giờ'!$A28,'Đóng gói trong giờ'!O$12:O$123)</f>
        <v>0</v>
      </c>
      <c r="P28" s="4">
        <f>SUMIF('Đóng gói trong giờ'!$A$12:$A$123,'Tổng hợp trong giờ'!$A28,'Đóng gói trong giờ'!P$12:P$123)</f>
        <v>700</v>
      </c>
      <c r="Q28" s="4">
        <f>SUMIF('Đóng gói trong giờ'!$A$12:$A$123,'Tổng hợp trong giờ'!$A28,'Đóng gói trong giờ'!Q$12:Q$123)</f>
        <v>325</v>
      </c>
      <c r="R28" s="4">
        <f>SUMIF('Đóng gói trong giờ'!$A$12:$A$123,'Tổng hợp trong giờ'!$A28,'Đóng gói trong giờ'!R$12:R$123)</f>
        <v>183.33333333333334</v>
      </c>
      <c r="S28" s="4">
        <f>SUMIF('Đóng gói trong giờ'!$A$12:$A$123,'Tổng hợp trong giờ'!$A28,'Đóng gói trong giờ'!S$12:S$123)</f>
        <v>0</v>
      </c>
      <c r="T28" s="4">
        <f>SUMIF('Đóng gói trong giờ'!$A$12:$A$123,'Tổng hợp trong giờ'!$A28,'Đóng gói trong giờ'!T$12:T$123)</f>
        <v>0</v>
      </c>
      <c r="U28" s="4">
        <f>SUMIF('Đóng gói trong giờ'!$A$12:$A$123,'Tổng hợp trong giờ'!$A28,'Đóng gói trong giờ'!U$12:U$123)</f>
        <v>0</v>
      </c>
      <c r="V28" s="4">
        <f>SUMIF('Đóng gói trong giờ'!$A$12:$A$123,'Tổng hợp trong giờ'!$A28,'Đóng gói trong giờ'!V$12:V$123)</f>
        <v>0</v>
      </c>
      <c r="W28" s="4">
        <f>SUMIF('Đóng gói trong giờ'!$A$12:$A$123,'Tổng hợp trong giờ'!$A28,'Đóng gói trong giờ'!W$12:W$123)</f>
        <v>0</v>
      </c>
      <c r="X28" s="4">
        <f>SUMIF('Đóng gói trong giờ'!$A$12:$A$123,'Tổng hợp trong giờ'!$A28,'Đóng gói trong giờ'!X$12:X$123)</f>
        <v>0</v>
      </c>
      <c r="Y28" s="4">
        <f>SUMIF('Đóng gói trong giờ'!$A$12:$A$123,'Tổng hợp trong giờ'!$A28,'Đóng gói trong giờ'!Y$12:Y$123)</f>
        <v>0</v>
      </c>
      <c r="Z28" s="4">
        <f>SUMIF('Đóng gói trong giờ'!$A$12:$A$123,'Tổng hợp trong giờ'!$A28,'Đóng gói trong giờ'!Z$12:Z$123)</f>
        <v>0</v>
      </c>
      <c r="AA28" s="4">
        <f>SUMIF('Đóng gói trong giờ'!$A$12:$A$123,'Tổng hợp trong giờ'!$A28,'Đóng gói trong giờ'!AA$12:AA$123)</f>
        <v>146.66666666666669</v>
      </c>
      <c r="AB28" s="4">
        <f>SUMIF('Đóng gói trong giờ'!$A$12:$A$123,'Tổng hợp trong giờ'!$A28,'Đóng gói trong giờ'!AB$12:AB$123)</f>
        <v>0</v>
      </c>
      <c r="AC28" s="4">
        <f>SUMIF('Đóng gói trong giờ'!$A$12:$A$123,'Tổng hợp trong giờ'!$A28,'Đóng gói trong giờ'!AC$12:AC$123)</f>
        <v>0</v>
      </c>
      <c r="AD28" s="4">
        <f>SUMIF('Đóng gói trong giờ'!$A$12:$A$123,'Tổng hợp trong giờ'!$A28,'Đóng gói trong giờ'!AD$12:AD$123)</f>
        <v>697.5</v>
      </c>
      <c r="AE28" s="4">
        <f>SUMIF('Đóng gói trong giờ'!$A$12:$A$123,'Tổng hợp trong giờ'!$A28,'Đóng gói trong giờ'!AE$12:AE$123)</f>
        <v>0</v>
      </c>
      <c r="AF28" s="4">
        <f>SUMIF('Đóng gói trong giờ'!$A$12:$A$123,'Tổng hợp trong giờ'!$A28,'Đóng gói trong giờ'!AF$12:AF$123)</f>
        <v>0</v>
      </c>
      <c r="AG28" s="4">
        <f>SUMIF('Đóng gói trong giờ'!$A$12:$A$123,'Tổng hợp trong giờ'!$A28,'Đóng gói trong giờ'!AG$12:AG$123)</f>
        <v>0</v>
      </c>
      <c r="AH28" s="4">
        <f>SUMIF('Đóng gói trong giờ'!$A$12:$A$123,'Tổng hợp trong giờ'!$A28,'Đóng gói trong giờ'!AH$12:AH$123)</f>
        <v>0</v>
      </c>
      <c r="AI28" s="4">
        <f>SUMIF('Đóng gói trong giờ'!$A$12:$A$123,'Tổng hợp trong giờ'!$A28,'Đóng gói trong giờ'!AI$12:AI$123)</f>
        <v>0</v>
      </c>
      <c r="AJ28" s="4">
        <f>SUMIF('Đóng gói trong giờ'!$A$12:$A$123,'Tổng hợp trong giờ'!$A28,'Đóng gói trong giờ'!AJ$12:AJ$123)</f>
        <v>0</v>
      </c>
      <c r="AK28" s="4">
        <f>SUMIF('Đóng gói trong giờ'!$A$12:$A$123,'Tổng hợp trong giờ'!$A28,'Đóng gói trong giờ'!AK$12:AK$123)</f>
        <v>0</v>
      </c>
      <c r="AL28" s="4">
        <f>SUMIF('Đóng gói trong giờ'!$A$12:$A$123,'Tổng hợp trong giờ'!$A28,'Đóng gói trong giờ'!AL$12:AL$123)</f>
        <v>0</v>
      </c>
      <c r="AM28" s="4">
        <f>SUMIF('Đóng gói trong giờ'!$A$12:$A$123,'Tổng hợp trong giờ'!$A28,'Đóng gói trong giờ'!AM$12:AM$123)</f>
        <v>58.333333333333336</v>
      </c>
      <c r="AN28" s="4">
        <f>SUMIF('Đóng gói trong giờ'!$A$12:$A$123,'Tổng hợp trong giờ'!$A28,'Đóng gói trong giờ'!AN$12:AN$123)</f>
        <v>0</v>
      </c>
      <c r="AO28" s="4">
        <f>SUMIF('Đóng gói trong giờ'!$A$12:$A$123,'Tổng hợp trong giờ'!$A28,'Đóng gói trong giờ'!AO$12:AO$123)</f>
        <v>0</v>
      </c>
      <c r="AP28" s="4">
        <f>SUMIF('Đóng gói trong giờ'!$A$12:$A$123,'Tổng hợp trong giờ'!$A28,'Đóng gói trong giờ'!AP$12:AP$123)</f>
        <v>0</v>
      </c>
      <c r="AQ28" s="4">
        <f>SUMIF('Đóng gói trong giờ'!$A$12:$A$123,'Tổng hợp trong giờ'!$A28,'Đóng gói trong giờ'!AQ$12:AQ$123)</f>
        <v>0</v>
      </c>
      <c r="AR28" s="4">
        <f>SUMIF('Đóng gói trong giờ'!$A$12:$A$123,'Tổng hợp trong giờ'!$A28,'Đóng gói trong giờ'!AR$12:AR$123)</f>
        <v>0</v>
      </c>
      <c r="AS28" s="4">
        <f>SUMIF('Đóng gói trong giờ'!$A$12:$A$123,'Tổng hợp trong giờ'!$A28,'Đóng gói trong giờ'!AS$12:AS$123)</f>
        <v>0</v>
      </c>
      <c r="AT28" s="4">
        <f>SUMIF('Đóng gói trong giờ'!$A$12:$A$123,'Tổng hợp trong giờ'!$A28,'Đóng gói trong giờ'!AT$12:AT$123)</f>
        <v>0</v>
      </c>
      <c r="AU28" s="4">
        <f>SUMIF('Đóng gói trong giờ'!$A$12:$A$123,'Tổng hợp trong giờ'!$A28,'Đóng gói trong giờ'!AU$12:AU$123)</f>
        <v>0</v>
      </c>
      <c r="AV28" s="4">
        <f>SUMIF('Đóng gói trong giờ'!$A$12:$A$123,'Tổng hợp trong giờ'!$A28,'Đóng gói trong giờ'!AV$12:AV$123)</f>
        <v>0</v>
      </c>
      <c r="AW28" s="4">
        <f>SUMIF('Đóng gói trong giờ'!$A$12:$A$123,'Tổng hợp trong giờ'!$A28,'Đóng gói trong giờ'!AW$12:AW$123)</f>
        <v>0</v>
      </c>
      <c r="AX28" s="4">
        <f>SUMIF('Đóng gói trong giờ'!$A$12:$A$123,'Tổng hợp trong giờ'!$A28,'Đóng gói trong giờ'!AX$12:AX$123)</f>
        <v>0</v>
      </c>
      <c r="AY28" s="4">
        <f>SUMIF('Đóng gói trong giờ'!$A$12:$A$123,'Tổng hợp trong giờ'!$A28,'Đóng gói trong giờ'!AY$12:AY$123)</f>
        <v>0</v>
      </c>
      <c r="AZ28" s="4">
        <f>SUMIF('Đóng gói trong giờ'!$A$12:$A$123,'Tổng hợp trong giờ'!$A28,'Đóng gói trong giờ'!AZ$12:AZ$123)</f>
        <v>0</v>
      </c>
      <c r="BA28" s="4">
        <f>SUMIF('Đóng gói trong giờ'!$A$12:$A$123,'Tổng hợp trong giờ'!$A28,'Đóng gói trong giờ'!BA$12:BA$123)</f>
        <v>0</v>
      </c>
      <c r="BB28" s="4">
        <f>SUMIF('Đóng gói trong giờ'!$A$12:$A$123,'Tổng hợp trong giờ'!$A28,'Đóng gói trong giờ'!BB$12:BB$123)</f>
        <v>0</v>
      </c>
      <c r="BC28" s="22">
        <f>SUMIF('Đóng gói trong giờ'!$A$12:$A$78,'Tổng hợp trong giờ'!$A28,'Đóng gói trong giờ'!BC$12:BC$78)</f>
        <v>0</v>
      </c>
      <c r="BD28" s="119">
        <f>SUMIF('Bốc hàng trong giờ new'!$H$13:$H$3398,'Tổng hợp trong giờ'!A28,'Bốc hàng trong giờ new'!$J$13:$J$3398)</f>
        <v>0</v>
      </c>
      <c r="BE28" s="22">
        <f>SUMIF('Đóng gói trong giờ'!$A$12:$A$78,'Tổng hợp trong giờ'!$A28,'Đóng gói trong giờ'!BE$12:BE$78)</f>
        <v>29</v>
      </c>
      <c r="BF28" s="4">
        <f>SUMIF('Đóng gói trong giờ'!$A$12:$A$123,'Tổng hợp trong giờ'!$A28,'Đóng gói trong giờ'!BD$12:BD$123)</f>
        <v>0</v>
      </c>
      <c r="BG28" s="4">
        <f>SUMIF('Đóng gói trong giờ'!$A$12:$A$123,'Tổng hợp trong giờ'!$A28,'Đóng gói trong giờ'!BE$12:BE$123)</f>
        <v>29</v>
      </c>
      <c r="BH28" s="4">
        <f>SUMIF('Đóng gói trong giờ'!$A$12:$A$123,'Tổng hợp trong giờ'!$A28,'Đóng gói trong giờ'!BF$12:BF$123)</f>
        <v>0</v>
      </c>
      <c r="BI28" s="4">
        <f>SUMIF('Đóng gói trong giờ'!$A$12:$A$123,'Tổng hợp trong giờ'!$A28,'Đóng gói trong giờ'!BG$12:BG$123)</f>
        <v>0</v>
      </c>
      <c r="BJ28" s="4">
        <f>SUMIF('Đóng gói trong giờ'!$A$12:$A$123,'Tổng hợp trong giờ'!$A28,'Đóng gói trong giờ'!BH$12:BH$123)</f>
        <v>0</v>
      </c>
      <c r="BK28" s="4">
        <f>SUMIF('Đóng gói trong giờ'!$A$12:$A$123,'Tổng hợp trong giờ'!$A28,'Đóng gói trong giờ'!BI$12:BI$123)</f>
        <v>0</v>
      </c>
      <c r="BL28" s="4">
        <f>SUMIF('Đóng gói trong giờ'!$A$12:$A$123,'Tổng hợp trong giờ'!$A28,'Đóng gói trong giờ'!BJ$12:BJ$123)</f>
        <v>0</v>
      </c>
      <c r="BM28" s="4">
        <f>SUMIF('Đóng gói trong giờ'!$A$12:$A$123,'Tổng hợp trong giờ'!$A28,'Đóng gói trong giờ'!BK$12:BK$123)</f>
        <v>0</v>
      </c>
      <c r="BN28" s="4">
        <f>SUMIF('Đóng gói trong giờ'!$A$12:$A$123,'Tổng hợp trong giờ'!$A28,'Đóng gói trong giờ'!BL$12:BL$123)</f>
        <v>31.5</v>
      </c>
      <c r="BO28" s="4">
        <f>SUMIF('Đóng gói trong giờ'!$A$12:$A$123,'Tổng hợp trong giờ'!$A28,'Đóng gói trong giờ'!BM$12:BM$123)</f>
        <v>0</v>
      </c>
      <c r="BP28" s="4">
        <f>SUMIF('Đóng gói trong giờ'!$A$12:$A$123,'Tổng hợp trong giờ'!$A28,'Đóng gói trong giờ'!BN$12:BN$123)</f>
        <v>1.5</v>
      </c>
      <c r="BQ28" s="4">
        <f>SUMIF('Đóng gói trong giờ'!$A$12:$A$123,'Tổng hợp trong giờ'!$A28,'Đóng gói trong giờ'!BO$12:BO$123)</f>
        <v>0</v>
      </c>
      <c r="BR28" s="4">
        <f>SUMIF('Đóng gói trong giờ'!$A$12:$A$123,'Tổng hợp trong giờ'!$A28,'Đóng gói trong giờ'!BP$12:BP$123)</f>
        <v>0</v>
      </c>
      <c r="BS28" s="4">
        <f>SUMIF('Đóng gói trong giờ'!$A$12:$A$123,'Tổng hợp trong giờ'!$A28,'Đóng gói trong giờ'!BQ$12:BQ$123)</f>
        <v>0</v>
      </c>
      <c r="BT28" s="4">
        <f>SUMIF('Đóng gói trong giờ'!$A$12:$A$123,'Tổng hợp trong giờ'!$A28,'Đóng gói trong giờ'!BR$12:BR$123)</f>
        <v>0</v>
      </c>
      <c r="BU28" s="169">
        <f t="shared" si="1"/>
        <v>62</v>
      </c>
      <c r="BV28" s="168">
        <f t="shared" si="2"/>
        <v>2286617.4920969442</v>
      </c>
      <c r="BW28" s="168">
        <f t="shared" si="3"/>
        <v>12418194.777888866</v>
      </c>
      <c r="BX28" s="4">
        <f ca="1">VLOOKUP(A28,'Tổng hợp ngoài giờ'!$A$15:$BW$41,75,0)</f>
        <v>620829.39234685607</v>
      </c>
      <c r="BY28" s="10">
        <f t="shared" ca="1" si="4"/>
        <v>13039024.170235721</v>
      </c>
      <c r="BZ28" s="96">
        <f>IF(ISNA(VLOOKUP(A28,' Bang luong'!$A$13:$M$59,11,0)),0,VLOOKUP(A28,' Bang luong'!$A$13:$M$59,11,0))</f>
        <v>26</v>
      </c>
      <c r="CA28" s="4">
        <f t="shared" si="5"/>
        <v>7000000</v>
      </c>
      <c r="CB28" s="14">
        <f t="shared" ca="1" si="6"/>
        <v>1.7740278254126951</v>
      </c>
      <c r="CH28" s="7"/>
      <c r="CI28" s="7"/>
      <c r="CQ28" s="9">
        <v>17</v>
      </c>
    </row>
    <row r="29" spans="1:95" ht="15.75" x14ac:dyDescent="0.25">
      <c r="A29" s="224" t="s">
        <v>118</v>
      </c>
      <c r="B29" s="2" t="str">
        <f>VLOOKUP(A29,'Mã NV'!$A$1:$C$27,2,0)</f>
        <v>Trần Thanh Nguyên</v>
      </c>
      <c r="C29" s="22"/>
      <c r="D29" s="4">
        <f>SUMIF('Đóng gói trong giờ'!$A$12:$A$123,'Tổng hợp trong giờ'!$A29,'Đóng gói trong giờ'!D$12:D$123)</f>
        <v>800</v>
      </c>
      <c r="E29" s="4">
        <f>SUMIF('Đóng gói trong giờ'!$A$12:$A$123,'Tổng hợp trong giờ'!$A29,'Đóng gói trong giờ'!E$12:E$123)</f>
        <v>5075</v>
      </c>
      <c r="F29" s="4">
        <f>SUMIF('Đóng gói trong giờ'!$A$12:$A$123,'Tổng hợp trong giờ'!$A29,'Đóng gói trong giờ'!F$12:F$123)</f>
        <v>3766.67</v>
      </c>
      <c r="G29" s="4">
        <f>SUMIF('Đóng gói trong giờ'!$A$12:$A$123,'Tổng hợp trong giờ'!$A29,'Đóng gói trong giờ'!G$12:G$123)</f>
        <v>0</v>
      </c>
      <c r="H29" s="4">
        <f>SUMIF('Đóng gói trong giờ'!$A$12:$A$123,'Tổng hợp trong giờ'!$A29,'Đóng gói trong giờ'!H$12:H$123)</f>
        <v>0</v>
      </c>
      <c r="I29" s="4">
        <f>SUMIF('Đóng gói trong giờ'!$A$12:$A$123,'Tổng hợp trong giờ'!$A29,'Đóng gói trong giờ'!I$12:I$123)</f>
        <v>0</v>
      </c>
      <c r="J29" s="4">
        <f>SUMIF('Đóng gói trong giờ'!$A$12:$A$123,'Tổng hợp trong giờ'!$A29,'Đóng gói trong giờ'!J$12:J$123)</f>
        <v>75</v>
      </c>
      <c r="K29" s="4">
        <f>SUMIF('Đóng gói trong giờ'!$A$12:$A$123,'Tổng hợp trong giờ'!$A29,'Đóng gói trong giờ'!K$12:K$123)</f>
        <v>0</v>
      </c>
      <c r="L29" s="4">
        <f>SUMIF('Đóng gói trong giờ'!$A$12:$A$123,'Tổng hợp trong giờ'!$A29,'Đóng gói trong giờ'!L$12:L$123)</f>
        <v>0</v>
      </c>
      <c r="M29" s="4">
        <f>SUMIF('Đóng gói trong giờ'!$A$12:$A$123,'Tổng hợp trong giờ'!$A29,'Đóng gói trong giờ'!M$12:M$123)</f>
        <v>0</v>
      </c>
      <c r="N29" s="4">
        <f>SUMIF('Đóng gói trong giờ'!$A$12:$A$123,'Tổng hợp trong giờ'!$A29,'Đóng gói trong giờ'!N$12:N$123)</f>
        <v>0</v>
      </c>
      <c r="O29" s="4">
        <f>SUMIF('Đóng gói trong giờ'!$A$12:$A$123,'Tổng hợp trong giờ'!$A29,'Đóng gói trong giờ'!O$12:O$123)</f>
        <v>0</v>
      </c>
      <c r="P29" s="4">
        <f>SUMIF('Đóng gói trong giờ'!$A$12:$A$123,'Tổng hợp trong giờ'!$A29,'Đóng gói trong giờ'!P$12:P$123)</f>
        <v>0</v>
      </c>
      <c r="Q29" s="4">
        <f>SUMIF('Đóng gói trong giờ'!$A$12:$A$123,'Tổng hợp trong giờ'!$A29,'Đóng gói trong giờ'!Q$12:Q$123)</f>
        <v>0</v>
      </c>
      <c r="R29" s="4">
        <f>SUMIF('Đóng gói trong giờ'!$A$12:$A$123,'Tổng hợp trong giờ'!$A29,'Đóng gói trong giờ'!R$12:R$123)</f>
        <v>350</v>
      </c>
      <c r="S29" s="4">
        <f>SUMIF('Đóng gói trong giờ'!$A$12:$A$123,'Tổng hợp trong giờ'!$A29,'Đóng gói trong giờ'!S$12:S$123)</f>
        <v>0</v>
      </c>
      <c r="T29" s="4">
        <f>SUMIF('Đóng gói trong giờ'!$A$12:$A$123,'Tổng hợp trong giờ'!$A29,'Đóng gói trong giờ'!T$12:T$123)</f>
        <v>0</v>
      </c>
      <c r="U29" s="4">
        <f>SUMIF('Đóng gói trong giờ'!$A$12:$A$123,'Tổng hợp trong giờ'!$A29,'Đóng gói trong giờ'!U$12:U$123)</f>
        <v>0</v>
      </c>
      <c r="V29" s="4">
        <f>SUMIF('Đóng gói trong giờ'!$A$12:$A$123,'Tổng hợp trong giờ'!$A29,'Đóng gói trong giờ'!V$12:V$123)</f>
        <v>0</v>
      </c>
      <c r="W29" s="4">
        <f>SUMIF('Đóng gói trong giờ'!$A$12:$A$123,'Tổng hợp trong giờ'!$A29,'Đóng gói trong giờ'!W$12:W$123)</f>
        <v>0</v>
      </c>
      <c r="X29" s="4">
        <f>SUMIF('Đóng gói trong giờ'!$A$12:$A$123,'Tổng hợp trong giờ'!$A29,'Đóng gói trong giờ'!X$12:X$123)</f>
        <v>0</v>
      </c>
      <c r="Y29" s="4">
        <f>SUMIF('Đóng gói trong giờ'!$A$12:$A$123,'Tổng hợp trong giờ'!$A29,'Đóng gói trong giờ'!Y$12:Y$123)</f>
        <v>0</v>
      </c>
      <c r="Z29" s="4">
        <f>SUMIF('Đóng gói trong giờ'!$A$12:$A$123,'Tổng hợp trong giờ'!$A29,'Đóng gói trong giờ'!Z$12:Z$123)</f>
        <v>0</v>
      </c>
      <c r="AA29" s="4">
        <f>SUMIF('Đóng gói trong giờ'!$A$12:$A$123,'Tổng hợp trong giờ'!$A29,'Đóng gói trong giờ'!AA$12:AA$123)</f>
        <v>200.00333333333333</v>
      </c>
      <c r="AB29" s="4">
        <f>SUMIF('Đóng gói trong giờ'!$A$12:$A$123,'Tổng hợp trong giờ'!$A29,'Đóng gói trong giờ'!AB$12:AB$123)</f>
        <v>0</v>
      </c>
      <c r="AC29" s="4">
        <f>SUMIF('Đóng gói trong giờ'!$A$12:$A$123,'Tổng hợp trong giờ'!$A29,'Đóng gói trong giờ'!AC$12:AC$123)</f>
        <v>0</v>
      </c>
      <c r="AD29" s="4">
        <f>SUMIF('Đóng gói trong giờ'!$A$12:$A$123,'Tổng hợp trong giờ'!$A29,'Đóng gói trong giờ'!AD$12:AD$123)</f>
        <v>375</v>
      </c>
      <c r="AE29" s="4">
        <f>SUMIF('Đóng gói trong giờ'!$A$12:$A$123,'Tổng hợp trong giờ'!$A29,'Đóng gói trong giờ'!AE$12:AE$123)</f>
        <v>0</v>
      </c>
      <c r="AF29" s="4">
        <f>SUMIF('Đóng gói trong giờ'!$A$12:$A$123,'Tổng hợp trong giờ'!$A29,'Đóng gói trong giờ'!AF$12:AF$123)</f>
        <v>0</v>
      </c>
      <c r="AG29" s="4">
        <f>SUMIF('Đóng gói trong giờ'!$A$12:$A$123,'Tổng hợp trong giờ'!$A29,'Đóng gói trong giờ'!AG$12:AG$123)</f>
        <v>0</v>
      </c>
      <c r="AH29" s="4">
        <f>SUMIF('Đóng gói trong giờ'!$A$12:$A$123,'Tổng hợp trong giờ'!$A29,'Đóng gói trong giờ'!AH$12:AH$123)</f>
        <v>0</v>
      </c>
      <c r="AI29" s="4">
        <f>SUMIF('Đóng gói trong giờ'!$A$12:$A$123,'Tổng hợp trong giờ'!$A29,'Đóng gói trong giờ'!AI$12:AI$123)</f>
        <v>0</v>
      </c>
      <c r="AJ29" s="4">
        <f>SUMIF('Đóng gói trong giờ'!$A$12:$A$123,'Tổng hợp trong giờ'!$A29,'Đóng gói trong giờ'!AJ$12:AJ$123)</f>
        <v>0</v>
      </c>
      <c r="AK29" s="4">
        <f>SUMIF('Đóng gói trong giờ'!$A$12:$A$123,'Tổng hợp trong giờ'!$A29,'Đóng gói trong giờ'!AK$12:AK$123)</f>
        <v>0</v>
      </c>
      <c r="AL29" s="4">
        <f>SUMIF('Đóng gói trong giờ'!$A$12:$A$123,'Tổng hợp trong giờ'!$A29,'Đóng gói trong giờ'!AL$12:AL$123)</f>
        <v>0</v>
      </c>
      <c r="AM29" s="4">
        <f>SUMIF('Đóng gói trong giờ'!$A$12:$A$123,'Tổng hợp trong giờ'!$A29,'Đóng gói trong giờ'!AM$12:AM$123)</f>
        <v>100</v>
      </c>
      <c r="AN29" s="4">
        <f>SUMIF('Đóng gói trong giờ'!$A$12:$A$123,'Tổng hợp trong giờ'!$A29,'Đóng gói trong giờ'!AN$12:AN$123)</f>
        <v>0</v>
      </c>
      <c r="AO29" s="4">
        <f>SUMIF('Đóng gói trong giờ'!$A$12:$A$123,'Tổng hợp trong giờ'!$A29,'Đóng gói trong giờ'!AO$12:AO$123)</f>
        <v>0</v>
      </c>
      <c r="AP29" s="4">
        <f>SUMIF('Đóng gói trong giờ'!$A$12:$A$123,'Tổng hợp trong giờ'!$A29,'Đóng gói trong giờ'!AP$12:AP$123)</f>
        <v>0</v>
      </c>
      <c r="AQ29" s="4">
        <f>SUMIF('Đóng gói trong giờ'!$A$12:$A$123,'Tổng hợp trong giờ'!$A29,'Đóng gói trong giờ'!AQ$12:AQ$123)</f>
        <v>0</v>
      </c>
      <c r="AR29" s="4">
        <f>SUMIF('Đóng gói trong giờ'!$A$12:$A$123,'Tổng hợp trong giờ'!$A29,'Đóng gói trong giờ'!AR$12:AR$123)</f>
        <v>0</v>
      </c>
      <c r="AS29" s="4">
        <f>SUMIF('Đóng gói trong giờ'!$A$12:$A$123,'Tổng hợp trong giờ'!$A29,'Đóng gói trong giờ'!AS$12:AS$123)</f>
        <v>0</v>
      </c>
      <c r="AT29" s="4">
        <f>SUMIF('Đóng gói trong giờ'!$A$12:$A$123,'Tổng hợp trong giờ'!$A29,'Đóng gói trong giờ'!AT$12:AT$123)</f>
        <v>0</v>
      </c>
      <c r="AU29" s="4">
        <f>SUMIF('Đóng gói trong giờ'!$A$12:$A$123,'Tổng hợp trong giờ'!$A29,'Đóng gói trong giờ'!AU$12:AU$123)</f>
        <v>0</v>
      </c>
      <c r="AV29" s="4">
        <f>SUMIF('Đóng gói trong giờ'!$A$12:$A$123,'Tổng hợp trong giờ'!$A29,'Đóng gói trong giờ'!AV$12:AV$123)</f>
        <v>0</v>
      </c>
      <c r="AW29" s="4">
        <f>SUMIF('Đóng gói trong giờ'!$A$12:$A$123,'Tổng hợp trong giờ'!$A29,'Đóng gói trong giờ'!AW$12:AW$123)</f>
        <v>0</v>
      </c>
      <c r="AX29" s="4">
        <f>SUMIF('Đóng gói trong giờ'!$A$12:$A$123,'Tổng hợp trong giờ'!$A29,'Đóng gói trong giờ'!AX$12:AX$123)</f>
        <v>0</v>
      </c>
      <c r="AY29" s="4">
        <f>SUMIF('Đóng gói trong giờ'!$A$12:$A$123,'Tổng hợp trong giờ'!$A29,'Đóng gói trong giờ'!AY$12:AY$123)</f>
        <v>0</v>
      </c>
      <c r="AZ29" s="4">
        <f>SUMIF('Đóng gói trong giờ'!$A$12:$A$123,'Tổng hợp trong giờ'!$A29,'Đóng gói trong giờ'!AZ$12:AZ$123)</f>
        <v>0</v>
      </c>
      <c r="BA29" s="4">
        <f>SUMIF('Đóng gói trong giờ'!$A$12:$A$123,'Tổng hợp trong giờ'!$A29,'Đóng gói trong giờ'!BA$12:BA$123)</f>
        <v>0</v>
      </c>
      <c r="BB29" s="4">
        <f>SUMIF('Đóng gói trong giờ'!$A$12:$A$123,'Tổng hợp trong giờ'!$A29,'Đóng gói trong giờ'!BB$12:BB$123)</f>
        <v>0</v>
      </c>
      <c r="BC29" s="22">
        <f>SUMIF('Đóng gói trong giờ'!$A$12:$A$78,'Tổng hợp trong giờ'!$A29,'Đóng gói trong giờ'!BC$12:BC$78)</f>
        <v>0</v>
      </c>
      <c r="BD29" s="119">
        <f>SUMIF('Bốc hàng trong giờ new'!$H$13:$H$3398,'Tổng hợp trong giờ'!A29,'Bốc hàng trong giờ new'!$J$13:$J$3398)</f>
        <v>0</v>
      </c>
      <c r="BE29" s="22">
        <f>SUMIF('Đóng gói trong giờ'!$A$12:$A$78,'Tổng hợp trong giờ'!$A29,'Đóng gói trong giờ'!BE$12:BE$78)</f>
        <v>38.5</v>
      </c>
      <c r="BF29" s="4">
        <f>SUMIF('Đóng gói trong giờ'!$A$12:$A$123,'Tổng hợp trong giờ'!$A29,'Đóng gói trong giờ'!BD$12:BD$123)</f>
        <v>0</v>
      </c>
      <c r="BG29" s="4">
        <f>SUMIF('Đóng gói trong giờ'!$A$12:$A$123,'Tổng hợp trong giờ'!$A29,'Đóng gói trong giờ'!BE$12:BE$123)</f>
        <v>38.5</v>
      </c>
      <c r="BH29" s="4">
        <f>SUMIF('Đóng gói trong giờ'!$A$12:$A$123,'Tổng hợp trong giờ'!$A29,'Đóng gói trong giờ'!BF$12:BF$123)</f>
        <v>0</v>
      </c>
      <c r="BI29" s="4">
        <f>SUMIF('Đóng gói trong giờ'!$A$12:$A$123,'Tổng hợp trong giờ'!$A29,'Đóng gói trong giờ'!BG$12:BG$123)</f>
        <v>0</v>
      </c>
      <c r="BJ29" s="4">
        <f>SUMIF('Đóng gói trong giờ'!$A$12:$A$123,'Tổng hợp trong giờ'!$A29,'Đóng gói trong giờ'!BH$12:BH$123)</f>
        <v>0</v>
      </c>
      <c r="BK29" s="4">
        <f>SUMIF('Đóng gói trong giờ'!$A$12:$A$123,'Tổng hợp trong giờ'!$A29,'Đóng gói trong giờ'!BI$12:BI$123)</f>
        <v>0</v>
      </c>
      <c r="BL29" s="4">
        <f>SUMIF('Đóng gói trong giờ'!$A$12:$A$123,'Tổng hợp trong giờ'!$A29,'Đóng gói trong giờ'!BJ$12:BJ$123)</f>
        <v>0</v>
      </c>
      <c r="BM29" s="4">
        <f>SUMIF('Đóng gói trong giờ'!$A$12:$A$123,'Tổng hợp trong giờ'!$A29,'Đóng gói trong giờ'!BK$12:BK$123)</f>
        <v>0</v>
      </c>
      <c r="BN29" s="4">
        <f>SUMIF('Đóng gói trong giờ'!$A$12:$A$123,'Tổng hợp trong giờ'!$A29,'Đóng gói trong giờ'!BL$12:BL$123)</f>
        <v>24</v>
      </c>
      <c r="BO29" s="4">
        <f>SUMIF('Đóng gói trong giờ'!$A$12:$A$123,'Tổng hợp trong giờ'!$A29,'Đóng gói trong giờ'!BM$12:BM$123)</f>
        <v>0</v>
      </c>
      <c r="BP29" s="4">
        <f>SUMIF('Đóng gói trong giờ'!$A$12:$A$123,'Tổng hợp trong giờ'!$A29,'Đóng gói trong giờ'!BN$12:BN$123)</f>
        <v>0</v>
      </c>
      <c r="BQ29" s="4">
        <f>SUMIF('Đóng gói trong giờ'!$A$12:$A$123,'Tổng hợp trong giờ'!$A29,'Đóng gói trong giờ'!BO$12:BO$123)</f>
        <v>0</v>
      </c>
      <c r="BR29" s="4">
        <f>SUMIF('Đóng gói trong giờ'!$A$12:$A$123,'Tổng hợp trong giờ'!$A29,'Đóng gói trong giờ'!BP$12:BP$123)</f>
        <v>0</v>
      </c>
      <c r="BS29" s="4">
        <f>SUMIF('Đóng gói trong giờ'!$A$12:$A$123,'Tổng hợp trong giờ'!$A29,'Đóng gói trong giờ'!BQ$12:BQ$123)</f>
        <v>0</v>
      </c>
      <c r="BT29" s="4">
        <f>SUMIF('Đóng gói trong giờ'!$A$12:$A$123,'Tổng hợp trong giờ'!$A29,'Đóng gói trong giờ'!BR$12:BR$123)</f>
        <v>0</v>
      </c>
      <c r="BU29" s="169">
        <f t="shared" si="1"/>
        <v>62.5</v>
      </c>
      <c r="BV29" s="168">
        <f t="shared" si="2"/>
        <v>2305057.9557428872</v>
      </c>
      <c r="BW29" s="168">
        <f t="shared" si="3"/>
        <v>11581862.28608894</v>
      </c>
      <c r="BX29" s="4">
        <f ca="1">VLOOKUP(A29,'Tổng hợp ngoài giờ'!$A$15:$BW$41,75,0)</f>
        <v>1229032.8924491252</v>
      </c>
      <c r="BY29" s="10">
        <f t="shared" ca="1" si="4"/>
        <v>12810895.178538065</v>
      </c>
      <c r="BZ29" s="96">
        <f>IF(ISNA(VLOOKUP(A29,' Bang luong'!$A$13:$M$59,11,0)),0,VLOOKUP(A29,' Bang luong'!$A$13:$M$59,11,0))</f>
        <v>25</v>
      </c>
      <c r="CA29" s="4">
        <f t="shared" si="5"/>
        <v>6730769.230769231</v>
      </c>
      <c r="CB29" s="14">
        <f t="shared" ca="1" si="6"/>
        <v>1.7207338253617852</v>
      </c>
      <c r="CH29" s="7"/>
      <c r="CI29" s="7"/>
      <c r="CQ29" s="9">
        <v>18</v>
      </c>
    </row>
    <row r="30" spans="1:95" ht="15.75" x14ac:dyDescent="0.25">
      <c r="A30" s="224" t="s">
        <v>119</v>
      </c>
      <c r="B30" s="2" t="str">
        <f>VLOOKUP(A30,'Mã NV'!$A$1:$C$27,2,0)</f>
        <v>Lê Nhật Trường Giang</v>
      </c>
      <c r="C30" s="22"/>
      <c r="D30" s="4">
        <f>SUMIF('Đóng gói trong giờ'!$A$12:$A$123,'Tổng hợp trong giờ'!$A30,'Đóng gói trong giờ'!D$12:D$123)</f>
        <v>800</v>
      </c>
      <c r="E30" s="4">
        <f>SUMIF('Đóng gói trong giờ'!$A$12:$A$123,'Tổng hợp trong giờ'!$A30,'Đóng gói trong giờ'!E$12:E$123)</f>
        <v>5175</v>
      </c>
      <c r="F30" s="4">
        <f>SUMIF('Đóng gói trong giờ'!$A$12:$A$123,'Tổng hợp trong giờ'!$A30,'Đóng gói trong giờ'!F$12:F$123)</f>
        <v>3710</v>
      </c>
      <c r="G30" s="4">
        <f>SUMIF('Đóng gói trong giờ'!$A$12:$A$123,'Tổng hợp trong giờ'!$A30,'Đóng gói trong giờ'!G$12:G$123)</f>
        <v>0</v>
      </c>
      <c r="H30" s="4">
        <f>SUMIF('Đóng gói trong giờ'!$A$12:$A$123,'Tổng hợp trong giờ'!$A30,'Đóng gói trong giờ'!H$12:H$123)</f>
        <v>0</v>
      </c>
      <c r="I30" s="4">
        <f>SUMIF('Đóng gói trong giờ'!$A$12:$A$123,'Tổng hợp trong giờ'!$A30,'Đóng gói trong giờ'!I$12:I$123)</f>
        <v>0</v>
      </c>
      <c r="J30" s="4">
        <f>SUMIF('Đóng gói trong giờ'!$A$12:$A$123,'Tổng hợp trong giờ'!$A30,'Đóng gói trong giờ'!J$12:J$123)</f>
        <v>150</v>
      </c>
      <c r="K30" s="4">
        <f>SUMIF('Đóng gói trong giờ'!$A$12:$A$123,'Tổng hợp trong giờ'!$A30,'Đóng gói trong giờ'!K$12:K$123)</f>
        <v>0</v>
      </c>
      <c r="L30" s="4">
        <f>SUMIF('Đóng gói trong giờ'!$A$12:$A$123,'Tổng hợp trong giờ'!$A30,'Đóng gói trong giờ'!L$12:L$123)</f>
        <v>0</v>
      </c>
      <c r="M30" s="4">
        <f>SUMIF('Đóng gói trong giờ'!$A$12:$A$123,'Tổng hợp trong giờ'!$A30,'Đóng gói trong giờ'!M$12:M$123)</f>
        <v>325</v>
      </c>
      <c r="N30" s="4">
        <f>SUMIF('Đóng gói trong giờ'!$A$12:$A$123,'Tổng hợp trong giờ'!$A30,'Đóng gói trong giờ'!N$12:N$123)</f>
        <v>0</v>
      </c>
      <c r="O30" s="4">
        <f>SUMIF('Đóng gói trong giờ'!$A$12:$A$123,'Tổng hợp trong giờ'!$A30,'Đóng gói trong giờ'!O$12:O$123)</f>
        <v>0</v>
      </c>
      <c r="P30" s="4">
        <f>SUMIF('Đóng gói trong giờ'!$A$12:$A$123,'Tổng hợp trong giờ'!$A30,'Đóng gói trong giờ'!P$12:P$123)</f>
        <v>200</v>
      </c>
      <c r="Q30" s="4">
        <f>SUMIF('Đóng gói trong giờ'!$A$12:$A$123,'Tổng hợp trong giờ'!$A30,'Đóng gói trong giờ'!Q$12:Q$123)</f>
        <v>325</v>
      </c>
      <c r="R30" s="4">
        <f>SUMIF('Đóng gói trong giờ'!$A$12:$A$123,'Tổng hợp trong giờ'!$A30,'Đóng gói trong giờ'!R$12:R$123)</f>
        <v>183.33333333333334</v>
      </c>
      <c r="S30" s="4">
        <f>SUMIF('Đóng gói trong giờ'!$A$12:$A$123,'Tổng hợp trong giờ'!$A30,'Đóng gói trong giờ'!S$12:S$123)</f>
        <v>0</v>
      </c>
      <c r="T30" s="4">
        <f>SUMIF('Đóng gói trong giờ'!$A$12:$A$123,'Tổng hợp trong giờ'!$A30,'Đóng gói trong giờ'!T$12:T$123)</f>
        <v>0</v>
      </c>
      <c r="U30" s="4">
        <f>SUMIF('Đóng gói trong giờ'!$A$12:$A$123,'Tổng hợp trong giờ'!$A30,'Đóng gói trong giờ'!U$12:U$123)</f>
        <v>0</v>
      </c>
      <c r="V30" s="4">
        <f>SUMIF('Đóng gói trong giờ'!$A$12:$A$123,'Tổng hợp trong giờ'!$A30,'Đóng gói trong giờ'!V$12:V$123)</f>
        <v>0</v>
      </c>
      <c r="W30" s="4">
        <f>SUMIF('Đóng gói trong giờ'!$A$12:$A$123,'Tổng hợp trong giờ'!$A30,'Đóng gói trong giờ'!W$12:W$123)</f>
        <v>0</v>
      </c>
      <c r="X30" s="4">
        <f>SUMIF('Đóng gói trong giờ'!$A$12:$A$123,'Tổng hợp trong giờ'!$A30,'Đóng gói trong giờ'!X$12:X$123)</f>
        <v>0</v>
      </c>
      <c r="Y30" s="4">
        <f>SUMIF('Đóng gói trong giờ'!$A$12:$A$123,'Tổng hợp trong giờ'!$A30,'Đóng gói trong giờ'!Y$12:Y$123)</f>
        <v>0</v>
      </c>
      <c r="Z30" s="4">
        <f>SUMIF('Đóng gói trong giờ'!$A$12:$A$123,'Tổng hợp trong giờ'!$A30,'Đóng gói trong giờ'!Z$12:Z$123)</f>
        <v>0</v>
      </c>
      <c r="AA30" s="4">
        <f>SUMIF('Đóng gói trong giờ'!$A$12:$A$123,'Tổng hợp trong giờ'!$A30,'Đóng gói trong giờ'!AA$12:AA$123)</f>
        <v>0</v>
      </c>
      <c r="AB30" s="4">
        <f>SUMIF('Đóng gói trong giờ'!$A$12:$A$123,'Tổng hợp trong giờ'!$A30,'Đóng gói trong giờ'!AB$12:AB$123)</f>
        <v>0</v>
      </c>
      <c r="AC30" s="4">
        <f>SUMIF('Đóng gói trong giờ'!$A$12:$A$123,'Tổng hợp trong giờ'!$A30,'Đóng gói trong giờ'!AC$12:AC$123)</f>
        <v>795</v>
      </c>
      <c r="AD30" s="4">
        <f>SUMIF('Đóng gói trong giờ'!$A$12:$A$123,'Tổng hợp trong giờ'!$A30,'Đóng gói trong giờ'!AD$12:AD$123)</f>
        <v>437.5</v>
      </c>
      <c r="AE30" s="4">
        <f>SUMIF('Đóng gói trong giờ'!$A$12:$A$123,'Tổng hợp trong giờ'!$A30,'Đóng gói trong giờ'!AE$12:AE$123)</f>
        <v>0</v>
      </c>
      <c r="AF30" s="4">
        <f>SUMIF('Đóng gói trong giờ'!$A$12:$A$123,'Tổng hợp trong giờ'!$A30,'Đóng gói trong giờ'!AF$12:AF$123)</f>
        <v>0</v>
      </c>
      <c r="AG30" s="4">
        <f>SUMIF('Đóng gói trong giờ'!$A$12:$A$123,'Tổng hợp trong giờ'!$A30,'Đóng gói trong giờ'!AG$12:AG$123)</f>
        <v>0</v>
      </c>
      <c r="AH30" s="4">
        <f>SUMIF('Đóng gói trong giờ'!$A$12:$A$123,'Tổng hợp trong giờ'!$A30,'Đóng gói trong giờ'!AH$12:AH$123)</f>
        <v>0</v>
      </c>
      <c r="AI30" s="4">
        <f>SUMIF('Đóng gói trong giờ'!$A$12:$A$123,'Tổng hợp trong giờ'!$A30,'Đóng gói trong giờ'!AI$12:AI$123)</f>
        <v>0</v>
      </c>
      <c r="AJ30" s="4">
        <f>SUMIF('Đóng gói trong giờ'!$A$12:$A$123,'Tổng hợp trong giờ'!$A30,'Đóng gói trong giờ'!AJ$12:AJ$123)</f>
        <v>0</v>
      </c>
      <c r="AK30" s="4">
        <f>SUMIF('Đóng gói trong giờ'!$A$12:$A$123,'Tổng hợp trong giờ'!$A30,'Đóng gói trong giờ'!AK$12:AK$123)</f>
        <v>0</v>
      </c>
      <c r="AL30" s="4">
        <f>SUMIF('Đóng gói trong giờ'!$A$12:$A$123,'Tổng hợp trong giờ'!$A30,'Đóng gói trong giờ'!AL$12:AL$123)</f>
        <v>0</v>
      </c>
      <c r="AM30" s="4">
        <f>SUMIF('Đóng gói trong giờ'!$A$12:$A$123,'Tổng hợp trong giờ'!$A30,'Đóng gói trong giờ'!AM$12:AM$123)</f>
        <v>58.33</v>
      </c>
      <c r="AN30" s="4">
        <f>SUMIF('Đóng gói trong giờ'!$A$12:$A$123,'Tổng hợp trong giờ'!$A30,'Đóng gói trong giờ'!AN$12:AN$123)</f>
        <v>0</v>
      </c>
      <c r="AO30" s="4">
        <f>SUMIF('Đóng gói trong giờ'!$A$12:$A$123,'Tổng hợp trong giờ'!$A30,'Đóng gói trong giờ'!AO$12:AO$123)</f>
        <v>0</v>
      </c>
      <c r="AP30" s="4">
        <f>SUMIF('Đóng gói trong giờ'!$A$12:$A$123,'Tổng hợp trong giờ'!$A30,'Đóng gói trong giờ'!AP$12:AP$123)</f>
        <v>0</v>
      </c>
      <c r="AQ30" s="4">
        <f>SUMIF('Đóng gói trong giờ'!$A$12:$A$123,'Tổng hợp trong giờ'!$A30,'Đóng gói trong giờ'!AQ$12:AQ$123)</f>
        <v>0</v>
      </c>
      <c r="AR30" s="4">
        <f>SUMIF('Đóng gói trong giờ'!$A$12:$A$123,'Tổng hợp trong giờ'!$A30,'Đóng gói trong giờ'!AR$12:AR$123)</f>
        <v>0</v>
      </c>
      <c r="AS30" s="4">
        <f>SUMIF('Đóng gói trong giờ'!$A$12:$A$123,'Tổng hợp trong giờ'!$A30,'Đóng gói trong giờ'!AS$12:AS$123)</f>
        <v>0</v>
      </c>
      <c r="AT30" s="4">
        <f>SUMIF('Đóng gói trong giờ'!$A$12:$A$123,'Tổng hợp trong giờ'!$A30,'Đóng gói trong giờ'!AT$12:AT$123)</f>
        <v>0</v>
      </c>
      <c r="AU30" s="4">
        <f>SUMIF('Đóng gói trong giờ'!$A$12:$A$123,'Tổng hợp trong giờ'!$A30,'Đóng gói trong giờ'!AU$12:AU$123)</f>
        <v>0</v>
      </c>
      <c r="AV30" s="4">
        <f>SUMIF('Đóng gói trong giờ'!$A$12:$A$123,'Tổng hợp trong giờ'!$A30,'Đóng gói trong giờ'!AV$12:AV$123)</f>
        <v>0</v>
      </c>
      <c r="AW30" s="4">
        <f>SUMIF('Đóng gói trong giờ'!$A$12:$A$123,'Tổng hợp trong giờ'!$A30,'Đóng gói trong giờ'!AW$12:AW$123)</f>
        <v>0</v>
      </c>
      <c r="AX30" s="4">
        <f>SUMIF('Đóng gói trong giờ'!$A$12:$A$123,'Tổng hợp trong giờ'!$A30,'Đóng gói trong giờ'!AX$12:AX$123)</f>
        <v>0</v>
      </c>
      <c r="AY30" s="4">
        <f>SUMIF('Đóng gói trong giờ'!$A$12:$A$123,'Tổng hợp trong giờ'!$A30,'Đóng gói trong giờ'!AY$12:AY$123)</f>
        <v>0</v>
      </c>
      <c r="AZ30" s="4">
        <f>SUMIF('Đóng gói trong giờ'!$A$12:$A$123,'Tổng hợp trong giờ'!$A30,'Đóng gói trong giờ'!AZ$12:AZ$123)</f>
        <v>0</v>
      </c>
      <c r="BA30" s="4">
        <f>SUMIF('Đóng gói trong giờ'!$A$12:$A$123,'Tổng hợp trong giờ'!$A30,'Đóng gói trong giờ'!BA$12:BA$123)</f>
        <v>0</v>
      </c>
      <c r="BB30" s="4">
        <f>SUMIF('Đóng gói trong giờ'!$A$12:$A$123,'Tổng hợp trong giờ'!$A30,'Đóng gói trong giờ'!BB$12:BB$123)</f>
        <v>0</v>
      </c>
      <c r="BC30" s="22">
        <f>SUMIF('Đóng gói ngoài giờ'!$A$12:$A$34,'Tổng hợp ngoài giờ'!$A31,'Đóng gói ngoài giờ'!BC$12:BC$34)</f>
        <v>0</v>
      </c>
      <c r="BD30" s="120">
        <f>SUMIF('Bốc hàng ngoài giờ new'!$H$13:$H$4949,'Tổng hợp trong giờ'!A30,'Bốc hàng ngoài giờ new'!$J$13:$J$4949)</f>
        <v>0</v>
      </c>
      <c r="BE30" s="22">
        <f>SUMIF('Đóng gói ngoài giờ'!$A$12:$A$34,'Tổng hợp ngoài giờ'!$A31,'Đóng gói ngoài giờ'!BE$12:BE$34)</f>
        <v>1.5</v>
      </c>
      <c r="BF30" s="4">
        <f>SUMIF('Đóng gói trong giờ'!$A$12:$A$123,'Tổng hợp trong giờ'!$A30,'Đóng gói trong giờ'!BD$12:BD$123)</f>
        <v>0</v>
      </c>
      <c r="BG30" s="4">
        <f>SUMIF('Đóng gói trong giờ'!$A$12:$A$123,'Tổng hợp trong giờ'!$A30,'Đóng gói trong giờ'!BE$12:BE$123)</f>
        <v>39</v>
      </c>
      <c r="BH30" s="4">
        <f>SUMIF('Đóng gói trong giờ'!$A$12:$A$123,'Tổng hợp trong giờ'!$A30,'Đóng gói trong giờ'!BF$12:BF$123)</f>
        <v>0</v>
      </c>
      <c r="BI30" s="4">
        <f>SUMIF('Đóng gói trong giờ'!$A$12:$A$123,'Tổng hợp trong giờ'!$A30,'Đóng gói trong giờ'!BG$12:BG$123)</f>
        <v>0</v>
      </c>
      <c r="BJ30" s="4">
        <f>SUMIF('Đóng gói trong giờ'!$A$12:$A$123,'Tổng hợp trong giờ'!$A30,'Đóng gói trong giờ'!BH$12:BH$123)</f>
        <v>0</v>
      </c>
      <c r="BK30" s="4">
        <f>SUMIF('Đóng gói trong giờ'!$A$12:$A$123,'Tổng hợp trong giờ'!$A30,'Đóng gói trong giờ'!BI$12:BI$123)</f>
        <v>0</v>
      </c>
      <c r="BL30" s="4">
        <f>SUMIF('Đóng gói trong giờ'!$A$12:$A$123,'Tổng hợp trong giờ'!$A30,'Đóng gói trong giờ'!BJ$12:BJ$123)</f>
        <v>0</v>
      </c>
      <c r="BM30" s="4">
        <f>SUMIF('Đóng gói trong giờ'!$A$12:$A$123,'Tổng hợp trong giờ'!$A30,'Đóng gói trong giờ'!BK$12:BK$123)</f>
        <v>0</v>
      </c>
      <c r="BN30" s="4">
        <f>SUMIF('Đóng gói trong giờ'!$A$12:$A$123,'Tổng hợp trong giờ'!$A30,'Đóng gói trong giờ'!BL$12:BL$123)</f>
        <v>22</v>
      </c>
      <c r="BO30" s="4">
        <f>SUMIF('Đóng gói trong giờ'!$A$12:$A$123,'Tổng hợp trong giờ'!$A30,'Đóng gói trong giờ'!BM$12:BM$123)</f>
        <v>0</v>
      </c>
      <c r="BP30" s="4">
        <f>SUMIF('Đóng gói trong giờ'!$A$12:$A$123,'Tổng hợp trong giờ'!$A30,'Đóng gói trong giờ'!BN$12:BN$123)</f>
        <v>0.5</v>
      </c>
      <c r="BQ30" s="4">
        <f>SUMIF('Đóng gói trong giờ'!$A$12:$A$123,'Tổng hợp trong giờ'!$A30,'Đóng gói trong giờ'!BO$12:BO$123)</f>
        <v>0</v>
      </c>
      <c r="BR30" s="4">
        <f>SUMIF('Đóng gói trong giờ'!$A$12:$A$123,'Tổng hợp trong giờ'!$A30,'Đóng gói trong giờ'!BP$12:BP$123)</f>
        <v>0</v>
      </c>
      <c r="BS30" s="4">
        <f>SUMIF('Đóng gói trong giờ'!$A$12:$A$123,'Tổng hợp trong giờ'!$A30,'Đóng gói trong giờ'!BQ$12:BQ$123)</f>
        <v>0</v>
      </c>
      <c r="BT30" s="4">
        <f>SUMIF('Đóng gói trong giờ'!$A$12:$A$123,'Tổng hợp trong giờ'!$A30,'Đóng gói trong giờ'!BR$12:BR$123)</f>
        <v>0</v>
      </c>
      <c r="BU30" s="169">
        <f>SUM(BF30:BT30)</f>
        <v>61.5</v>
      </c>
      <c r="BV30" s="168">
        <f>SUMPRODUCT($BF$13:$BT$13,BF30:BT30)</f>
        <v>2268177.0284510008</v>
      </c>
      <c r="BW30" s="168">
        <f t="shared" si="3"/>
        <v>11732595.578604069</v>
      </c>
      <c r="BX30" s="4">
        <f ca="1">VLOOKUP(A30,'Tổng hợp ngoài giờ'!$A$15:$BW$41,75,0)</f>
        <v>1399571.616336586</v>
      </c>
      <c r="BY30" s="10">
        <f ca="1">BW30+BX30</f>
        <v>13132167.194940655</v>
      </c>
      <c r="BZ30" s="96">
        <f>IF(ISNA(VLOOKUP(A30,' Bang luong'!$A$13:$M$59,11,0)),0,VLOOKUP(A30,' Bang luong'!$A$13:$M$59,11,0))</f>
        <v>25</v>
      </c>
      <c r="CA30" s="4">
        <f>$BZ$10/$BY$10*BZ30</f>
        <v>6730769.230769231</v>
      </c>
      <c r="CB30" s="14">
        <f ca="1">IF(BY30=0,0,BW30/CA30)</f>
        <v>1.743128485964033</v>
      </c>
      <c r="CH30" s="7"/>
      <c r="CI30" s="7"/>
      <c r="CQ30" s="9">
        <v>19</v>
      </c>
    </row>
    <row r="31" spans="1:95" ht="15.75" x14ac:dyDescent="0.25">
      <c r="A31" s="224" t="s">
        <v>120</v>
      </c>
      <c r="B31" s="2" t="str">
        <f>VLOOKUP(A31,'Mã NV'!$A$1:$C$27,2,0)</f>
        <v>Thạch Ngọc Thắng</v>
      </c>
      <c r="C31" s="22"/>
      <c r="D31" s="4">
        <f>SUMIF('Đóng gói trong giờ'!$A$12:$A$123,'Tổng hợp trong giờ'!$A31,'Đóng gói trong giờ'!D$12:D$123)</f>
        <v>840</v>
      </c>
      <c r="E31" s="4">
        <f>SUMIF('Đóng gói trong giờ'!$A$12:$A$123,'Tổng hợp trong giờ'!$A31,'Đóng gói trong giờ'!E$12:E$123)</f>
        <v>5400</v>
      </c>
      <c r="F31" s="4">
        <f>SUMIF('Đóng gói trong giờ'!$A$12:$A$123,'Tổng hợp trong giờ'!$A31,'Đóng gói trong giờ'!F$12:F$123)</f>
        <v>3473.33</v>
      </c>
      <c r="G31" s="4">
        <f>SUMIF('Đóng gói trong giờ'!$A$12:$A$123,'Tổng hợp trong giờ'!$A31,'Đóng gói trong giờ'!G$12:G$123)</f>
        <v>0</v>
      </c>
      <c r="H31" s="4">
        <f>SUMIF('Đóng gói trong giờ'!$A$12:$A$123,'Tổng hợp trong giờ'!$A31,'Đóng gói trong giờ'!H$12:H$123)</f>
        <v>0</v>
      </c>
      <c r="I31" s="4">
        <f>SUMIF('Đóng gói trong giờ'!$A$12:$A$123,'Tổng hợp trong giờ'!$A31,'Đóng gói trong giờ'!I$12:I$123)</f>
        <v>0</v>
      </c>
      <c r="J31" s="4">
        <f>SUMIF('Đóng gói trong giờ'!$A$12:$A$123,'Tổng hợp trong giờ'!$A31,'Đóng gói trong giờ'!J$12:J$123)</f>
        <v>0</v>
      </c>
      <c r="K31" s="4">
        <f>SUMIF('Đóng gói trong giờ'!$A$12:$A$123,'Tổng hợp trong giờ'!$A31,'Đóng gói trong giờ'!K$12:K$123)</f>
        <v>0</v>
      </c>
      <c r="L31" s="4">
        <f>SUMIF('Đóng gói trong giờ'!$A$12:$A$123,'Tổng hợp trong giờ'!$A31,'Đóng gói trong giờ'!L$12:L$123)</f>
        <v>0</v>
      </c>
      <c r="M31" s="4">
        <f>SUMIF('Đóng gói trong giờ'!$A$12:$A$123,'Tổng hợp trong giờ'!$A31,'Đóng gói trong giờ'!M$12:M$123)</f>
        <v>325</v>
      </c>
      <c r="N31" s="4">
        <f>SUMIF('Đóng gói trong giờ'!$A$12:$A$123,'Tổng hợp trong giờ'!$A31,'Đóng gói trong giờ'!N$12:N$123)</f>
        <v>0</v>
      </c>
      <c r="O31" s="4">
        <f>SUMIF('Đóng gói trong giờ'!$A$12:$A$123,'Tổng hợp trong giờ'!$A31,'Đóng gói trong giờ'!O$12:O$123)</f>
        <v>0</v>
      </c>
      <c r="P31" s="4">
        <f>SUMIF('Đóng gói trong giờ'!$A$12:$A$123,'Tổng hợp trong giờ'!$A31,'Đóng gói trong giờ'!P$12:P$123)</f>
        <v>200</v>
      </c>
      <c r="Q31" s="4">
        <f>SUMIF('Đóng gói trong giờ'!$A$12:$A$123,'Tổng hợp trong giờ'!$A31,'Đóng gói trong giờ'!Q$12:Q$123)</f>
        <v>325</v>
      </c>
      <c r="R31" s="4">
        <f>SUMIF('Đóng gói trong giờ'!$A$12:$A$123,'Tổng hợp trong giờ'!$A31,'Đóng gói trong giờ'!R$12:R$123)</f>
        <v>183.33333333333334</v>
      </c>
      <c r="S31" s="4">
        <f>SUMIF('Đóng gói trong giờ'!$A$12:$A$123,'Tổng hợp trong giờ'!$A31,'Đóng gói trong giờ'!S$12:S$123)</f>
        <v>0</v>
      </c>
      <c r="T31" s="4">
        <f>SUMIF('Đóng gói trong giờ'!$A$12:$A$123,'Tổng hợp trong giờ'!$A31,'Đóng gói trong giờ'!T$12:T$123)</f>
        <v>0</v>
      </c>
      <c r="U31" s="4">
        <f>SUMIF('Đóng gói trong giờ'!$A$12:$A$123,'Tổng hợp trong giờ'!$A31,'Đóng gói trong giờ'!U$12:U$123)</f>
        <v>0</v>
      </c>
      <c r="V31" s="4">
        <f>SUMIF('Đóng gói trong giờ'!$A$12:$A$123,'Tổng hợp trong giờ'!$A31,'Đóng gói trong giờ'!V$12:V$123)</f>
        <v>0</v>
      </c>
      <c r="W31" s="4">
        <f>SUMIF('Đóng gói trong giờ'!$A$12:$A$123,'Tổng hợp trong giờ'!$A31,'Đóng gói trong giờ'!W$12:W$123)</f>
        <v>0</v>
      </c>
      <c r="X31" s="4">
        <f>SUMIF('Đóng gói trong giờ'!$A$12:$A$123,'Tổng hợp trong giờ'!$A31,'Đóng gói trong giờ'!X$12:X$123)</f>
        <v>0</v>
      </c>
      <c r="Y31" s="4">
        <f>SUMIF('Đóng gói trong giờ'!$A$12:$A$123,'Tổng hợp trong giờ'!$A31,'Đóng gói trong giờ'!Y$12:Y$123)</f>
        <v>0</v>
      </c>
      <c r="Z31" s="4">
        <f>SUMIF('Đóng gói trong giờ'!$A$12:$A$123,'Tổng hợp trong giờ'!$A31,'Đóng gói trong giờ'!Z$12:Z$123)</f>
        <v>0</v>
      </c>
      <c r="AA31" s="4">
        <f>SUMIF('Đóng gói trong giờ'!$A$12:$A$123,'Tổng hợp trong giờ'!$A31,'Đóng gói trong giờ'!AA$12:AA$123)</f>
        <v>66.67</v>
      </c>
      <c r="AB31" s="4">
        <f>SUMIF('Đóng gói trong giờ'!$A$12:$A$123,'Tổng hợp trong giờ'!$A31,'Đóng gói trong giờ'!AB$12:AB$123)</f>
        <v>0</v>
      </c>
      <c r="AC31" s="4">
        <f>SUMIF('Đóng gói trong giờ'!$A$12:$A$123,'Tổng hợp trong giờ'!$A31,'Đóng gói trong giờ'!AC$12:AC$123)</f>
        <v>0</v>
      </c>
      <c r="AD31" s="4">
        <f>SUMIF('Đóng gói trong giờ'!$A$12:$A$123,'Tổng hợp trong giờ'!$A31,'Đóng gói trong giờ'!AD$12:AD$123)</f>
        <v>0</v>
      </c>
      <c r="AE31" s="4">
        <f>SUMIF('Đóng gói trong giờ'!$A$12:$A$123,'Tổng hợp trong giờ'!$A31,'Đóng gói trong giờ'!AE$12:AE$123)</f>
        <v>0</v>
      </c>
      <c r="AF31" s="4">
        <f>SUMIF('Đóng gói trong giờ'!$A$12:$A$123,'Tổng hợp trong giờ'!$A31,'Đóng gói trong giờ'!AF$12:AF$123)</f>
        <v>0</v>
      </c>
      <c r="AG31" s="4">
        <f>SUMIF('Đóng gói trong giờ'!$A$12:$A$123,'Tổng hợp trong giờ'!$A31,'Đóng gói trong giờ'!AG$12:AG$123)</f>
        <v>0</v>
      </c>
      <c r="AH31" s="4">
        <f>SUMIF('Đóng gói trong giờ'!$A$12:$A$123,'Tổng hợp trong giờ'!$A31,'Đóng gói trong giờ'!AH$12:AH$123)</f>
        <v>0</v>
      </c>
      <c r="AI31" s="4">
        <f>SUMIF('Đóng gói trong giờ'!$A$12:$A$123,'Tổng hợp trong giờ'!$A31,'Đóng gói trong giờ'!AI$12:AI$123)</f>
        <v>0</v>
      </c>
      <c r="AJ31" s="4">
        <f>SUMIF('Đóng gói trong giờ'!$A$12:$A$123,'Tổng hợp trong giờ'!$A31,'Đóng gói trong giờ'!AJ$12:AJ$123)</f>
        <v>0</v>
      </c>
      <c r="AK31" s="4">
        <f>SUMIF('Đóng gói trong giờ'!$A$12:$A$123,'Tổng hợp trong giờ'!$A31,'Đóng gói trong giờ'!AK$12:AK$123)</f>
        <v>0</v>
      </c>
      <c r="AL31" s="4">
        <f>SUMIF('Đóng gói trong giờ'!$A$12:$A$123,'Tổng hợp trong giờ'!$A31,'Đóng gói trong giờ'!AL$12:AL$123)</f>
        <v>0</v>
      </c>
      <c r="AM31" s="4">
        <f>SUMIF('Đóng gói trong giờ'!$A$12:$A$123,'Tổng hợp trong giờ'!$A31,'Đóng gói trong giờ'!AM$12:AM$123)</f>
        <v>83.333333333333343</v>
      </c>
      <c r="AN31" s="4">
        <f>SUMIF('Đóng gói trong giờ'!$A$12:$A$123,'Tổng hợp trong giờ'!$A31,'Đóng gói trong giờ'!AN$12:AN$123)</f>
        <v>0</v>
      </c>
      <c r="AO31" s="4">
        <f>SUMIF('Đóng gói trong giờ'!$A$12:$A$123,'Tổng hợp trong giờ'!$A31,'Đóng gói trong giờ'!AO$12:AO$123)</f>
        <v>0</v>
      </c>
      <c r="AP31" s="4">
        <f>SUMIF('Đóng gói trong giờ'!$A$12:$A$123,'Tổng hợp trong giờ'!$A31,'Đóng gói trong giờ'!AP$12:AP$123)</f>
        <v>0</v>
      </c>
      <c r="AQ31" s="4">
        <f>SUMIF('Đóng gói trong giờ'!$A$12:$A$123,'Tổng hợp trong giờ'!$A31,'Đóng gói trong giờ'!AQ$12:AQ$123)</f>
        <v>0</v>
      </c>
      <c r="AR31" s="4">
        <f>SUMIF('Đóng gói trong giờ'!$A$12:$A$123,'Tổng hợp trong giờ'!$A31,'Đóng gói trong giờ'!AR$12:AR$123)</f>
        <v>0</v>
      </c>
      <c r="AS31" s="4">
        <f>SUMIF('Đóng gói trong giờ'!$A$12:$A$123,'Tổng hợp trong giờ'!$A31,'Đóng gói trong giờ'!AS$12:AS$123)</f>
        <v>0</v>
      </c>
      <c r="AT31" s="4">
        <f>SUMIF('Đóng gói trong giờ'!$A$12:$A$123,'Tổng hợp trong giờ'!$A31,'Đóng gói trong giờ'!AT$12:AT$123)</f>
        <v>0</v>
      </c>
      <c r="AU31" s="4">
        <f>SUMIF('Đóng gói trong giờ'!$A$12:$A$123,'Tổng hợp trong giờ'!$A31,'Đóng gói trong giờ'!AU$12:AU$123)</f>
        <v>0</v>
      </c>
      <c r="AV31" s="4">
        <f>SUMIF('Đóng gói trong giờ'!$A$12:$A$123,'Tổng hợp trong giờ'!$A31,'Đóng gói trong giờ'!AV$12:AV$123)</f>
        <v>0</v>
      </c>
      <c r="AW31" s="4">
        <f>SUMIF('Đóng gói trong giờ'!$A$12:$A$123,'Tổng hợp trong giờ'!$A31,'Đóng gói trong giờ'!AW$12:AW$123)</f>
        <v>0</v>
      </c>
      <c r="AX31" s="4">
        <f>SUMIF('Đóng gói trong giờ'!$A$12:$A$123,'Tổng hợp trong giờ'!$A31,'Đóng gói trong giờ'!AX$12:AX$123)</f>
        <v>0</v>
      </c>
      <c r="AY31" s="4">
        <f>SUMIF('Đóng gói trong giờ'!$A$12:$A$123,'Tổng hợp trong giờ'!$A31,'Đóng gói trong giờ'!AY$12:AY$123)</f>
        <v>0</v>
      </c>
      <c r="AZ31" s="4">
        <f>SUMIF('Đóng gói trong giờ'!$A$12:$A$123,'Tổng hợp trong giờ'!$A31,'Đóng gói trong giờ'!AZ$12:AZ$123)</f>
        <v>0</v>
      </c>
      <c r="BA31" s="4">
        <f>SUMIF('Đóng gói trong giờ'!$A$12:$A$123,'Tổng hợp trong giờ'!$A31,'Đóng gói trong giờ'!BA$12:BA$123)</f>
        <v>0</v>
      </c>
      <c r="BB31" s="4">
        <f>SUMIF('Đóng gói trong giờ'!$A$12:$A$123,'Tổng hợp trong giờ'!$A31,'Đóng gói trong giờ'!BB$12:BB$123)</f>
        <v>0</v>
      </c>
      <c r="BC31" s="22">
        <f>SUMIF('Đóng gói trong giờ'!$A$12:$A$78,'Tổng hợp trong giờ'!$A31,'Đóng gói trong giờ'!BC$12:BC$78)</f>
        <v>0</v>
      </c>
      <c r="BD31" s="119">
        <f>SUMIF('Bốc hàng trong giờ new'!$H$13:$H$3398,'Tổng hợp trong giờ'!A31,'Bốc hàng trong giờ new'!$J$13:$J$3398)</f>
        <v>0</v>
      </c>
      <c r="BE31" s="22">
        <f>SUMIF('Đóng gói trong giờ'!$A$12:$A$78,'Tổng hợp trong giờ'!$A31,'Đóng gói trong giờ'!BE$12:BE$78)</f>
        <v>26</v>
      </c>
      <c r="BF31" s="4">
        <f>SUMIF('Đóng gói trong giờ'!$A$12:$A$123,'Tổng hợp trong giờ'!$A31,'Đóng gói trong giờ'!BD$12:BD$123)</f>
        <v>0</v>
      </c>
      <c r="BG31" s="4">
        <f>SUMIF('Đóng gói trong giờ'!$A$12:$A$123,'Tổng hợp trong giờ'!$A31,'Đóng gói trong giờ'!BE$12:BE$123)</f>
        <v>26</v>
      </c>
      <c r="BH31" s="4">
        <f>SUMIF('Đóng gói trong giờ'!$A$12:$A$123,'Tổng hợp trong giờ'!$A31,'Đóng gói trong giờ'!BF$12:BF$123)</f>
        <v>0</v>
      </c>
      <c r="BI31" s="4">
        <f>SUMIF('Đóng gói trong giờ'!$A$12:$A$123,'Tổng hợp trong giờ'!$A31,'Đóng gói trong giờ'!BG$12:BG$123)</f>
        <v>0</v>
      </c>
      <c r="BJ31" s="4">
        <f>SUMIF('Đóng gói trong giờ'!$A$12:$A$123,'Tổng hợp trong giờ'!$A31,'Đóng gói trong giờ'!BH$12:BH$123)</f>
        <v>0</v>
      </c>
      <c r="BK31" s="4">
        <f>SUMIF('Đóng gói trong giờ'!$A$12:$A$123,'Tổng hợp trong giờ'!$A31,'Đóng gói trong giờ'!BI$12:BI$123)</f>
        <v>0</v>
      </c>
      <c r="BL31" s="4">
        <f>SUMIF('Đóng gói trong giờ'!$A$12:$A$123,'Tổng hợp trong giờ'!$A31,'Đóng gói trong giờ'!BJ$12:BJ$123)</f>
        <v>0</v>
      </c>
      <c r="BM31" s="4">
        <f>SUMIF('Đóng gói trong giờ'!$A$12:$A$123,'Tổng hợp trong giờ'!$A31,'Đóng gói trong giờ'!BK$12:BK$123)</f>
        <v>0</v>
      </c>
      <c r="BN31" s="4">
        <f>SUMIF('Đóng gói trong giờ'!$A$12:$A$123,'Tổng hợp trong giờ'!$A31,'Đóng gói trong giờ'!BL$12:BL$123)</f>
        <v>29.5</v>
      </c>
      <c r="BO31" s="4">
        <f>SUMIF('Đóng gói trong giờ'!$A$12:$A$123,'Tổng hợp trong giờ'!$A31,'Đóng gói trong giờ'!BM$12:BM$123)</f>
        <v>0</v>
      </c>
      <c r="BP31" s="4">
        <f>SUMIF('Đóng gói trong giờ'!$A$12:$A$123,'Tổng hợp trong giờ'!$A31,'Đóng gói trong giờ'!BN$12:BN$123)</f>
        <v>5</v>
      </c>
      <c r="BQ31" s="4">
        <f>SUMIF('Đóng gói trong giờ'!$A$12:$A$123,'Tổng hợp trong giờ'!$A31,'Đóng gói trong giờ'!BO$12:BO$123)</f>
        <v>0</v>
      </c>
      <c r="BR31" s="4">
        <f>SUMIF('Đóng gói trong giờ'!$A$12:$A$123,'Tổng hợp trong giờ'!$A31,'Đóng gói trong giờ'!BP$12:BP$123)</f>
        <v>0</v>
      </c>
      <c r="BS31" s="4">
        <f>SUMIF('Đóng gói trong giờ'!$A$12:$A$123,'Tổng hợp trong giờ'!$A31,'Đóng gói trong giờ'!BQ$12:BQ$123)</f>
        <v>0</v>
      </c>
      <c r="BT31" s="4">
        <f>SUMIF('Đóng gói trong giờ'!$A$12:$A$123,'Tổng hợp trong giờ'!$A31,'Đóng gói trong giờ'!BR$12:BR$123)</f>
        <v>0</v>
      </c>
      <c r="BU31" s="169">
        <f t="shared" si="1"/>
        <v>60.5</v>
      </c>
      <c r="BV31" s="168">
        <f t="shared" si="2"/>
        <v>2231296.1011591149</v>
      </c>
      <c r="BW31" s="168">
        <f t="shared" si="3"/>
        <v>11067186.195518712</v>
      </c>
      <c r="BX31" s="4">
        <f ca="1">VLOOKUP(A31,'Tổng hợp ngoài giờ'!$A$15:$BW$41,75,0)</f>
        <v>541373.50759488705</v>
      </c>
      <c r="BY31" s="10">
        <f t="shared" ca="1" si="4"/>
        <v>11608559.703113599</v>
      </c>
      <c r="BZ31" s="96">
        <f>IF(ISNA(VLOOKUP(A31,' Bang luong'!$A$13:$M$59,11,0)),0,VLOOKUP(A31,' Bang luong'!$A$13:$M$59,11,0))</f>
        <v>23</v>
      </c>
      <c r="CA31" s="4">
        <f t="shared" si="5"/>
        <v>6192307.692307693</v>
      </c>
      <c r="CB31" s="14">
        <f t="shared" ca="1" si="6"/>
        <v>1.7872474601458788</v>
      </c>
      <c r="CH31" s="7"/>
      <c r="CI31" s="7"/>
      <c r="CQ31" s="9">
        <v>20</v>
      </c>
    </row>
    <row r="32" spans="1:95" ht="15.75" x14ac:dyDescent="0.25">
      <c r="A32" s="224" t="s">
        <v>121</v>
      </c>
      <c r="B32" s="2" t="str">
        <f>VLOOKUP(A32,'Mã NV'!$A$1:$C$27,2,0)</f>
        <v>Dương Tấn Đạt</v>
      </c>
      <c r="C32" s="22"/>
      <c r="D32" s="4">
        <f>SUMIF('Đóng gói trong giờ'!$A$12:$A$123,'Tổng hợp trong giờ'!$A32,'Đóng gói trong giờ'!D$12:D$123)</f>
        <v>0</v>
      </c>
      <c r="E32" s="4">
        <f>SUMIF('Đóng gói trong giờ'!$A$12:$A$123,'Tổng hợp trong giờ'!$A32,'Đóng gói trong giờ'!E$12:E$123)</f>
        <v>700</v>
      </c>
      <c r="F32" s="4">
        <f>SUMIF('Đóng gói trong giờ'!$A$12:$A$123,'Tổng hợp trong giờ'!$A32,'Đóng gói trong giờ'!F$12:F$123)</f>
        <v>1183.336666666667</v>
      </c>
      <c r="G32" s="4">
        <f>SUMIF('Đóng gói trong giờ'!$A$12:$A$123,'Tổng hợp trong giờ'!$A32,'Đóng gói trong giờ'!G$12:G$123)</f>
        <v>0</v>
      </c>
      <c r="H32" s="4">
        <f>SUMIF('Đóng gói trong giờ'!$A$12:$A$123,'Tổng hợp trong giờ'!$A32,'Đóng gói trong giờ'!H$12:H$123)</f>
        <v>0</v>
      </c>
      <c r="I32" s="4">
        <f>SUMIF('Đóng gói trong giờ'!$A$12:$A$123,'Tổng hợp trong giờ'!$A32,'Đóng gói trong giờ'!I$12:I$123)</f>
        <v>0</v>
      </c>
      <c r="J32" s="4">
        <f>SUMIF('Đóng gói trong giờ'!$A$12:$A$123,'Tổng hợp trong giờ'!$A32,'Đóng gói trong giờ'!J$12:J$123)</f>
        <v>250</v>
      </c>
      <c r="K32" s="4">
        <f>SUMIF('Đóng gói trong giờ'!$A$12:$A$123,'Tổng hợp trong giờ'!$A32,'Đóng gói trong giờ'!K$12:K$123)</f>
        <v>0</v>
      </c>
      <c r="L32" s="4">
        <f>SUMIF('Đóng gói trong giờ'!$A$12:$A$123,'Tổng hợp trong giờ'!$A32,'Đóng gói trong giờ'!L$12:L$123)</f>
        <v>0</v>
      </c>
      <c r="M32" s="4">
        <f>SUMIF('Đóng gói trong giờ'!$A$12:$A$123,'Tổng hợp trong giờ'!$A32,'Đóng gói trong giờ'!M$12:M$123)</f>
        <v>0</v>
      </c>
      <c r="N32" s="4">
        <f>SUMIF('Đóng gói trong giờ'!$A$12:$A$123,'Tổng hợp trong giờ'!$A32,'Đóng gói trong giờ'!N$12:N$123)</f>
        <v>0</v>
      </c>
      <c r="O32" s="4">
        <f>SUMIF('Đóng gói trong giờ'!$A$12:$A$123,'Tổng hợp trong giờ'!$A32,'Đóng gói trong giờ'!O$12:O$123)</f>
        <v>283.33</v>
      </c>
      <c r="P32" s="4">
        <f>SUMIF('Đóng gói trong giờ'!$A$12:$A$123,'Tổng hợp trong giờ'!$A32,'Đóng gói trong giờ'!P$12:P$123)</f>
        <v>0</v>
      </c>
      <c r="Q32" s="4">
        <f>SUMIF('Đóng gói trong giờ'!$A$12:$A$123,'Tổng hợp trong giờ'!$A32,'Đóng gói trong giờ'!Q$12:Q$123)</f>
        <v>325</v>
      </c>
      <c r="R32" s="4">
        <f>SUMIF('Đóng gói trong giờ'!$A$12:$A$123,'Tổng hợp trong giờ'!$A32,'Đóng gói trong giờ'!R$12:R$123)</f>
        <v>0</v>
      </c>
      <c r="S32" s="4">
        <f>SUMIF('Đóng gói trong giờ'!$A$12:$A$123,'Tổng hợp trong giờ'!$A32,'Đóng gói trong giờ'!S$12:S$123)</f>
        <v>0</v>
      </c>
      <c r="T32" s="4">
        <f>SUMIF('Đóng gói trong giờ'!$A$12:$A$123,'Tổng hợp trong giờ'!$A32,'Đóng gói trong giờ'!T$12:T$123)</f>
        <v>0</v>
      </c>
      <c r="U32" s="4">
        <f>SUMIF('Đóng gói trong giờ'!$A$12:$A$123,'Tổng hợp trong giờ'!$A32,'Đóng gói trong giờ'!U$12:U$123)</f>
        <v>0</v>
      </c>
      <c r="V32" s="4">
        <f>SUMIF('Đóng gói trong giờ'!$A$12:$A$123,'Tổng hợp trong giờ'!$A32,'Đóng gói trong giờ'!V$12:V$123)</f>
        <v>0</v>
      </c>
      <c r="W32" s="4">
        <f>SUMIF('Đóng gói trong giờ'!$A$12:$A$123,'Tổng hợp trong giờ'!$A32,'Đóng gói trong giờ'!W$12:W$123)</f>
        <v>0</v>
      </c>
      <c r="X32" s="4">
        <f>SUMIF('Đóng gói trong giờ'!$A$12:$A$123,'Tổng hợp trong giờ'!$A32,'Đóng gói trong giờ'!X$12:X$123)</f>
        <v>0</v>
      </c>
      <c r="Y32" s="4">
        <f>SUMIF('Đóng gói trong giờ'!$A$12:$A$123,'Tổng hợp trong giờ'!$A32,'Đóng gói trong giờ'!Y$12:Y$123)</f>
        <v>0</v>
      </c>
      <c r="Z32" s="4">
        <f>SUMIF('Đóng gói trong giờ'!$A$12:$A$123,'Tổng hợp trong giờ'!$A32,'Đóng gói trong giờ'!Z$12:Z$123)</f>
        <v>0</v>
      </c>
      <c r="AA32" s="4">
        <f>SUMIF('Đóng gói trong giờ'!$A$12:$A$123,'Tổng hợp trong giờ'!$A32,'Đóng gói trong giờ'!AA$12:AA$123)</f>
        <v>150.00333333333333</v>
      </c>
      <c r="AB32" s="4">
        <f>SUMIF('Đóng gói trong giờ'!$A$12:$A$123,'Tổng hợp trong giờ'!$A32,'Đóng gói trong giờ'!AB$12:AB$123)</f>
        <v>0</v>
      </c>
      <c r="AC32" s="4">
        <f>SUMIF('Đóng gói trong giờ'!$A$12:$A$123,'Tổng hợp trong giờ'!$A32,'Đóng gói trong giờ'!AC$12:AC$123)</f>
        <v>0</v>
      </c>
      <c r="AD32" s="4">
        <f>SUMIF('Đóng gói trong giờ'!$A$12:$A$123,'Tổng hợp trong giờ'!$A32,'Đóng gói trong giờ'!AD$12:AD$123)</f>
        <v>400</v>
      </c>
      <c r="AE32" s="4">
        <f>SUMIF('Đóng gói trong giờ'!$A$12:$A$123,'Tổng hợp trong giờ'!$A32,'Đóng gói trong giờ'!AE$12:AE$123)</f>
        <v>0</v>
      </c>
      <c r="AF32" s="4">
        <f>SUMIF('Đóng gói trong giờ'!$A$12:$A$123,'Tổng hợp trong giờ'!$A32,'Đóng gói trong giờ'!AF$12:AF$123)</f>
        <v>0</v>
      </c>
      <c r="AG32" s="4">
        <f>SUMIF('Đóng gói trong giờ'!$A$12:$A$123,'Tổng hợp trong giờ'!$A32,'Đóng gói trong giờ'!AG$12:AG$123)</f>
        <v>0</v>
      </c>
      <c r="AH32" s="4">
        <f>SUMIF('Đóng gói trong giờ'!$A$12:$A$123,'Tổng hợp trong giờ'!$A32,'Đóng gói trong giờ'!AH$12:AH$123)</f>
        <v>0</v>
      </c>
      <c r="AI32" s="4">
        <f>SUMIF('Đóng gói trong giờ'!$A$12:$A$123,'Tổng hợp trong giờ'!$A32,'Đóng gói trong giờ'!AI$12:AI$123)</f>
        <v>0</v>
      </c>
      <c r="AJ32" s="4">
        <f>SUMIF('Đóng gói trong giờ'!$A$12:$A$123,'Tổng hợp trong giờ'!$A32,'Đóng gói trong giờ'!AJ$12:AJ$123)</f>
        <v>0</v>
      </c>
      <c r="AK32" s="4">
        <f>SUMIF('Đóng gói trong giờ'!$A$12:$A$123,'Tổng hợp trong giờ'!$A32,'Đóng gói trong giờ'!AK$12:AK$123)</f>
        <v>0</v>
      </c>
      <c r="AL32" s="4">
        <f>SUMIF('Đóng gói trong giờ'!$A$12:$A$123,'Tổng hợp trong giờ'!$A32,'Đóng gói trong giờ'!AL$12:AL$123)</f>
        <v>0</v>
      </c>
      <c r="AM32" s="4">
        <f>SUMIF('Đóng gói trong giờ'!$A$12:$A$123,'Tổng hợp trong giờ'!$A32,'Đóng gói trong giờ'!AM$12:AM$123)</f>
        <v>0</v>
      </c>
      <c r="AN32" s="4">
        <f>SUMIF('Đóng gói trong giờ'!$A$12:$A$123,'Tổng hợp trong giờ'!$A32,'Đóng gói trong giờ'!AN$12:AN$123)</f>
        <v>0</v>
      </c>
      <c r="AO32" s="4">
        <f>SUMIF('Đóng gói trong giờ'!$A$12:$A$123,'Tổng hợp trong giờ'!$A32,'Đóng gói trong giờ'!AO$12:AO$123)</f>
        <v>0</v>
      </c>
      <c r="AP32" s="4">
        <f>SUMIF('Đóng gói trong giờ'!$A$12:$A$123,'Tổng hợp trong giờ'!$A32,'Đóng gói trong giờ'!AP$12:AP$123)</f>
        <v>0</v>
      </c>
      <c r="AQ32" s="4">
        <f>SUMIF('Đóng gói trong giờ'!$A$12:$A$123,'Tổng hợp trong giờ'!$A32,'Đóng gói trong giờ'!AQ$12:AQ$123)</f>
        <v>0</v>
      </c>
      <c r="AR32" s="4">
        <f>SUMIF('Đóng gói trong giờ'!$A$12:$A$123,'Tổng hợp trong giờ'!$A32,'Đóng gói trong giờ'!AR$12:AR$123)</f>
        <v>0</v>
      </c>
      <c r="AS32" s="4">
        <f>SUMIF('Đóng gói trong giờ'!$A$12:$A$123,'Tổng hợp trong giờ'!$A32,'Đóng gói trong giờ'!AS$12:AS$123)</f>
        <v>0</v>
      </c>
      <c r="AT32" s="4">
        <f>SUMIF('Đóng gói trong giờ'!$A$12:$A$123,'Tổng hợp trong giờ'!$A32,'Đóng gói trong giờ'!AT$12:AT$123)</f>
        <v>0</v>
      </c>
      <c r="AU32" s="4">
        <f>SUMIF('Đóng gói trong giờ'!$A$12:$A$123,'Tổng hợp trong giờ'!$A32,'Đóng gói trong giờ'!AU$12:AU$123)</f>
        <v>0</v>
      </c>
      <c r="AV32" s="4">
        <f>SUMIF('Đóng gói trong giờ'!$A$12:$A$123,'Tổng hợp trong giờ'!$A32,'Đóng gói trong giờ'!AV$12:AV$123)</f>
        <v>0</v>
      </c>
      <c r="AW32" s="4">
        <f>SUMIF('Đóng gói trong giờ'!$A$12:$A$123,'Tổng hợp trong giờ'!$A32,'Đóng gói trong giờ'!AW$12:AW$123)</f>
        <v>0</v>
      </c>
      <c r="AX32" s="4">
        <f>SUMIF('Đóng gói trong giờ'!$A$12:$A$123,'Tổng hợp trong giờ'!$A32,'Đóng gói trong giờ'!AX$12:AX$123)</f>
        <v>0</v>
      </c>
      <c r="AY32" s="4">
        <f>SUMIF('Đóng gói trong giờ'!$A$12:$A$123,'Tổng hợp trong giờ'!$A32,'Đóng gói trong giờ'!AY$12:AY$123)</f>
        <v>0</v>
      </c>
      <c r="AZ32" s="4">
        <f>SUMIF('Đóng gói trong giờ'!$A$12:$A$123,'Tổng hợp trong giờ'!$A32,'Đóng gói trong giờ'!AZ$12:AZ$123)</f>
        <v>0</v>
      </c>
      <c r="BA32" s="4">
        <f>SUMIF('Đóng gói trong giờ'!$A$12:$A$123,'Tổng hợp trong giờ'!$A32,'Đóng gói trong giờ'!BA$12:BA$123)</f>
        <v>0</v>
      </c>
      <c r="BB32" s="4">
        <f>SUMIF('Đóng gói trong giờ'!$A$12:$A$123,'Tổng hợp trong giờ'!$A32,'Đóng gói trong giờ'!BB$12:BB$123)</f>
        <v>0</v>
      </c>
      <c r="BC32" s="22">
        <f>SUMIF('Đóng gói trong giờ'!$A$12:$A$78,'Tổng hợp trong giờ'!$A32,'Đóng gói trong giờ'!BC$12:BC$78)</f>
        <v>0</v>
      </c>
      <c r="BD32" s="119">
        <f>SUMIF('Bốc hàng trong giờ new'!$H$13:$H$3398,'Tổng hợp trong giờ'!A32,'Bốc hàng trong giờ new'!$J$13:$J$3398)</f>
        <v>0</v>
      </c>
      <c r="BE32" s="22">
        <f>SUMIF('Đóng gói trong giờ'!$A$12:$A$78,'Tổng hợp trong giờ'!$A32,'Đóng gói trong giờ'!BE$12:BE$78)</f>
        <v>33.5</v>
      </c>
      <c r="BF32" s="4">
        <f>SUMIF('Đóng gói trong giờ'!$A$12:$A$123,'Tổng hợp trong giờ'!$A32,'Đóng gói trong giờ'!BD$12:BD$123)</f>
        <v>0</v>
      </c>
      <c r="BG32" s="4">
        <f>SUMIF('Đóng gói trong giờ'!$A$12:$A$123,'Tổng hợp trong giờ'!$A32,'Đóng gói trong giờ'!BE$12:BE$123)</f>
        <v>33.5</v>
      </c>
      <c r="BH32" s="4">
        <f>SUMIF('Đóng gói trong giờ'!$A$12:$A$123,'Tổng hợp trong giờ'!$A32,'Đóng gói trong giờ'!BF$12:BF$123)</f>
        <v>0</v>
      </c>
      <c r="BI32" s="4">
        <f>SUMIF('Đóng gói trong giờ'!$A$12:$A$123,'Tổng hợp trong giờ'!$A32,'Đóng gói trong giờ'!BG$12:BG$123)</f>
        <v>0</v>
      </c>
      <c r="BJ32" s="4">
        <f>SUMIF('Đóng gói trong giờ'!$A$12:$A$123,'Tổng hợp trong giờ'!$A32,'Đóng gói trong giờ'!BH$12:BH$123)</f>
        <v>0</v>
      </c>
      <c r="BK32" s="4">
        <f>SUMIF('Đóng gói trong giờ'!$A$12:$A$123,'Tổng hợp trong giờ'!$A32,'Đóng gói trong giờ'!BI$12:BI$123)</f>
        <v>0</v>
      </c>
      <c r="BL32" s="4">
        <f>SUMIF('Đóng gói trong giờ'!$A$12:$A$123,'Tổng hợp trong giờ'!$A32,'Đóng gói trong giờ'!BJ$12:BJ$123)</f>
        <v>0</v>
      </c>
      <c r="BM32" s="4">
        <f>SUMIF('Đóng gói trong giờ'!$A$12:$A$123,'Tổng hợp trong giờ'!$A32,'Đóng gói trong giờ'!BK$12:BK$123)</f>
        <v>0</v>
      </c>
      <c r="BN32" s="4">
        <f>SUMIF('Đóng gói trong giờ'!$A$12:$A$123,'Tổng hợp trong giờ'!$A32,'Đóng gói trong giờ'!BL$12:BL$123)</f>
        <v>6</v>
      </c>
      <c r="BO32" s="4">
        <f>SUMIF('Đóng gói trong giờ'!$A$12:$A$123,'Tổng hợp trong giờ'!$A32,'Đóng gói trong giờ'!BM$12:BM$123)</f>
        <v>0</v>
      </c>
      <c r="BP32" s="4">
        <f>SUMIF('Đóng gói trong giờ'!$A$12:$A$123,'Tổng hợp trong giờ'!$A32,'Đóng gói trong giờ'!BN$12:BN$123)</f>
        <v>2.5</v>
      </c>
      <c r="BQ32" s="4">
        <f>SUMIF('Đóng gói trong giờ'!$A$12:$A$123,'Tổng hợp trong giờ'!$A32,'Đóng gói trong giờ'!BO$12:BO$123)</f>
        <v>0</v>
      </c>
      <c r="BR32" s="4">
        <f>SUMIF('Đóng gói trong giờ'!$A$12:$A$123,'Tổng hợp trong giờ'!$A32,'Đóng gói trong giờ'!BP$12:BP$123)</f>
        <v>0</v>
      </c>
      <c r="BS32" s="4">
        <f>SUMIF('Đóng gói trong giờ'!$A$12:$A$123,'Tổng hợp trong giờ'!$A32,'Đóng gói trong giờ'!BQ$12:BQ$123)</f>
        <v>0</v>
      </c>
      <c r="BT32" s="4">
        <f>SUMIF('Đóng gói trong giờ'!$A$12:$A$123,'Tổng hợp trong giờ'!$A32,'Đóng gói trong giờ'!BR$12:BR$123)</f>
        <v>0</v>
      </c>
      <c r="BU32" s="169">
        <f t="shared" si="1"/>
        <v>42</v>
      </c>
      <c r="BV32" s="168">
        <f t="shared" si="2"/>
        <v>1548998.9462592204</v>
      </c>
      <c r="BW32" s="168">
        <f t="shared" si="3"/>
        <v>4683055.5310082715</v>
      </c>
      <c r="BX32" s="4">
        <f ca="1">VLOOKUP(A32,'Tổng hợp ngoài giờ'!$A$15:$BW$41,75,0)</f>
        <v>324552.16016859858</v>
      </c>
      <c r="BY32" s="10">
        <f t="shared" ca="1" si="4"/>
        <v>5007607.6911768699</v>
      </c>
      <c r="BZ32" s="96">
        <f>IF(ISNA(VLOOKUP(A32,' Bang luong'!$A$13:$M$59,11,0)),0,VLOOKUP(A32,' Bang luong'!$A$13:$M$59,11,0))</f>
        <v>13</v>
      </c>
      <c r="CA32" s="4">
        <f t="shared" si="5"/>
        <v>3500000</v>
      </c>
      <c r="CB32" s="14">
        <f t="shared" ca="1" si="6"/>
        <v>1.3380158660023633</v>
      </c>
      <c r="CH32" s="315"/>
      <c r="CI32" s="315"/>
      <c r="CN32" s="315"/>
      <c r="CO32" s="315"/>
      <c r="CQ32" s="9">
        <v>21</v>
      </c>
    </row>
    <row r="33" spans="1:95" s="222" customFormat="1" ht="15.75" x14ac:dyDescent="0.25">
      <c r="A33" s="224" t="s">
        <v>407</v>
      </c>
      <c r="B33" s="2" t="str">
        <f>VLOOKUP(A33,'Mã NV'!$A$1:$C$27,2,0)</f>
        <v>Nguyễn Thanh Hùng</v>
      </c>
      <c r="C33" s="22"/>
      <c r="D33" s="4">
        <f>SUMIF('Đóng gói trong giờ'!$A$12:$A$123,'Tổng hợp trong giờ'!$A33,'Đóng gói trong giờ'!D$12:D$123)</f>
        <v>875</v>
      </c>
      <c r="E33" s="4">
        <f>SUMIF('Đóng gói trong giờ'!$A$12:$A$123,'Tổng hợp trong giờ'!$A33,'Đóng gói trong giờ'!E$12:E$123)</f>
        <v>4925</v>
      </c>
      <c r="F33" s="4">
        <f>SUMIF('Đóng gói trong giờ'!$A$12:$A$123,'Tổng hợp trong giờ'!$A33,'Đóng gói trong giờ'!F$12:F$123)</f>
        <v>3826.67</v>
      </c>
      <c r="G33" s="4">
        <f>SUMIF('Đóng gói trong giờ'!$A$12:$A$123,'Tổng hợp trong giờ'!$A33,'Đóng gói trong giờ'!G$12:G$123)</f>
        <v>0</v>
      </c>
      <c r="H33" s="4">
        <f>SUMIF('Đóng gói trong giờ'!$A$12:$A$123,'Tổng hợp trong giờ'!$A33,'Đóng gói trong giờ'!H$12:H$123)</f>
        <v>550</v>
      </c>
      <c r="I33" s="4">
        <f>SUMIF('Đóng gói trong giờ'!$A$12:$A$123,'Tổng hợp trong giờ'!$A33,'Đóng gói trong giờ'!I$12:I$123)</f>
        <v>0</v>
      </c>
      <c r="J33" s="4">
        <f>SUMIF('Đóng gói trong giờ'!$A$12:$A$123,'Tổng hợp trong giờ'!$A33,'Đóng gói trong giờ'!J$12:J$123)</f>
        <v>625</v>
      </c>
      <c r="K33" s="4">
        <f>SUMIF('Đóng gói trong giờ'!$A$12:$A$123,'Tổng hợp trong giờ'!$A33,'Đóng gói trong giờ'!K$12:K$123)</f>
        <v>0</v>
      </c>
      <c r="L33" s="4">
        <f>SUMIF('Đóng gói trong giờ'!$A$12:$A$123,'Tổng hợp trong giờ'!$A33,'Đóng gói trong giờ'!L$12:L$123)</f>
        <v>0</v>
      </c>
      <c r="M33" s="4">
        <f>SUMIF('Đóng gói trong giờ'!$A$12:$A$123,'Tổng hợp trong giờ'!$A33,'Đóng gói trong giờ'!M$12:M$123)</f>
        <v>0</v>
      </c>
      <c r="N33" s="4">
        <f>SUMIF('Đóng gói trong giờ'!$A$12:$A$123,'Tổng hợp trong giờ'!$A33,'Đóng gói trong giờ'!N$12:N$123)</f>
        <v>0</v>
      </c>
      <c r="O33" s="4">
        <f>SUMIF('Đóng gói trong giờ'!$A$12:$A$123,'Tổng hợp trong giờ'!$A33,'Đóng gói trong giờ'!O$12:O$123)</f>
        <v>0</v>
      </c>
      <c r="P33" s="4">
        <f>SUMIF('Đóng gói trong giờ'!$A$12:$A$123,'Tổng hợp trong giờ'!$A33,'Đóng gói trong giờ'!P$12:P$123)</f>
        <v>425</v>
      </c>
      <c r="Q33" s="4">
        <f>SUMIF('Đóng gói trong giờ'!$A$12:$A$123,'Tổng hợp trong giờ'!$A33,'Đóng gói trong giờ'!Q$12:Q$123)</f>
        <v>0</v>
      </c>
      <c r="R33" s="4">
        <f>SUMIF('Đóng gói trong giờ'!$A$12:$A$123,'Tổng hợp trong giờ'!$A33,'Đóng gói trong giờ'!R$12:R$123)</f>
        <v>0</v>
      </c>
      <c r="S33" s="4">
        <f>SUMIF('Đóng gói trong giờ'!$A$12:$A$123,'Tổng hợp trong giờ'!$A33,'Đóng gói trong giờ'!S$12:S$123)</f>
        <v>0</v>
      </c>
      <c r="T33" s="4">
        <f>SUMIF('Đóng gói trong giờ'!$A$12:$A$123,'Tổng hợp trong giờ'!$A33,'Đóng gói trong giờ'!T$12:T$123)</f>
        <v>0</v>
      </c>
      <c r="U33" s="4">
        <f>SUMIF('Đóng gói trong giờ'!$A$12:$A$123,'Tổng hợp trong giờ'!$A33,'Đóng gói trong giờ'!U$12:U$123)</f>
        <v>0</v>
      </c>
      <c r="V33" s="4">
        <f>SUMIF('Đóng gói trong giờ'!$A$12:$A$123,'Tổng hợp trong giờ'!$A33,'Đóng gói trong giờ'!V$12:V$123)</f>
        <v>0</v>
      </c>
      <c r="W33" s="4">
        <f>SUMIF('Đóng gói trong giờ'!$A$12:$A$123,'Tổng hợp trong giờ'!$A33,'Đóng gói trong giờ'!W$12:W$123)</f>
        <v>0</v>
      </c>
      <c r="X33" s="4">
        <f>SUMIF('Đóng gói trong giờ'!$A$12:$A$123,'Tổng hợp trong giờ'!$A33,'Đóng gói trong giờ'!X$12:X$123)</f>
        <v>0</v>
      </c>
      <c r="Y33" s="4">
        <f>SUMIF('Đóng gói trong giờ'!$A$12:$A$123,'Tổng hợp trong giờ'!$A33,'Đóng gói trong giờ'!Y$12:Y$123)</f>
        <v>0</v>
      </c>
      <c r="Z33" s="4">
        <f>SUMIF('Đóng gói trong giờ'!$A$12:$A$123,'Tổng hợp trong giờ'!$A33,'Đóng gói trong giờ'!Z$12:Z$123)</f>
        <v>0</v>
      </c>
      <c r="AA33" s="4">
        <f>SUMIF('Đóng gói trong giờ'!$A$12:$A$123,'Tổng hợp trong giờ'!$A33,'Đóng gói trong giờ'!AA$12:AA$123)</f>
        <v>150.00333333333333</v>
      </c>
      <c r="AB33" s="4">
        <f>SUMIF('Đóng gói trong giờ'!$A$12:$A$123,'Tổng hợp trong giờ'!$A33,'Đóng gói trong giờ'!AB$12:AB$123)</f>
        <v>0</v>
      </c>
      <c r="AC33" s="4">
        <f>SUMIF('Đóng gói trong giờ'!$A$12:$A$123,'Tổng hợp trong giờ'!$A33,'Đóng gói trong giờ'!AC$12:AC$123)</f>
        <v>0</v>
      </c>
      <c r="AD33" s="4">
        <f>SUMIF('Đóng gói trong giờ'!$A$12:$A$123,'Tổng hợp trong giờ'!$A33,'Đóng gói trong giờ'!AD$12:AD$123)</f>
        <v>437.5</v>
      </c>
      <c r="AE33" s="4">
        <f>SUMIF('Đóng gói trong giờ'!$A$12:$A$123,'Tổng hợp trong giờ'!$A33,'Đóng gói trong giờ'!AE$12:AE$123)</f>
        <v>0</v>
      </c>
      <c r="AF33" s="4">
        <f>SUMIF('Đóng gói trong giờ'!$A$12:$A$123,'Tổng hợp trong giờ'!$A33,'Đóng gói trong giờ'!AF$12:AF$123)</f>
        <v>0</v>
      </c>
      <c r="AG33" s="4">
        <f>SUMIF('Đóng gói trong giờ'!$A$12:$A$123,'Tổng hợp trong giờ'!$A33,'Đóng gói trong giờ'!AG$12:AG$123)</f>
        <v>0</v>
      </c>
      <c r="AH33" s="4">
        <f>SUMIF('Đóng gói trong giờ'!$A$12:$A$123,'Tổng hợp trong giờ'!$A33,'Đóng gói trong giờ'!AH$12:AH$123)</f>
        <v>0</v>
      </c>
      <c r="AI33" s="4">
        <f>SUMIF('Đóng gói trong giờ'!$A$12:$A$123,'Tổng hợp trong giờ'!$A33,'Đóng gói trong giờ'!AI$12:AI$123)</f>
        <v>0</v>
      </c>
      <c r="AJ33" s="4">
        <f>SUMIF('Đóng gói trong giờ'!$A$12:$A$123,'Tổng hợp trong giờ'!$A33,'Đóng gói trong giờ'!AJ$12:AJ$123)</f>
        <v>2.5</v>
      </c>
      <c r="AK33" s="4">
        <f>SUMIF('Đóng gói trong giờ'!$A$12:$A$123,'Tổng hợp trong giờ'!$A33,'Đóng gói trong giờ'!AK$12:AK$123)</f>
        <v>75</v>
      </c>
      <c r="AL33" s="4">
        <f>SUMIF('Đóng gói trong giờ'!$A$12:$A$123,'Tổng hợp trong giờ'!$A33,'Đóng gói trong giờ'!AL$12:AL$123)</f>
        <v>0</v>
      </c>
      <c r="AM33" s="4">
        <f>SUMIF('Đóng gói trong giờ'!$A$12:$A$123,'Tổng hợp trong giờ'!$A33,'Đóng gói trong giờ'!AM$12:AM$123)</f>
        <v>50</v>
      </c>
      <c r="AN33" s="4">
        <f>SUMIF('Đóng gói trong giờ'!$A$12:$A$123,'Tổng hợp trong giờ'!$A33,'Đóng gói trong giờ'!AN$12:AN$123)</f>
        <v>0</v>
      </c>
      <c r="AO33" s="4">
        <f>SUMIF('Đóng gói trong giờ'!$A$12:$A$123,'Tổng hợp trong giờ'!$A33,'Đóng gói trong giờ'!AO$12:AO$123)</f>
        <v>0</v>
      </c>
      <c r="AP33" s="4">
        <f>SUMIF('Đóng gói trong giờ'!$A$12:$A$123,'Tổng hợp trong giờ'!$A33,'Đóng gói trong giờ'!AP$12:AP$123)</f>
        <v>0</v>
      </c>
      <c r="AQ33" s="4">
        <f>SUMIF('Đóng gói trong giờ'!$A$12:$A$123,'Tổng hợp trong giờ'!$A33,'Đóng gói trong giờ'!AQ$12:AQ$123)</f>
        <v>0</v>
      </c>
      <c r="AR33" s="4">
        <f>SUMIF('Đóng gói trong giờ'!$A$12:$A$123,'Tổng hợp trong giờ'!$A33,'Đóng gói trong giờ'!AR$12:AR$123)</f>
        <v>0</v>
      </c>
      <c r="AS33" s="4">
        <f>SUMIF('Đóng gói trong giờ'!$A$12:$A$123,'Tổng hợp trong giờ'!$A33,'Đóng gói trong giờ'!AS$12:AS$123)</f>
        <v>0</v>
      </c>
      <c r="AT33" s="4">
        <f>SUMIF('Đóng gói trong giờ'!$A$12:$A$123,'Tổng hợp trong giờ'!$A33,'Đóng gói trong giờ'!AT$12:AT$123)</f>
        <v>0</v>
      </c>
      <c r="AU33" s="4">
        <f>SUMIF('Đóng gói trong giờ'!$A$12:$A$123,'Tổng hợp trong giờ'!$A33,'Đóng gói trong giờ'!AU$12:AU$123)</f>
        <v>0</v>
      </c>
      <c r="AV33" s="4">
        <f>SUMIF('Đóng gói trong giờ'!$A$12:$A$123,'Tổng hợp trong giờ'!$A33,'Đóng gói trong giờ'!AV$12:AV$123)</f>
        <v>0</v>
      </c>
      <c r="AW33" s="4">
        <f>SUMIF('Đóng gói trong giờ'!$A$12:$A$123,'Tổng hợp trong giờ'!$A33,'Đóng gói trong giờ'!AW$12:AW$123)</f>
        <v>0</v>
      </c>
      <c r="AX33" s="4">
        <f>SUMIF('Đóng gói trong giờ'!$A$12:$A$123,'Tổng hợp trong giờ'!$A33,'Đóng gói trong giờ'!AX$12:AX$123)</f>
        <v>0</v>
      </c>
      <c r="AY33" s="4">
        <f>SUMIF('Đóng gói trong giờ'!$A$12:$A$123,'Tổng hợp trong giờ'!$A33,'Đóng gói trong giờ'!AY$12:AY$123)</f>
        <v>0</v>
      </c>
      <c r="AZ33" s="4">
        <f>SUMIF('Đóng gói trong giờ'!$A$12:$A$123,'Tổng hợp trong giờ'!$A33,'Đóng gói trong giờ'!AZ$12:AZ$123)</f>
        <v>0</v>
      </c>
      <c r="BA33" s="4">
        <f>SUMIF('Đóng gói trong giờ'!$A$12:$A$123,'Tổng hợp trong giờ'!$A33,'Đóng gói trong giờ'!BA$12:BA$123)</f>
        <v>0</v>
      </c>
      <c r="BB33" s="4">
        <f>SUMIF('Đóng gói trong giờ'!$A$12:$A$123,'Tổng hợp trong giờ'!$A33,'Đóng gói trong giờ'!BB$12:BB$123)</f>
        <v>0</v>
      </c>
      <c r="BC33" s="22">
        <f>SUMIF('Đóng gói trong giờ'!$A$12:$A$78,'Tổng hợp trong giờ'!$A33,'Đóng gói trong giờ'!BC$12:BC$78)</f>
        <v>0</v>
      </c>
      <c r="BD33" s="119">
        <f>SUMIF('Bốc hàng trong giờ new'!$H$13:$H$3398,'Tổng hợp trong giờ'!A33,'Bốc hàng trong giờ new'!$J$13:$J$3398)</f>
        <v>0</v>
      </c>
      <c r="BE33" s="22">
        <f>SUMIF('Đóng gói trong giờ'!$A$12:$A$78,'Tổng hợp trong giờ'!$A33,'Đóng gói trong giờ'!BE$12:BE$78)</f>
        <v>34.75</v>
      </c>
      <c r="BF33" s="4">
        <f>SUMIF('Đóng gói trong giờ'!$A$12:$A$123,'Tổng hợp trong giờ'!$A33,'Đóng gói trong giờ'!BD$12:BD$123)</f>
        <v>0</v>
      </c>
      <c r="BG33" s="4">
        <f>SUMIF('Đóng gói trong giờ'!$A$12:$A$123,'Tổng hợp trong giờ'!$A33,'Đóng gói trong giờ'!BE$12:BE$123)</f>
        <v>34.75</v>
      </c>
      <c r="BH33" s="4">
        <f>SUMIF('Đóng gói trong giờ'!$A$12:$A$123,'Tổng hợp trong giờ'!$A33,'Đóng gói trong giờ'!BF$12:BF$123)</f>
        <v>0</v>
      </c>
      <c r="BI33" s="4">
        <f>SUMIF('Đóng gói trong giờ'!$A$12:$A$123,'Tổng hợp trong giờ'!$A33,'Đóng gói trong giờ'!BG$12:BG$123)</f>
        <v>0</v>
      </c>
      <c r="BJ33" s="4">
        <f>SUMIF('Đóng gói trong giờ'!$A$12:$A$123,'Tổng hợp trong giờ'!$A33,'Đóng gói trong giờ'!BH$12:BH$123)</f>
        <v>0</v>
      </c>
      <c r="BK33" s="4">
        <f>SUMIF('Đóng gói trong giờ'!$A$12:$A$123,'Tổng hợp trong giờ'!$A33,'Đóng gói trong giờ'!BI$12:BI$123)</f>
        <v>0</v>
      </c>
      <c r="BL33" s="4">
        <f>SUMIF('Đóng gói trong giờ'!$A$12:$A$123,'Tổng hợp trong giờ'!$A33,'Đóng gói trong giờ'!BJ$12:BJ$123)</f>
        <v>0</v>
      </c>
      <c r="BM33" s="4">
        <f>SUMIF('Đóng gói trong giờ'!$A$12:$A$123,'Tổng hợp trong giờ'!$A33,'Đóng gói trong giờ'!BK$12:BK$123)</f>
        <v>0</v>
      </c>
      <c r="BN33" s="4">
        <f>SUMIF('Đóng gói trong giờ'!$A$12:$A$123,'Tổng hợp trong giờ'!$A33,'Đóng gói trong giờ'!BL$12:BL$123)</f>
        <v>19.5</v>
      </c>
      <c r="BO33" s="4">
        <f>SUMIF('Đóng gói trong giờ'!$A$12:$A$123,'Tổng hợp trong giờ'!$A33,'Đóng gói trong giờ'!BM$12:BM$123)</f>
        <v>0</v>
      </c>
      <c r="BP33" s="4">
        <f>SUMIF('Đóng gói trong giờ'!$A$12:$A$123,'Tổng hợp trong giờ'!$A33,'Đóng gói trong giờ'!BN$12:BN$123)</f>
        <v>3.5</v>
      </c>
      <c r="BQ33" s="4">
        <f>SUMIF('Đóng gói trong giờ'!$A$12:$A$123,'Tổng hợp trong giờ'!$A33,'Đóng gói trong giờ'!BO$12:BO$123)</f>
        <v>0</v>
      </c>
      <c r="BR33" s="4">
        <f>SUMIF('Đóng gói trong giờ'!$A$12:$A$123,'Tổng hợp trong giờ'!$A33,'Đóng gói trong giờ'!BP$12:BP$123)</f>
        <v>0</v>
      </c>
      <c r="BS33" s="4">
        <f>SUMIF('Đóng gói trong giờ'!$A$12:$A$123,'Tổng hợp trong giờ'!$A33,'Đóng gói trong giờ'!BQ$12:BQ$123)</f>
        <v>0</v>
      </c>
      <c r="BT33" s="4">
        <f>SUMIF('Đóng gói trong giờ'!$A$12:$A$123,'Tổng hợp trong giờ'!$A33,'Đóng gói trong giờ'!BR$12:BR$123)</f>
        <v>0</v>
      </c>
      <c r="BU33" s="169">
        <f t="shared" si="1"/>
        <v>57.75</v>
      </c>
      <c r="BV33" s="168">
        <f t="shared" si="2"/>
        <v>2129873.5511064278</v>
      </c>
      <c r="BW33" s="168">
        <f t="shared" si="3"/>
        <v>11768163.494659126</v>
      </c>
      <c r="BX33" s="4">
        <f ca="1">VLOOKUP(A33,'Tổng hợp ngoài giờ'!$A$15:$BW$41,75,0)</f>
        <v>1271203.9863967088</v>
      </c>
      <c r="BY33" s="10">
        <f t="shared" ca="1" si="4"/>
        <v>13039367.481055835</v>
      </c>
      <c r="BZ33" s="96">
        <f>IF(ISNA(VLOOKUP(A33,' Bang luong'!$A$13:$M$59,11,0)),0,VLOOKUP(A33,' Bang luong'!$A$13:$M$59,11,0))</f>
        <v>26</v>
      </c>
      <c r="CA33" s="4">
        <f t="shared" si="5"/>
        <v>7000000</v>
      </c>
      <c r="CB33" s="14">
        <f t="shared" ca="1" si="6"/>
        <v>1.6811662135227323</v>
      </c>
      <c r="CQ33" s="9">
        <v>22</v>
      </c>
    </row>
    <row r="34" spans="1:95" s="222" customFormat="1" ht="15.75" x14ac:dyDescent="0.25">
      <c r="A34" s="224" t="s">
        <v>409</v>
      </c>
      <c r="B34" s="2" t="str">
        <f>VLOOKUP(A34,'Mã NV'!$A$1:$C$27,2,0)</f>
        <v>Đặng Văn Luân</v>
      </c>
      <c r="C34" s="22"/>
      <c r="D34" s="4">
        <f>SUMIF('Đóng gói trong giờ'!$A$12:$A$123,'Tổng hợp trong giờ'!$A34,'Đóng gói trong giờ'!D$12:D$123)</f>
        <v>770</v>
      </c>
      <c r="E34" s="4">
        <f>SUMIF('Đóng gói trong giờ'!$A$12:$A$123,'Tổng hợp trong giờ'!$A34,'Đóng gói trong giờ'!E$12:E$123)</f>
        <v>3525</v>
      </c>
      <c r="F34" s="4">
        <f>SUMIF('Đóng gói trong giờ'!$A$12:$A$123,'Tổng hợp trong giờ'!$A34,'Đóng gói trong giờ'!F$12:F$123)</f>
        <v>3443.3366666666698</v>
      </c>
      <c r="G34" s="4">
        <f>SUMIF('Đóng gói trong giờ'!$A$12:$A$123,'Tổng hợp trong giờ'!$A34,'Đóng gói trong giờ'!G$12:G$123)</f>
        <v>0</v>
      </c>
      <c r="H34" s="4">
        <f>SUMIF('Đóng gói trong giờ'!$A$12:$A$123,'Tổng hợp trong giờ'!$A34,'Đóng gói trong giờ'!H$12:H$123)</f>
        <v>0</v>
      </c>
      <c r="I34" s="4">
        <f>SUMIF('Đóng gói trong giờ'!$A$12:$A$123,'Tổng hợp trong giờ'!$A34,'Đóng gói trong giờ'!I$12:I$123)</f>
        <v>0</v>
      </c>
      <c r="J34" s="4">
        <f>SUMIF('Đóng gói trong giờ'!$A$12:$A$123,'Tổng hợp trong giờ'!$A34,'Đóng gói trong giờ'!J$12:J$123)</f>
        <v>75</v>
      </c>
      <c r="K34" s="4">
        <f>SUMIF('Đóng gói trong giờ'!$A$12:$A$123,'Tổng hợp trong giờ'!$A34,'Đóng gói trong giờ'!K$12:K$123)</f>
        <v>0</v>
      </c>
      <c r="L34" s="4">
        <f>SUMIF('Đóng gói trong giờ'!$A$12:$A$123,'Tổng hợp trong giờ'!$A34,'Đóng gói trong giờ'!L$12:L$123)</f>
        <v>0</v>
      </c>
      <c r="M34" s="4">
        <f>SUMIF('Đóng gói trong giờ'!$A$12:$A$123,'Tổng hợp trong giờ'!$A34,'Đóng gói trong giờ'!M$12:M$123)</f>
        <v>0</v>
      </c>
      <c r="N34" s="4">
        <f>SUMIF('Đóng gói trong giờ'!$A$12:$A$123,'Tổng hợp trong giờ'!$A34,'Đóng gói trong giờ'!N$12:N$123)</f>
        <v>0</v>
      </c>
      <c r="O34" s="4">
        <f>SUMIF('Đóng gói trong giờ'!$A$12:$A$123,'Tổng hợp trong giờ'!$A34,'Đóng gói trong giờ'!O$12:O$123)</f>
        <v>283.33</v>
      </c>
      <c r="P34" s="4">
        <f>SUMIF('Đóng gói trong giờ'!$A$12:$A$123,'Tổng hợp trong giờ'!$A34,'Đóng gói trong giờ'!P$12:P$123)</f>
        <v>0</v>
      </c>
      <c r="Q34" s="4">
        <f>SUMIF('Đóng gói trong giờ'!$A$12:$A$123,'Tổng hợp trong giờ'!$A34,'Đóng gói trong giờ'!Q$12:Q$123)</f>
        <v>0</v>
      </c>
      <c r="R34" s="4">
        <f>SUMIF('Đóng gói trong giờ'!$A$12:$A$123,'Tổng hợp trong giờ'!$A34,'Đóng gói trong giờ'!R$12:R$123)</f>
        <v>0</v>
      </c>
      <c r="S34" s="4">
        <f>SUMIF('Đóng gói trong giờ'!$A$12:$A$123,'Tổng hợp trong giờ'!$A34,'Đóng gói trong giờ'!S$12:S$123)</f>
        <v>0</v>
      </c>
      <c r="T34" s="4">
        <f>SUMIF('Đóng gói trong giờ'!$A$12:$A$123,'Tổng hợp trong giờ'!$A34,'Đóng gói trong giờ'!T$12:T$123)</f>
        <v>0</v>
      </c>
      <c r="U34" s="4">
        <f>SUMIF('Đóng gói trong giờ'!$A$12:$A$123,'Tổng hợp trong giờ'!$A34,'Đóng gói trong giờ'!U$12:U$123)</f>
        <v>0</v>
      </c>
      <c r="V34" s="4">
        <f>SUMIF('Đóng gói trong giờ'!$A$12:$A$123,'Tổng hợp trong giờ'!$A34,'Đóng gói trong giờ'!V$12:V$123)</f>
        <v>0</v>
      </c>
      <c r="W34" s="4">
        <f>SUMIF('Đóng gói trong giờ'!$A$12:$A$123,'Tổng hợp trong giờ'!$A34,'Đóng gói trong giờ'!W$12:W$123)</f>
        <v>0</v>
      </c>
      <c r="X34" s="4">
        <f>SUMIF('Đóng gói trong giờ'!$A$12:$A$123,'Tổng hợp trong giờ'!$A34,'Đóng gói trong giờ'!X$12:X$123)</f>
        <v>0</v>
      </c>
      <c r="Y34" s="4">
        <f>SUMIF('Đóng gói trong giờ'!$A$12:$A$123,'Tổng hợp trong giờ'!$A34,'Đóng gói trong giờ'!Y$12:Y$123)</f>
        <v>0</v>
      </c>
      <c r="Z34" s="4">
        <f>SUMIF('Đóng gói trong giờ'!$A$12:$A$123,'Tổng hợp trong giờ'!$A34,'Đóng gói trong giờ'!Z$12:Z$123)</f>
        <v>0</v>
      </c>
      <c r="AA34" s="4">
        <f>SUMIF('Đóng gói trong giờ'!$A$12:$A$123,'Tổng hợp trong giờ'!$A34,'Đóng gói trong giờ'!AA$12:AA$123)</f>
        <v>83.333333333333329</v>
      </c>
      <c r="AB34" s="4">
        <f>SUMIF('Đóng gói trong giờ'!$A$12:$A$123,'Tổng hợp trong giờ'!$A34,'Đóng gói trong giờ'!AB$12:AB$123)</f>
        <v>0</v>
      </c>
      <c r="AC34" s="4">
        <f>SUMIF('Đóng gói trong giờ'!$A$12:$A$123,'Tổng hợp trong giờ'!$A34,'Đóng gói trong giờ'!AC$12:AC$123)</f>
        <v>0</v>
      </c>
      <c r="AD34" s="4">
        <f>SUMIF('Đóng gói trong giờ'!$A$12:$A$123,'Tổng hợp trong giờ'!$A34,'Đóng gói trong giờ'!AD$12:AD$123)</f>
        <v>437.5</v>
      </c>
      <c r="AE34" s="4">
        <f>SUMIF('Đóng gói trong giờ'!$A$12:$A$123,'Tổng hợp trong giờ'!$A34,'Đóng gói trong giờ'!AE$12:AE$123)</f>
        <v>0</v>
      </c>
      <c r="AF34" s="4">
        <f>SUMIF('Đóng gói trong giờ'!$A$12:$A$123,'Tổng hợp trong giờ'!$A34,'Đóng gói trong giờ'!AF$12:AF$123)</f>
        <v>0</v>
      </c>
      <c r="AG34" s="4">
        <f>SUMIF('Đóng gói trong giờ'!$A$12:$A$123,'Tổng hợp trong giờ'!$A34,'Đóng gói trong giờ'!AG$12:AG$123)</f>
        <v>0</v>
      </c>
      <c r="AH34" s="4">
        <f>SUMIF('Đóng gói trong giờ'!$A$12:$A$123,'Tổng hợp trong giờ'!$A34,'Đóng gói trong giờ'!AH$12:AH$123)</f>
        <v>0</v>
      </c>
      <c r="AI34" s="4">
        <f>SUMIF('Đóng gói trong giờ'!$A$12:$A$123,'Tổng hợp trong giờ'!$A34,'Đóng gói trong giờ'!AI$12:AI$123)</f>
        <v>0</v>
      </c>
      <c r="AJ34" s="4">
        <f>SUMIF('Đóng gói trong giờ'!$A$12:$A$123,'Tổng hợp trong giờ'!$A34,'Đóng gói trong giờ'!AJ$12:AJ$123)</f>
        <v>2.5</v>
      </c>
      <c r="AK34" s="4">
        <f>SUMIF('Đóng gói trong giờ'!$A$12:$A$123,'Tổng hợp trong giờ'!$A34,'Đóng gói trong giờ'!AK$12:AK$123)</f>
        <v>75</v>
      </c>
      <c r="AL34" s="4">
        <f>SUMIF('Đóng gói trong giờ'!$A$12:$A$123,'Tổng hợp trong giờ'!$A34,'Đóng gói trong giờ'!AL$12:AL$123)</f>
        <v>0</v>
      </c>
      <c r="AM34" s="4">
        <f>SUMIF('Đóng gói trong giờ'!$A$12:$A$123,'Tổng hợp trong giờ'!$A34,'Đóng gói trong giờ'!AM$12:AM$123)</f>
        <v>83.33</v>
      </c>
      <c r="AN34" s="4">
        <f>SUMIF('Đóng gói trong giờ'!$A$12:$A$123,'Tổng hợp trong giờ'!$A34,'Đóng gói trong giờ'!AN$12:AN$123)</f>
        <v>0</v>
      </c>
      <c r="AO34" s="4">
        <f>SUMIF('Đóng gói trong giờ'!$A$12:$A$123,'Tổng hợp trong giờ'!$A34,'Đóng gói trong giờ'!AO$12:AO$123)</f>
        <v>0</v>
      </c>
      <c r="AP34" s="4">
        <f>SUMIF('Đóng gói trong giờ'!$A$12:$A$123,'Tổng hợp trong giờ'!$A34,'Đóng gói trong giờ'!AP$12:AP$123)</f>
        <v>0</v>
      </c>
      <c r="AQ34" s="4">
        <f>SUMIF('Đóng gói trong giờ'!$A$12:$A$123,'Tổng hợp trong giờ'!$A34,'Đóng gói trong giờ'!AQ$12:AQ$123)</f>
        <v>0</v>
      </c>
      <c r="AR34" s="4">
        <f>SUMIF('Đóng gói trong giờ'!$A$12:$A$123,'Tổng hợp trong giờ'!$A34,'Đóng gói trong giờ'!AR$12:AR$123)</f>
        <v>0</v>
      </c>
      <c r="AS34" s="4">
        <f>SUMIF('Đóng gói trong giờ'!$A$12:$A$123,'Tổng hợp trong giờ'!$A34,'Đóng gói trong giờ'!AS$12:AS$123)</f>
        <v>0</v>
      </c>
      <c r="AT34" s="4">
        <f>SUMIF('Đóng gói trong giờ'!$A$12:$A$123,'Tổng hợp trong giờ'!$A34,'Đóng gói trong giờ'!AT$12:AT$123)</f>
        <v>0</v>
      </c>
      <c r="AU34" s="4">
        <f>SUMIF('Đóng gói trong giờ'!$A$12:$A$123,'Tổng hợp trong giờ'!$A34,'Đóng gói trong giờ'!AU$12:AU$123)</f>
        <v>0</v>
      </c>
      <c r="AV34" s="4">
        <f>SUMIF('Đóng gói trong giờ'!$A$12:$A$123,'Tổng hợp trong giờ'!$A34,'Đóng gói trong giờ'!AV$12:AV$123)</f>
        <v>600</v>
      </c>
      <c r="AW34" s="4">
        <f>SUMIF('Đóng gói trong giờ'!$A$12:$A$123,'Tổng hợp trong giờ'!$A34,'Đóng gói trong giờ'!AW$12:AW$123)</f>
        <v>0</v>
      </c>
      <c r="AX34" s="4">
        <f>SUMIF('Đóng gói trong giờ'!$A$12:$A$123,'Tổng hợp trong giờ'!$A34,'Đóng gói trong giờ'!AX$12:AX$123)</f>
        <v>0</v>
      </c>
      <c r="AY34" s="4">
        <f>SUMIF('Đóng gói trong giờ'!$A$12:$A$123,'Tổng hợp trong giờ'!$A34,'Đóng gói trong giờ'!AY$12:AY$123)</f>
        <v>0</v>
      </c>
      <c r="AZ34" s="4">
        <f>SUMIF('Đóng gói trong giờ'!$A$12:$A$123,'Tổng hợp trong giờ'!$A34,'Đóng gói trong giờ'!AZ$12:AZ$123)</f>
        <v>0</v>
      </c>
      <c r="BA34" s="4">
        <f>SUMIF('Đóng gói trong giờ'!$A$12:$A$123,'Tổng hợp trong giờ'!$A34,'Đóng gói trong giờ'!BA$12:BA$123)</f>
        <v>0</v>
      </c>
      <c r="BB34" s="4">
        <f>SUMIF('Đóng gói trong giờ'!$A$12:$A$123,'Tổng hợp trong giờ'!$A34,'Đóng gói trong giờ'!BB$12:BB$123)</f>
        <v>0</v>
      </c>
      <c r="BC34" s="22">
        <f>SUMIF('Đóng gói trong giờ'!$A$12:$A$78,'Tổng hợp trong giờ'!$A34,'Đóng gói trong giờ'!BC$12:BC$78)</f>
        <v>0</v>
      </c>
      <c r="BD34" s="119">
        <f>SUMIF('Bốc hàng trong giờ new'!$H$13:$H$3398,'Tổng hợp trong giờ'!A34,'Bốc hàng trong giờ new'!$J$13:$J$3398)</f>
        <v>0</v>
      </c>
      <c r="BE34" s="22">
        <f>SUMIF('Đóng gói trong giờ'!$A$12:$A$78,'Tổng hợp trong giờ'!$A34,'Đóng gói trong giờ'!BE$12:BE$78)</f>
        <v>41</v>
      </c>
      <c r="BF34" s="4">
        <f>SUMIF('Đóng gói trong giờ'!$A$12:$A$123,'Tổng hợp trong giờ'!$A34,'Đóng gói trong giờ'!BD$12:BD$123)</f>
        <v>0</v>
      </c>
      <c r="BG34" s="4">
        <f>SUMIF('Đóng gói trong giờ'!$A$12:$A$123,'Tổng hợp trong giờ'!$A34,'Đóng gói trong giờ'!BE$12:BE$123)</f>
        <v>41</v>
      </c>
      <c r="BH34" s="4">
        <f>SUMIF('Đóng gói trong giờ'!$A$12:$A$123,'Tổng hợp trong giờ'!$A34,'Đóng gói trong giờ'!BF$12:BF$123)</f>
        <v>0</v>
      </c>
      <c r="BI34" s="4">
        <f>SUMIF('Đóng gói trong giờ'!$A$12:$A$123,'Tổng hợp trong giờ'!$A34,'Đóng gói trong giờ'!BG$12:BG$123)</f>
        <v>0</v>
      </c>
      <c r="BJ34" s="4">
        <f>SUMIF('Đóng gói trong giờ'!$A$12:$A$123,'Tổng hợp trong giờ'!$A34,'Đóng gói trong giờ'!BH$12:BH$123)</f>
        <v>0</v>
      </c>
      <c r="BK34" s="4">
        <f>SUMIF('Đóng gói trong giờ'!$A$12:$A$123,'Tổng hợp trong giờ'!$A34,'Đóng gói trong giờ'!BI$12:BI$123)</f>
        <v>0</v>
      </c>
      <c r="BL34" s="4">
        <f>SUMIF('Đóng gói trong giờ'!$A$12:$A$123,'Tổng hợp trong giờ'!$A34,'Đóng gói trong giờ'!BJ$12:BJ$123)</f>
        <v>0</v>
      </c>
      <c r="BM34" s="4">
        <f>SUMIF('Đóng gói trong giờ'!$A$12:$A$123,'Tổng hợp trong giờ'!$A34,'Đóng gói trong giờ'!BK$12:BK$123)</f>
        <v>0</v>
      </c>
      <c r="BN34" s="4">
        <f>SUMIF('Đóng gói trong giờ'!$A$12:$A$123,'Tổng hợp trong giờ'!$A34,'Đóng gói trong giờ'!BL$12:BL$123)</f>
        <v>21.5</v>
      </c>
      <c r="BO34" s="4">
        <f>SUMIF('Đóng gói trong giờ'!$A$12:$A$123,'Tổng hợp trong giờ'!$A34,'Đóng gói trong giờ'!BM$12:BM$123)</f>
        <v>0</v>
      </c>
      <c r="BP34" s="4">
        <f>SUMIF('Đóng gói trong giờ'!$A$12:$A$123,'Tổng hợp trong giờ'!$A34,'Đóng gói trong giờ'!BN$12:BN$123)</f>
        <v>0</v>
      </c>
      <c r="BQ34" s="4">
        <f>SUMIF('Đóng gói trong giờ'!$A$12:$A$123,'Tổng hợp trong giờ'!$A34,'Đóng gói trong giờ'!BO$12:BO$123)</f>
        <v>0</v>
      </c>
      <c r="BR34" s="4">
        <f>SUMIF('Đóng gói trong giờ'!$A$12:$A$123,'Tổng hợp trong giờ'!$A34,'Đóng gói trong giờ'!BP$12:BP$123)</f>
        <v>0</v>
      </c>
      <c r="BS34" s="4">
        <f>SUMIF('Đóng gói trong giờ'!$A$12:$A$123,'Tổng hợp trong giờ'!$A34,'Đóng gói trong giờ'!BQ$12:BQ$123)</f>
        <v>0</v>
      </c>
      <c r="BT34" s="4">
        <f>SUMIF('Đóng gói trong giờ'!$A$12:$A$123,'Tổng hợp trong giờ'!$A34,'Đóng gói trong giờ'!BR$12:BR$123)</f>
        <v>0</v>
      </c>
      <c r="BU34" s="169">
        <f t="shared" si="1"/>
        <v>62.5</v>
      </c>
      <c r="BV34" s="168">
        <f t="shared" si="2"/>
        <v>2305057.9557428872</v>
      </c>
      <c r="BW34" s="168">
        <f t="shared" si="3"/>
        <v>10166980.307660121</v>
      </c>
      <c r="BX34" s="4">
        <f ca="1">VLOOKUP(A34,'Tổng hợp ngoài giờ'!$A$15:$BW$41,75,0)</f>
        <v>266989.21378761576</v>
      </c>
      <c r="BY34" s="10">
        <f t="shared" ca="1" si="4"/>
        <v>10433969.521447737</v>
      </c>
      <c r="BZ34" s="96">
        <f>IF(ISNA(VLOOKUP(A34,' Bang luong'!$A$13:$M$59,11,0)),0,VLOOKUP(A34,' Bang luong'!$A$13:$M$59,11,0))</f>
        <v>26</v>
      </c>
      <c r="CA34" s="4">
        <f t="shared" si="5"/>
        <v>7000000</v>
      </c>
      <c r="CB34" s="14">
        <f t="shared" ca="1" si="6"/>
        <v>1.4524257582371602</v>
      </c>
      <c r="CQ34" s="9">
        <v>23</v>
      </c>
    </row>
    <row r="35" spans="1:95" s="222" customFormat="1" ht="15.75" x14ac:dyDescent="0.25">
      <c r="A35" s="224" t="s">
        <v>410</v>
      </c>
      <c r="B35" s="2" t="str">
        <f>VLOOKUP(A35,'Mã NV'!$A$1:$C$27,2,0)</f>
        <v>Phan Thanh Minh</v>
      </c>
      <c r="C35" s="306"/>
      <c r="D35" s="4">
        <f>SUMIF('Đóng gói trong giờ'!$A$12:$A$123,'Tổng hợp trong giờ'!$A35,'Đóng gói trong giờ'!D$12:D$123)</f>
        <v>1550</v>
      </c>
      <c r="E35" s="4">
        <f>SUMIF('Đóng gói trong giờ'!$A$12:$A$123,'Tổng hợp trong giờ'!$A35,'Đóng gói trong giờ'!E$12:E$123)</f>
        <v>2900</v>
      </c>
      <c r="F35" s="4">
        <f>SUMIF('Đóng gói trong giờ'!$A$12:$A$123,'Tổng hợp trong giờ'!$A35,'Đóng gói trong giờ'!F$12:F$123)</f>
        <v>3833.33</v>
      </c>
      <c r="G35" s="4">
        <f>SUMIF('Đóng gói trong giờ'!$A$12:$A$123,'Tổng hợp trong giờ'!$A35,'Đóng gói trong giờ'!G$12:G$123)</f>
        <v>0</v>
      </c>
      <c r="H35" s="4">
        <f>SUMIF('Đóng gói trong giờ'!$A$12:$A$123,'Tổng hợp trong giờ'!$A35,'Đóng gói trong giờ'!H$12:H$123)</f>
        <v>225</v>
      </c>
      <c r="I35" s="4">
        <f>SUMIF('Đóng gói trong giờ'!$A$12:$A$123,'Tổng hợp trong giờ'!$A35,'Đóng gói trong giờ'!I$12:I$123)</f>
        <v>0</v>
      </c>
      <c r="J35" s="4">
        <f>SUMIF('Đóng gói trong giờ'!$A$12:$A$123,'Tổng hợp trong giờ'!$A35,'Đóng gói trong giờ'!J$12:J$123)</f>
        <v>150</v>
      </c>
      <c r="K35" s="4">
        <f>SUMIF('Đóng gói trong giờ'!$A$12:$A$123,'Tổng hợp trong giờ'!$A35,'Đóng gói trong giờ'!K$12:K$123)</f>
        <v>0</v>
      </c>
      <c r="L35" s="4">
        <f>SUMIF('Đóng gói trong giờ'!$A$12:$A$123,'Tổng hợp trong giờ'!$A35,'Đóng gói trong giờ'!L$12:L$123)</f>
        <v>0</v>
      </c>
      <c r="M35" s="4">
        <f>SUMIF('Đóng gói trong giờ'!$A$12:$A$123,'Tổng hợp trong giờ'!$A35,'Đóng gói trong giờ'!M$12:M$123)</f>
        <v>0</v>
      </c>
      <c r="N35" s="4">
        <f>SUMIF('Đóng gói trong giờ'!$A$12:$A$123,'Tổng hợp trong giờ'!$A35,'Đóng gói trong giờ'!N$12:N$123)</f>
        <v>0</v>
      </c>
      <c r="O35" s="4">
        <f>SUMIF('Đóng gói trong giờ'!$A$12:$A$123,'Tổng hợp trong giờ'!$A35,'Đóng gói trong giờ'!O$12:O$123)</f>
        <v>283.33333333333331</v>
      </c>
      <c r="P35" s="4">
        <f>SUMIF('Đóng gói trong giờ'!$A$12:$A$123,'Tổng hợp trong giờ'!$A35,'Đóng gói trong giờ'!P$12:P$123)</f>
        <v>425</v>
      </c>
      <c r="Q35" s="4">
        <f>SUMIF('Đóng gói trong giờ'!$A$12:$A$123,'Tổng hợp trong giờ'!$A35,'Đóng gói trong giờ'!Q$12:Q$123)</f>
        <v>0</v>
      </c>
      <c r="R35" s="4">
        <f>SUMIF('Đóng gói trong giờ'!$A$12:$A$123,'Tổng hợp trong giờ'!$A35,'Đóng gói trong giờ'!R$12:R$123)</f>
        <v>183.33</v>
      </c>
      <c r="S35" s="4">
        <f>SUMIF('Đóng gói trong giờ'!$A$12:$A$123,'Tổng hợp trong giờ'!$A35,'Đóng gói trong giờ'!S$12:S$123)</f>
        <v>0</v>
      </c>
      <c r="T35" s="4">
        <f>SUMIF('Đóng gói trong giờ'!$A$12:$A$123,'Tổng hợp trong giờ'!$A35,'Đóng gói trong giờ'!T$12:T$123)</f>
        <v>0</v>
      </c>
      <c r="U35" s="4">
        <f>SUMIF('Đóng gói trong giờ'!$A$12:$A$123,'Tổng hợp trong giờ'!$A35,'Đóng gói trong giờ'!U$12:U$123)</f>
        <v>0</v>
      </c>
      <c r="V35" s="4">
        <f>SUMIF('Đóng gói trong giờ'!$A$12:$A$123,'Tổng hợp trong giờ'!$A35,'Đóng gói trong giờ'!V$12:V$123)</f>
        <v>0</v>
      </c>
      <c r="W35" s="4">
        <f>SUMIF('Đóng gói trong giờ'!$A$12:$A$123,'Tổng hợp trong giờ'!$A35,'Đóng gói trong giờ'!W$12:W$123)</f>
        <v>0</v>
      </c>
      <c r="X35" s="4">
        <f>SUMIF('Đóng gói trong giờ'!$A$12:$A$123,'Tổng hợp trong giờ'!$A35,'Đóng gói trong giờ'!X$12:X$123)</f>
        <v>0</v>
      </c>
      <c r="Y35" s="4">
        <f>SUMIF('Đóng gói trong giờ'!$A$12:$A$123,'Tổng hợp trong giờ'!$A35,'Đóng gói trong giờ'!Y$12:Y$123)</f>
        <v>0</v>
      </c>
      <c r="Z35" s="4">
        <f>SUMIF('Đóng gói trong giờ'!$A$12:$A$123,'Tổng hợp trong giờ'!$A35,'Đóng gói trong giờ'!Z$12:Z$123)</f>
        <v>0</v>
      </c>
      <c r="AA35" s="4">
        <f>SUMIF('Đóng gói trong giờ'!$A$12:$A$123,'Tổng hợp trong giờ'!$A35,'Đóng gói trong giờ'!AA$12:AA$123)</f>
        <v>150.00333333333333</v>
      </c>
      <c r="AB35" s="4">
        <f>SUMIF('Đóng gói trong giờ'!$A$12:$A$123,'Tổng hợp trong giờ'!$A35,'Đóng gói trong giờ'!AB$12:AB$123)</f>
        <v>0</v>
      </c>
      <c r="AC35" s="4">
        <f>SUMIF('Đóng gói trong giờ'!$A$12:$A$123,'Tổng hợp trong giờ'!$A35,'Đóng gói trong giờ'!AC$12:AC$123)</f>
        <v>0</v>
      </c>
      <c r="AD35" s="4">
        <f>SUMIF('Đóng gói trong giờ'!$A$12:$A$123,'Tổng hợp trong giờ'!$A35,'Đóng gói trong giờ'!AD$12:AD$123)</f>
        <v>0</v>
      </c>
      <c r="AE35" s="4">
        <f>SUMIF('Đóng gói trong giờ'!$A$12:$A$123,'Tổng hợp trong giờ'!$A35,'Đóng gói trong giờ'!AE$12:AE$123)</f>
        <v>0</v>
      </c>
      <c r="AF35" s="4">
        <f>SUMIF('Đóng gói trong giờ'!$A$12:$A$123,'Tổng hợp trong giờ'!$A35,'Đóng gói trong giờ'!AF$12:AF$123)</f>
        <v>0</v>
      </c>
      <c r="AG35" s="4">
        <f>SUMIF('Đóng gói trong giờ'!$A$12:$A$123,'Tổng hợp trong giờ'!$A35,'Đóng gói trong giờ'!AG$12:AG$123)</f>
        <v>0</v>
      </c>
      <c r="AH35" s="4">
        <f>SUMIF('Đóng gói trong giờ'!$A$12:$A$123,'Tổng hợp trong giờ'!$A35,'Đóng gói trong giờ'!AH$12:AH$123)</f>
        <v>0</v>
      </c>
      <c r="AI35" s="4">
        <f>SUMIF('Đóng gói trong giờ'!$A$12:$A$123,'Tổng hợp trong giờ'!$A35,'Đóng gói trong giờ'!AI$12:AI$123)</f>
        <v>0</v>
      </c>
      <c r="AJ35" s="4">
        <f>SUMIF('Đóng gói trong giờ'!$A$12:$A$123,'Tổng hợp trong giờ'!$A35,'Đóng gói trong giờ'!AJ$12:AJ$123)</f>
        <v>0</v>
      </c>
      <c r="AK35" s="4">
        <f>SUMIF('Đóng gói trong giờ'!$A$12:$A$123,'Tổng hợp trong giờ'!$A35,'Đóng gói trong giờ'!AK$12:AK$123)</f>
        <v>0</v>
      </c>
      <c r="AL35" s="4">
        <f>SUMIF('Đóng gói trong giờ'!$A$12:$A$123,'Tổng hợp trong giờ'!$A35,'Đóng gói trong giờ'!AL$12:AL$123)</f>
        <v>0</v>
      </c>
      <c r="AM35" s="4">
        <f>SUMIF('Đóng gói trong giờ'!$A$12:$A$123,'Tổng hợp trong giờ'!$A35,'Đóng gói trong giờ'!AM$12:AM$123)</f>
        <v>50</v>
      </c>
      <c r="AN35" s="4">
        <f>SUMIF('Đóng gói trong giờ'!$A$12:$A$123,'Tổng hợp trong giờ'!$A35,'Đóng gói trong giờ'!AN$12:AN$123)</f>
        <v>0</v>
      </c>
      <c r="AO35" s="4">
        <f>SUMIF('Đóng gói trong giờ'!$A$12:$A$123,'Tổng hợp trong giờ'!$A35,'Đóng gói trong giờ'!AO$12:AO$123)</f>
        <v>0</v>
      </c>
      <c r="AP35" s="4">
        <f>SUMIF('Đóng gói trong giờ'!$A$12:$A$123,'Tổng hợp trong giờ'!$A35,'Đóng gói trong giờ'!AP$12:AP$123)</f>
        <v>0</v>
      </c>
      <c r="AQ35" s="4">
        <f>SUMIF('Đóng gói trong giờ'!$A$12:$A$123,'Tổng hợp trong giờ'!$A35,'Đóng gói trong giờ'!AQ$12:AQ$123)</f>
        <v>0</v>
      </c>
      <c r="AR35" s="4">
        <f>SUMIF('Đóng gói trong giờ'!$A$12:$A$123,'Tổng hợp trong giờ'!$A35,'Đóng gói trong giờ'!AR$12:AR$123)</f>
        <v>0</v>
      </c>
      <c r="AS35" s="4">
        <f>SUMIF('Đóng gói trong giờ'!$A$12:$A$123,'Tổng hợp trong giờ'!$A35,'Đóng gói trong giờ'!AS$12:AS$123)</f>
        <v>0</v>
      </c>
      <c r="AT35" s="4">
        <f>SUMIF('Đóng gói trong giờ'!$A$12:$A$123,'Tổng hợp trong giờ'!$A35,'Đóng gói trong giờ'!AT$12:AT$123)</f>
        <v>0</v>
      </c>
      <c r="AU35" s="4">
        <f>SUMIF('Đóng gói trong giờ'!$A$12:$A$123,'Tổng hợp trong giờ'!$A35,'Đóng gói trong giờ'!AU$12:AU$123)</f>
        <v>0</v>
      </c>
      <c r="AV35" s="4">
        <f>SUMIF('Đóng gói trong giờ'!$A$12:$A$123,'Tổng hợp trong giờ'!$A35,'Đóng gói trong giờ'!AV$12:AV$123)</f>
        <v>720</v>
      </c>
      <c r="AW35" s="4">
        <f>SUMIF('Đóng gói trong giờ'!$A$12:$A$123,'Tổng hợp trong giờ'!$A35,'Đóng gói trong giờ'!AW$12:AW$123)</f>
        <v>0</v>
      </c>
      <c r="AX35" s="4">
        <f>SUMIF('Đóng gói trong giờ'!$A$12:$A$123,'Tổng hợp trong giờ'!$A35,'Đóng gói trong giờ'!AX$12:AX$123)</f>
        <v>0</v>
      </c>
      <c r="AY35" s="4">
        <f>SUMIF('Đóng gói trong giờ'!$A$12:$A$123,'Tổng hợp trong giờ'!$A35,'Đóng gói trong giờ'!AY$12:AY$123)</f>
        <v>0</v>
      </c>
      <c r="AZ35" s="4">
        <f>SUMIF('Đóng gói trong giờ'!$A$12:$A$123,'Tổng hợp trong giờ'!$A35,'Đóng gói trong giờ'!AZ$12:AZ$123)</f>
        <v>0</v>
      </c>
      <c r="BA35" s="4">
        <f>SUMIF('Đóng gói trong giờ'!$A$12:$A$123,'Tổng hợp trong giờ'!$A35,'Đóng gói trong giờ'!BA$12:BA$123)</f>
        <v>0</v>
      </c>
      <c r="BB35" s="4">
        <f>SUMIF('Đóng gói trong giờ'!$A$12:$A$123,'Tổng hợp trong giờ'!$A35,'Đóng gói trong giờ'!BB$12:BB$123)</f>
        <v>0</v>
      </c>
      <c r="BC35" s="22">
        <f>SUMIF('Đóng gói trong giờ'!$A$12:$A$78,'Tổng hợp trong giờ'!$A35,'Đóng gói trong giờ'!BC$12:BC$78)</f>
        <v>0</v>
      </c>
      <c r="BD35" s="119">
        <f>SUMIF('Bốc hàng trong giờ new'!$H$13:$H$3398,'Tổng hợp trong giờ'!A35,'Bốc hàng trong giờ new'!$J$13:$J$3398)</f>
        <v>0</v>
      </c>
      <c r="BE35" s="22">
        <f>SUMIF('Đóng gói trong giờ'!$A$12:$A$78,'Tổng hợp trong giờ'!$A35,'Đóng gói trong giờ'!BE$12:BE$78)</f>
        <v>49</v>
      </c>
      <c r="BF35" s="4">
        <f>SUMIF('Đóng gói trong giờ'!$A$12:$A$123,'Tổng hợp trong giờ'!$A35,'Đóng gói trong giờ'!BD$12:BD$123)</f>
        <v>0</v>
      </c>
      <c r="BG35" s="4">
        <f>SUMIF('Đóng gói trong giờ'!$A$12:$A$123,'Tổng hợp trong giờ'!$A35,'Đóng gói trong giờ'!BE$12:BE$123)</f>
        <v>49</v>
      </c>
      <c r="BH35" s="4">
        <f>SUMIF('Đóng gói trong giờ'!$A$12:$A$123,'Tổng hợp trong giờ'!$A35,'Đóng gói trong giờ'!BF$12:BF$123)</f>
        <v>0</v>
      </c>
      <c r="BI35" s="4">
        <f>SUMIF('Đóng gói trong giờ'!$A$12:$A$123,'Tổng hợp trong giờ'!$A35,'Đóng gói trong giờ'!BG$12:BG$123)</f>
        <v>0</v>
      </c>
      <c r="BJ35" s="4">
        <f>SUMIF('Đóng gói trong giờ'!$A$12:$A$123,'Tổng hợp trong giờ'!$A35,'Đóng gói trong giờ'!BH$12:BH$123)</f>
        <v>0</v>
      </c>
      <c r="BK35" s="4">
        <f>SUMIF('Đóng gói trong giờ'!$A$12:$A$123,'Tổng hợp trong giờ'!$A35,'Đóng gói trong giờ'!BI$12:BI$123)</f>
        <v>0</v>
      </c>
      <c r="BL35" s="4">
        <f>SUMIF('Đóng gói trong giờ'!$A$12:$A$123,'Tổng hợp trong giờ'!$A35,'Đóng gói trong giờ'!BJ$12:BJ$123)</f>
        <v>0</v>
      </c>
      <c r="BM35" s="4">
        <f>SUMIF('Đóng gói trong giờ'!$A$12:$A$123,'Tổng hợp trong giờ'!$A35,'Đóng gói trong giờ'!BK$12:BK$123)</f>
        <v>0</v>
      </c>
      <c r="BN35" s="4">
        <f>SUMIF('Đóng gói trong giờ'!$A$12:$A$123,'Tổng hợp trong giờ'!$A35,'Đóng gói trong giờ'!BL$12:BL$123)</f>
        <v>24.5</v>
      </c>
      <c r="BO35" s="4">
        <f>SUMIF('Đóng gói trong giờ'!$A$12:$A$123,'Tổng hợp trong giờ'!$A35,'Đóng gói trong giờ'!BM$12:BM$123)</f>
        <v>0</v>
      </c>
      <c r="BP35" s="4">
        <f>SUMIF('Đóng gói trong giờ'!$A$12:$A$123,'Tổng hợp trong giờ'!$A35,'Đóng gói trong giờ'!BN$12:BN$123)</f>
        <v>0</v>
      </c>
      <c r="BQ35" s="4">
        <f>SUMIF('Đóng gói trong giờ'!$A$12:$A$123,'Tổng hợp trong giờ'!$A35,'Đóng gói trong giờ'!BO$12:BO$123)</f>
        <v>0</v>
      </c>
      <c r="BR35" s="4">
        <f>SUMIF('Đóng gói trong giờ'!$A$12:$A$123,'Tổng hợp trong giờ'!$A35,'Đóng gói trong giờ'!BP$12:BP$123)</f>
        <v>0</v>
      </c>
      <c r="BS35" s="4">
        <f>SUMIF('Đóng gói trong giờ'!$A$12:$A$123,'Tổng hợp trong giờ'!$A35,'Đóng gói trong giờ'!BQ$12:BQ$123)</f>
        <v>0</v>
      </c>
      <c r="BT35" s="4">
        <f>SUMIF('Đóng gói trong giờ'!$A$12:$A$123,'Tổng hợp trong giờ'!$A35,'Đóng gói trong giờ'!BR$12:BR$123)</f>
        <v>0</v>
      </c>
      <c r="BU35" s="169">
        <f t="shared" si="1"/>
        <v>73.5</v>
      </c>
      <c r="BV35" s="168">
        <f>SUMPRODUCT($BF$13:$BT$13,BF35:BT35)</f>
        <v>2710748.1559536355</v>
      </c>
      <c r="BW35" s="168">
        <f t="shared" si="3"/>
        <v>11620692.485818669</v>
      </c>
      <c r="BX35" s="4">
        <f ca="1">VLOOKUP(A35,'Tổng hợp ngoài giờ'!$A$15:$BW$41,75,0)</f>
        <v>306130.91908819496</v>
      </c>
      <c r="BY35" s="10">
        <f t="shared" ca="1" si="4"/>
        <v>11926823.404906863</v>
      </c>
      <c r="BZ35" s="96">
        <f>IF(ISNA(VLOOKUP(A35,' Bang luong'!$A$13:$M$59,11,0)),0,VLOOKUP(A35,' Bang luong'!$A$13:$M$59,11,0))</f>
        <v>26</v>
      </c>
      <c r="CA35" s="4">
        <f>$BZ$10/$BY$10*BZ35</f>
        <v>7000000</v>
      </c>
      <c r="CB35" s="14">
        <f t="shared" ca="1" si="6"/>
        <v>1.6600989265455242</v>
      </c>
      <c r="CQ35" s="9">
        <v>24</v>
      </c>
    </row>
    <row r="36" spans="1:95" s="222" customFormat="1" ht="15.75" x14ac:dyDescent="0.25">
      <c r="A36" s="224" t="s">
        <v>412</v>
      </c>
      <c r="B36" s="2" t="str">
        <f>VLOOKUP(A36,'Mã NV'!$A$1:$C$27,2,0)</f>
        <v>Danh Vươl</v>
      </c>
      <c r="C36" s="306"/>
      <c r="D36" s="4">
        <f>SUMIF('Đóng gói trong giờ'!$A$12:$A$123,'Tổng hợp trong giờ'!$A36,'Đóng gói trong giờ'!D$12:D$123)</f>
        <v>0</v>
      </c>
      <c r="E36" s="4">
        <f>SUMIF('Đóng gói trong giờ'!$A$12:$A$123,'Tổng hợp trong giờ'!$A36,'Đóng gói trong giờ'!E$12:E$123)</f>
        <v>0</v>
      </c>
      <c r="F36" s="4">
        <f>SUMIF('Đóng gói trong giờ'!$A$12:$A$123,'Tổng hợp trong giờ'!$A36,'Đóng gói trong giờ'!F$12:F$123)</f>
        <v>0</v>
      </c>
      <c r="G36" s="4">
        <f>SUMIF('Đóng gói trong giờ'!$A$12:$A$123,'Tổng hợp trong giờ'!$A36,'Đóng gói trong giờ'!G$12:G$123)</f>
        <v>0</v>
      </c>
      <c r="H36" s="4">
        <f>SUMIF('Đóng gói trong giờ'!$A$12:$A$123,'Tổng hợp trong giờ'!$A36,'Đóng gói trong giờ'!H$12:H$123)</f>
        <v>0</v>
      </c>
      <c r="I36" s="4">
        <f>SUMIF('Đóng gói trong giờ'!$A$12:$A$123,'Tổng hợp trong giờ'!$A36,'Đóng gói trong giờ'!I$12:I$123)</f>
        <v>0</v>
      </c>
      <c r="J36" s="4">
        <f>SUMIF('Đóng gói trong giờ'!$A$12:$A$123,'Tổng hợp trong giờ'!$A36,'Đóng gói trong giờ'!J$12:J$123)</f>
        <v>0</v>
      </c>
      <c r="K36" s="4">
        <f>SUMIF('Đóng gói trong giờ'!$A$12:$A$123,'Tổng hợp trong giờ'!$A36,'Đóng gói trong giờ'!K$12:K$123)</f>
        <v>0</v>
      </c>
      <c r="L36" s="4">
        <f>SUMIF('Đóng gói trong giờ'!$A$12:$A$123,'Tổng hợp trong giờ'!$A36,'Đóng gói trong giờ'!L$12:L$123)</f>
        <v>0</v>
      </c>
      <c r="M36" s="4">
        <f>SUMIF('Đóng gói trong giờ'!$A$12:$A$123,'Tổng hợp trong giờ'!$A36,'Đóng gói trong giờ'!M$12:M$123)</f>
        <v>0</v>
      </c>
      <c r="N36" s="4">
        <f>SUMIF('Đóng gói trong giờ'!$A$12:$A$123,'Tổng hợp trong giờ'!$A36,'Đóng gói trong giờ'!N$12:N$123)</f>
        <v>0</v>
      </c>
      <c r="O36" s="4">
        <f>SUMIF('Đóng gói trong giờ'!$A$12:$A$123,'Tổng hợp trong giờ'!$A36,'Đóng gói trong giờ'!O$12:O$123)</f>
        <v>0</v>
      </c>
      <c r="P36" s="4">
        <f>SUMIF('Đóng gói trong giờ'!$A$12:$A$123,'Tổng hợp trong giờ'!$A36,'Đóng gói trong giờ'!P$12:P$123)</f>
        <v>0</v>
      </c>
      <c r="Q36" s="4">
        <f>SUMIF('Đóng gói trong giờ'!$A$12:$A$123,'Tổng hợp trong giờ'!$A36,'Đóng gói trong giờ'!Q$12:Q$123)</f>
        <v>0</v>
      </c>
      <c r="R36" s="4">
        <f>SUMIF('Đóng gói trong giờ'!$A$12:$A$123,'Tổng hợp trong giờ'!$A36,'Đóng gói trong giờ'!R$12:R$123)</f>
        <v>0</v>
      </c>
      <c r="S36" s="4">
        <f>SUMIF('Đóng gói trong giờ'!$A$12:$A$123,'Tổng hợp trong giờ'!$A36,'Đóng gói trong giờ'!S$12:S$123)</f>
        <v>0</v>
      </c>
      <c r="T36" s="4">
        <f>SUMIF('Đóng gói trong giờ'!$A$12:$A$123,'Tổng hợp trong giờ'!$A36,'Đóng gói trong giờ'!T$12:T$123)</f>
        <v>0</v>
      </c>
      <c r="U36" s="4">
        <f>SUMIF('Đóng gói trong giờ'!$A$12:$A$123,'Tổng hợp trong giờ'!$A36,'Đóng gói trong giờ'!U$12:U$123)</f>
        <v>0</v>
      </c>
      <c r="V36" s="4">
        <f>SUMIF('Đóng gói trong giờ'!$A$12:$A$123,'Tổng hợp trong giờ'!$A36,'Đóng gói trong giờ'!V$12:V$123)</f>
        <v>0</v>
      </c>
      <c r="W36" s="4">
        <f>SUMIF('Đóng gói trong giờ'!$A$12:$A$123,'Tổng hợp trong giờ'!$A36,'Đóng gói trong giờ'!W$12:W$123)</f>
        <v>0</v>
      </c>
      <c r="X36" s="4">
        <f>SUMIF('Đóng gói trong giờ'!$A$12:$A$123,'Tổng hợp trong giờ'!$A36,'Đóng gói trong giờ'!X$12:X$123)</f>
        <v>0</v>
      </c>
      <c r="Y36" s="4">
        <f>SUMIF('Đóng gói trong giờ'!$A$12:$A$123,'Tổng hợp trong giờ'!$A36,'Đóng gói trong giờ'!Y$12:Y$123)</f>
        <v>0</v>
      </c>
      <c r="Z36" s="4">
        <f>SUMIF('Đóng gói trong giờ'!$A$12:$A$123,'Tổng hợp trong giờ'!$A36,'Đóng gói trong giờ'!Z$12:Z$123)</f>
        <v>0</v>
      </c>
      <c r="AA36" s="4">
        <f>SUMIF('Đóng gói trong giờ'!$A$12:$A$123,'Tổng hợp trong giờ'!$A36,'Đóng gói trong giờ'!AA$12:AA$123)</f>
        <v>0</v>
      </c>
      <c r="AB36" s="4">
        <f>SUMIF('Đóng gói trong giờ'!$A$12:$A$123,'Tổng hợp trong giờ'!$A36,'Đóng gói trong giờ'!AB$12:AB$123)</f>
        <v>0</v>
      </c>
      <c r="AC36" s="4">
        <f>SUMIF('Đóng gói trong giờ'!$A$12:$A$123,'Tổng hợp trong giờ'!$A36,'Đóng gói trong giờ'!AC$12:AC$123)</f>
        <v>0</v>
      </c>
      <c r="AD36" s="4">
        <f>SUMIF('Đóng gói trong giờ'!$A$12:$A$123,'Tổng hợp trong giờ'!$A36,'Đóng gói trong giờ'!AD$12:AD$123)</f>
        <v>0</v>
      </c>
      <c r="AE36" s="4">
        <f>SUMIF('Đóng gói trong giờ'!$A$12:$A$123,'Tổng hợp trong giờ'!$A36,'Đóng gói trong giờ'!AE$12:AE$123)</f>
        <v>0</v>
      </c>
      <c r="AF36" s="4">
        <f>SUMIF('Đóng gói trong giờ'!$A$12:$A$123,'Tổng hợp trong giờ'!$A36,'Đóng gói trong giờ'!AF$12:AF$123)</f>
        <v>0</v>
      </c>
      <c r="AG36" s="4">
        <f>SUMIF('Đóng gói trong giờ'!$A$12:$A$123,'Tổng hợp trong giờ'!$A36,'Đóng gói trong giờ'!AG$12:AG$123)</f>
        <v>0</v>
      </c>
      <c r="AH36" s="4">
        <f>SUMIF('Đóng gói trong giờ'!$A$12:$A$123,'Tổng hợp trong giờ'!$A36,'Đóng gói trong giờ'!AH$12:AH$123)</f>
        <v>0</v>
      </c>
      <c r="AI36" s="4">
        <f>SUMIF('Đóng gói trong giờ'!$A$12:$A$123,'Tổng hợp trong giờ'!$A36,'Đóng gói trong giờ'!AI$12:AI$123)</f>
        <v>0</v>
      </c>
      <c r="AJ36" s="4">
        <f>SUMIF('Đóng gói trong giờ'!$A$12:$A$123,'Tổng hợp trong giờ'!$A36,'Đóng gói trong giờ'!AJ$12:AJ$123)</f>
        <v>0</v>
      </c>
      <c r="AK36" s="4">
        <f>SUMIF('Đóng gói trong giờ'!$A$12:$A$123,'Tổng hợp trong giờ'!$A36,'Đóng gói trong giờ'!AK$12:AK$123)</f>
        <v>0</v>
      </c>
      <c r="AL36" s="4">
        <f>SUMIF('Đóng gói trong giờ'!$A$12:$A$123,'Tổng hợp trong giờ'!$A36,'Đóng gói trong giờ'!AL$12:AL$123)</f>
        <v>0</v>
      </c>
      <c r="AM36" s="4">
        <f>SUMIF('Đóng gói trong giờ'!$A$12:$A$123,'Tổng hợp trong giờ'!$A36,'Đóng gói trong giờ'!AM$12:AM$123)</f>
        <v>0</v>
      </c>
      <c r="AN36" s="4">
        <f>SUMIF('Đóng gói trong giờ'!$A$12:$A$123,'Tổng hợp trong giờ'!$A36,'Đóng gói trong giờ'!AN$12:AN$123)</f>
        <v>0</v>
      </c>
      <c r="AO36" s="4">
        <f>SUMIF('Đóng gói trong giờ'!$A$12:$A$123,'Tổng hợp trong giờ'!$A36,'Đóng gói trong giờ'!AO$12:AO$123)</f>
        <v>0</v>
      </c>
      <c r="AP36" s="4">
        <f>SUMIF('Đóng gói trong giờ'!$A$12:$A$123,'Tổng hợp trong giờ'!$A36,'Đóng gói trong giờ'!AP$12:AP$123)</f>
        <v>0</v>
      </c>
      <c r="AQ36" s="4">
        <f>SUMIF('Đóng gói trong giờ'!$A$12:$A$123,'Tổng hợp trong giờ'!$A36,'Đóng gói trong giờ'!AQ$12:AQ$123)</f>
        <v>0</v>
      </c>
      <c r="AR36" s="4">
        <f>SUMIF('Đóng gói trong giờ'!$A$12:$A$123,'Tổng hợp trong giờ'!$A36,'Đóng gói trong giờ'!AR$12:AR$123)</f>
        <v>0</v>
      </c>
      <c r="AS36" s="4">
        <f>SUMIF('Đóng gói trong giờ'!$A$12:$A$123,'Tổng hợp trong giờ'!$A36,'Đóng gói trong giờ'!AS$12:AS$123)</f>
        <v>0</v>
      </c>
      <c r="AT36" s="4">
        <f>SUMIF('Đóng gói trong giờ'!$A$12:$A$123,'Tổng hợp trong giờ'!$A36,'Đóng gói trong giờ'!AT$12:AT$123)</f>
        <v>0</v>
      </c>
      <c r="AU36" s="4">
        <f>SUMIF('Đóng gói trong giờ'!$A$12:$A$123,'Tổng hợp trong giờ'!$A36,'Đóng gói trong giờ'!AU$12:AU$123)</f>
        <v>0</v>
      </c>
      <c r="AV36" s="4">
        <f>SUMIF('Đóng gói trong giờ'!$A$12:$A$123,'Tổng hợp trong giờ'!$A36,'Đóng gói trong giờ'!AV$12:AV$123)</f>
        <v>0</v>
      </c>
      <c r="AW36" s="4">
        <f>SUMIF('Đóng gói trong giờ'!$A$12:$A$123,'Tổng hợp trong giờ'!$A36,'Đóng gói trong giờ'!AW$12:AW$123)</f>
        <v>0</v>
      </c>
      <c r="AX36" s="4">
        <f>SUMIF('Đóng gói trong giờ'!$A$12:$A$123,'Tổng hợp trong giờ'!$A36,'Đóng gói trong giờ'!AX$12:AX$123)</f>
        <v>0</v>
      </c>
      <c r="AY36" s="4">
        <f>SUMIF('Đóng gói trong giờ'!$A$12:$A$123,'Tổng hợp trong giờ'!$A36,'Đóng gói trong giờ'!AY$12:AY$123)</f>
        <v>0</v>
      </c>
      <c r="AZ36" s="4">
        <f>SUMIF('Đóng gói trong giờ'!$A$12:$A$123,'Tổng hợp trong giờ'!$A36,'Đóng gói trong giờ'!AZ$12:AZ$123)</f>
        <v>0</v>
      </c>
      <c r="BA36" s="4">
        <f>SUMIF('Đóng gói trong giờ'!$A$12:$A$123,'Tổng hợp trong giờ'!$A36,'Đóng gói trong giờ'!BA$12:BA$123)</f>
        <v>0</v>
      </c>
      <c r="BB36" s="4">
        <f>SUMIF('Đóng gói trong giờ'!$A$12:$A$123,'Tổng hợp trong giờ'!$A36,'Đóng gói trong giờ'!BB$12:BB$123)</f>
        <v>0</v>
      </c>
      <c r="BC36" s="22">
        <f>SUMIF('Đóng gói trong giờ'!$A$12:$A$78,'Tổng hợp trong giờ'!$A36,'Đóng gói trong giờ'!BC$12:BC$78)</f>
        <v>0</v>
      </c>
      <c r="BD36" s="119">
        <f>SUMIF('Bốc hàng trong giờ new'!$H$13:$H$3398,'Tổng hợp trong giờ'!A36,'Bốc hàng trong giờ new'!$J$13:$J$3398)</f>
        <v>0</v>
      </c>
      <c r="BE36" s="22">
        <f>SUMIF('Đóng gói trong giờ'!$A$12:$A$78,'Tổng hợp trong giờ'!$A36,'Đóng gói trong giờ'!BE$12:BE$78)</f>
        <v>0</v>
      </c>
      <c r="BF36" s="4">
        <f>SUMIF('Đóng gói trong giờ'!$A$12:$A$123,'Tổng hợp trong giờ'!$A36,'Đóng gói trong giờ'!BD$12:BD$123)</f>
        <v>0</v>
      </c>
      <c r="BG36" s="4">
        <f>SUMIF('Đóng gói trong giờ'!$A$12:$A$123,'Tổng hợp trong giờ'!$A36,'Đóng gói trong giờ'!BE$12:BE$123)</f>
        <v>0</v>
      </c>
      <c r="BH36" s="4">
        <f>SUMIF('Đóng gói trong giờ'!$A$12:$A$123,'Tổng hợp trong giờ'!$A36,'Đóng gói trong giờ'!BF$12:BF$123)</f>
        <v>0</v>
      </c>
      <c r="BI36" s="4">
        <f>SUMIF('Đóng gói trong giờ'!$A$12:$A$123,'Tổng hợp trong giờ'!$A36,'Đóng gói trong giờ'!BG$12:BG$123)</f>
        <v>0</v>
      </c>
      <c r="BJ36" s="4">
        <f>SUMIF('Đóng gói trong giờ'!$A$12:$A$123,'Tổng hợp trong giờ'!$A36,'Đóng gói trong giờ'!BH$12:BH$123)</f>
        <v>0</v>
      </c>
      <c r="BK36" s="4">
        <f>SUMIF('Đóng gói trong giờ'!$A$12:$A$123,'Tổng hợp trong giờ'!$A36,'Đóng gói trong giờ'!BI$12:BI$123)</f>
        <v>0</v>
      </c>
      <c r="BL36" s="4">
        <f>SUMIF('Đóng gói trong giờ'!$A$12:$A$123,'Tổng hợp trong giờ'!$A36,'Đóng gói trong giờ'!BJ$12:BJ$123)</f>
        <v>0</v>
      </c>
      <c r="BM36" s="4">
        <f>SUMIF('Đóng gói trong giờ'!$A$12:$A$123,'Tổng hợp trong giờ'!$A36,'Đóng gói trong giờ'!BK$12:BK$123)</f>
        <v>0</v>
      </c>
      <c r="BN36" s="4">
        <f>SUMIF('Đóng gói trong giờ'!$A$12:$A$123,'Tổng hợp trong giờ'!$A36,'Đóng gói trong giờ'!BL$12:BL$123)</f>
        <v>0</v>
      </c>
      <c r="BO36" s="4">
        <f>SUMIF('Đóng gói trong giờ'!$A$12:$A$123,'Tổng hợp trong giờ'!$A36,'Đóng gói trong giờ'!BM$12:BM$123)</f>
        <v>0</v>
      </c>
      <c r="BP36" s="4">
        <f>SUMIF('Đóng gói trong giờ'!$A$12:$A$123,'Tổng hợp trong giờ'!$A36,'Đóng gói trong giờ'!BN$12:BN$123)</f>
        <v>0</v>
      </c>
      <c r="BQ36" s="4">
        <f>SUMIF('Đóng gói trong giờ'!$A$12:$A$123,'Tổng hợp trong giờ'!$A36,'Đóng gói trong giờ'!BO$12:BO$123)</f>
        <v>0</v>
      </c>
      <c r="BR36" s="4">
        <f>SUMIF('Đóng gói trong giờ'!$A$12:$A$123,'Tổng hợp trong giờ'!$A36,'Đóng gói trong giờ'!BP$12:BP$123)</f>
        <v>0</v>
      </c>
      <c r="BS36" s="4">
        <f>SUMIF('Đóng gói trong giờ'!$A$12:$A$123,'Tổng hợp trong giờ'!$A36,'Đóng gói trong giờ'!BQ$12:BQ$123)</f>
        <v>0</v>
      </c>
      <c r="BT36" s="4">
        <f>SUMIF('Đóng gói trong giờ'!$A$12:$A$123,'Tổng hợp trong giờ'!$A36,'Đóng gói trong giờ'!BR$12:BR$123)</f>
        <v>0</v>
      </c>
      <c r="BU36" s="169">
        <f t="shared" si="1"/>
        <v>0</v>
      </c>
      <c r="BV36" s="168">
        <f t="shared" si="2"/>
        <v>0</v>
      </c>
      <c r="BW36" s="168">
        <f t="shared" ref="BW36" si="7">SUMPRODUCT($C$13:$BD$13,C36:BD36) + SUMPRODUCT($BF$13:$BT$13,BF36:BT36)</f>
        <v>0</v>
      </c>
      <c r="BX36" s="4">
        <f ca="1">VLOOKUP(A36,'Tổng hợp ngoài giờ'!$A$15:$BW$41,75,0)</f>
        <v>973656.48050579568</v>
      </c>
      <c r="BY36" s="10">
        <f ca="1">CA36*(1+100%*(CB36-1))</f>
        <v>14492826.126144065</v>
      </c>
      <c r="BZ36" s="96">
        <f>IF(ISNA(VLOOKUP(A36,' Bang luong'!$A$13:$M$59,11,0)),0,VLOOKUP(A36,' Bang luong'!$A$13:$M$59,11,0))</f>
        <v>26</v>
      </c>
      <c r="CA36" s="4">
        <f>CA10/BY10*BZ36</f>
        <v>8500000</v>
      </c>
      <c r="CB36" s="14">
        <f ca="1">AVERAGE(CB15:CB35)</f>
        <v>1.7050383677816547</v>
      </c>
      <c r="CQ36" s="9">
        <v>25</v>
      </c>
    </row>
    <row r="37" spans="1:95" ht="15.75" x14ac:dyDescent="0.25">
      <c r="A37" s="224"/>
      <c r="B37" s="2"/>
      <c r="D37" s="104">
        <f t="shared" ref="D37:AI37" si="8">SUM(D15:D36)</f>
        <v>16800</v>
      </c>
      <c r="E37" s="104">
        <f t="shared" si="8"/>
        <v>97000</v>
      </c>
      <c r="F37" s="104">
        <f t="shared" si="8"/>
        <v>70599.340000000011</v>
      </c>
      <c r="G37" s="104">
        <f t="shared" si="8"/>
        <v>0</v>
      </c>
      <c r="H37" s="104">
        <f t="shared" si="8"/>
        <v>3700</v>
      </c>
      <c r="I37" s="104">
        <f t="shared" si="8"/>
        <v>0</v>
      </c>
      <c r="J37" s="104">
        <f t="shared" si="8"/>
        <v>5400</v>
      </c>
      <c r="K37" s="104">
        <f t="shared" si="8"/>
        <v>320</v>
      </c>
      <c r="L37" s="104">
        <f t="shared" si="8"/>
        <v>1100</v>
      </c>
      <c r="M37" s="104">
        <f t="shared" si="8"/>
        <v>7000</v>
      </c>
      <c r="N37" s="104">
        <f t="shared" si="8"/>
        <v>0</v>
      </c>
      <c r="O37" s="104">
        <f t="shared" si="8"/>
        <v>1699.9866666666665</v>
      </c>
      <c r="P37" s="104">
        <f t="shared" si="8"/>
        <v>5300</v>
      </c>
      <c r="Q37" s="104">
        <f t="shared" si="8"/>
        <v>3900</v>
      </c>
      <c r="R37" s="104">
        <f t="shared" si="8"/>
        <v>4299.9833333333336</v>
      </c>
      <c r="S37" s="104">
        <f t="shared" si="8"/>
        <v>0</v>
      </c>
      <c r="T37" s="104">
        <f t="shared" si="8"/>
        <v>0</v>
      </c>
      <c r="U37" s="104">
        <f t="shared" si="8"/>
        <v>0</v>
      </c>
      <c r="V37" s="104">
        <f t="shared" si="8"/>
        <v>0</v>
      </c>
      <c r="W37" s="104">
        <f t="shared" si="8"/>
        <v>0</v>
      </c>
      <c r="X37" s="104">
        <f t="shared" si="8"/>
        <v>0</v>
      </c>
      <c r="Y37" s="104">
        <f t="shared" si="8"/>
        <v>0</v>
      </c>
      <c r="Z37" s="104">
        <f t="shared" si="8"/>
        <v>0</v>
      </c>
      <c r="AA37" s="104">
        <f t="shared" si="8"/>
        <v>3000.0433333333331</v>
      </c>
      <c r="AB37" s="104">
        <f t="shared" si="8"/>
        <v>0</v>
      </c>
      <c r="AC37" s="104">
        <f t="shared" si="8"/>
        <v>1590</v>
      </c>
      <c r="AD37" s="104">
        <f t="shared" si="8"/>
        <v>7840</v>
      </c>
      <c r="AE37" s="104">
        <f t="shared" si="8"/>
        <v>0</v>
      </c>
      <c r="AF37" s="104">
        <f t="shared" si="8"/>
        <v>0</v>
      </c>
      <c r="AG37" s="104">
        <f t="shared" si="8"/>
        <v>0</v>
      </c>
      <c r="AH37" s="104">
        <f t="shared" si="8"/>
        <v>0</v>
      </c>
      <c r="AI37" s="104">
        <f t="shared" si="8"/>
        <v>0</v>
      </c>
      <c r="AJ37" s="104">
        <f t="shared" ref="AJ37:BO37" si="9">SUM(AJ15:AJ36)</f>
        <v>10</v>
      </c>
      <c r="AK37" s="104">
        <f t="shared" si="9"/>
        <v>585</v>
      </c>
      <c r="AL37" s="104">
        <f t="shared" si="9"/>
        <v>0</v>
      </c>
      <c r="AM37" s="104">
        <f t="shared" si="9"/>
        <v>1329.9733333333334</v>
      </c>
      <c r="AN37" s="104">
        <f t="shared" si="9"/>
        <v>0</v>
      </c>
      <c r="AO37" s="104">
        <f t="shared" si="9"/>
        <v>0</v>
      </c>
      <c r="AP37" s="104">
        <f t="shared" si="9"/>
        <v>0</v>
      </c>
      <c r="AQ37" s="104">
        <f t="shared" si="9"/>
        <v>0</v>
      </c>
      <c r="AR37" s="104">
        <f t="shared" si="9"/>
        <v>0</v>
      </c>
      <c r="AS37" s="104">
        <f t="shared" si="9"/>
        <v>0</v>
      </c>
      <c r="AT37" s="104">
        <f t="shared" si="9"/>
        <v>0</v>
      </c>
      <c r="AU37" s="104">
        <f t="shared" si="9"/>
        <v>0</v>
      </c>
      <c r="AV37" s="104">
        <f t="shared" si="9"/>
        <v>2640</v>
      </c>
      <c r="AW37" s="104">
        <f t="shared" si="9"/>
        <v>0</v>
      </c>
      <c r="AX37" s="104">
        <f t="shared" si="9"/>
        <v>0</v>
      </c>
      <c r="AY37" s="104">
        <f t="shared" si="9"/>
        <v>0</v>
      </c>
      <c r="AZ37" s="104">
        <f t="shared" si="9"/>
        <v>0</v>
      </c>
      <c r="BA37" s="104">
        <f t="shared" si="9"/>
        <v>0</v>
      </c>
      <c r="BB37" s="104">
        <f t="shared" si="9"/>
        <v>0</v>
      </c>
      <c r="BC37" s="104">
        <f t="shared" si="9"/>
        <v>0</v>
      </c>
      <c r="BD37" s="104">
        <f t="shared" si="9"/>
        <v>0</v>
      </c>
      <c r="BE37" s="104">
        <f t="shared" si="9"/>
        <v>634.75</v>
      </c>
      <c r="BF37" s="104">
        <f t="shared" si="9"/>
        <v>0</v>
      </c>
      <c r="BG37" s="104">
        <f t="shared" si="9"/>
        <v>708.5</v>
      </c>
      <c r="BH37" s="104">
        <f t="shared" si="9"/>
        <v>0</v>
      </c>
      <c r="BI37" s="104">
        <f t="shared" si="9"/>
        <v>0</v>
      </c>
      <c r="BJ37" s="104">
        <f t="shared" si="9"/>
        <v>0</v>
      </c>
      <c r="BK37" s="104">
        <f t="shared" si="9"/>
        <v>0</v>
      </c>
      <c r="BL37" s="104">
        <f t="shared" si="9"/>
        <v>0</v>
      </c>
      <c r="BM37" s="104">
        <f t="shared" si="9"/>
        <v>0</v>
      </c>
      <c r="BN37" s="104">
        <f t="shared" si="9"/>
        <v>485.5</v>
      </c>
      <c r="BO37" s="104">
        <f t="shared" si="9"/>
        <v>0</v>
      </c>
      <c r="BP37" s="104">
        <f t="shared" ref="BP37:CB37" si="10">SUM(BP15:BP36)</f>
        <v>29.5</v>
      </c>
      <c r="BQ37" s="104">
        <f t="shared" si="10"/>
        <v>0</v>
      </c>
      <c r="BR37" s="104">
        <f t="shared" si="10"/>
        <v>0</v>
      </c>
      <c r="BS37" s="104">
        <f t="shared" si="10"/>
        <v>0</v>
      </c>
      <c r="BT37" s="104">
        <f t="shared" si="10"/>
        <v>0</v>
      </c>
      <c r="BU37" s="104">
        <f t="shared" si="10"/>
        <v>1223.5</v>
      </c>
      <c r="BV37" s="104">
        <f t="shared" si="10"/>
        <v>45123814.54162278</v>
      </c>
      <c r="BW37" s="104">
        <f t="shared" si="10"/>
        <v>235649640.92775369</v>
      </c>
      <c r="BX37" s="104">
        <f t="shared" ca="1" si="10"/>
        <v>18644610.00968321</v>
      </c>
      <c r="BY37" s="104">
        <f t="shared" ca="1" si="10"/>
        <v>267813420.58307508</v>
      </c>
      <c r="BZ37" s="104">
        <f t="shared" si="10"/>
        <v>537</v>
      </c>
      <c r="CA37" s="104">
        <f>SUM(CA15:CA36)</f>
        <v>146076923.07692307</v>
      </c>
      <c r="CB37" s="104">
        <f t="shared" ca="1" si="10"/>
        <v>37.510844091196404</v>
      </c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Q37" s="9">
        <v>26</v>
      </c>
    </row>
    <row r="38" spans="1:95" x14ac:dyDescent="0.25"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2"/>
      <c r="S38" s="371"/>
      <c r="T38" s="371"/>
      <c r="U38" s="371"/>
      <c r="V38" s="371"/>
      <c r="W38" s="371"/>
      <c r="X38" s="371"/>
      <c r="Y38" s="371"/>
      <c r="Z38" s="371"/>
      <c r="AA38" s="371"/>
      <c r="AB38" s="371"/>
      <c r="AC38" s="372"/>
      <c r="AD38" s="371"/>
      <c r="AE38" s="371"/>
      <c r="AF38" s="371"/>
      <c r="AG38" s="371"/>
      <c r="AH38" s="371"/>
      <c r="AI38" s="371"/>
      <c r="AJ38" s="371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  <c r="AX38" s="371"/>
      <c r="AY38" s="371"/>
      <c r="AZ38" s="371"/>
      <c r="BA38" s="371"/>
      <c r="BB38" s="371"/>
      <c r="BC38" s="373"/>
      <c r="BD38" s="371"/>
      <c r="BE38" s="373"/>
      <c r="BF38" s="37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CQ38" s="9">
        <v>27</v>
      </c>
    </row>
    <row r="39" spans="1:95" x14ac:dyDescent="0.25"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CQ39" s="9"/>
    </row>
    <row r="40" spans="1:95" x14ac:dyDescent="0.25">
      <c r="BV40" s="104">
        <f>SUM(BV15:BV36)</f>
        <v>45123814.54162278</v>
      </c>
      <c r="BW40" s="104">
        <f>SUM(BW15:BW36)</f>
        <v>235649640.92775369</v>
      </c>
    </row>
    <row r="41" spans="1:95" s="7" customFormat="1" ht="75" customHeight="1" x14ac:dyDescent="0.25">
      <c r="A41" s="507" t="s">
        <v>137</v>
      </c>
      <c r="B41" s="508"/>
      <c r="C41" s="19"/>
      <c r="D41" s="15" t="s">
        <v>51</v>
      </c>
      <c r="E41" s="15" t="s">
        <v>52</v>
      </c>
      <c r="F41" s="15" t="s">
        <v>53</v>
      </c>
      <c r="G41" s="15" t="s">
        <v>54</v>
      </c>
      <c r="H41" s="15" t="s">
        <v>55</v>
      </c>
      <c r="I41" s="15" t="s">
        <v>56</v>
      </c>
      <c r="J41" s="15" t="s">
        <v>57</v>
      </c>
      <c r="K41" s="15" t="s">
        <v>58</v>
      </c>
      <c r="L41" s="15" t="s">
        <v>59</v>
      </c>
      <c r="M41" s="15" t="s">
        <v>60</v>
      </c>
      <c r="N41" s="15" t="s">
        <v>61</v>
      </c>
      <c r="O41" s="15" t="s">
        <v>140</v>
      </c>
      <c r="P41" s="15" t="s">
        <v>63</v>
      </c>
      <c r="Q41" s="15" t="s">
        <v>64</v>
      </c>
      <c r="R41" s="15" t="s">
        <v>65</v>
      </c>
      <c r="S41" s="15" t="s">
        <v>66</v>
      </c>
      <c r="T41" s="15" t="s">
        <v>139</v>
      </c>
      <c r="U41" s="15" t="s">
        <v>68</v>
      </c>
      <c r="V41" s="15" t="s">
        <v>69</v>
      </c>
      <c r="W41" s="15" t="s">
        <v>70</v>
      </c>
      <c r="X41" s="15" t="s">
        <v>71</v>
      </c>
      <c r="Y41" s="15" t="s">
        <v>72</v>
      </c>
      <c r="Z41" s="15" t="s">
        <v>73</v>
      </c>
      <c r="AA41" s="15" t="s">
        <v>74</v>
      </c>
      <c r="AB41" s="15" t="s">
        <v>75</v>
      </c>
      <c r="AC41" s="15" t="s">
        <v>76</v>
      </c>
      <c r="AD41" s="15" t="s">
        <v>77</v>
      </c>
      <c r="AE41" s="15" t="s">
        <v>78</v>
      </c>
      <c r="AF41" s="15" t="s">
        <v>79</v>
      </c>
      <c r="AG41" s="15" t="s">
        <v>80</v>
      </c>
      <c r="AH41" s="15" t="s">
        <v>81</v>
      </c>
      <c r="AI41" s="15" t="s">
        <v>82</v>
      </c>
      <c r="AJ41" s="15" t="s">
        <v>83</v>
      </c>
      <c r="AK41" s="15" t="s">
        <v>84</v>
      </c>
      <c r="AL41" s="15" t="s">
        <v>85</v>
      </c>
      <c r="AM41" s="15" t="s">
        <v>86</v>
      </c>
      <c r="AN41" s="15" t="s">
        <v>87</v>
      </c>
      <c r="AO41" s="15" t="s">
        <v>88</v>
      </c>
      <c r="AP41" s="15" t="s">
        <v>89</v>
      </c>
      <c r="AQ41" s="15" t="s">
        <v>90</v>
      </c>
      <c r="AR41" s="15" t="s">
        <v>91</v>
      </c>
      <c r="AS41" s="15" t="s">
        <v>92</v>
      </c>
      <c r="AT41" s="15" t="s">
        <v>93</v>
      </c>
      <c r="AU41" s="15" t="s">
        <v>94</v>
      </c>
      <c r="AV41" s="15" t="s">
        <v>95</v>
      </c>
      <c r="AW41" s="15" t="s">
        <v>96</v>
      </c>
      <c r="AX41" s="15" t="s">
        <v>399</v>
      </c>
      <c r="AY41" s="15" t="s">
        <v>97</v>
      </c>
      <c r="AZ41" s="15" t="s">
        <v>98</v>
      </c>
      <c r="BA41" s="15" t="s">
        <v>99</v>
      </c>
      <c r="BB41" s="15" t="s">
        <v>100</v>
      </c>
      <c r="BC41" s="19"/>
      <c r="BD41" s="111" t="s">
        <v>376</v>
      </c>
      <c r="BE41" s="19"/>
      <c r="BF41" s="27" t="s">
        <v>161</v>
      </c>
      <c r="BG41" s="27" t="s">
        <v>162</v>
      </c>
      <c r="BH41" s="27" t="s">
        <v>163</v>
      </c>
      <c r="BI41" s="27" t="s">
        <v>164</v>
      </c>
      <c r="BJ41" s="27" t="s">
        <v>165</v>
      </c>
      <c r="BK41" s="27" t="s">
        <v>166</v>
      </c>
      <c r="BL41" s="27" t="s">
        <v>167</v>
      </c>
      <c r="BM41" s="27" t="s">
        <v>168</v>
      </c>
      <c r="BN41" s="27" t="s">
        <v>169</v>
      </c>
      <c r="BO41" s="27" t="s">
        <v>170</v>
      </c>
      <c r="BP41" s="27" t="s">
        <v>171</v>
      </c>
      <c r="BQ41" s="27" t="s">
        <v>172</v>
      </c>
      <c r="BR41" s="27" t="s">
        <v>173</v>
      </c>
      <c r="BS41" s="27" t="s">
        <v>174</v>
      </c>
      <c r="BT41" s="27" t="s">
        <v>341</v>
      </c>
      <c r="BU41" s="27" t="s">
        <v>378</v>
      </c>
      <c r="BV41" s="27" t="s">
        <v>318</v>
      </c>
      <c r="BW41" s="27" t="s">
        <v>237</v>
      </c>
      <c r="BX41" s="27" t="s">
        <v>238</v>
      </c>
      <c r="BY41" s="101" t="s">
        <v>242</v>
      </c>
      <c r="BZ41" s="101" t="s">
        <v>335</v>
      </c>
      <c r="CA41" s="65" t="s">
        <v>243</v>
      </c>
      <c r="CB41" s="65" t="s">
        <v>336</v>
      </c>
    </row>
    <row r="42" spans="1:95" s="9" customFormat="1" x14ac:dyDescent="0.25">
      <c r="A42" s="509" t="s">
        <v>138</v>
      </c>
      <c r="B42" s="510"/>
      <c r="C42" s="20"/>
      <c r="D42" s="16" t="s">
        <v>3</v>
      </c>
      <c r="E42" s="16" t="s">
        <v>4</v>
      </c>
      <c r="F42" s="16" t="s">
        <v>5</v>
      </c>
      <c r="G42" s="16" t="s">
        <v>6</v>
      </c>
      <c r="H42" s="16" t="s">
        <v>7</v>
      </c>
      <c r="I42" s="16" t="s">
        <v>8</v>
      </c>
      <c r="J42" s="16" t="s">
        <v>9</v>
      </c>
      <c r="K42" s="16" t="s">
        <v>10</v>
      </c>
      <c r="L42" s="16" t="s">
        <v>11</v>
      </c>
      <c r="M42" s="16" t="s">
        <v>12</v>
      </c>
      <c r="N42" s="16" t="s">
        <v>13</v>
      </c>
      <c r="O42" s="16" t="s">
        <v>14</v>
      </c>
      <c r="P42" s="16" t="s">
        <v>15</v>
      </c>
      <c r="Q42" s="16" t="s">
        <v>16</v>
      </c>
      <c r="R42" s="16" t="s">
        <v>17</v>
      </c>
      <c r="S42" s="16" t="s">
        <v>18</v>
      </c>
      <c r="T42" s="16" t="s">
        <v>19</v>
      </c>
      <c r="U42" s="16" t="s">
        <v>20</v>
      </c>
      <c r="V42" s="16" t="s">
        <v>21</v>
      </c>
      <c r="W42" s="16" t="s">
        <v>22</v>
      </c>
      <c r="X42" s="16" t="s">
        <v>23</v>
      </c>
      <c r="Y42" s="16" t="s">
        <v>24</v>
      </c>
      <c r="Z42" s="16" t="s">
        <v>25</v>
      </c>
      <c r="AA42" s="16" t="s">
        <v>26</v>
      </c>
      <c r="AB42" s="16" t="s">
        <v>27</v>
      </c>
      <c r="AC42" s="16" t="s">
        <v>28</v>
      </c>
      <c r="AD42" s="16" t="s">
        <v>29</v>
      </c>
      <c r="AE42" s="16" t="s">
        <v>30</v>
      </c>
      <c r="AF42" s="16" t="s">
        <v>31</v>
      </c>
      <c r="AG42" s="16" t="s">
        <v>32</v>
      </c>
      <c r="AH42" s="16" t="s">
        <v>33</v>
      </c>
      <c r="AI42" s="16" t="s">
        <v>34</v>
      </c>
      <c r="AJ42" s="16" t="s">
        <v>35</v>
      </c>
      <c r="AK42" s="16" t="s">
        <v>36</v>
      </c>
      <c r="AL42" s="16" t="s">
        <v>37</v>
      </c>
      <c r="AM42" s="16" t="s">
        <v>38</v>
      </c>
      <c r="AN42" s="16" t="s">
        <v>39</v>
      </c>
      <c r="AO42" s="16" t="s">
        <v>40</v>
      </c>
      <c r="AP42" s="16" t="s">
        <v>41</v>
      </c>
      <c r="AQ42" s="16" t="s">
        <v>42</v>
      </c>
      <c r="AR42" s="16" t="s">
        <v>43</v>
      </c>
      <c r="AS42" s="16" t="s">
        <v>44</v>
      </c>
      <c r="AT42" s="16" t="s">
        <v>45</v>
      </c>
      <c r="AU42" s="16" t="s">
        <v>46</v>
      </c>
      <c r="AV42" s="16" t="s">
        <v>47</v>
      </c>
      <c r="AW42" s="16" t="s">
        <v>48</v>
      </c>
      <c r="AX42" s="16" t="s">
        <v>398</v>
      </c>
      <c r="AY42" s="16" t="s">
        <v>49</v>
      </c>
      <c r="AZ42" s="16" t="s">
        <v>50</v>
      </c>
      <c r="BA42" s="16" t="s">
        <v>339</v>
      </c>
      <c r="BB42" s="16" t="s">
        <v>340</v>
      </c>
      <c r="BC42" s="20"/>
      <c r="BD42" s="111"/>
      <c r="BE42" s="20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01"/>
      <c r="BZ42" s="101"/>
      <c r="CA42" s="65"/>
      <c r="CB42" s="65"/>
      <c r="CG42" s="314"/>
      <c r="CJ42" s="314"/>
      <c r="CK42" s="314"/>
      <c r="CL42" s="314"/>
      <c r="CM42" s="314"/>
      <c r="CN42" s="314"/>
      <c r="CO42" s="314"/>
      <c r="CQ42" s="9">
        <v>1</v>
      </c>
    </row>
    <row r="43" spans="1:95" s="7" customFormat="1" ht="15" customHeight="1" x14ac:dyDescent="0.25">
      <c r="A43" s="511" t="s">
        <v>175</v>
      </c>
      <c r="B43" s="512"/>
      <c r="C43" s="20"/>
      <c r="D43" s="16">
        <f>VLOOKUP(D$12,'Định mức'!$A$6:$J$56,9,0)</f>
        <v>516.26226122870423</v>
      </c>
      <c r="E43" s="16">
        <f>VLOOKUP(E$12,'Định mức'!$A$6:$J$56,9,0)</f>
        <v>571.79732235482481</v>
      </c>
      <c r="F43" s="16">
        <f>VLOOKUP(F$12,'Định mức'!$A$6:$J$56,9,0)</f>
        <v>1229.3642430628731</v>
      </c>
      <c r="G43" s="16">
        <f>VLOOKUP(G$12,'Định mức'!$A$6:$J$56,9,0)</f>
        <v>1229.3642430628731</v>
      </c>
      <c r="H43" s="16">
        <f>VLOOKUP(H$12,'Định mức'!$A$6:$J$56,9,0)</f>
        <v>633.48416289592762</v>
      </c>
      <c r="I43" s="16">
        <f>VLOOKUP(I$12,'Định mức'!$A$6:$J$56,9,0)</f>
        <v>1229.3642430628731</v>
      </c>
      <c r="J43" s="16">
        <f>VLOOKUP(J$12,'Định mức'!$A$6:$J$56,9,0)</f>
        <v>633.48416289592762</v>
      </c>
      <c r="K43" s="16">
        <f>VLOOKUP(K$12,'Định mức'!$A$6:$J$56,9,0)</f>
        <v>516.26226122870423</v>
      </c>
      <c r="L43" s="16">
        <f>VLOOKUP(L$12,'Định mức'!$A$6:$J$56,9,0)</f>
        <v>642.81122776944505</v>
      </c>
      <c r="M43" s="16">
        <f>VLOOKUP(M$12,'Định mức'!$A$6:$J$56,9,0)</f>
        <v>633.48416289592762</v>
      </c>
      <c r="N43" s="16">
        <f>VLOOKUP(N$12,'Định mức'!$A$6:$J$56,9,0)</f>
        <v>1362.4248434885019</v>
      </c>
      <c r="O43" s="16">
        <f>VLOOKUP(O$12,'Định mức'!$A$6:$J$56,9,0)</f>
        <v>1229.3642430628731</v>
      </c>
      <c r="P43" s="16">
        <f>VLOOKUP(P$12,'Định mức'!$A$6:$J$56,9,0)</f>
        <v>571.79732235482481</v>
      </c>
      <c r="Q43" s="16">
        <f>VLOOKUP(Q$12,'Định mức'!$A$6:$J$56,9,0)</f>
        <v>653.47274085138167</v>
      </c>
      <c r="R43" s="16">
        <f>VLOOKUP(R$12,'Định mức'!$A$6:$J$56,9,0)</f>
        <v>1432.0785597381343</v>
      </c>
      <c r="S43" s="16">
        <f>VLOOKUP(S$12,'Định mức'!$A$6:$J$56,9,0)</f>
        <v>633.48416289592762</v>
      </c>
      <c r="T43" s="16">
        <f>VLOOKUP(T$12,'Định mức'!$A$6:$J$56,9,0)</f>
        <v>633.48416289592762</v>
      </c>
      <c r="U43" s="16">
        <f>VLOOKUP(U$12,'Định mức'!$A$6:$J$56,9,0)</f>
        <v>633.48416289592797</v>
      </c>
      <c r="V43" s="16">
        <f>VLOOKUP(V$12,'Định mức'!$A$6:$J$56,9,0)</f>
        <v>1432.0785597381343</v>
      </c>
      <c r="W43" s="16">
        <f>VLOOKUP(W$12,'Định mức'!$A$6:$J$56,9,0)</f>
        <v>633.48416289592762</v>
      </c>
      <c r="X43" s="16">
        <f>VLOOKUP(X$12,'Định mức'!$A$6:$J$56,9,0)</f>
        <v>1346.1538461538462</v>
      </c>
      <c r="Y43" s="16">
        <f>VLOOKUP(Y$12,'Định mức'!$A$6:$J$56,9,0)</f>
        <v>1346.1538461538462</v>
      </c>
      <c r="Z43" s="16">
        <f>VLOOKUP(Z$12,'Định mức'!$A$6:$J$56,9,0)</f>
        <v>1170.5685618729099</v>
      </c>
      <c r="AA43" s="16">
        <f>VLOOKUP(AA$12,'Định mức'!$A$6:$J$56,9,0)</f>
        <v>2019</v>
      </c>
      <c r="AB43" s="16">
        <f>VLOOKUP(AB$12,'Định mức'!$A$6:$J$56,9,0)</f>
        <v>1196.5811965811965</v>
      </c>
      <c r="AC43" s="16">
        <f>VLOOKUP(AC$12,'Định mức'!$A$6:$J$56,9,0)</f>
        <v>351.78236397748594</v>
      </c>
      <c r="AD43" s="16">
        <f>VLOOKUP(AD$12,'Định mức'!$A$6:$J$56,9,0)</f>
        <v>642.81122776944505</v>
      </c>
      <c r="AE43" s="16">
        <f>VLOOKUP(AE$12,'Định mức'!$A$6:$J$56,9,0)</f>
        <v>979.02097902097898</v>
      </c>
      <c r="AF43" s="16">
        <f>VLOOKUP(AF$12,'Định mức'!$A$6:$J$56,9,0)</f>
        <v>936.46821215314367</v>
      </c>
      <c r="AG43" s="16">
        <f>VLOOKUP(AG$12,'Định mức'!$A$6:$J$56,9,0)</f>
        <v>979.02097902097728</v>
      </c>
      <c r="AH43" s="16">
        <f>VLOOKUP(AH$12,'Định mức'!$A$6:$J$56,9,0)</f>
        <v>364.2191142191142</v>
      </c>
      <c r="AI43" s="16">
        <f>VLOOKUP(AI$12,'Định mức'!$A$6:$J$56,9,0)</f>
        <v>506.07287449392715</v>
      </c>
      <c r="AJ43" s="16">
        <f>VLOOKUP(AJ$12,'Định mức'!$A$6:$J$56,9,0)</f>
        <v>251.79403248143021</v>
      </c>
      <c r="AK43" s="16">
        <f>VLOOKUP(AK$12,'Định mức'!$A$6:$J$56,9,0)</f>
        <v>335.42039355992847</v>
      </c>
      <c r="AL43" s="16">
        <f>VLOOKUP(AL$12,'Định mức'!$A$6:$J$56,9,0)</f>
        <v>1468.5314685314684</v>
      </c>
      <c r="AM43" s="16">
        <f>VLOOKUP(AM$12,'Định mức'!$A$6:$J$56,9,0)</f>
        <v>1377.1394845563643</v>
      </c>
      <c r="AN43" s="16">
        <f>VLOOKUP(AN$12,'Định mức'!$A$6:$J$56,9,0)</f>
        <v>2043</v>
      </c>
      <c r="AO43" s="16">
        <f>VLOOKUP(AO$12,'Định mức'!$A$6:$J$56,9,0)</f>
        <v>2043</v>
      </c>
      <c r="AP43" s="16">
        <f>VLOOKUP(AP$12,'Định mức'!$A$6:$J$56,9,0)</f>
        <v>2043</v>
      </c>
      <c r="AQ43" s="16">
        <f>VLOOKUP(AQ$12,'Định mức'!$A$6:$J$56,9,0)</f>
        <v>2043</v>
      </c>
      <c r="AR43" s="16">
        <f>VLOOKUP(AR$12,'Định mức'!$A$6:$J$56,9,0)</f>
        <v>2043</v>
      </c>
      <c r="AS43" s="16">
        <f>VLOOKUP(AS$12,'Định mức'!$A$6:$J$56,9,0)</f>
        <v>2043</v>
      </c>
      <c r="AT43" s="16">
        <f>VLOOKUP(AT$12,'Định mức'!$A$6:$J$56,9,0)</f>
        <v>0</v>
      </c>
      <c r="AU43" s="16">
        <f>VLOOKUP(AU$12,'Định mức'!$A$6:$J$56,9,0)</f>
        <v>1229.3642430628731</v>
      </c>
      <c r="AV43" s="16">
        <f>VLOOKUP(AV$12,'Định mức'!$A$6:$J$56,9,0)</f>
        <v>383.08305240576158</v>
      </c>
      <c r="AW43" s="16">
        <f>VLOOKUP(AW$12,'Định mức'!$A$6:$J$56,9,0)</f>
        <v>316.74208144796381</v>
      </c>
      <c r="AX43" s="16">
        <f>VLOOKUP(AX$12,'Định mức'!$A$6:$J$56,9,0)</f>
        <v>1229.3642430628731</v>
      </c>
      <c r="AY43" s="16">
        <f>VLOOKUP(AY$12,'Định mức'!$A$6:$J$56,9,0)</f>
        <v>0</v>
      </c>
      <c r="AZ43" s="16">
        <f>VLOOKUP(AZ$12,'Định mức'!$A$6:$J$56,9,0)</f>
        <v>0</v>
      </c>
      <c r="BA43" s="16">
        <f>VLOOKUP(BA$12,'Định mức'!$A$6:$J$56,9,0)</f>
        <v>1229.3642430628731</v>
      </c>
      <c r="BB43" s="16">
        <f>VLOOKUP(BB$12,'Định mức'!$A$6:$J$56,9,0)</f>
        <v>1593.0814747382797</v>
      </c>
      <c r="BC43" s="25"/>
      <c r="BD43" s="112">
        <v>11200</v>
      </c>
      <c r="BE43" s="25"/>
      <c r="BF43" s="24">
        <f>7000000/26/7.3</f>
        <v>36880.927291886197</v>
      </c>
      <c r="BG43" s="24">
        <f t="shared" ref="BG43:BR43" si="11">7000000/26/7.3</f>
        <v>36880.927291886197</v>
      </c>
      <c r="BH43" s="24">
        <f t="shared" si="11"/>
        <v>36880.927291886197</v>
      </c>
      <c r="BI43" s="24">
        <f t="shared" si="11"/>
        <v>36880.927291886197</v>
      </c>
      <c r="BJ43" s="24">
        <f t="shared" si="11"/>
        <v>36880.927291886197</v>
      </c>
      <c r="BK43" s="24">
        <f t="shared" si="11"/>
        <v>36880.927291886197</v>
      </c>
      <c r="BL43" s="24">
        <f t="shared" si="11"/>
        <v>36880.927291886197</v>
      </c>
      <c r="BM43" s="24">
        <f t="shared" si="11"/>
        <v>36880.927291886197</v>
      </c>
      <c r="BN43" s="24">
        <f t="shared" si="11"/>
        <v>36880.927291886197</v>
      </c>
      <c r="BO43" s="24">
        <f t="shared" si="11"/>
        <v>36880.927291886197</v>
      </c>
      <c r="BP43" s="24">
        <f t="shared" si="11"/>
        <v>36880.927291886197</v>
      </c>
      <c r="BQ43" s="24">
        <f t="shared" si="11"/>
        <v>36880.927291886197</v>
      </c>
      <c r="BR43" s="24">
        <f t="shared" si="11"/>
        <v>36880.927291886197</v>
      </c>
      <c r="BS43" s="24">
        <f>7000000/26/7.3</f>
        <v>36880.927291886197</v>
      </c>
      <c r="BT43" s="24">
        <f>7000000/26/7.3</f>
        <v>36880.927291886197</v>
      </c>
      <c r="BU43" s="24"/>
      <c r="BV43" s="24"/>
      <c r="BW43" s="17"/>
      <c r="BX43" s="17"/>
      <c r="BY43" s="101"/>
      <c r="BZ43" s="101"/>
      <c r="CA43" s="65"/>
      <c r="CB43" s="65"/>
      <c r="CQ43" s="9">
        <v>2</v>
      </c>
    </row>
    <row r="44" spans="1:95" s="7" customFormat="1" x14ac:dyDescent="0.25">
      <c r="A44" s="8" t="s">
        <v>0</v>
      </c>
      <c r="B44" s="8" t="s">
        <v>1</v>
      </c>
      <c r="C44" s="2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1"/>
      <c r="BD44" s="126">
        <f>SUBTOTAL(9,BD45:BD65)</f>
        <v>0</v>
      </c>
      <c r="BE44" s="21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17"/>
      <c r="BX44" s="17"/>
      <c r="BY44" s="101"/>
      <c r="BZ44" s="101"/>
      <c r="CA44" s="65"/>
      <c r="CB44" s="65"/>
      <c r="CQ44" s="9">
        <v>3</v>
      </c>
    </row>
    <row r="45" spans="1:95" ht="15.75" x14ac:dyDescent="0.25">
      <c r="A45" s="224"/>
      <c r="B45" s="2" t="s">
        <v>429</v>
      </c>
      <c r="C45" s="306"/>
      <c r="D45" s="4"/>
      <c r="E45" s="4"/>
      <c r="F45" s="4"/>
      <c r="G45" s="4"/>
      <c r="H45" s="4">
        <f>SUMIF('Đóng gói trong giờ'!$A$12:$A$123,'Tổng hợp trong giờ'!$A45,'Đóng gói trong giờ'!H$12:H$123)</f>
        <v>0</v>
      </c>
      <c r="I45" s="4">
        <f>SUMIF('Đóng gói trong giờ'!$A$12:$A$123,'Tổng hợp trong giờ'!$A45,'Đóng gói trong giờ'!I$12:I$123)</f>
        <v>0</v>
      </c>
      <c r="J45" s="4">
        <f>SUMIF('Đóng gói trong giờ'!$A$12:$A$123,'Tổng hợp trong giờ'!$A45,'Đóng gói trong giờ'!J$12:J$123)</f>
        <v>0</v>
      </c>
      <c r="K45" s="4">
        <f>SUMIF('Đóng gói trong giờ'!$A$12:$A$123,'Tổng hợp trong giờ'!$A45,'Đóng gói trong giờ'!K$12:K$123)</f>
        <v>0</v>
      </c>
      <c r="L45" s="4">
        <f>SUMIF('Đóng gói trong giờ'!$A$12:$A$123,'Tổng hợp trong giờ'!$A45,'Đóng gói trong giờ'!L$12:L$123)</f>
        <v>0</v>
      </c>
      <c r="M45" s="4">
        <f>SUMIF('Đóng gói trong giờ'!$A$12:$A$123,'Tổng hợp trong giờ'!$A45,'Đóng gói trong giờ'!M$12:M$123)</f>
        <v>0</v>
      </c>
      <c r="N45" s="4">
        <f>SUMIF('Đóng gói trong giờ'!$A$12:$A$123,'Tổng hợp trong giờ'!$A45,'Đóng gói trong giờ'!N$12:N$123)</f>
        <v>0</v>
      </c>
      <c r="O45" s="4">
        <f>SUMIF('Đóng gói trong giờ'!$A$12:$A$123,'Tổng hợp trong giờ'!$A45,'Đóng gói trong giờ'!O$12:O$123)</f>
        <v>0</v>
      </c>
      <c r="P45" s="4">
        <f>SUMIF('Đóng gói trong giờ'!$A$12:$A$123,'Tổng hợp trong giờ'!$A45,'Đóng gói trong giờ'!P$12:P$123)</f>
        <v>0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>
        <f>SUMIF('Đóng gói trong giờ'!$A$12:$A$123,'Tổng hợp trong giờ'!$A45,'Đóng gói trong giờ'!AM$12:AM$123)</f>
        <v>0</v>
      </c>
      <c r="AN45" s="4">
        <f>SUMIF('Đóng gói trong giờ'!$A$12:$A$123,'Tổng hợp trong giờ'!$A45,'Đóng gói trong giờ'!AN$12:AN$123)</f>
        <v>0</v>
      </c>
      <c r="AO45" s="4">
        <f>SUMIF('Đóng gói trong giờ'!$A$12:$A$123,'Tổng hợp trong giờ'!$A45,'Đóng gói trong giờ'!AO$12:AO$123)</f>
        <v>0</v>
      </c>
      <c r="AP45" s="4">
        <f>SUMIF('Đóng gói trong giờ'!$A$12:$A$123,'Tổng hợp trong giờ'!$A45,'Đóng gói trong giờ'!AP$12:AP$123)</f>
        <v>0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22">
        <f>SUMIF('Đóng gói trong giờ'!$A$12:$A$78,'Tổng hợp trong giờ'!$A45,'Đóng gói trong giờ'!BC$12:BC$78)</f>
        <v>0</v>
      </c>
      <c r="BD45" s="119">
        <f>SUMIF('Bốc hàng trong giờ new'!$H$13:$H$3398,'Tổng hợp trong giờ'!A45,'Bốc hàng trong giờ new'!$J$13:$J$3398)</f>
        <v>0</v>
      </c>
      <c r="BE45" s="22">
        <f>SUMIF('Đóng gói trong giờ'!$A$12:$A$78,'Tổng hợp trong giờ'!$A45,'Đóng gói trong giờ'!BE$12:BE$78)</f>
        <v>0</v>
      </c>
      <c r="BF45" s="4">
        <f>SUMIF('Đóng gói trong giờ'!$A$12:$A$123,'Tổng hợp trong giờ'!$A45,'Đóng gói trong giờ'!BD$12:BD$123)</f>
        <v>0</v>
      </c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>
        <f>SUMIF('Đóng gói trong giờ'!$A$12:$A$123,'Tổng hợp trong giờ'!$A45,'Đóng gói trong giờ'!BQ$12:BQ$123)</f>
        <v>0</v>
      </c>
      <c r="BT45" s="4">
        <f>SUMIF('Đóng gói trong giờ'!$A$12:$A$123,'Tổng hợp trong giờ'!$A45,'Đóng gói trong giờ'!BR$12:BR$123)</f>
        <v>0</v>
      </c>
      <c r="BU45" s="169">
        <f>SUM(BF45:BT45)</f>
        <v>0</v>
      </c>
      <c r="BV45" s="168">
        <f>SUMPRODUCT($BF$13:$BT$13,BF45:BT45)</f>
        <v>0</v>
      </c>
      <c r="BW45" s="168">
        <f>SUMPRODUCT($C$13:$BD$13,C45:BD45) + SUMPRODUCT($BF$13:$BT$13,BF45:BT45)</f>
        <v>0</v>
      </c>
      <c r="BX45" s="4"/>
      <c r="BY45" s="10">
        <f>BW45+BX45</f>
        <v>0</v>
      </c>
      <c r="BZ45" s="96">
        <f>IF(ISNA(VLOOKUP(A45,' Bang luong'!$A$13:$M$59,11,0)),0,VLOOKUP(A45,' Bang luong'!$A$13:$M$59,11,0))</f>
        <v>0</v>
      </c>
      <c r="CA45" s="4">
        <f>$BZ$10/$BY$10*BZ45</f>
        <v>0</v>
      </c>
      <c r="CB45" s="14">
        <f>IF(BY45=0,0,BW45/CA45)</f>
        <v>0</v>
      </c>
    </row>
    <row r="47" spans="1:95" x14ac:dyDescent="0.25">
      <c r="AD47" s="104"/>
    </row>
  </sheetData>
  <autoFilter ref="A14:B34"/>
  <mergeCells count="9">
    <mergeCell ref="A41:B41"/>
    <mergeCell ref="A42:B42"/>
    <mergeCell ref="A43:B43"/>
    <mergeCell ref="BF6:BS6"/>
    <mergeCell ref="A12:B12"/>
    <mergeCell ref="A11:B11"/>
    <mergeCell ref="A13:B13"/>
    <mergeCell ref="A6:B6"/>
    <mergeCell ref="N6:U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M48"/>
  <sheetViews>
    <sheetView topLeftCell="A7" zoomScaleNormal="100" workbookViewId="0">
      <pane xSplit="3" ySplit="8" topLeftCell="BA33" activePane="bottomRight" state="frozen"/>
      <selection activeCell="A7" sqref="A7"/>
      <selection pane="topRight" activeCell="D7" sqref="D7"/>
      <selection pane="bottomLeft" activeCell="A15" sqref="A15"/>
      <selection pane="bottomRight" activeCell="BI41" sqref="BI41"/>
    </sheetView>
  </sheetViews>
  <sheetFormatPr defaultRowHeight="15" x14ac:dyDescent="0.25"/>
  <cols>
    <col min="2" max="2" width="18.5703125" bestFit="1" customWidth="1"/>
    <col min="3" max="3" width="2.7109375" style="18" customWidth="1"/>
    <col min="31" max="31" width="10.5703125" bestFit="1" customWidth="1"/>
    <col min="50" max="50" width="9.28515625" style="222"/>
    <col min="55" max="55" width="2.5703125" style="18" customWidth="1"/>
    <col min="56" max="56" width="19.7109375" style="9" bestFit="1" customWidth="1"/>
    <col min="57" max="57" width="2.5703125" style="18" customWidth="1"/>
    <col min="59" max="59" width="13.28515625" bestFit="1" customWidth="1"/>
    <col min="74" max="74" width="14" customWidth="1"/>
    <col min="75" max="75" width="19.28515625" customWidth="1"/>
    <col min="76" max="76" width="10.5703125" bestFit="1" customWidth="1"/>
    <col min="90" max="90" width="9.28515625" customWidth="1"/>
  </cols>
  <sheetData>
    <row r="1" spans="1:91" x14ac:dyDescent="0.25">
      <c r="A1" t="s">
        <v>144</v>
      </c>
    </row>
    <row r="2" spans="1:91" x14ac:dyDescent="0.25">
      <c r="A2" t="s">
        <v>145</v>
      </c>
    </row>
    <row r="3" spans="1:91" x14ac:dyDescent="0.25">
      <c r="A3" t="s">
        <v>146</v>
      </c>
    </row>
    <row r="4" spans="1:91" x14ac:dyDescent="0.25">
      <c r="A4" t="s">
        <v>147</v>
      </c>
    </row>
    <row r="5" spans="1:91" x14ac:dyDescent="0.25">
      <c r="AE5" s="13">
        <f>67.5*AD13</f>
        <v>47728.733661881299</v>
      </c>
      <c r="AX5" s="222" t="s">
        <v>400</v>
      </c>
    </row>
    <row r="6" spans="1:91" ht="23.25" x14ac:dyDescent="0.35">
      <c r="A6" s="500" t="s">
        <v>186</v>
      </c>
      <c r="B6" s="500"/>
      <c r="N6" s="500" t="s">
        <v>187</v>
      </c>
      <c r="O6" s="501"/>
      <c r="P6" s="501"/>
      <c r="Q6" s="501"/>
      <c r="R6" s="501"/>
      <c r="S6" s="501"/>
      <c r="T6" s="501"/>
      <c r="U6" s="501"/>
      <c r="BD6" s="110" t="s">
        <v>186</v>
      </c>
      <c r="BF6" s="500" t="s">
        <v>188</v>
      </c>
      <c r="BG6" s="500"/>
      <c r="BH6" s="500"/>
      <c r="BI6" s="500"/>
      <c r="BJ6" s="500"/>
      <c r="BK6" s="500"/>
      <c r="BL6" s="500"/>
      <c r="BM6" s="500"/>
      <c r="BN6" s="500"/>
      <c r="BO6" s="500"/>
      <c r="BP6" s="500"/>
      <c r="BQ6" s="500"/>
      <c r="BR6" s="500"/>
      <c r="BS6" s="500"/>
      <c r="BT6" s="98"/>
      <c r="BU6" s="106"/>
      <c r="BV6" s="66"/>
    </row>
    <row r="10" spans="1:91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 s="222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</row>
    <row r="11" spans="1:91" s="7" customFormat="1" ht="75" customHeight="1" x14ac:dyDescent="0.25">
      <c r="A11" s="507" t="s">
        <v>137</v>
      </c>
      <c r="B11" s="508"/>
      <c r="C11" s="19"/>
      <c r="D11" s="15" t="s">
        <v>51</v>
      </c>
      <c r="E11" s="15" t="s">
        <v>52</v>
      </c>
      <c r="F11" s="15" t="s">
        <v>53</v>
      </c>
      <c r="G11" s="15" t="s">
        <v>54</v>
      </c>
      <c r="H11" s="15" t="s">
        <v>55</v>
      </c>
      <c r="I11" s="15" t="s">
        <v>56</v>
      </c>
      <c r="J11" s="15" t="s">
        <v>57</v>
      </c>
      <c r="K11" s="15" t="s">
        <v>58</v>
      </c>
      <c r="L11" s="15" t="s">
        <v>59</v>
      </c>
      <c r="M11" s="15" t="s">
        <v>60</v>
      </c>
      <c r="N11" s="15" t="s">
        <v>61</v>
      </c>
      <c r="O11" s="15" t="s">
        <v>140</v>
      </c>
      <c r="P11" s="15" t="s">
        <v>63</v>
      </c>
      <c r="Q11" s="15" t="s">
        <v>64</v>
      </c>
      <c r="R11" s="15" t="s">
        <v>65</v>
      </c>
      <c r="S11" s="15" t="s">
        <v>66</v>
      </c>
      <c r="T11" s="15" t="s">
        <v>139</v>
      </c>
      <c r="U11" s="15" t="s">
        <v>68</v>
      </c>
      <c r="V11" s="15" t="s">
        <v>69</v>
      </c>
      <c r="W11" s="15" t="s">
        <v>70</v>
      </c>
      <c r="X11" s="15" t="s">
        <v>71</v>
      </c>
      <c r="Y11" s="15" t="s">
        <v>72</v>
      </c>
      <c r="Z11" s="15" t="s">
        <v>73</v>
      </c>
      <c r="AA11" s="15" t="s">
        <v>74</v>
      </c>
      <c r="AB11" s="15" t="s">
        <v>75</v>
      </c>
      <c r="AC11" s="15" t="s">
        <v>76</v>
      </c>
      <c r="AD11" s="15" t="s">
        <v>77</v>
      </c>
      <c r="AE11" s="15" t="s">
        <v>78</v>
      </c>
      <c r="AF11" s="15" t="s">
        <v>79</v>
      </c>
      <c r="AG11" s="15" t="s">
        <v>80</v>
      </c>
      <c r="AH11" s="15" t="s">
        <v>81</v>
      </c>
      <c r="AI11" s="15" t="s">
        <v>82</v>
      </c>
      <c r="AJ11" s="15" t="s">
        <v>83</v>
      </c>
      <c r="AK11" s="15" t="s">
        <v>84</v>
      </c>
      <c r="AL11" s="15" t="s">
        <v>85</v>
      </c>
      <c r="AM11" s="15" t="s">
        <v>86</v>
      </c>
      <c r="AN11" s="15" t="s">
        <v>87</v>
      </c>
      <c r="AO11" s="15" t="s">
        <v>88</v>
      </c>
      <c r="AP11" s="15" t="s">
        <v>89</v>
      </c>
      <c r="AQ11" s="15" t="s">
        <v>90</v>
      </c>
      <c r="AR11" s="15" t="s">
        <v>91</v>
      </c>
      <c r="AS11" s="15" t="s">
        <v>92</v>
      </c>
      <c r="AT11" s="15" t="s">
        <v>93</v>
      </c>
      <c r="AU11" s="15" t="s">
        <v>94</v>
      </c>
      <c r="AV11" s="15" t="s">
        <v>95</v>
      </c>
      <c r="AW11" s="15" t="s">
        <v>96</v>
      </c>
      <c r="AX11" s="268" t="s">
        <v>399</v>
      </c>
      <c r="AY11" s="15" t="s">
        <v>97</v>
      </c>
      <c r="AZ11" s="15" t="s">
        <v>98</v>
      </c>
      <c r="BA11" s="15" t="s">
        <v>99</v>
      </c>
      <c r="BB11" s="15" t="s">
        <v>100</v>
      </c>
      <c r="BC11" s="19"/>
      <c r="BD11" s="111" t="s">
        <v>376</v>
      </c>
      <c r="BE11" s="19"/>
      <c r="BF11" s="27" t="s">
        <v>161</v>
      </c>
      <c r="BG11" s="27" t="s">
        <v>162</v>
      </c>
      <c r="BH11" s="27" t="s">
        <v>163</v>
      </c>
      <c r="BI11" s="27" t="s">
        <v>164</v>
      </c>
      <c r="BJ11" s="27" t="s">
        <v>165</v>
      </c>
      <c r="BK11" s="27" t="s">
        <v>166</v>
      </c>
      <c r="BL11" s="27" t="s">
        <v>167</v>
      </c>
      <c r="BM11" s="27" t="s">
        <v>168</v>
      </c>
      <c r="BN11" s="27" t="s">
        <v>169</v>
      </c>
      <c r="BO11" s="27" t="s">
        <v>170</v>
      </c>
      <c r="BP11" s="27" t="s">
        <v>171</v>
      </c>
      <c r="BQ11" s="27" t="s">
        <v>172</v>
      </c>
      <c r="BR11" s="27" t="s">
        <v>173</v>
      </c>
      <c r="BS11" s="27" t="s">
        <v>174</v>
      </c>
      <c r="BT11" s="27" t="s">
        <v>341</v>
      </c>
      <c r="BU11" s="27" t="s">
        <v>378</v>
      </c>
      <c r="BV11" s="27" t="s">
        <v>318</v>
      </c>
      <c r="BW11" s="27" t="s">
        <v>141</v>
      </c>
    </row>
    <row r="12" spans="1:91" s="9" customFormat="1" x14ac:dyDescent="0.25">
      <c r="A12" s="509" t="s">
        <v>138</v>
      </c>
      <c r="B12" s="510"/>
      <c r="C12" s="20"/>
      <c r="D12" s="16" t="s">
        <v>3</v>
      </c>
      <c r="E12" s="16" t="s">
        <v>4</v>
      </c>
      <c r="F12" s="16" t="s">
        <v>5</v>
      </c>
      <c r="G12" s="16" t="s">
        <v>6</v>
      </c>
      <c r="H12" s="16" t="s">
        <v>7</v>
      </c>
      <c r="I12" s="16" t="s">
        <v>8</v>
      </c>
      <c r="J12" s="16" t="s">
        <v>9</v>
      </c>
      <c r="K12" s="16" t="s">
        <v>10</v>
      </c>
      <c r="L12" s="16" t="s">
        <v>11</v>
      </c>
      <c r="M12" s="16" t="s">
        <v>12</v>
      </c>
      <c r="N12" s="16" t="s">
        <v>13</v>
      </c>
      <c r="O12" s="16" t="s">
        <v>14</v>
      </c>
      <c r="P12" s="16" t="s">
        <v>15</v>
      </c>
      <c r="Q12" s="16" t="s">
        <v>16</v>
      </c>
      <c r="R12" s="16" t="s">
        <v>17</v>
      </c>
      <c r="S12" s="16" t="s">
        <v>18</v>
      </c>
      <c r="T12" s="16" t="s">
        <v>19</v>
      </c>
      <c r="U12" s="16" t="s">
        <v>20</v>
      </c>
      <c r="V12" s="16" t="s">
        <v>21</v>
      </c>
      <c r="W12" s="16" t="s">
        <v>22</v>
      </c>
      <c r="X12" s="16" t="s">
        <v>23</v>
      </c>
      <c r="Y12" s="16" t="s">
        <v>24</v>
      </c>
      <c r="Z12" s="16" t="s">
        <v>25</v>
      </c>
      <c r="AA12" s="16" t="s">
        <v>26</v>
      </c>
      <c r="AB12" s="16" t="s">
        <v>27</v>
      </c>
      <c r="AC12" s="16" t="s">
        <v>28</v>
      </c>
      <c r="AD12" s="16" t="s">
        <v>29</v>
      </c>
      <c r="AE12" s="16" t="s">
        <v>30</v>
      </c>
      <c r="AF12" s="16" t="s">
        <v>31</v>
      </c>
      <c r="AG12" s="16" t="s">
        <v>32</v>
      </c>
      <c r="AH12" s="16" t="s">
        <v>33</v>
      </c>
      <c r="AI12" s="16" t="s">
        <v>34</v>
      </c>
      <c r="AJ12" s="16" t="s">
        <v>35</v>
      </c>
      <c r="AK12" s="16" t="s">
        <v>36</v>
      </c>
      <c r="AL12" s="16" t="s">
        <v>37</v>
      </c>
      <c r="AM12" s="16" t="s">
        <v>38</v>
      </c>
      <c r="AN12" s="16" t="s">
        <v>39</v>
      </c>
      <c r="AO12" s="16" t="s">
        <v>40</v>
      </c>
      <c r="AP12" s="16" t="s">
        <v>41</v>
      </c>
      <c r="AQ12" s="16" t="s">
        <v>42</v>
      </c>
      <c r="AR12" s="16" t="s">
        <v>43</v>
      </c>
      <c r="AS12" s="16" t="s">
        <v>44</v>
      </c>
      <c r="AT12" s="16" t="s">
        <v>45</v>
      </c>
      <c r="AU12" s="16" t="s">
        <v>46</v>
      </c>
      <c r="AV12" s="16" t="s">
        <v>47</v>
      </c>
      <c r="AW12" s="16" t="s">
        <v>48</v>
      </c>
      <c r="AX12" s="269" t="s">
        <v>398</v>
      </c>
      <c r="AY12" s="16" t="s">
        <v>49</v>
      </c>
      <c r="AZ12" s="16" t="s">
        <v>50</v>
      </c>
      <c r="BA12" s="16" t="s">
        <v>339</v>
      </c>
      <c r="BB12" s="16" t="s">
        <v>340</v>
      </c>
      <c r="BC12" s="20"/>
      <c r="BD12" s="111"/>
      <c r="BE12" s="20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27"/>
      <c r="CL12" s="9">
        <v>1</v>
      </c>
    </row>
    <row r="13" spans="1:91" s="7" customFormat="1" ht="15" customHeight="1" x14ac:dyDescent="0.25">
      <c r="A13" s="511" t="s">
        <v>175</v>
      </c>
      <c r="B13" s="512"/>
      <c r="C13" s="20"/>
      <c r="D13" s="16">
        <f>VLOOKUP(D$12,'Định mức'!$A$6:$J$56,10,0)</f>
        <v>567.88848735157467</v>
      </c>
      <c r="E13" s="16">
        <f>VLOOKUP(E$12,'Định mức'!$A$6:$J$56,10,0)</f>
        <v>628.97705459030738</v>
      </c>
      <c r="F13" s="16">
        <f>VLOOKUP(F$12,'Định mức'!$A$6:$J$56,10,0)</f>
        <v>1352.3006673691605</v>
      </c>
      <c r="G13" s="16">
        <f>VLOOKUP(G$12,'Định mức'!$A$6:$J$56,10,0)</f>
        <v>1352.3006673691605</v>
      </c>
      <c r="H13" s="16">
        <f>VLOOKUP(H$12,'Định mức'!$A$6:$J$56,10,0)</f>
        <v>696.83257918552044</v>
      </c>
      <c r="I13" s="16">
        <f>VLOOKUP(I$12,'Định mức'!$A$6:$J$56,10,0)</f>
        <v>1352.3006673691605</v>
      </c>
      <c r="J13" s="16">
        <f>VLOOKUP(J$12,'Định mức'!$A$6:$J$56,10,0)</f>
        <v>696.83257918552044</v>
      </c>
      <c r="K13" s="16">
        <f>VLOOKUP(K$12,'Định mức'!$A$6:$J$56,10,0)</f>
        <v>567.88848735157467</v>
      </c>
      <c r="L13" s="16">
        <f>VLOOKUP(L$12,'Định mức'!$A$6:$J$56,10,0)</f>
        <v>707.09235054638964</v>
      </c>
      <c r="M13" s="16">
        <f>VLOOKUP(M$12,'Định mức'!$A$6:$J$56,10,0)</f>
        <v>696.83257918552044</v>
      </c>
      <c r="N13" s="16">
        <f>VLOOKUP(N$12,'Định mức'!$A$6:$J$56,10,0)</f>
        <v>1498.6673278373521</v>
      </c>
      <c r="O13" s="16">
        <f>VLOOKUP(O$12,'Định mức'!$A$6:$J$56,10,0)</f>
        <v>1352.3006673691605</v>
      </c>
      <c r="P13" s="16">
        <f>VLOOKUP(P$12,'Định mức'!$A$6:$J$56,10,0)</f>
        <v>628.97705459030738</v>
      </c>
      <c r="Q13" s="16">
        <f>VLOOKUP(Q$12,'Định mức'!$A$6:$J$56,10,0)</f>
        <v>718.8200149365199</v>
      </c>
      <c r="R13" s="16">
        <f>VLOOKUP(R$12,'Định mức'!$A$6:$J$56,10,0)</f>
        <v>1575.2864157119479</v>
      </c>
      <c r="S13" s="16">
        <f>VLOOKUP(S$12,'Định mức'!$A$6:$J$56,10,0)</f>
        <v>696.83257918552044</v>
      </c>
      <c r="T13" s="16">
        <f>VLOOKUP(T$12,'Định mức'!$A$6:$J$56,10,0)</f>
        <v>696.83257918552044</v>
      </c>
      <c r="U13" s="16">
        <f>VLOOKUP(U$12,'Định mức'!$A$6:$J$56,10,0)</f>
        <v>696.83257918552079</v>
      </c>
      <c r="V13" s="16">
        <f>VLOOKUP(V$12,'Định mức'!$A$6:$J$56,10,0)</f>
        <v>1575.2864157119479</v>
      </c>
      <c r="W13" s="16">
        <f>VLOOKUP(W$12,'Định mức'!$A$6:$J$56,10,0)</f>
        <v>696.83257918552044</v>
      </c>
      <c r="X13" s="16">
        <f>VLOOKUP(X$12,'Định mức'!$A$6:$J$56,10,0)</f>
        <v>1480.7692307692309</v>
      </c>
      <c r="Y13" s="16">
        <f>VLOOKUP(Y$12,'Định mức'!$A$6:$J$56,10,0)</f>
        <v>1480.7692307692309</v>
      </c>
      <c r="Z13" s="16">
        <f>VLOOKUP(Z$12,'Định mức'!$A$6:$J$56,10,0)</f>
        <v>1287.6254180602009</v>
      </c>
      <c r="AA13" s="16">
        <f>VLOOKUP(AA$12,'Định mức'!$A$6:$J$56,10,0)</f>
        <v>2220.9</v>
      </c>
      <c r="AB13" s="16">
        <f>VLOOKUP(AB$12,'Định mức'!$A$6:$J$56,10,0)</f>
        <v>1316.2393162393164</v>
      </c>
      <c r="AC13" s="16">
        <f>VLOOKUP(AC$12,'Định mức'!$A$6:$J$56,10,0)</f>
        <v>386.96060037523455</v>
      </c>
      <c r="AD13" s="16">
        <f>VLOOKUP(AD$12,'Định mức'!$A$6:$J$56,10,0)</f>
        <v>707.09235054638964</v>
      </c>
      <c r="AE13" s="16">
        <f>VLOOKUP(AE$12,'Định mức'!$A$6:$J$56,10,0)</f>
        <v>1076.9230769230769</v>
      </c>
      <c r="AF13" s="16">
        <f>VLOOKUP(AF$12,'Định mức'!$A$6:$J$56,10,0)</f>
        <v>1030.1150333684582</v>
      </c>
      <c r="AG13" s="16">
        <f>VLOOKUP(AG$12,'Định mức'!$A$6:$J$56,10,0)</f>
        <v>1076.9230769230751</v>
      </c>
      <c r="AH13" s="16">
        <f>VLOOKUP(AH$12,'Định mức'!$A$6:$J$56,10,0)</f>
        <v>400.64102564102564</v>
      </c>
      <c r="AI13" s="16">
        <f>VLOOKUP(AI$12,'Định mức'!$A$6:$J$56,10,0)</f>
        <v>556.68016194331994</v>
      </c>
      <c r="AJ13" s="16">
        <f>VLOOKUP(AJ$12,'Định mức'!$A$6:$J$56,10,0)</f>
        <v>276.97343572957323</v>
      </c>
      <c r="AK13" s="16">
        <f>VLOOKUP(AK$12,'Định mức'!$A$6:$J$56,10,0)</f>
        <v>368.96243291592134</v>
      </c>
      <c r="AL13" s="16">
        <f>VLOOKUP(AL$12,'Định mức'!$A$6:$J$56,10,0)</f>
        <v>1615.3846153846152</v>
      </c>
      <c r="AM13" s="16">
        <f>VLOOKUP(AM$12,'Định mức'!$A$6:$J$56,10,0)</f>
        <v>1514.8534330120008</v>
      </c>
      <c r="AN13" s="16">
        <f>VLOOKUP(AN$12,'Định mức'!$A$6:$J$56,10,0)</f>
        <v>2247.3000000000002</v>
      </c>
      <c r="AO13" s="16">
        <f>VLOOKUP(AO$12,'Định mức'!$A$6:$J$56,10,0)</f>
        <v>2247.3000000000002</v>
      </c>
      <c r="AP13" s="16">
        <f>VLOOKUP(AP$12,'Định mức'!$A$6:$J$56,10,0)</f>
        <v>2247.3000000000002</v>
      </c>
      <c r="AQ13" s="16">
        <f>VLOOKUP(AQ$12,'Định mức'!$A$6:$J$56,10,0)</f>
        <v>2247.3000000000002</v>
      </c>
      <c r="AR13" s="16">
        <f>VLOOKUP(AR$12,'Định mức'!$A$6:$J$56,10,0)</f>
        <v>2247.3000000000002</v>
      </c>
      <c r="AS13" s="16">
        <f>VLOOKUP(AS$12,'Định mức'!$A$6:$J$56,10,0)</f>
        <v>2247.3000000000002</v>
      </c>
      <c r="AT13" s="16">
        <f>VLOOKUP(AT$12,'Định mức'!$A$6:$J$56,10,0)</f>
        <v>0</v>
      </c>
      <c r="AU13" s="16">
        <f>VLOOKUP(AU$12,'Định mức'!$A$6:$J$56,10,0)</f>
        <v>1352.3006673691605</v>
      </c>
      <c r="AV13" s="16">
        <f>VLOOKUP(AV$12,'Định mức'!$A$6:$J$56,10,0)</f>
        <v>421.39135764633778</v>
      </c>
      <c r="AW13" s="16">
        <f>VLOOKUP(AW$12,'Định mức'!$A$6:$J$56,10,0)</f>
        <v>348.41628959276022</v>
      </c>
      <c r="AX13" s="269">
        <f>VLOOKUP(AX$12,'Định mức'!$A$6:$J$56,10,0)</f>
        <v>1352.3006673691605</v>
      </c>
      <c r="AY13" s="16">
        <f>VLOOKUP(AY$12,'Định mức'!$A$6:$J$56,10,0)</f>
        <v>0</v>
      </c>
      <c r="AZ13" s="16">
        <f>VLOOKUP(AZ$12,'Định mức'!$A$6:$J$56,10,0)</f>
        <v>0</v>
      </c>
      <c r="BA13" s="16">
        <f>VLOOKUP(BA$12,'Định mức'!$A$6:$J$56,10,0)</f>
        <v>1352.3006673691605</v>
      </c>
      <c r="BB13" s="16">
        <f>VLOOKUP(BB$12,'Định mức'!$A$6:$J$56,10,0)</f>
        <v>1752.3896222121077</v>
      </c>
      <c r="BC13" s="25"/>
      <c r="BD13" s="112">
        <f>11200*1.1</f>
        <v>12320.000000000002</v>
      </c>
      <c r="BE13" s="25"/>
      <c r="BF13" s="24">
        <f>7000000/26/7.3*1.1</f>
        <v>40569.020021074823</v>
      </c>
      <c r="BG13" s="24">
        <f>7000000/26/7.3*1.1</f>
        <v>40569.020021074823</v>
      </c>
      <c r="BH13" s="24">
        <f t="shared" ref="BH13:BT13" si="0">7000000/26/7.3*1.1</f>
        <v>40569.020021074823</v>
      </c>
      <c r="BI13" s="24">
        <f t="shared" si="0"/>
        <v>40569.020021074823</v>
      </c>
      <c r="BJ13" s="24">
        <f t="shared" si="0"/>
        <v>40569.020021074823</v>
      </c>
      <c r="BK13" s="24">
        <f t="shared" si="0"/>
        <v>40569.020021074823</v>
      </c>
      <c r="BL13" s="24">
        <f t="shared" si="0"/>
        <v>40569.020021074823</v>
      </c>
      <c r="BM13" s="24">
        <f t="shared" si="0"/>
        <v>40569.020021074823</v>
      </c>
      <c r="BN13" s="24">
        <f t="shared" si="0"/>
        <v>40569.020021074823</v>
      </c>
      <c r="BO13" s="24">
        <f t="shared" si="0"/>
        <v>40569.020021074823</v>
      </c>
      <c r="BP13" s="24">
        <f t="shared" si="0"/>
        <v>40569.020021074823</v>
      </c>
      <c r="BQ13" s="24">
        <f t="shared" si="0"/>
        <v>40569.020021074823</v>
      </c>
      <c r="BR13" s="24">
        <f t="shared" si="0"/>
        <v>40569.020021074823</v>
      </c>
      <c r="BS13" s="24">
        <f t="shared" si="0"/>
        <v>40569.020021074823</v>
      </c>
      <c r="BT13" s="24">
        <f t="shared" si="0"/>
        <v>40569.020021074823</v>
      </c>
      <c r="BU13" s="24"/>
      <c r="BV13" s="24"/>
      <c r="BW13" s="27"/>
      <c r="CL13" s="7">
        <v>2</v>
      </c>
    </row>
    <row r="14" spans="1:91" s="7" customFormat="1" x14ac:dyDescent="0.25">
      <c r="A14" s="8" t="s">
        <v>0</v>
      </c>
      <c r="B14" s="8" t="s">
        <v>1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70"/>
      <c r="AY14" s="26"/>
      <c r="AZ14" s="26"/>
      <c r="BA14" s="26"/>
      <c r="BB14" s="26"/>
      <c r="BC14" s="21"/>
      <c r="BD14" s="113">
        <f>SUBTOTAL(9,BD15:BD36)</f>
        <v>0</v>
      </c>
      <c r="BE14" s="21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CL14" s="9">
        <v>3</v>
      </c>
    </row>
    <row r="15" spans="1:91" ht="15.75" x14ac:dyDescent="0.25">
      <c r="A15" s="224" t="s">
        <v>101</v>
      </c>
      <c r="B15" s="2" t="str">
        <f>VLOOKUP(A15,'Mã NV'!$A$1:$C$27,2,0)</f>
        <v>Nguyễn Văn Chiến</v>
      </c>
      <c r="C15" s="22"/>
      <c r="D15" s="4">
        <f ca="1">SUMIF('Đóng gói ngoài giờ'!$A$12:$A$216,'Tổng hợp ngoài giờ'!$A15,'Đóng gói ngoài giờ'!D$12:D$87)</f>
        <v>0</v>
      </c>
      <c r="E15" s="4">
        <f ca="1">SUMIF('Đóng gói ngoài giờ'!$A$12:$A$216,'Tổng hợp ngoài giờ'!$A15,'Đóng gói ngoài giờ'!E$12:E$87)</f>
        <v>0</v>
      </c>
      <c r="F15" s="4">
        <f ca="1">SUMIF('Đóng gói ngoài giờ'!$A$12:$A$216,'Tổng hợp ngoài giờ'!$A15,'Đóng gói ngoài giờ'!F$12:F$87)</f>
        <v>0</v>
      </c>
      <c r="G15" s="4">
        <f ca="1">SUMIF('Đóng gói ngoài giờ'!$A$12:$A$216,'Tổng hợp ngoài giờ'!$A15,'Đóng gói ngoài giờ'!G$12:G$87)</f>
        <v>0</v>
      </c>
      <c r="H15" s="4">
        <f ca="1">SUMIF('Đóng gói ngoài giờ'!$A$12:$A$216,'Tổng hợp ngoài giờ'!$A15,'Đóng gói ngoài giờ'!H$12:H$87)</f>
        <v>0</v>
      </c>
      <c r="I15" s="4">
        <f ca="1">SUMIF('Đóng gói ngoài giờ'!$A$12:$A$216,'Tổng hợp ngoài giờ'!$A15,'Đóng gói ngoài giờ'!I$12:I$87)</f>
        <v>0</v>
      </c>
      <c r="J15" s="4">
        <f ca="1">SUMIF('Đóng gói ngoài giờ'!$A$12:$A$216,'Tổng hợp ngoài giờ'!$A15,'Đóng gói ngoài giờ'!J$12:J$87)</f>
        <v>0</v>
      </c>
      <c r="K15" s="4">
        <f ca="1">SUMIF('Đóng gói ngoài giờ'!$A$12:$A$216,'Tổng hợp ngoài giờ'!$A15,'Đóng gói ngoài giờ'!K$12:K$87)</f>
        <v>0</v>
      </c>
      <c r="L15" s="4">
        <f ca="1">SUMIF('Đóng gói ngoài giờ'!$A$12:$A$216,'Tổng hợp ngoài giờ'!$A15,'Đóng gói ngoài giờ'!L$12:L$87)</f>
        <v>0</v>
      </c>
      <c r="M15" s="4">
        <f ca="1">SUMIF('Đóng gói ngoài giờ'!$A$12:$A$216,'Tổng hợp ngoài giờ'!$A15,'Đóng gói ngoài giờ'!M$12:M$87)</f>
        <v>0</v>
      </c>
      <c r="N15" s="4">
        <f ca="1">SUMIF('Đóng gói ngoài giờ'!$A$12:$A$216,'Tổng hợp ngoài giờ'!$A15,'Đóng gói ngoài giờ'!N$12:N$87)</f>
        <v>0</v>
      </c>
      <c r="O15" s="4">
        <f ca="1">SUMIF('Đóng gói ngoài giờ'!$A$12:$A$216,'Tổng hợp ngoài giờ'!$A15,'Đóng gói ngoài giờ'!O$12:O$87)</f>
        <v>0</v>
      </c>
      <c r="P15" s="4">
        <f ca="1">SUMIF('Đóng gói ngoài giờ'!$A$12:$A$216,'Tổng hợp ngoài giờ'!$A15,'Đóng gói ngoài giờ'!P$12:P$87)</f>
        <v>0</v>
      </c>
      <c r="Q15" s="4">
        <f ca="1">SUMIF('Đóng gói ngoài giờ'!$A$12:$A$216,'Tổng hợp ngoài giờ'!$A15,'Đóng gói ngoài giờ'!Q$12:Q$87)</f>
        <v>0</v>
      </c>
      <c r="R15" s="4">
        <f ca="1">SUMIF('Đóng gói ngoài giờ'!$A$12:$A$216,'Tổng hợp ngoài giờ'!$A15,'Đóng gói ngoài giờ'!R$12:R$87)</f>
        <v>0</v>
      </c>
      <c r="S15" s="4">
        <f ca="1">SUMIF('Đóng gói ngoài giờ'!$A$12:$A$216,'Tổng hợp ngoài giờ'!$A15,'Đóng gói ngoài giờ'!S$12:S$87)</f>
        <v>0</v>
      </c>
      <c r="T15" s="4">
        <f ca="1">SUMIF('Đóng gói ngoài giờ'!$A$12:$A$216,'Tổng hợp ngoài giờ'!$A15,'Đóng gói ngoài giờ'!T$12:T$87)</f>
        <v>0</v>
      </c>
      <c r="U15" s="4">
        <f ca="1">SUMIF('Đóng gói ngoài giờ'!$A$12:$A$216,'Tổng hợp ngoài giờ'!$A15,'Đóng gói ngoài giờ'!U$12:U$87)</f>
        <v>0</v>
      </c>
      <c r="V15" s="4">
        <f ca="1">SUMIF('Đóng gói ngoài giờ'!$A$12:$A$216,'Tổng hợp ngoài giờ'!$A15,'Đóng gói ngoài giờ'!V$12:V$87)</f>
        <v>0</v>
      </c>
      <c r="W15" s="4">
        <f ca="1">SUMIF('Đóng gói ngoài giờ'!$A$12:$A$216,'Tổng hợp ngoài giờ'!$A15,'Đóng gói ngoài giờ'!W$12:W$87)</f>
        <v>0</v>
      </c>
      <c r="X15" s="4">
        <f ca="1">SUMIF('Đóng gói ngoài giờ'!$A$12:$A$216,'Tổng hợp ngoài giờ'!$A15,'Đóng gói ngoài giờ'!X$12:X$87)</f>
        <v>0</v>
      </c>
      <c r="Y15" s="4">
        <f ca="1">SUMIF('Đóng gói ngoài giờ'!$A$12:$A$216,'Tổng hợp ngoài giờ'!$A15,'Đóng gói ngoài giờ'!Y$12:Y$87)</f>
        <v>0</v>
      </c>
      <c r="Z15" s="4">
        <f ca="1">SUMIF('Đóng gói ngoài giờ'!$A$12:$A$216,'Tổng hợp ngoài giờ'!$A15,'Đóng gói ngoài giờ'!Z$12:Z$87)</f>
        <v>0</v>
      </c>
      <c r="AA15" s="4">
        <f ca="1">SUMIF('Đóng gói ngoài giờ'!$A$12:$A$216,'Tổng hợp ngoài giờ'!$A15,'Đóng gói ngoài giờ'!AA$12:AA$87)</f>
        <v>0</v>
      </c>
      <c r="AB15" s="4">
        <f ca="1">SUMIF('Đóng gói ngoài giờ'!$A$12:$A$216,'Tổng hợp ngoài giờ'!$A15,'Đóng gói ngoài giờ'!AB$12:AB$87)</f>
        <v>0</v>
      </c>
      <c r="AC15" s="4">
        <f ca="1">SUMIF('Đóng gói ngoài giờ'!$A$12:$A$216,'Tổng hợp ngoài giờ'!$A15,'Đóng gói ngoài giờ'!AC$12:AC$87)</f>
        <v>37.5</v>
      </c>
      <c r="AD15" s="4">
        <f ca="1">SUMIF('Đóng gói ngoài giờ'!$A$12:$A$216,'Tổng hợp ngoài giờ'!$A15,'Đóng gói ngoài giờ'!AD$12:AD$87)</f>
        <v>172.5</v>
      </c>
      <c r="AE15" s="4">
        <f ca="1">SUMIF('Đóng gói ngoài giờ'!$A$12:$A$216,'Tổng hợp ngoài giờ'!$A15,'Đóng gói ngoài giờ'!AE$12:AE$87)</f>
        <v>0</v>
      </c>
      <c r="AF15" s="4">
        <f ca="1">SUMIF('Đóng gói ngoài giờ'!$A$12:$A$216,'Tổng hợp ngoài giờ'!$A15,'Đóng gói ngoài giờ'!AF$12:AF$87)</f>
        <v>0</v>
      </c>
      <c r="AG15" s="4">
        <f ca="1">SUMIF('Đóng gói ngoài giờ'!$A$12:$A$216,'Tổng hợp ngoài giờ'!$A15,'Đóng gói ngoài giờ'!AG$12:AG$87)</f>
        <v>0</v>
      </c>
      <c r="AH15" s="4">
        <f ca="1">SUMIF('Đóng gói ngoài giờ'!$A$12:$A$216,'Tổng hợp ngoài giờ'!$A15,'Đóng gói ngoài giờ'!AH$12:AH$87)</f>
        <v>0</v>
      </c>
      <c r="AI15" s="4">
        <f ca="1">SUMIF('Đóng gói ngoài giờ'!$A$12:$A$216,'Tổng hợp ngoài giờ'!$A15,'Đóng gói ngoài giờ'!AI$12:AI$87)</f>
        <v>0</v>
      </c>
      <c r="AJ15" s="4">
        <f ca="1">SUMIF('Đóng gói ngoài giờ'!$A$12:$A$216,'Tổng hợp ngoài giờ'!$A15,'Đóng gói ngoài giờ'!AJ$12:AJ$87)</f>
        <v>60</v>
      </c>
      <c r="AK15" s="4">
        <f ca="1">SUMIF('Đóng gói ngoài giờ'!$A$12:$A$216,'Tổng hợp ngoài giờ'!$A15,'Đóng gói ngoài giờ'!AK$12:AK$87)</f>
        <v>33.333333333333336</v>
      </c>
      <c r="AL15" s="4">
        <f ca="1">SUMIF('Đóng gói ngoài giờ'!$A$12:$A$216,'Tổng hợp ngoài giờ'!$A15,'Đóng gói ngoài giờ'!AL$12:AL$87)</f>
        <v>0</v>
      </c>
      <c r="AM15" s="4">
        <f ca="1">SUMIF('Đóng gói ngoài giờ'!$A$12:$A$216,'Tổng hợp ngoài giờ'!$A15,'Đóng gói ngoài giờ'!AM$12:AM$87)</f>
        <v>0</v>
      </c>
      <c r="AN15" s="4">
        <f ca="1">SUMIF('Đóng gói ngoài giờ'!$A$12:$A$216,'Tổng hợp ngoài giờ'!$A15,'Đóng gói ngoài giờ'!AN$12:AN$87)</f>
        <v>0</v>
      </c>
      <c r="AO15" s="4">
        <f ca="1">SUMIF('Đóng gói ngoài giờ'!$A$12:$A$216,'Tổng hợp ngoài giờ'!$A15,'Đóng gói ngoài giờ'!AO$12:AO$87)</f>
        <v>0</v>
      </c>
      <c r="AP15" s="4">
        <f ca="1">SUMIF('Đóng gói ngoài giờ'!$A$12:$A$216,'Tổng hợp ngoài giờ'!$A15,'Đóng gói ngoài giờ'!AP$12:AP$87)</f>
        <v>0</v>
      </c>
      <c r="AQ15" s="4">
        <f ca="1">SUMIF('Đóng gói ngoài giờ'!$A$12:$A$216,'Tổng hợp ngoài giờ'!$A15,'Đóng gói ngoài giờ'!AQ$12:AQ$87)</f>
        <v>0</v>
      </c>
      <c r="AR15" s="4">
        <f ca="1">SUMIF('Đóng gói ngoài giờ'!$A$12:$A$216,'Tổng hợp ngoài giờ'!$A15,'Đóng gói ngoài giờ'!AR$12:AR$87)</f>
        <v>0</v>
      </c>
      <c r="AS15" s="4">
        <f ca="1">SUMIF('Đóng gói ngoài giờ'!$A$12:$A$216,'Tổng hợp ngoài giờ'!$A15,'Đóng gói ngoài giờ'!AS$12:AS$87)</f>
        <v>0</v>
      </c>
      <c r="AT15" s="4">
        <f ca="1">SUMIF('Đóng gói ngoài giờ'!$A$12:$A$216,'Tổng hợp ngoài giờ'!$A15,'Đóng gói ngoài giờ'!AT$12:AT$87)</f>
        <v>0</v>
      </c>
      <c r="AU15" s="4">
        <f ca="1">SUMIF('Đóng gói ngoài giờ'!$A$12:$A$216,'Tổng hợp ngoài giờ'!$A15,'Đóng gói ngoài giờ'!AU$12:AU$87)</f>
        <v>0</v>
      </c>
      <c r="AV15" s="4">
        <f ca="1">SUMIF('Đóng gói ngoài giờ'!$A$12:$A$216,'Tổng hợp ngoài giờ'!$A15,'Đóng gói ngoài giờ'!AV$12:AV$87)</f>
        <v>0</v>
      </c>
      <c r="AW15" s="4">
        <f ca="1">SUMIF('Đóng gói ngoài giờ'!$A$12:$A$216,'Tổng hợp ngoài giờ'!$A15,'Đóng gói ngoài giờ'!AW$12:AW$87)</f>
        <v>0</v>
      </c>
      <c r="AX15" s="4">
        <f ca="1">SUMIF('Đóng gói ngoài giờ'!$A$12:$A$216,'Tổng hợp ngoài giờ'!$A15,'Đóng gói ngoài giờ'!AX$12:AX$87)</f>
        <v>0</v>
      </c>
      <c r="AY15" s="4">
        <f ca="1">SUMIF('Đóng gói ngoài giờ'!$A$12:$A$216,'Tổng hợp ngoài giờ'!$A15,'Đóng gói ngoài giờ'!AY$12:AY$87)</f>
        <v>0</v>
      </c>
      <c r="AZ15" s="4">
        <f ca="1">SUMIF('Đóng gói ngoài giờ'!$A$12:$A$216,'Tổng hợp ngoài giờ'!$A15,'Đóng gói ngoài giờ'!AZ$12:AZ$87)</f>
        <v>0</v>
      </c>
      <c r="BA15" s="4">
        <f ca="1">SUMIF('Đóng gói ngoài giờ'!$A$12:$A$216,'Tổng hợp ngoài giờ'!$A15,'Đóng gói ngoài giờ'!BA$12:BA$87)</f>
        <v>0</v>
      </c>
      <c r="BB15" s="4">
        <f ca="1">SUMIF('Đóng gói ngoài giờ'!$A$12:$A$216,'Tổng hợp ngoài giờ'!$A15,'Đóng gói ngoài giờ'!BB$12:BB$87)</f>
        <v>0</v>
      </c>
      <c r="BC15" s="22">
        <f>SUMIF('Đóng gói ngoài giờ'!$A$12:$A$34,'Tổng hợp ngoài giờ'!$A15,'Đóng gói ngoài giờ'!BC$12:BC$34)</f>
        <v>0</v>
      </c>
      <c r="BD15" s="120">
        <f>SUMIF('Bốc hàng ngoài giờ new'!$H$13:$H$4949,'Tổng hợp trong giờ'!A15,'Bốc hàng ngoài giờ new'!$J$13:$J$4949)</f>
        <v>0</v>
      </c>
      <c r="BE15" s="22">
        <f>SUMIF('Đóng gói ngoài giờ'!$A$12:$A$34,'Tổng hợp ngoài giờ'!$A15,'Đóng gói ngoài giờ'!BE$12:BE$34)</f>
        <v>1.5</v>
      </c>
      <c r="BF15" s="4">
        <f ca="1">SUMIF('Đóng gói ngoài giờ'!$A$12:$A$216,'Tổng hợp ngoài giờ'!$A15,'Đóng gói ngoài giờ'!BD$12:BD$87)</f>
        <v>0</v>
      </c>
      <c r="BG15" s="4">
        <f ca="1">SUMIF('Đóng gói ngoài giờ'!$A$12:$A$216,'Tổng hợp ngoài giờ'!$A15,'Đóng gói ngoài giờ'!BE$12:BE$87)</f>
        <v>1.5</v>
      </c>
      <c r="BH15" s="4">
        <f ca="1">SUMIF('Đóng gói ngoài giờ'!$A$12:$A$216,'Tổng hợp ngoài giờ'!$A15,'Đóng gói ngoài giờ'!BF$12:BF$87)</f>
        <v>0</v>
      </c>
      <c r="BI15" s="4">
        <f ca="1">SUMIF('Đóng gói ngoài giờ'!$A$12:$A$216,'Tổng hợp ngoài giờ'!$A15,'Đóng gói ngoài giờ'!BG$12:BG$87)</f>
        <v>0</v>
      </c>
      <c r="BJ15" s="4">
        <f ca="1">SUMIF('Đóng gói ngoài giờ'!$A$12:$A$216,'Tổng hợp ngoài giờ'!$A15,'Đóng gói ngoài giờ'!BH$12:BH$87)</f>
        <v>0</v>
      </c>
      <c r="BK15" s="4">
        <f ca="1">SUMIF('Đóng gói ngoài giờ'!$A$12:$A$216,'Tổng hợp ngoài giờ'!$A15,'Đóng gói ngoài giờ'!BI$12:BI$87)</f>
        <v>0</v>
      </c>
      <c r="BL15" s="4">
        <f ca="1">SUMIF('Đóng gói ngoài giờ'!$A$12:$A$216,'Tổng hợp ngoài giờ'!$A15,'Đóng gói ngoài giờ'!BJ$12:BJ$87)</f>
        <v>0</v>
      </c>
      <c r="BM15" s="4">
        <f ca="1">SUMIF('Đóng gói ngoài giờ'!$A$12:$A$216,'Tổng hợp ngoài giờ'!$A15,'Đóng gói ngoài giờ'!BK$12:BK$87)</f>
        <v>0</v>
      </c>
      <c r="BN15" s="4">
        <f ca="1">SUMIF('Đóng gói ngoài giờ'!$A$12:$A$216,'Tổng hợp ngoài giờ'!$A15,'Đóng gói ngoài giờ'!BL$12:BL$87)</f>
        <v>4</v>
      </c>
      <c r="BO15" s="4">
        <f ca="1">SUMIF('Đóng gói ngoài giờ'!$A$12:$A$216,'Tổng hợp ngoài giờ'!$A15,'Đóng gói ngoài giờ'!BM$12:BM$87)</f>
        <v>0</v>
      </c>
      <c r="BP15" s="4">
        <f ca="1">SUMIF('Đóng gói ngoài giờ'!$A$12:$A$216,'Tổng hợp ngoài giờ'!$A15,'Đóng gói ngoài giờ'!BN$12:BN$87)</f>
        <v>0</v>
      </c>
      <c r="BQ15" s="4">
        <f ca="1">SUMIF('Đóng gói ngoài giờ'!$A$12:$A$216,'Tổng hợp ngoài giờ'!$A15,'Đóng gói ngoài giờ'!BO$12:BO$87)</f>
        <v>0</v>
      </c>
      <c r="BR15" s="4">
        <f ca="1">SUMIF('Đóng gói ngoài giờ'!$A$12:$A$216,'Tổng hợp ngoài giờ'!$A15,'Đóng gói ngoài giờ'!BP$12:BP$87)</f>
        <v>0</v>
      </c>
      <c r="BS15" s="4">
        <f ca="1">SUMIF('Đóng gói ngoài giờ'!$A$12:$A$216,'Tổng hợp ngoài giờ'!$A15,'Đóng gói ngoài giờ'!BQ$12:BQ$87)</f>
        <v>0</v>
      </c>
      <c r="BT15" s="4">
        <f ca="1">SUMIF('Đóng gói ngoài giờ'!$A$12:$A$216,'Tổng hợp ngoài giờ'!$A15,'Đóng gói ngoài giờ'!BR$12:BR$87)</f>
        <v>0</v>
      </c>
      <c r="BU15" s="96">
        <f t="shared" ref="BU15:BU37" ca="1" si="1">SUM(BF15:BT15)</f>
        <v>5.5</v>
      </c>
      <c r="BV15" s="244">
        <f t="shared" ref="BV15:BV36" ca="1" si="2">SUMPRODUCT($BF$13:$BT$13,BF15:BT15)</f>
        <v>223129.61011591152</v>
      </c>
      <c r="BW15" s="168">
        <f t="shared" ref="BW15:BW37" ca="1" si="3">SUMPRODUCT($C$13:$BD$13,C15:BD15) + SUMPRODUCT($BF$13:$BT$13,BF15:BT15)</f>
        <v>388531.21700687346</v>
      </c>
      <c r="CL15" s="7">
        <v>4</v>
      </c>
    </row>
    <row r="16" spans="1:91" ht="15.75" x14ac:dyDescent="0.25">
      <c r="A16" s="224" t="s">
        <v>102</v>
      </c>
      <c r="B16" s="2" t="str">
        <f>VLOOKUP(A16,'Mã NV'!$A$1:$C$27,2,0)</f>
        <v>Ngô Văn Thanh</v>
      </c>
      <c r="C16" s="23"/>
      <c r="D16" s="4">
        <f ca="1">SUMIF('Đóng gói ngoài giờ'!$A$12:$A$216,'Tổng hợp ngoài giờ'!$A16,'Đóng gói ngoài giờ'!D$12:D$87)</f>
        <v>0</v>
      </c>
      <c r="E16" s="4">
        <f ca="1">SUMIF('Đóng gói ngoài giờ'!$A$12:$A$216,'Tổng hợp ngoài giờ'!$A16,'Đóng gói ngoài giờ'!E$12:E$87)</f>
        <v>0</v>
      </c>
      <c r="F16" s="4">
        <f ca="1">SUMIF('Đóng gói ngoài giờ'!$A$12:$A$216,'Tổng hợp ngoài giờ'!$A16,'Đóng gói ngoài giờ'!F$12:F$87)</f>
        <v>0</v>
      </c>
      <c r="G16" s="4">
        <f ca="1">SUMIF('Đóng gói ngoài giờ'!$A$12:$A$216,'Tổng hợp ngoài giờ'!$A16,'Đóng gói ngoài giờ'!G$12:G$87)</f>
        <v>0</v>
      </c>
      <c r="H16" s="4">
        <f ca="1">SUMIF('Đóng gói ngoài giờ'!$A$12:$A$216,'Tổng hợp ngoài giờ'!$A16,'Đóng gói ngoài giờ'!H$12:H$87)</f>
        <v>0</v>
      </c>
      <c r="I16" s="4">
        <f ca="1">SUMIF('Đóng gói ngoài giờ'!$A$12:$A$216,'Tổng hợp ngoài giờ'!$A16,'Đóng gói ngoài giờ'!I$12:I$87)</f>
        <v>0</v>
      </c>
      <c r="J16" s="4">
        <f ca="1">SUMIF('Đóng gói ngoài giờ'!$A$12:$A$216,'Tổng hợp ngoài giờ'!$A16,'Đóng gói ngoài giờ'!J$12:J$87)</f>
        <v>0</v>
      </c>
      <c r="K16" s="4">
        <f ca="1">SUMIF('Đóng gói ngoài giờ'!$A$12:$A$216,'Tổng hợp ngoài giờ'!$A16,'Đóng gói ngoài giờ'!K$12:K$87)</f>
        <v>0</v>
      </c>
      <c r="L16" s="4">
        <f ca="1">SUMIF('Đóng gói ngoài giờ'!$A$12:$A$216,'Tổng hợp ngoài giờ'!$A16,'Đóng gói ngoài giờ'!L$12:L$87)</f>
        <v>0</v>
      </c>
      <c r="M16" s="4">
        <f ca="1">SUMIF('Đóng gói ngoài giờ'!$A$12:$A$216,'Tổng hợp ngoài giờ'!$A16,'Đóng gói ngoài giờ'!M$12:M$87)</f>
        <v>0</v>
      </c>
      <c r="N16" s="4">
        <f ca="1">SUMIF('Đóng gói ngoài giờ'!$A$12:$A$216,'Tổng hợp ngoài giờ'!$A16,'Đóng gói ngoài giờ'!N$12:N$87)</f>
        <v>0</v>
      </c>
      <c r="O16" s="4">
        <f ca="1">SUMIF('Đóng gói ngoài giờ'!$A$12:$A$216,'Tổng hợp ngoài giờ'!$A16,'Đóng gói ngoài giờ'!O$12:O$87)</f>
        <v>0</v>
      </c>
      <c r="P16" s="4">
        <f ca="1">SUMIF('Đóng gói ngoài giờ'!$A$12:$A$216,'Tổng hợp ngoài giờ'!$A16,'Đóng gói ngoài giờ'!P$12:P$87)</f>
        <v>0</v>
      </c>
      <c r="Q16" s="4">
        <f ca="1">SUMIF('Đóng gói ngoài giờ'!$A$12:$A$216,'Tổng hợp ngoài giờ'!$A16,'Đóng gói ngoài giờ'!Q$12:Q$87)</f>
        <v>0</v>
      </c>
      <c r="R16" s="4">
        <f ca="1">SUMIF('Đóng gói ngoài giờ'!$A$12:$A$216,'Tổng hợp ngoài giờ'!$A16,'Đóng gói ngoài giờ'!R$12:R$87)</f>
        <v>0</v>
      </c>
      <c r="S16" s="4">
        <f ca="1">SUMIF('Đóng gói ngoài giờ'!$A$12:$A$216,'Tổng hợp ngoài giờ'!$A16,'Đóng gói ngoài giờ'!S$12:S$87)</f>
        <v>0</v>
      </c>
      <c r="T16" s="4">
        <f ca="1">SUMIF('Đóng gói ngoài giờ'!$A$12:$A$216,'Tổng hợp ngoài giờ'!$A16,'Đóng gói ngoài giờ'!T$12:T$87)</f>
        <v>0</v>
      </c>
      <c r="U16" s="4">
        <f ca="1">SUMIF('Đóng gói ngoài giờ'!$A$12:$A$216,'Tổng hợp ngoài giờ'!$A16,'Đóng gói ngoài giờ'!U$12:U$87)</f>
        <v>0</v>
      </c>
      <c r="V16" s="4">
        <f ca="1">SUMIF('Đóng gói ngoài giờ'!$A$12:$A$216,'Tổng hợp ngoài giờ'!$A16,'Đóng gói ngoài giờ'!V$12:V$87)</f>
        <v>0</v>
      </c>
      <c r="W16" s="4">
        <f ca="1">SUMIF('Đóng gói ngoài giờ'!$A$12:$A$216,'Tổng hợp ngoài giờ'!$A16,'Đóng gói ngoài giờ'!W$12:W$87)</f>
        <v>0</v>
      </c>
      <c r="X16" s="4">
        <f ca="1">SUMIF('Đóng gói ngoài giờ'!$A$12:$A$216,'Tổng hợp ngoài giờ'!$A16,'Đóng gói ngoài giờ'!X$12:X$87)</f>
        <v>0</v>
      </c>
      <c r="Y16" s="4">
        <f ca="1">SUMIF('Đóng gói ngoài giờ'!$A$12:$A$216,'Tổng hợp ngoài giờ'!$A16,'Đóng gói ngoài giờ'!Y$12:Y$87)</f>
        <v>0</v>
      </c>
      <c r="Z16" s="4">
        <f ca="1">SUMIF('Đóng gói ngoài giờ'!$A$12:$A$216,'Tổng hợp ngoài giờ'!$A16,'Đóng gói ngoài giờ'!Z$12:Z$87)</f>
        <v>0</v>
      </c>
      <c r="AA16" s="4">
        <f ca="1">SUMIF('Đóng gói ngoài giờ'!$A$12:$A$216,'Tổng hợp ngoài giờ'!$A16,'Đóng gói ngoài giờ'!AA$12:AA$87)</f>
        <v>0</v>
      </c>
      <c r="AB16" s="4">
        <f ca="1">SUMIF('Đóng gói ngoài giờ'!$A$12:$A$216,'Tổng hợp ngoài giờ'!$A16,'Đóng gói ngoài giờ'!AB$12:AB$87)</f>
        <v>0</v>
      </c>
      <c r="AC16" s="4">
        <f ca="1">SUMIF('Đóng gói ngoài giờ'!$A$12:$A$216,'Tổng hợp ngoài giờ'!$A16,'Đóng gói ngoài giờ'!AC$12:AC$87)</f>
        <v>0</v>
      </c>
      <c r="AD16" s="4">
        <f ca="1">SUMIF('Đóng gói ngoài giờ'!$A$12:$A$216,'Tổng hợp ngoài giờ'!$A16,'Đóng gói ngoài giờ'!AD$12:AD$87)</f>
        <v>0</v>
      </c>
      <c r="AE16" s="4">
        <f ca="1">SUMIF('Đóng gói ngoài giờ'!$A$12:$A$216,'Tổng hợp ngoài giờ'!$A16,'Đóng gói ngoài giờ'!AE$12:AE$87)</f>
        <v>0</v>
      </c>
      <c r="AF16" s="4">
        <f ca="1">SUMIF('Đóng gói ngoài giờ'!$A$12:$A$216,'Tổng hợp ngoài giờ'!$A16,'Đóng gói ngoài giờ'!AF$12:AF$87)</f>
        <v>0</v>
      </c>
      <c r="AG16" s="4">
        <f ca="1">SUMIF('Đóng gói ngoài giờ'!$A$12:$A$216,'Tổng hợp ngoài giờ'!$A16,'Đóng gói ngoài giờ'!AG$12:AG$87)</f>
        <v>0</v>
      </c>
      <c r="AH16" s="4">
        <f ca="1">SUMIF('Đóng gói ngoài giờ'!$A$12:$A$216,'Tổng hợp ngoài giờ'!$A16,'Đóng gói ngoài giờ'!AH$12:AH$87)</f>
        <v>0</v>
      </c>
      <c r="AI16" s="4">
        <f ca="1">SUMIF('Đóng gói ngoài giờ'!$A$12:$A$216,'Tổng hợp ngoài giờ'!$A16,'Đóng gói ngoài giờ'!AI$12:AI$87)</f>
        <v>0</v>
      </c>
      <c r="AJ16" s="4">
        <f ca="1">SUMIF('Đóng gói ngoài giờ'!$A$12:$A$216,'Tổng hợp ngoài giờ'!$A16,'Đóng gói ngoài giờ'!AJ$12:AJ$87)</f>
        <v>0</v>
      </c>
      <c r="AK16" s="4">
        <f ca="1">SUMIF('Đóng gói ngoài giờ'!$A$12:$A$216,'Tổng hợp ngoài giờ'!$A16,'Đóng gói ngoài giờ'!AK$12:AK$87)</f>
        <v>106.66666666666667</v>
      </c>
      <c r="AL16" s="4">
        <f ca="1">SUMIF('Đóng gói ngoài giờ'!$A$12:$A$216,'Tổng hợp ngoài giờ'!$A16,'Đóng gói ngoài giờ'!AL$12:AL$87)</f>
        <v>0</v>
      </c>
      <c r="AM16" s="4">
        <f ca="1">SUMIF('Đóng gói ngoài giờ'!$A$12:$A$216,'Tổng hợp ngoài giờ'!$A16,'Đóng gói ngoài giờ'!AM$12:AM$87)</f>
        <v>58.333333333333336</v>
      </c>
      <c r="AN16" s="4">
        <f ca="1">SUMIF('Đóng gói ngoài giờ'!$A$12:$A$216,'Tổng hợp ngoài giờ'!$A16,'Đóng gói ngoài giờ'!AN$12:AN$87)</f>
        <v>0</v>
      </c>
      <c r="AO16" s="4">
        <f ca="1">SUMIF('Đóng gói ngoài giờ'!$A$12:$A$216,'Tổng hợp ngoài giờ'!$A16,'Đóng gói ngoài giờ'!AO$12:AO$87)</f>
        <v>0</v>
      </c>
      <c r="AP16" s="4">
        <f ca="1">SUMIF('Đóng gói ngoài giờ'!$A$12:$A$216,'Tổng hợp ngoài giờ'!$A16,'Đóng gói ngoài giờ'!AP$12:AP$87)</f>
        <v>0</v>
      </c>
      <c r="AQ16" s="4">
        <f ca="1">SUMIF('Đóng gói ngoài giờ'!$A$12:$A$216,'Tổng hợp ngoài giờ'!$A16,'Đóng gói ngoài giờ'!AQ$12:AQ$87)</f>
        <v>0</v>
      </c>
      <c r="AR16" s="4">
        <f ca="1">SUMIF('Đóng gói ngoài giờ'!$A$12:$A$216,'Tổng hợp ngoài giờ'!$A16,'Đóng gói ngoài giờ'!AR$12:AR$87)</f>
        <v>0</v>
      </c>
      <c r="AS16" s="4">
        <f ca="1">SUMIF('Đóng gói ngoài giờ'!$A$12:$A$216,'Tổng hợp ngoài giờ'!$A16,'Đóng gói ngoài giờ'!AS$12:AS$87)</f>
        <v>0</v>
      </c>
      <c r="AT16" s="4">
        <f ca="1">SUMIF('Đóng gói ngoài giờ'!$A$12:$A$216,'Tổng hợp ngoài giờ'!$A16,'Đóng gói ngoài giờ'!AT$12:AT$87)</f>
        <v>0</v>
      </c>
      <c r="AU16" s="4">
        <f ca="1">SUMIF('Đóng gói ngoài giờ'!$A$12:$A$216,'Tổng hợp ngoài giờ'!$A16,'Đóng gói ngoài giờ'!AU$12:AU$87)</f>
        <v>0</v>
      </c>
      <c r="AV16" s="4">
        <f ca="1">SUMIF('Đóng gói ngoài giờ'!$A$12:$A$216,'Tổng hợp ngoài giờ'!$A16,'Đóng gói ngoài giờ'!AV$12:AV$87)</f>
        <v>0</v>
      </c>
      <c r="AW16" s="4">
        <f ca="1">SUMIF('Đóng gói ngoài giờ'!$A$12:$A$216,'Tổng hợp ngoài giờ'!$A16,'Đóng gói ngoài giờ'!AW$12:AW$87)</f>
        <v>0</v>
      </c>
      <c r="AX16" s="4">
        <f ca="1">SUMIF('Đóng gói ngoài giờ'!$A$12:$A$216,'Tổng hợp ngoài giờ'!$A16,'Đóng gói ngoài giờ'!AX$12:AX$87)</f>
        <v>0</v>
      </c>
      <c r="AY16" s="4">
        <f ca="1">SUMIF('Đóng gói ngoài giờ'!$A$12:$A$216,'Tổng hợp ngoài giờ'!$A16,'Đóng gói ngoài giờ'!AY$12:AY$87)</f>
        <v>0</v>
      </c>
      <c r="AZ16" s="4">
        <f ca="1">SUMIF('Đóng gói ngoài giờ'!$A$12:$A$216,'Tổng hợp ngoài giờ'!$A16,'Đóng gói ngoài giờ'!AZ$12:AZ$87)</f>
        <v>0</v>
      </c>
      <c r="BA16" s="4">
        <f ca="1">SUMIF('Đóng gói ngoài giờ'!$A$12:$A$216,'Tổng hợp ngoài giờ'!$A16,'Đóng gói ngoài giờ'!BA$12:BA$87)</f>
        <v>0</v>
      </c>
      <c r="BB16" s="4">
        <f ca="1">SUMIF('Đóng gói ngoài giờ'!$A$12:$A$216,'Tổng hợp ngoài giờ'!$A16,'Đóng gói ngoài giờ'!BB$12:BB$87)</f>
        <v>0</v>
      </c>
      <c r="BC16" s="22">
        <f>SUMIF('Đóng gói ngoài giờ'!$A$12:$A$34,'Tổng hợp ngoài giờ'!$A16,'Đóng gói ngoài giờ'!BC$12:BC$34)</f>
        <v>0</v>
      </c>
      <c r="BD16" s="120">
        <f>SUMIF('Bốc hàng ngoài giờ new'!$H$13:$H$4949,'Tổng hợp trong giờ'!A16,'Bốc hàng ngoài giờ new'!$J$13:$J$4949)</f>
        <v>0</v>
      </c>
      <c r="BE16" s="22">
        <f>SUMIF('Đóng gói ngoài giờ'!$A$12:$A$34,'Tổng hợp ngoài giờ'!$A16,'Đóng gói ngoài giờ'!BE$12:BE$34)</f>
        <v>1.5</v>
      </c>
      <c r="BF16" s="4">
        <f ca="1">SUMIF('Đóng gói ngoài giờ'!$A$12:$A$216,'Tổng hợp ngoài giờ'!$A16,'Đóng gói ngoài giờ'!BD$12:BD$87)</f>
        <v>0</v>
      </c>
      <c r="BG16" s="4">
        <f ca="1">SUMIF('Đóng gói ngoài giờ'!$A$12:$A$216,'Tổng hợp ngoài giờ'!$A16,'Đóng gói ngoài giờ'!BE$12:BE$87)</f>
        <v>9.5</v>
      </c>
      <c r="BH16" s="4">
        <f ca="1">SUMIF('Đóng gói ngoài giờ'!$A$12:$A$216,'Tổng hợp ngoài giờ'!$A16,'Đóng gói ngoài giờ'!BF$12:BF$87)</f>
        <v>0</v>
      </c>
      <c r="BI16" s="4">
        <f ca="1">SUMIF('Đóng gói ngoài giờ'!$A$12:$A$216,'Tổng hợp ngoài giờ'!$A16,'Đóng gói ngoài giờ'!BG$12:BG$87)</f>
        <v>0</v>
      </c>
      <c r="BJ16" s="4">
        <f ca="1">SUMIF('Đóng gói ngoài giờ'!$A$12:$A$216,'Tổng hợp ngoài giờ'!$A16,'Đóng gói ngoài giờ'!BH$12:BH$87)</f>
        <v>0</v>
      </c>
      <c r="BK16" s="4">
        <f ca="1">SUMIF('Đóng gói ngoài giờ'!$A$12:$A$216,'Tổng hợp ngoài giờ'!$A16,'Đóng gói ngoài giờ'!BI$12:BI$87)</f>
        <v>0</v>
      </c>
      <c r="BL16" s="4">
        <f ca="1">SUMIF('Đóng gói ngoài giờ'!$A$12:$A$216,'Tổng hợp ngoài giờ'!$A16,'Đóng gói ngoài giờ'!BJ$12:BJ$87)</f>
        <v>0</v>
      </c>
      <c r="BM16" s="4">
        <f ca="1">SUMIF('Đóng gói ngoài giờ'!$A$12:$A$216,'Tổng hợp ngoài giờ'!$A16,'Đóng gói ngoài giờ'!BK$12:BK$87)</f>
        <v>0</v>
      </c>
      <c r="BN16" s="4">
        <f ca="1">SUMIF('Đóng gói ngoài giờ'!$A$12:$A$216,'Tổng hợp ngoài giờ'!$A16,'Đóng gói ngoài giờ'!BL$12:BL$87)</f>
        <v>0</v>
      </c>
      <c r="BO16" s="4">
        <f ca="1">SUMIF('Đóng gói ngoài giờ'!$A$12:$A$216,'Tổng hợp ngoài giờ'!$A16,'Đóng gói ngoài giờ'!BM$12:BM$87)</f>
        <v>0</v>
      </c>
      <c r="BP16" s="4">
        <f ca="1">SUMIF('Đóng gói ngoài giờ'!$A$12:$A$216,'Tổng hợp ngoài giờ'!$A16,'Đóng gói ngoài giờ'!BN$12:BN$87)</f>
        <v>0</v>
      </c>
      <c r="BQ16" s="4">
        <f ca="1">SUMIF('Đóng gói ngoài giờ'!$A$12:$A$216,'Tổng hợp ngoài giờ'!$A16,'Đóng gói ngoài giờ'!BO$12:BO$87)</f>
        <v>0</v>
      </c>
      <c r="BR16" s="4">
        <f ca="1">SUMIF('Đóng gói ngoài giờ'!$A$12:$A$216,'Tổng hợp ngoài giờ'!$A16,'Đóng gói ngoài giờ'!BP$12:BP$87)</f>
        <v>0</v>
      </c>
      <c r="BS16" s="4">
        <f ca="1">SUMIF('Đóng gói ngoài giờ'!$A$12:$A$216,'Tổng hợp ngoài giờ'!$A16,'Đóng gói ngoài giờ'!BQ$12:BQ$87)</f>
        <v>0</v>
      </c>
      <c r="BT16" s="4">
        <f ca="1">SUMIF('Đóng gói ngoài giờ'!$A$12:$A$216,'Tổng hợp ngoài giờ'!$A16,'Đóng gói ngoài giờ'!BR$12:BR$87)</f>
        <v>0</v>
      </c>
      <c r="BU16" s="96">
        <f t="shared" ca="1" si="1"/>
        <v>9.5</v>
      </c>
      <c r="BV16" s="244">
        <f t="shared" ca="1" si="2"/>
        <v>385405.69020021084</v>
      </c>
      <c r="BW16" s="168">
        <f t="shared" ca="1" si="3"/>
        <v>513128.13330360921</v>
      </c>
      <c r="BX16" s="104"/>
      <c r="CL16" s="9">
        <v>5</v>
      </c>
    </row>
    <row r="17" spans="1:90" ht="15.75" x14ac:dyDescent="0.25">
      <c r="A17" s="224" t="s">
        <v>103</v>
      </c>
      <c r="B17" s="2" t="str">
        <f>VLOOKUP(A17,'Mã NV'!$A$1:$C$27,2,0)</f>
        <v>Võ Văn Giàu</v>
      </c>
      <c r="C17" s="23"/>
      <c r="D17" s="4">
        <f ca="1">SUMIF('Đóng gói ngoài giờ'!$A$12:$A$216,'Tổng hợp ngoài giờ'!$A17,'Đóng gói ngoài giờ'!D$12:D$87)</f>
        <v>0</v>
      </c>
      <c r="E17" s="4">
        <f ca="1">SUMIF('Đóng gói ngoài giờ'!$A$12:$A$216,'Tổng hợp ngoài giờ'!$A17,'Đóng gói ngoài giờ'!E$12:E$87)</f>
        <v>0</v>
      </c>
      <c r="F17" s="4">
        <f ca="1">SUMIF('Đóng gói ngoài giờ'!$A$12:$A$216,'Tổng hợp ngoài giờ'!$A17,'Đóng gói ngoài giờ'!F$12:F$87)</f>
        <v>150</v>
      </c>
      <c r="G17" s="4">
        <f ca="1">SUMIF('Đóng gói ngoài giờ'!$A$12:$A$216,'Tổng hợp ngoài giờ'!$A17,'Đóng gói ngoài giờ'!G$12:G$87)</f>
        <v>0</v>
      </c>
      <c r="H17" s="4">
        <f ca="1">SUMIF('Đóng gói ngoài giờ'!$A$12:$A$216,'Tổng hợp ngoài giờ'!$A17,'Đóng gói ngoài giờ'!H$12:H$87)</f>
        <v>0</v>
      </c>
      <c r="I17" s="4">
        <f ca="1">SUMIF('Đóng gói ngoài giờ'!$A$12:$A$216,'Tổng hợp ngoài giờ'!$A17,'Đóng gói ngoài giờ'!I$12:I$87)</f>
        <v>0</v>
      </c>
      <c r="J17" s="4">
        <f ca="1">SUMIF('Đóng gói ngoài giờ'!$A$12:$A$216,'Tổng hợp ngoài giờ'!$A17,'Đóng gói ngoài giờ'!J$12:J$87)</f>
        <v>0</v>
      </c>
      <c r="K17" s="4">
        <f ca="1">SUMIF('Đóng gói ngoài giờ'!$A$12:$A$216,'Tổng hợp ngoài giờ'!$A17,'Đóng gói ngoài giờ'!K$12:K$87)</f>
        <v>0</v>
      </c>
      <c r="L17" s="4">
        <f ca="1">SUMIF('Đóng gói ngoài giờ'!$A$12:$A$216,'Tổng hợp ngoài giờ'!$A17,'Đóng gói ngoài giờ'!L$12:L$87)</f>
        <v>0</v>
      </c>
      <c r="M17" s="4">
        <f ca="1">SUMIF('Đóng gói ngoài giờ'!$A$12:$A$216,'Tổng hợp ngoài giờ'!$A17,'Đóng gói ngoài giờ'!M$12:M$87)</f>
        <v>0</v>
      </c>
      <c r="N17" s="4">
        <f ca="1">SUMIF('Đóng gói ngoài giờ'!$A$12:$A$216,'Tổng hợp ngoài giờ'!$A17,'Đóng gói ngoài giờ'!N$12:N$87)</f>
        <v>0</v>
      </c>
      <c r="O17" s="4">
        <f ca="1">SUMIF('Đóng gói ngoài giờ'!$A$12:$A$216,'Tổng hợp ngoài giờ'!$A17,'Đóng gói ngoài giờ'!O$12:O$87)</f>
        <v>0</v>
      </c>
      <c r="P17" s="4">
        <f ca="1">SUMIF('Đóng gói ngoài giờ'!$A$12:$A$216,'Tổng hợp ngoài giờ'!$A17,'Đóng gói ngoài giờ'!P$12:P$87)</f>
        <v>0</v>
      </c>
      <c r="Q17" s="4">
        <f ca="1">SUMIF('Đóng gói ngoài giờ'!$A$12:$A$216,'Tổng hợp ngoài giờ'!$A17,'Đóng gói ngoài giờ'!Q$12:Q$87)</f>
        <v>0</v>
      </c>
      <c r="R17" s="4">
        <f ca="1">SUMIF('Đóng gói ngoài giờ'!$A$12:$A$216,'Tổng hợp ngoài giờ'!$A17,'Đóng gói ngoài giờ'!R$12:R$87)</f>
        <v>0</v>
      </c>
      <c r="S17" s="4">
        <f ca="1">SUMIF('Đóng gói ngoài giờ'!$A$12:$A$216,'Tổng hợp ngoài giờ'!$A17,'Đóng gói ngoài giờ'!S$12:S$87)</f>
        <v>0</v>
      </c>
      <c r="T17" s="4">
        <f ca="1">SUMIF('Đóng gói ngoài giờ'!$A$12:$A$216,'Tổng hợp ngoài giờ'!$A17,'Đóng gói ngoài giờ'!T$12:T$87)</f>
        <v>0</v>
      </c>
      <c r="U17" s="4">
        <f ca="1">SUMIF('Đóng gói ngoài giờ'!$A$12:$A$216,'Tổng hợp ngoài giờ'!$A17,'Đóng gói ngoài giờ'!U$12:U$87)</f>
        <v>0</v>
      </c>
      <c r="V17" s="4">
        <f ca="1">SUMIF('Đóng gói ngoài giờ'!$A$12:$A$216,'Tổng hợp ngoài giờ'!$A17,'Đóng gói ngoài giờ'!V$12:V$87)</f>
        <v>0</v>
      </c>
      <c r="W17" s="4">
        <f ca="1">SUMIF('Đóng gói ngoài giờ'!$A$12:$A$216,'Tổng hợp ngoài giờ'!$A17,'Đóng gói ngoài giờ'!W$12:W$87)</f>
        <v>0</v>
      </c>
      <c r="X17" s="4">
        <f ca="1">SUMIF('Đóng gói ngoài giờ'!$A$12:$A$216,'Tổng hợp ngoài giờ'!$A17,'Đóng gói ngoài giờ'!X$12:X$87)</f>
        <v>0</v>
      </c>
      <c r="Y17" s="4">
        <f ca="1">SUMIF('Đóng gói ngoài giờ'!$A$12:$A$216,'Tổng hợp ngoài giờ'!$A17,'Đóng gói ngoài giờ'!Y$12:Y$87)</f>
        <v>0</v>
      </c>
      <c r="Z17" s="4">
        <f ca="1">SUMIF('Đóng gói ngoài giờ'!$A$12:$A$216,'Tổng hợp ngoài giờ'!$A17,'Đóng gói ngoài giờ'!Z$12:Z$87)</f>
        <v>0</v>
      </c>
      <c r="AA17" s="4">
        <f ca="1">SUMIF('Đóng gói ngoài giờ'!$A$12:$A$216,'Tổng hợp ngoài giờ'!$A17,'Đóng gói ngoài giờ'!AA$12:AA$87)</f>
        <v>0</v>
      </c>
      <c r="AB17" s="4">
        <f ca="1">SUMIF('Đóng gói ngoài giờ'!$A$12:$A$216,'Tổng hợp ngoài giờ'!$A17,'Đóng gói ngoài giờ'!AB$12:AB$87)</f>
        <v>0</v>
      </c>
      <c r="AC17" s="4">
        <f ca="1">SUMIF('Đóng gói ngoài giờ'!$A$12:$A$216,'Tổng hợp ngoài giờ'!$A17,'Đóng gói ngoài giờ'!AC$12:AC$87)</f>
        <v>37.5</v>
      </c>
      <c r="AD17" s="4">
        <f ca="1">SUMIF('Đóng gói ngoài giờ'!$A$12:$A$216,'Tổng hợp ngoài giờ'!$A17,'Đóng gói ngoài giờ'!AD$12:AD$87)</f>
        <v>172.5</v>
      </c>
      <c r="AE17" s="4">
        <f ca="1">SUMIF('Đóng gói ngoài giờ'!$A$12:$A$216,'Tổng hợp ngoài giờ'!$A17,'Đóng gói ngoài giờ'!AE$12:AE$87)</f>
        <v>0</v>
      </c>
      <c r="AF17" s="4">
        <f ca="1">SUMIF('Đóng gói ngoài giờ'!$A$12:$A$216,'Tổng hợp ngoài giờ'!$A17,'Đóng gói ngoài giờ'!AF$12:AF$87)</f>
        <v>0</v>
      </c>
      <c r="AG17" s="4">
        <f ca="1">SUMIF('Đóng gói ngoài giờ'!$A$12:$A$216,'Tổng hợp ngoài giờ'!$A17,'Đóng gói ngoài giờ'!AG$12:AG$87)</f>
        <v>0</v>
      </c>
      <c r="AH17" s="4">
        <f ca="1">SUMIF('Đóng gói ngoài giờ'!$A$12:$A$216,'Tổng hợp ngoài giờ'!$A17,'Đóng gói ngoài giờ'!AH$12:AH$87)</f>
        <v>0</v>
      </c>
      <c r="AI17" s="4">
        <f ca="1">SUMIF('Đóng gói ngoài giờ'!$A$12:$A$216,'Tổng hợp ngoài giờ'!$A17,'Đóng gói ngoài giờ'!AI$12:AI$87)</f>
        <v>0</v>
      </c>
      <c r="AJ17" s="4">
        <f ca="1">SUMIF('Đóng gói ngoài giờ'!$A$12:$A$216,'Tổng hợp ngoài giờ'!$A17,'Đóng gói ngoài giờ'!AJ$12:AJ$87)</f>
        <v>0</v>
      </c>
      <c r="AK17" s="4">
        <f ca="1">SUMIF('Đóng gói ngoài giờ'!$A$12:$A$216,'Tổng hợp ngoài giờ'!$A17,'Đóng gói ngoài giờ'!AK$12:AK$87)</f>
        <v>75</v>
      </c>
      <c r="AL17" s="4">
        <f ca="1">SUMIF('Đóng gói ngoài giờ'!$A$12:$A$216,'Tổng hợp ngoài giờ'!$A17,'Đóng gói ngoài giờ'!AL$12:AL$87)</f>
        <v>0</v>
      </c>
      <c r="AM17" s="4">
        <f ca="1">SUMIF('Đóng gói ngoài giờ'!$A$12:$A$216,'Tổng hợp ngoài giờ'!$A17,'Đóng gói ngoài giờ'!AM$12:AM$87)</f>
        <v>0</v>
      </c>
      <c r="AN17" s="4">
        <f ca="1">SUMIF('Đóng gói ngoài giờ'!$A$12:$A$216,'Tổng hợp ngoài giờ'!$A17,'Đóng gói ngoài giờ'!AN$12:AN$87)</f>
        <v>0</v>
      </c>
      <c r="AO17" s="4">
        <f ca="1">SUMIF('Đóng gói ngoài giờ'!$A$12:$A$216,'Tổng hợp ngoài giờ'!$A17,'Đóng gói ngoài giờ'!AO$12:AO$87)</f>
        <v>0</v>
      </c>
      <c r="AP17" s="4">
        <f ca="1">SUMIF('Đóng gói ngoài giờ'!$A$12:$A$216,'Tổng hợp ngoài giờ'!$A17,'Đóng gói ngoài giờ'!AP$12:AP$87)</f>
        <v>0</v>
      </c>
      <c r="AQ17" s="4">
        <f ca="1">SUMIF('Đóng gói ngoài giờ'!$A$12:$A$216,'Tổng hợp ngoài giờ'!$A17,'Đóng gói ngoài giờ'!AQ$12:AQ$87)</f>
        <v>0</v>
      </c>
      <c r="AR17" s="4">
        <f ca="1">SUMIF('Đóng gói ngoài giờ'!$A$12:$A$216,'Tổng hợp ngoài giờ'!$A17,'Đóng gói ngoài giờ'!AR$12:AR$87)</f>
        <v>0</v>
      </c>
      <c r="AS17" s="4">
        <f ca="1">SUMIF('Đóng gói ngoài giờ'!$A$12:$A$216,'Tổng hợp ngoài giờ'!$A17,'Đóng gói ngoài giờ'!AS$12:AS$87)</f>
        <v>0</v>
      </c>
      <c r="AT17" s="4">
        <f ca="1">SUMIF('Đóng gói ngoài giờ'!$A$12:$A$216,'Tổng hợp ngoài giờ'!$A17,'Đóng gói ngoài giờ'!AT$12:AT$87)</f>
        <v>0</v>
      </c>
      <c r="AU17" s="4">
        <f ca="1">SUMIF('Đóng gói ngoài giờ'!$A$12:$A$216,'Tổng hợp ngoài giờ'!$A17,'Đóng gói ngoài giờ'!AU$12:AU$87)</f>
        <v>0</v>
      </c>
      <c r="AV17" s="4">
        <f ca="1">SUMIF('Đóng gói ngoài giờ'!$A$12:$A$216,'Tổng hợp ngoài giờ'!$A17,'Đóng gói ngoài giờ'!AV$12:AV$87)</f>
        <v>0</v>
      </c>
      <c r="AW17" s="4">
        <f ca="1">SUMIF('Đóng gói ngoài giờ'!$A$12:$A$216,'Tổng hợp ngoài giờ'!$A17,'Đóng gói ngoài giờ'!AW$12:AW$87)</f>
        <v>0</v>
      </c>
      <c r="AX17" s="4">
        <f ca="1">SUMIF('Đóng gói ngoài giờ'!$A$12:$A$216,'Tổng hợp ngoài giờ'!$A17,'Đóng gói ngoài giờ'!AX$12:AX$87)</f>
        <v>0</v>
      </c>
      <c r="AY17" s="4">
        <f ca="1">SUMIF('Đóng gói ngoài giờ'!$A$12:$A$216,'Tổng hợp ngoài giờ'!$A17,'Đóng gói ngoài giờ'!AY$12:AY$87)</f>
        <v>0</v>
      </c>
      <c r="AZ17" s="4">
        <f ca="1">SUMIF('Đóng gói ngoài giờ'!$A$12:$A$216,'Tổng hợp ngoài giờ'!$A17,'Đóng gói ngoài giờ'!AZ$12:AZ$87)</f>
        <v>0</v>
      </c>
      <c r="BA17" s="4">
        <f ca="1">SUMIF('Đóng gói ngoài giờ'!$A$12:$A$216,'Tổng hợp ngoài giờ'!$A17,'Đóng gói ngoài giờ'!BA$12:BA$87)</f>
        <v>0</v>
      </c>
      <c r="BB17" s="4">
        <f ca="1">SUMIF('Đóng gói ngoài giờ'!$A$12:$A$216,'Tổng hợp ngoài giờ'!$A17,'Đóng gói ngoài giờ'!BB$12:BB$87)</f>
        <v>0</v>
      </c>
      <c r="BC17" s="22">
        <f>SUMIF('Đóng gói ngoài giờ'!$A$12:$A$34,'Tổng hợp ngoài giờ'!$A17,'Đóng gói ngoài giờ'!BC$12:BC$34)</f>
        <v>0</v>
      </c>
      <c r="BD17" s="120">
        <f>SUMIF('Bốc hàng ngoài giờ new'!$H$13:$H$4949,'Tổng hợp trong giờ'!A17,'Bốc hàng ngoài giờ new'!$J$13:$J$4949)</f>
        <v>0</v>
      </c>
      <c r="BE17" s="22">
        <f>SUMIF('Đóng gói ngoài giờ'!$A$12:$A$34,'Tổng hợp ngoài giờ'!$A17,'Đóng gói ngoài giờ'!BE$12:BE$34)</f>
        <v>1.5</v>
      </c>
      <c r="BF17" s="4">
        <f ca="1">SUMIF('Đóng gói ngoài giờ'!$A$12:$A$216,'Tổng hợp ngoài giờ'!$A17,'Đóng gói ngoài giờ'!BD$12:BD$87)</f>
        <v>0</v>
      </c>
      <c r="BG17" s="4">
        <f ca="1">SUMIF('Đóng gói ngoài giờ'!$A$12:$A$216,'Tổng hợp ngoài giờ'!$A17,'Đóng gói ngoài giờ'!BE$12:BE$87)</f>
        <v>14.5</v>
      </c>
      <c r="BH17" s="4">
        <f ca="1">SUMIF('Đóng gói ngoài giờ'!$A$12:$A$216,'Tổng hợp ngoài giờ'!$A17,'Đóng gói ngoài giờ'!BF$12:BF$87)</f>
        <v>0</v>
      </c>
      <c r="BI17" s="4">
        <f ca="1">SUMIF('Đóng gói ngoài giờ'!$A$12:$A$216,'Tổng hợp ngoài giờ'!$A17,'Đóng gói ngoài giờ'!BG$12:BG$87)</f>
        <v>0</v>
      </c>
      <c r="BJ17" s="4">
        <f ca="1">SUMIF('Đóng gói ngoài giờ'!$A$12:$A$216,'Tổng hợp ngoài giờ'!$A17,'Đóng gói ngoài giờ'!BH$12:BH$87)</f>
        <v>0</v>
      </c>
      <c r="BK17" s="4">
        <f ca="1">SUMIF('Đóng gói ngoài giờ'!$A$12:$A$216,'Tổng hợp ngoài giờ'!$A17,'Đóng gói ngoài giờ'!BI$12:BI$87)</f>
        <v>0</v>
      </c>
      <c r="BL17" s="4">
        <f ca="1">SUMIF('Đóng gói ngoài giờ'!$A$12:$A$216,'Tổng hợp ngoài giờ'!$A17,'Đóng gói ngoài giờ'!BJ$12:BJ$87)</f>
        <v>0</v>
      </c>
      <c r="BM17" s="4">
        <f ca="1">SUMIF('Đóng gói ngoài giờ'!$A$12:$A$216,'Tổng hợp ngoài giờ'!$A17,'Đóng gói ngoài giờ'!BK$12:BK$87)</f>
        <v>0</v>
      </c>
      <c r="BN17" s="4">
        <f ca="1">SUMIF('Đóng gói ngoài giờ'!$A$12:$A$216,'Tổng hợp ngoài giờ'!$A17,'Đóng gói ngoài giờ'!BL$12:BL$87)</f>
        <v>4.5</v>
      </c>
      <c r="BO17" s="4">
        <f ca="1">SUMIF('Đóng gói ngoài giờ'!$A$12:$A$216,'Tổng hợp ngoài giờ'!$A17,'Đóng gói ngoài giờ'!BM$12:BM$87)</f>
        <v>0</v>
      </c>
      <c r="BP17" s="4">
        <f ca="1">SUMIF('Đóng gói ngoài giờ'!$A$12:$A$216,'Tổng hợp ngoài giờ'!$A17,'Đóng gói ngoài giờ'!BN$12:BN$87)</f>
        <v>0</v>
      </c>
      <c r="BQ17" s="4">
        <f ca="1">SUMIF('Đóng gói ngoài giờ'!$A$12:$A$216,'Tổng hợp ngoài giờ'!$A17,'Đóng gói ngoài giờ'!BO$12:BO$87)</f>
        <v>0</v>
      </c>
      <c r="BR17" s="4">
        <f ca="1">SUMIF('Đóng gói ngoài giờ'!$A$12:$A$216,'Tổng hợp ngoài giờ'!$A17,'Đóng gói ngoài giờ'!BP$12:BP$87)</f>
        <v>0</v>
      </c>
      <c r="BS17" s="4">
        <f ca="1">SUMIF('Đóng gói ngoài giờ'!$A$12:$A$216,'Tổng hợp ngoài giờ'!$A17,'Đóng gói ngoài giờ'!BQ$12:BQ$87)</f>
        <v>0</v>
      </c>
      <c r="BT17" s="4">
        <f ca="1">SUMIF('Đóng gói ngoài giờ'!$A$12:$A$216,'Tổng hợp ngoài giờ'!$A17,'Đóng gói ngoài giờ'!BR$12:BR$87)</f>
        <v>0</v>
      </c>
      <c r="BU17" s="96">
        <f t="shared" ca="1" si="1"/>
        <v>19</v>
      </c>
      <c r="BV17" s="244">
        <f t="shared" ca="1" si="2"/>
        <v>770811.38040042156</v>
      </c>
      <c r="BW17" s="168">
        <f t="shared" ca="1" si="3"/>
        <v>1137813.1159578133</v>
      </c>
      <c r="CL17" s="7">
        <v>6</v>
      </c>
    </row>
    <row r="18" spans="1:90" ht="15.75" x14ac:dyDescent="0.25">
      <c r="A18" s="224" t="s">
        <v>105</v>
      </c>
      <c r="B18" s="2" t="str">
        <f>VLOOKUP(A18,'Mã NV'!$A$1:$C$27,2,0)</f>
        <v>Lê Phi Trung</v>
      </c>
      <c r="C18" s="23"/>
      <c r="D18" s="4">
        <f ca="1">SUMIF('Đóng gói ngoài giờ'!$A$12:$A$216,'Tổng hợp ngoài giờ'!$A18,'Đóng gói ngoài giờ'!D$12:D$87)</f>
        <v>0</v>
      </c>
      <c r="E18" s="4">
        <f ca="1">SUMIF('Đóng gói ngoài giờ'!$A$12:$A$216,'Tổng hợp ngoài giờ'!$A18,'Đóng gói ngoài giờ'!E$12:E$87)</f>
        <v>150</v>
      </c>
      <c r="F18" s="4">
        <f ca="1">SUMIF('Đóng gói ngoài giờ'!$A$12:$A$216,'Tổng hợp ngoài giờ'!$A18,'Đóng gói ngoài giờ'!F$12:F$87)</f>
        <v>0</v>
      </c>
      <c r="G18" s="4">
        <f ca="1">SUMIF('Đóng gói ngoài giờ'!$A$12:$A$216,'Tổng hợp ngoài giờ'!$A18,'Đóng gói ngoài giờ'!G$12:G$87)</f>
        <v>0</v>
      </c>
      <c r="H18" s="4">
        <f ca="1">SUMIF('Đóng gói ngoài giờ'!$A$12:$A$216,'Tổng hợp ngoài giờ'!$A18,'Đóng gói ngoài giờ'!H$12:H$87)</f>
        <v>0</v>
      </c>
      <c r="I18" s="4">
        <f ca="1">SUMIF('Đóng gói ngoài giờ'!$A$12:$A$216,'Tổng hợp ngoài giờ'!$A18,'Đóng gói ngoài giờ'!I$12:I$87)</f>
        <v>0</v>
      </c>
      <c r="J18" s="4">
        <f ca="1">SUMIF('Đóng gói ngoài giờ'!$A$12:$A$216,'Tổng hợp ngoài giờ'!$A18,'Đóng gói ngoài giờ'!J$12:J$87)</f>
        <v>0</v>
      </c>
      <c r="K18" s="4">
        <f ca="1">SUMIF('Đóng gói ngoài giờ'!$A$12:$A$216,'Tổng hợp ngoài giờ'!$A18,'Đóng gói ngoài giờ'!K$12:K$87)</f>
        <v>0</v>
      </c>
      <c r="L18" s="4">
        <f ca="1">SUMIF('Đóng gói ngoài giờ'!$A$12:$A$216,'Tổng hợp ngoài giờ'!$A18,'Đóng gói ngoài giờ'!L$12:L$87)</f>
        <v>0</v>
      </c>
      <c r="M18" s="4">
        <f ca="1">SUMIF('Đóng gói ngoài giờ'!$A$12:$A$216,'Tổng hợp ngoài giờ'!$A18,'Đóng gói ngoài giờ'!M$12:M$87)</f>
        <v>0</v>
      </c>
      <c r="N18" s="4">
        <f ca="1">SUMIF('Đóng gói ngoài giờ'!$A$12:$A$216,'Tổng hợp ngoài giờ'!$A18,'Đóng gói ngoài giờ'!N$12:N$87)</f>
        <v>0</v>
      </c>
      <c r="O18" s="4">
        <f ca="1">SUMIF('Đóng gói ngoài giờ'!$A$12:$A$216,'Tổng hợp ngoài giờ'!$A18,'Đóng gói ngoài giờ'!O$12:O$87)</f>
        <v>0</v>
      </c>
      <c r="P18" s="4">
        <f ca="1">SUMIF('Đóng gói ngoài giờ'!$A$12:$A$216,'Tổng hợp ngoài giờ'!$A18,'Đóng gói ngoài giờ'!P$12:P$87)</f>
        <v>0</v>
      </c>
      <c r="Q18" s="4">
        <f ca="1">SUMIF('Đóng gói ngoài giờ'!$A$12:$A$216,'Tổng hợp ngoài giờ'!$A18,'Đóng gói ngoài giờ'!Q$12:Q$87)</f>
        <v>0</v>
      </c>
      <c r="R18" s="4">
        <f ca="1">SUMIF('Đóng gói ngoài giờ'!$A$12:$A$216,'Tổng hợp ngoài giờ'!$A18,'Đóng gói ngoài giờ'!R$12:R$87)</f>
        <v>0</v>
      </c>
      <c r="S18" s="4">
        <f ca="1">SUMIF('Đóng gói ngoài giờ'!$A$12:$A$216,'Tổng hợp ngoài giờ'!$A18,'Đóng gói ngoài giờ'!S$12:S$87)</f>
        <v>0</v>
      </c>
      <c r="T18" s="4">
        <f ca="1">SUMIF('Đóng gói ngoài giờ'!$A$12:$A$216,'Tổng hợp ngoài giờ'!$A18,'Đóng gói ngoài giờ'!T$12:T$87)</f>
        <v>0</v>
      </c>
      <c r="U18" s="4">
        <f ca="1">SUMIF('Đóng gói ngoài giờ'!$A$12:$A$216,'Tổng hợp ngoài giờ'!$A18,'Đóng gói ngoài giờ'!U$12:U$87)</f>
        <v>0</v>
      </c>
      <c r="V18" s="4">
        <f ca="1">SUMIF('Đóng gói ngoài giờ'!$A$12:$A$216,'Tổng hợp ngoài giờ'!$A18,'Đóng gói ngoài giờ'!V$12:V$87)</f>
        <v>0</v>
      </c>
      <c r="W18" s="4">
        <f ca="1">SUMIF('Đóng gói ngoài giờ'!$A$12:$A$216,'Tổng hợp ngoài giờ'!$A18,'Đóng gói ngoài giờ'!W$12:W$87)</f>
        <v>0</v>
      </c>
      <c r="X18" s="4">
        <f ca="1">SUMIF('Đóng gói ngoài giờ'!$A$12:$A$216,'Tổng hợp ngoài giờ'!$A18,'Đóng gói ngoài giờ'!X$12:X$87)</f>
        <v>0</v>
      </c>
      <c r="Y18" s="4">
        <f ca="1">SUMIF('Đóng gói ngoài giờ'!$A$12:$A$216,'Tổng hợp ngoài giờ'!$A18,'Đóng gói ngoài giờ'!Y$12:Y$87)</f>
        <v>0</v>
      </c>
      <c r="Z18" s="4">
        <f ca="1">SUMIF('Đóng gói ngoài giờ'!$A$12:$A$216,'Tổng hợp ngoài giờ'!$A18,'Đóng gói ngoài giờ'!Z$12:Z$87)</f>
        <v>0</v>
      </c>
      <c r="AA18" s="4">
        <f ca="1">SUMIF('Đóng gói ngoài giờ'!$A$12:$A$216,'Tổng hợp ngoài giờ'!$A18,'Đóng gói ngoài giờ'!AA$12:AA$87)</f>
        <v>0</v>
      </c>
      <c r="AB18" s="4">
        <f ca="1">SUMIF('Đóng gói ngoài giờ'!$A$12:$A$216,'Tổng hợp ngoài giờ'!$A18,'Đóng gói ngoài giờ'!AB$12:AB$87)</f>
        <v>0</v>
      </c>
      <c r="AC18" s="4">
        <f ca="1">SUMIF('Đóng gói ngoài giờ'!$A$12:$A$216,'Tổng hợp ngoài giờ'!$A18,'Đóng gói ngoài giờ'!AC$12:AC$87)</f>
        <v>0</v>
      </c>
      <c r="AD18" s="4">
        <f ca="1">SUMIF('Đóng gói ngoài giờ'!$A$12:$A$216,'Tổng hợp ngoài giờ'!$A18,'Đóng gói ngoài giờ'!AD$12:AD$87)</f>
        <v>0</v>
      </c>
      <c r="AE18" s="4">
        <f ca="1">SUMIF('Đóng gói ngoài giờ'!$A$12:$A$216,'Tổng hợp ngoài giờ'!$A18,'Đóng gói ngoài giờ'!AE$12:AE$87)</f>
        <v>0</v>
      </c>
      <c r="AF18" s="4">
        <f ca="1">SUMIF('Đóng gói ngoài giờ'!$A$12:$A$216,'Tổng hợp ngoài giờ'!$A18,'Đóng gói ngoài giờ'!AF$12:AF$87)</f>
        <v>0</v>
      </c>
      <c r="AG18" s="4">
        <f ca="1">SUMIF('Đóng gói ngoài giờ'!$A$12:$A$216,'Tổng hợp ngoài giờ'!$A18,'Đóng gói ngoài giờ'!AG$12:AG$87)</f>
        <v>0</v>
      </c>
      <c r="AH18" s="4">
        <f ca="1">SUMIF('Đóng gói ngoài giờ'!$A$12:$A$216,'Tổng hợp ngoài giờ'!$A18,'Đóng gói ngoài giờ'!AH$12:AH$87)</f>
        <v>0</v>
      </c>
      <c r="AI18" s="4">
        <f ca="1">SUMIF('Đóng gói ngoài giờ'!$A$12:$A$216,'Tổng hợp ngoài giờ'!$A18,'Đóng gói ngoài giờ'!AI$12:AI$87)</f>
        <v>0</v>
      </c>
      <c r="AJ18" s="4">
        <f ca="1">SUMIF('Đóng gói ngoài giờ'!$A$12:$A$216,'Tổng hợp ngoài giờ'!$A18,'Đóng gói ngoài giờ'!AJ$12:AJ$87)</f>
        <v>0</v>
      </c>
      <c r="AK18" s="4">
        <f ca="1">SUMIF('Đóng gói ngoài giờ'!$A$12:$A$216,'Tổng hợp ngoài giờ'!$A18,'Đóng gói ngoài giờ'!AK$12:AK$87)</f>
        <v>106.66666666666667</v>
      </c>
      <c r="AL18" s="4">
        <f ca="1">SUMIF('Đóng gói ngoài giờ'!$A$12:$A$216,'Tổng hợp ngoài giờ'!$A18,'Đóng gói ngoài giờ'!AL$12:AL$87)</f>
        <v>0</v>
      </c>
      <c r="AM18" s="4">
        <f ca="1">SUMIF('Đóng gói ngoài giờ'!$A$12:$A$216,'Tổng hợp ngoài giờ'!$A18,'Đóng gói ngoài giờ'!AM$12:AM$87)</f>
        <v>58.333333333333336</v>
      </c>
      <c r="AN18" s="4">
        <f ca="1">SUMIF('Đóng gói ngoài giờ'!$A$12:$A$216,'Tổng hợp ngoài giờ'!$A18,'Đóng gói ngoài giờ'!AN$12:AN$87)</f>
        <v>0</v>
      </c>
      <c r="AO18" s="4">
        <f ca="1">SUMIF('Đóng gói ngoài giờ'!$A$12:$A$216,'Tổng hợp ngoài giờ'!$A18,'Đóng gói ngoài giờ'!AO$12:AO$87)</f>
        <v>0</v>
      </c>
      <c r="AP18" s="4">
        <f ca="1">SUMIF('Đóng gói ngoài giờ'!$A$12:$A$216,'Tổng hợp ngoài giờ'!$A18,'Đóng gói ngoài giờ'!AP$12:AP$87)</f>
        <v>0</v>
      </c>
      <c r="AQ18" s="4">
        <f ca="1">SUMIF('Đóng gói ngoài giờ'!$A$12:$A$216,'Tổng hợp ngoài giờ'!$A18,'Đóng gói ngoài giờ'!AQ$12:AQ$87)</f>
        <v>0</v>
      </c>
      <c r="AR18" s="4">
        <f ca="1">SUMIF('Đóng gói ngoài giờ'!$A$12:$A$216,'Tổng hợp ngoài giờ'!$A18,'Đóng gói ngoài giờ'!AR$12:AR$87)</f>
        <v>0</v>
      </c>
      <c r="AS18" s="4">
        <f ca="1">SUMIF('Đóng gói ngoài giờ'!$A$12:$A$216,'Tổng hợp ngoài giờ'!$A18,'Đóng gói ngoài giờ'!AS$12:AS$87)</f>
        <v>0</v>
      </c>
      <c r="AT18" s="4">
        <f ca="1">SUMIF('Đóng gói ngoài giờ'!$A$12:$A$216,'Tổng hợp ngoài giờ'!$A18,'Đóng gói ngoài giờ'!AT$12:AT$87)</f>
        <v>0</v>
      </c>
      <c r="AU18" s="4">
        <f ca="1">SUMIF('Đóng gói ngoài giờ'!$A$12:$A$216,'Tổng hợp ngoài giờ'!$A18,'Đóng gói ngoài giờ'!AU$12:AU$87)</f>
        <v>0</v>
      </c>
      <c r="AV18" s="4">
        <f ca="1">SUMIF('Đóng gói ngoài giờ'!$A$12:$A$216,'Tổng hợp ngoài giờ'!$A18,'Đóng gói ngoài giờ'!AV$12:AV$87)</f>
        <v>0</v>
      </c>
      <c r="AW18" s="4">
        <f ca="1">SUMIF('Đóng gói ngoài giờ'!$A$12:$A$216,'Tổng hợp ngoài giờ'!$A18,'Đóng gói ngoài giờ'!AW$12:AW$87)</f>
        <v>0</v>
      </c>
      <c r="AX18" s="4">
        <f ca="1">SUMIF('Đóng gói ngoài giờ'!$A$12:$A$216,'Tổng hợp ngoài giờ'!$A18,'Đóng gói ngoài giờ'!AX$12:AX$87)</f>
        <v>0</v>
      </c>
      <c r="AY18" s="4">
        <f ca="1">SUMIF('Đóng gói ngoài giờ'!$A$12:$A$216,'Tổng hợp ngoài giờ'!$A18,'Đóng gói ngoài giờ'!AY$12:AY$87)</f>
        <v>0</v>
      </c>
      <c r="AZ18" s="4">
        <f ca="1">SUMIF('Đóng gói ngoài giờ'!$A$12:$A$216,'Tổng hợp ngoài giờ'!$A18,'Đóng gói ngoài giờ'!AZ$12:AZ$87)</f>
        <v>0</v>
      </c>
      <c r="BA18" s="4">
        <f ca="1">SUMIF('Đóng gói ngoài giờ'!$A$12:$A$216,'Tổng hợp ngoài giờ'!$A18,'Đóng gói ngoài giờ'!BA$12:BA$87)</f>
        <v>0</v>
      </c>
      <c r="BB18" s="4">
        <f ca="1">SUMIF('Đóng gói ngoài giờ'!$A$12:$A$216,'Tổng hợp ngoài giờ'!$A18,'Đóng gói ngoài giờ'!BB$12:BB$87)</f>
        <v>0</v>
      </c>
      <c r="BC18" s="22">
        <f>SUMIF('Đóng gói ngoài giờ'!$A$12:$A$34,'Tổng hợp ngoài giờ'!$A18,'Đóng gói ngoài giờ'!BC$12:BC$34)</f>
        <v>0</v>
      </c>
      <c r="BD18" s="120">
        <f>SUMIF('Bốc hàng ngoài giờ new'!$H$13:$H$4949,'Tổng hợp trong giờ'!A18,'Bốc hàng ngoài giờ new'!$J$13:$J$4949)</f>
        <v>0</v>
      </c>
      <c r="BE18" s="22">
        <f>SUMIF('Đóng gói ngoài giờ'!$A$12:$A$34,'Tổng hợp ngoài giờ'!$A18,'Đóng gói ngoài giờ'!BE$12:BE$34)</f>
        <v>7</v>
      </c>
      <c r="BF18" s="4">
        <f ca="1">SUMIF('Đóng gói ngoài giờ'!$A$12:$A$216,'Tổng hợp ngoài giờ'!$A18,'Đóng gói ngoài giờ'!BD$12:BD$87)</f>
        <v>0</v>
      </c>
      <c r="BG18" s="4">
        <f ca="1">SUMIF('Đóng gói ngoài giờ'!$A$12:$A$216,'Tổng hợp ngoài giờ'!$A18,'Đóng gói ngoài giờ'!BE$12:BE$87)</f>
        <v>25.5</v>
      </c>
      <c r="BH18" s="4">
        <f ca="1">SUMIF('Đóng gói ngoài giờ'!$A$12:$A$216,'Tổng hợp ngoài giờ'!$A18,'Đóng gói ngoài giờ'!BF$12:BF$87)</f>
        <v>0</v>
      </c>
      <c r="BI18" s="4">
        <f ca="1">SUMIF('Đóng gói ngoài giờ'!$A$12:$A$216,'Tổng hợp ngoài giờ'!$A18,'Đóng gói ngoài giờ'!BG$12:BG$87)</f>
        <v>0</v>
      </c>
      <c r="BJ18" s="4">
        <f ca="1">SUMIF('Đóng gói ngoài giờ'!$A$12:$A$216,'Tổng hợp ngoài giờ'!$A18,'Đóng gói ngoài giờ'!BH$12:BH$87)</f>
        <v>0</v>
      </c>
      <c r="BK18" s="4">
        <f ca="1">SUMIF('Đóng gói ngoài giờ'!$A$12:$A$216,'Tổng hợp ngoài giờ'!$A18,'Đóng gói ngoài giờ'!BI$12:BI$87)</f>
        <v>0</v>
      </c>
      <c r="BL18" s="4">
        <f ca="1">SUMIF('Đóng gói ngoài giờ'!$A$12:$A$216,'Tổng hợp ngoài giờ'!$A18,'Đóng gói ngoài giờ'!BJ$12:BJ$87)</f>
        <v>0</v>
      </c>
      <c r="BM18" s="4">
        <f ca="1">SUMIF('Đóng gói ngoài giờ'!$A$12:$A$216,'Tổng hợp ngoài giờ'!$A18,'Đóng gói ngoài giờ'!BK$12:BK$87)</f>
        <v>0</v>
      </c>
      <c r="BN18" s="4">
        <f ca="1">SUMIF('Đóng gói ngoài giờ'!$A$12:$A$216,'Tổng hợp ngoài giờ'!$A18,'Đóng gói ngoài giờ'!BL$12:BL$87)</f>
        <v>2.5</v>
      </c>
      <c r="BO18" s="4">
        <f ca="1">SUMIF('Đóng gói ngoài giờ'!$A$12:$A$216,'Tổng hợp ngoài giờ'!$A18,'Đóng gói ngoài giờ'!BM$12:BM$87)</f>
        <v>0</v>
      </c>
      <c r="BP18" s="4">
        <f ca="1">SUMIF('Đóng gói ngoài giờ'!$A$12:$A$216,'Tổng hợp ngoài giờ'!$A18,'Đóng gói ngoài giờ'!BN$12:BN$87)</f>
        <v>0</v>
      </c>
      <c r="BQ18" s="4">
        <f ca="1">SUMIF('Đóng gói ngoài giờ'!$A$12:$A$216,'Tổng hợp ngoài giờ'!$A18,'Đóng gói ngoài giờ'!BO$12:BO$87)</f>
        <v>0</v>
      </c>
      <c r="BR18" s="4">
        <f ca="1">SUMIF('Đóng gói ngoài giờ'!$A$12:$A$216,'Tổng hợp ngoài giờ'!$A18,'Đóng gói ngoài giờ'!BP$12:BP$87)</f>
        <v>0</v>
      </c>
      <c r="BS18" s="4">
        <f ca="1">SUMIF('Đóng gói ngoài giờ'!$A$12:$A$216,'Tổng hợp ngoài giờ'!$A18,'Đóng gói ngoài giờ'!BQ$12:BQ$87)</f>
        <v>4</v>
      </c>
      <c r="BT18" s="4">
        <f ca="1">SUMIF('Đóng gói ngoài giờ'!$A$12:$A$216,'Tổng hợp ngoài giờ'!$A18,'Đóng gói ngoài giờ'!BR$12:BR$87)</f>
        <v>0</v>
      </c>
      <c r="BU18" s="96">
        <f t="shared" ca="1" si="1"/>
        <v>32</v>
      </c>
      <c r="BV18" s="244">
        <f t="shared" ca="1" si="2"/>
        <v>1298208.6406743941</v>
      </c>
      <c r="BW18" s="168">
        <f t="shared" ca="1" si="3"/>
        <v>1520277.6419663385</v>
      </c>
      <c r="CL18" s="9">
        <v>7</v>
      </c>
    </row>
    <row r="19" spans="1:90" ht="15.75" x14ac:dyDescent="0.25">
      <c r="A19" s="224" t="s">
        <v>106</v>
      </c>
      <c r="B19" s="2" t="str">
        <f>VLOOKUP(A19,'Mã NV'!$A$1:$C$27,2,0)</f>
        <v>Lâm Văn Thương</v>
      </c>
      <c r="C19" s="23"/>
      <c r="D19" s="4">
        <f ca="1">SUMIF('Đóng gói ngoài giờ'!$A$12:$A$216,'Tổng hợp ngoài giờ'!$A19,'Đóng gói ngoài giờ'!D$12:D$87)</f>
        <v>0</v>
      </c>
      <c r="E19" s="4">
        <f ca="1">SUMIF('Đóng gói ngoài giờ'!$A$12:$A$216,'Tổng hợp ngoài giờ'!$A19,'Đóng gói ngoài giờ'!E$12:E$87)</f>
        <v>0</v>
      </c>
      <c r="F19" s="4">
        <f ca="1">SUMIF('Đóng gói ngoài giờ'!$A$12:$A$216,'Tổng hợp ngoài giờ'!$A19,'Đóng gói ngoài giờ'!F$12:F$87)</f>
        <v>0</v>
      </c>
      <c r="G19" s="4">
        <f ca="1">SUMIF('Đóng gói ngoài giờ'!$A$12:$A$216,'Tổng hợp ngoài giờ'!$A19,'Đóng gói ngoài giờ'!G$12:G$87)</f>
        <v>0</v>
      </c>
      <c r="H19" s="4">
        <f ca="1">SUMIF('Đóng gói ngoài giờ'!$A$12:$A$216,'Tổng hợp ngoài giờ'!$A19,'Đóng gói ngoài giờ'!H$12:H$87)</f>
        <v>0</v>
      </c>
      <c r="I19" s="4">
        <f ca="1">SUMIF('Đóng gói ngoài giờ'!$A$12:$A$216,'Tổng hợp ngoài giờ'!$A19,'Đóng gói ngoài giờ'!I$12:I$87)</f>
        <v>0</v>
      </c>
      <c r="J19" s="4">
        <f ca="1">SUMIF('Đóng gói ngoài giờ'!$A$12:$A$216,'Tổng hợp ngoài giờ'!$A19,'Đóng gói ngoài giờ'!J$12:J$87)</f>
        <v>0</v>
      </c>
      <c r="K19" s="4">
        <f ca="1">SUMIF('Đóng gói ngoài giờ'!$A$12:$A$216,'Tổng hợp ngoài giờ'!$A19,'Đóng gói ngoài giờ'!K$12:K$87)</f>
        <v>0</v>
      </c>
      <c r="L19" s="4">
        <f ca="1">SUMIF('Đóng gói ngoài giờ'!$A$12:$A$216,'Tổng hợp ngoài giờ'!$A19,'Đóng gói ngoài giờ'!L$12:L$87)</f>
        <v>0</v>
      </c>
      <c r="M19" s="4">
        <f ca="1">SUMIF('Đóng gói ngoài giờ'!$A$12:$A$216,'Tổng hợp ngoài giờ'!$A19,'Đóng gói ngoài giờ'!M$12:M$87)</f>
        <v>0</v>
      </c>
      <c r="N19" s="4">
        <f ca="1">SUMIF('Đóng gói ngoài giờ'!$A$12:$A$216,'Tổng hợp ngoài giờ'!$A19,'Đóng gói ngoài giờ'!N$12:N$87)</f>
        <v>0</v>
      </c>
      <c r="O19" s="4">
        <f ca="1">SUMIF('Đóng gói ngoài giờ'!$A$12:$A$216,'Tổng hợp ngoài giờ'!$A19,'Đóng gói ngoài giờ'!O$12:O$87)</f>
        <v>0</v>
      </c>
      <c r="P19" s="4">
        <f ca="1">SUMIF('Đóng gói ngoài giờ'!$A$12:$A$216,'Tổng hợp ngoài giờ'!$A19,'Đóng gói ngoài giờ'!P$12:P$87)</f>
        <v>0</v>
      </c>
      <c r="Q19" s="4">
        <f ca="1">SUMIF('Đóng gói ngoài giờ'!$A$12:$A$216,'Tổng hợp ngoài giờ'!$A19,'Đóng gói ngoài giờ'!Q$12:Q$87)</f>
        <v>0</v>
      </c>
      <c r="R19" s="4">
        <f ca="1">SUMIF('Đóng gói ngoài giờ'!$A$12:$A$216,'Tổng hợp ngoài giờ'!$A19,'Đóng gói ngoài giờ'!R$12:R$87)</f>
        <v>0</v>
      </c>
      <c r="S19" s="4">
        <f ca="1">SUMIF('Đóng gói ngoài giờ'!$A$12:$A$216,'Tổng hợp ngoài giờ'!$A19,'Đóng gói ngoài giờ'!S$12:S$87)</f>
        <v>0</v>
      </c>
      <c r="T19" s="4">
        <f ca="1">SUMIF('Đóng gói ngoài giờ'!$A$12:$A$216,'Tổng hợp ngoài giờ'!$A19,'Đóng gói ngoài giờ'!T$12:T$87)</f>
        <v>0</v>
      </c>
      <c r="U19" s="4">
        <f ca="1">SUMIF('Đóng gói ngoài giờ'!$A$12:$A$216,'Tổng hợp ngoài giờ'!$A19,'Đóng gói ngoài giờ'!U$12:U$87)</f>
        <v>0</v>
      </c>
      <c r="V19" s="4">
        <f ca="1">SUMIF('Đóng gói ngoài giờ'!$A$12:$A$216,'Tổng hợp ngoài giờ'!$A19,'Đóng gói ngoài giờ'!V$12:V$87)</f>
        <v>0</v>
      </c>
      <c r="W19" s="4">
        <f ca="1">SUMIF('Đóng gói ngoài giờ'!$A$12:$A$216,'Tổng hợp ngoài giờ'!$A19,'Đóng gói ngoài giờ'!W$12:W$87)</f>
        <v>0</v>
      </c>
      <c r="X19" s="4">
        <f ca="1">SUMIF('Đóng gói ngoài giờ'!$A$12:$A$216,'Tổng hợp ngoài giờ'!$A19,'Đóng gói ngoài giờ'!X$12:X$87)</f>
        <v>0</v>
      </c>
      <c r="Y19" s="4">
        <f ca="1">SUMIF('Đóng gói ngoài giờ'!$A$12:$A$216,'Tổng hợp ngoài giờ'!$A19,'Đóng gói ngoài giờ'!Y$12:Y$87)</f>
        <v>0</v>
      </c>
      <c r="Z19" s="4">
        <f ca="1">SUMIF('Đóng gói ngoài giờ'!$A$12:$A$216,'Tổng hợp ngoài giờ'!$A19,'Đóng gói ngoài giờ'!Z$12:Z$87)</f>
        <v>0</v>
      </c>
      <c r="AA19" s="4">
        <f ca="1">SUMIF('Đóng gói ngoài giờ'!$A$12:$A$216,'Tổng hợp ngoài giờ'!$A19,'Đóng gói ngoài giờ'!AA$12:AA$87)</f>
        <v>0</v>
      </c>
      <c r="AB19" s="4">
        <f ca="1">SUMIF('Đóng gói ngoài giờ'!$A$12:$A$216,'Tổng hợp ngoài giờ'!$A19,'Đóng gói ngoài giờ'!AB$12:AB$87)</f>
        <v>0</v>
      </c>
      <c r="AC19" s="4">
        <f ca="1">SUMIF('Đóng gói ngoài giờ'!$A$12:$A$216,'Tổng hợp ngoài giờ'!$A19,'Đóng gói ngoài giờ'!AC$12:AC$87)</f>
        <v>0</v>
      </c>
      <c r="AD19" s="4">
        <f ca="1">SUMIF('Đóng gói ngoài giờ'!$A$12:$A$216,'Tổng hợp ngoài giờ'!$A19,'Đóng gói ngoài giờ'!AD$12:AD$87)</f>
        <v>0</v>
      </c>
      <c r="AE19" s="4">
        <f ca="1">SUMIF('Đóng gói ngoài giờ'!$A$12:$A$216,'Tổng hợp ngoài giờ'!$A19,'Đóng gói ngoài giờ'!AE$12:AE$87)</f>
        <v>0</v>
      </c>
      <c r="AF19" s="4">
        <f ca="1">SUMIF('Đóng gói ngoài giờ'!$A$12:$A$216,'Tổng hợp ngoài giờ'!$A19,'Đóng gói ngoài giờ'!AF$12:AF$87)</f>
        <v>0</v>
      </c>
      <c r="AG19" s="4">
        <f ca="1">SUMIF('Đóng gói ngoài giờ'!$A$12:$A$216,'Tổng hợp ngoài giờ'!$A19,'Đóng gói ngoài giờ'!AG$12:AG$87)</f>
        <v>0</v>
      </c>
      <c r="AH19" s="4">
        <f ca="1">SUMIF('Đóng gói ngoài giờ'!$A$12:$A$216,'Tổng hợp ngoài giờ'!$A19,'Đóng gói ngoài giờ'!AH$12:AH$87)</f>
        <v>0</v>
      </c>
      <c r="AI19" s="4">
        <f ca="1">SUMIF('Đóng gói ngoài giờ'!$A$12:$A$216,'Tổng hợp ngoài giờ'!$A19,'Đóng gói ngoài giờ'!AI$12:AI$87)</f>
        <v>0</v>
      </c>
      <c r="AJ19" s="4">
        <f ca="1">SUMIF('Đóng gói ngoài giờ'!$A$12:$A$216,'Tổng hợp ngoài giờ'!$A19,'Đóng gói ngoài giờ'!AJ$12:AJ$87)</f>
        <v>0</v>
      </c>
      <c r="AK19" s="4">
        <f ca="1">SUMIF('Đóng gói ngoài giờ'!$A$12:$A$216,'Tổng hợp ngoài giờ'!$A19,'Đóng gói ngoài giờ'!AK$12:AK$87)</f>
        <v>106.66666666666667</v>
      </c>
      <c r="AL19" s="4">
        <f ca="1">SUMIF('Đóng gói ngoài giờ'!$A$12:$A$216,'Tổng hợp ngoài giờ'!$A19,'Đóng gói ngoài giờ'!AL$12:AL$87)</f>
        <v>0</v>
      </c>
      <c r="AM19" s="4">
        <f ca="1">SUMIF('Đóng gói ngoài giờ'!$A$12:$A$216,'Tổng hợp ngoài giờ'!$A19,'Đóng gói ngoài giờ'!AM$12:AM$87)</f>
        <v>51.666666666666671</v>
      </c>
      <c r="AN19" s="4">
        <f ca="1">SUMIF('Đóng gói ngoài giờ'!$A$12:$A$216,'Tổng hợp ngoài giờ'!$A19,'Đóng gói ngoài giờ'!AN$12:AN$87)</f>
        <v>0</v>
      </c>
      <c r="AO19" s="4">
        <f ca="1">SUMIF('Đóng gói ngoài giờ'!$A$12:$A$216,'Tổng hợp ngoài giờ'!$A19,'Đóng gói ngoài giờ'!AO$12:AO$87)</f>
        <v>0</v>
      </c>
      <c r="AP19" s="4">
        <f ca="1">SUMIF('Đóng gói ngoài giờ'!$A$12:$A$216,'Tổng hợp ngoài giờ'!$A19,'Đóng gói ngoài giờ'!AP$12:AP$87)</f>
        <v>0</v>
      </c>
      <c r="AQ19" s="4">
        <f ca="1">SUMIF('Đóng gói ngoài giờ'!$A$12:$A$216,'Tổng hợp ngoài giờ'!$A19,'Đóng gói ngoài giờ'!AQ$12:AQ$87)</f>
        <v>0</v>
      </c>
      <c r="AR19" s="4">
        <f ca="1">SUMIF('Đóng gói ngoài giờ'!$A$12:$A$216,'Tổng hợp ngoài giờ'!$A19,'Đóng gói ngoài giờ'!AR$12:AR$87)</f>
        <v>0</v>
      </c>
      <c r="AS19" s="4">
        <f ca="1">SUMIF('Đóng gói ngoài giờ'!$A$12:$A$216,'Tổng hợp ngoài giờ'!$A19,'Đóng gói ngoài giờ'!AS$12:AS$87)</f>
        <v>0</v>
      </c>
      <c r="AT19" s="4">
        <f ca="1">SUMIF('Đóng gói ngoài giờ'!$A$12:$A$216,'Tổng hợp ngoài giờ'!$A19,'Đóng gói ngoài giờ'!AT$12:AT$87)</f>
        <v>0</v>
      </c>
      <c r="AU19" s="4">
        <f ca="1">SUMIF('Đóng gói ngoài giờ'!$A$12:$A$216,'Tổng hợp ngoài giờ'!$A19,'Đóng gói ngoài giờ'!AU$12:AU$87)</f>
        <v>0</v>
      </c>
      <c r="AV19" s="4">
        <f ca="1">SUMIF('Đóng gói ngoài giờ'!$A$12:$A$216,'Tổng hợp ngoài giờ'!$A19,'Đóng gói ngoài giờ'!AV$12:AV$87)</f>
        <v>0</v>
      </c>
      <c r="AW19" s="4">
        <f ca="1">SUMIF('Đóng gói ngoài giờ'!$A$12:$A$216,'Tổng hợp ngoài giờ'!$A19,'Đóng gói ngoài giờ'!AW$12:AW$87)</f>
        <v>0</v>
      </c>
      <c r="AX19" s="4">
        <f ca="1">SUMIF('Đóng gói ngoài giờ'!$A$12:$A$216,'Tổng hợp ngoài giờ'!$A19,'Đóng gói ngoài giờ'!AX$12:AX$87)</f>
        <v>0</v>
      </c>
      <c r="AY19" s="4">
        <f ca="1">SUMIF('Đóng gói ngoài giờ'!$A$12:$A$216,'Tổng hợp ngoài giờ'!$A19,'Đóng gói ngoài giờ'!AY$12:AY$87)</f>
        <v>0</v>
      </c>
      <c r="AZ19" s="4">
        <f ca="1">SUMIF('Đóng gói ngoài giờ'!$A$12:$A$216,'Tổng hợp ngoài giờ'!$A19,'Đóng gói ngoài giờ'!AZ$12:AZ$87)</f>
        <v>0</v>
      </c>
      <c r="BA19" s="4">
        <f ca="1">SUMIF('Đóng gói ngoài giờ'!$A$12:$A$216,'Tổng hợp ngoài giờ'!$A19,'Đóng gói ngoài giờ'!BA$12:BA$87)</f>
        <v>0</v>
      </c>
      <c r="BB19" s="4">
        <f ca="1">SUMIF('Đóng gói ngoài giờ'!$A$12:$A$216,'Tổng hợp ngoài giờ'!$A19,'Đóng gói ngoài giờ'!BB$12:BB$87)</f>
        <v>0</v>
      </c>
      <c r="BC19" s="22">
        <f>SUMIF('Đóng gói ngoài giờ'!$A$12:$A$34,'Tổng hợp ngoài giờ'!$A19,'Đóng gói ngoài giờ'!BC$12:BC$34)</f>
        <v>0</v>
      </c>
      <c r="BD19" s="120">
        <f>SUMIF('Bốc hàng ngoài giờ new'!$H$13:$H$4949,'Tổng hợp trong giờ'!A19,'Bốc hàng ngoài giờ new'!$J$13:$J$4949)</f>
        <v>0</v>
      </c>
      <c r="BE19" s="22">
        <f>SUMIF('Đóng gói ngoài giờ'!$A$12:$A$34,'Tổng hợp ngoài giờ'!$A19,'Đóng gói ngoài giờ'!BE$12:BE$34)</f>
        <v>1.5</v>
      </c>
      <c r="BF19" s="4">
        <f ca="1">SUMIF('Đóng gói ngoài giờ'!$A$12:$A$216,'Tổng hợp ngoài giờ'!$A19,'Đóng gói ngoài giờ'!BD$12:BD$87)</f>
        <v>0</v>
      </c>
      <c r="BG19" s="4">
        <f ca="1">SUMIF('Đóng gói ngoài giờ'!$A$12:$A$216,'Tổng hợp ngoài giờ'!$A19,'Đóng gói ngoài giờ'!BE$12:BE$87)</f>
        <v>12</v>
      </c>
      <c r="BH19" s="4">
        <f ca="1">SUMIF('Đóng gói ngoài giờ'!$A$12:$A$216,'Tổng hợp ngoài giờ'!$A19,'Đóng gói ngoài giờ'!BF$12:BF$87)</f>
        <v>0</v>
      </c>
      <c r="BI19" s="4">
        <f ca="1">SUMIF('Đóng gói ngoài giờ'!$A$12:$A$216,'Tổng hợp ngoài giờ'!$A19,'Đóng gói ngoài giờ'!BG$12:BG$87)</f>
        <v>0</v>
      </c>
      <c r="BJ19" s="4">
        <f ca="1">SUMIF('Đóng gói ngoài giờ'!$A$12:$A$216,'Tổng hợp ngoài giờ'!$A19,'Đóng gói ngoài giờ'!BH$12:BH$87)</f>
        <v>0</v>
      </c>
      <c r="BK19" s="4">
        <f ca="1">SUMIF('Đóng gói ngoài giờ'!$A$12:$A$216,'Tổng hợp ngoài giờ'!$A19,'Đóng gói ngoài giờ'!BI$12:BI$87)</f>
        <v>0</v>
      </c>
      <c r="BL19" s="4">
        <f ca="1">SUMIF('Đóng gói ngoài giờ'!$A$12:$A$216,'Tổng hợp ngoài giờ'!$A19,'Đóng gói ngoài giờ'!BJ$12:BJ$87)</f>
        <v>0</v>
      </c>
      <c r="BM19" s="4">
        <f ca="1">SUMIF('Đóng gói ngoài giờ'!$A$12:$A$216,'Tổng hợp ngoài giờ'!$A19,'Đóng gói ngoài giờ'!BK$12:BK$87)</f>
        <v>0</v>
      </c>
      <c r="BN19" s="4">
        <f ca="1">SUMIF('Đóng gói ngoài giờ'!$A$12:$A$216,'Tổng hợp ngoài giờ'!$A19,'Đóng gói ngoài giờ'!BL$12:BL$87)</f>
        <v>0</v>
      </c>
      <c r="BO19" s="4">
        <f ca="1">SUMIF('Đóng gói ngoài giờ'!$A$12:$A$216,'Tổng hợp ngoài giờ'!$A19,'Đóng gói ngoài giờ'!BM$12:BM$87)</f>
        <v>0</v>
      </c>
      <c r="BP19" s="4">
        <f ca="1">SUMIF('Đóng gói ngoài giờ'!$A$12:$A$216,'Tổng hợp ngoài giờ'!$A19,'Đóng gói ngoài giờ'!BN$12:BN$87)</f>
        <v>0</v>
      </c>
      <c r="BQ19" s="4">
        <f ca="1">SUMIF('Đóng gói ngoài giờ'!$A$12:$A$216,'Tổng hợp ngoài giờ'!$A19,'Đóng gói ngoài giờ'!BO$12:BO$87)</f>
        <v>0</v>
      </c>
      <c r="BR19" s="4">
        <f ca="1">SUMIF('Đóng gói ngoài giờ'!$A$12:$A$216,'Tổng hợp ngoài giờ'!$A19,'Đóng gói ngoài giờ'!BP$12:BP$87)</f>
        <v>0</v>
      </c>
      <c r="BS19" s="4">
        <f ca="1">SUMIF('Đóng gói ngoài giờ'!$A$12:$A$216,'Tổng hợp ngoài giờ'!$A19,'Đóng gói ngoài giờ'!BQ$12:BQ$87)</f>
        <v>0</v>
      </c>
      <c r="BT19" s="4">
        <f ca="1">SUMIF('Đóng gói ngoài giờ'!$A$12:$A$216,'Tổng hợp ngoài giờ'!$A19,'Đóng gói ngoài giờ'!BR$12:BR$87)</f>
        <v>0</v>
      </c>
      <c r="BU19" s="96">
        <f t="shared" ca="1" si="1"/>
        <v>12</v>
      </c>
      <c r="BV19" s="244">
        <f t="shared" ca="1" si="2"/>
        <v>486828.24025289784</v>
      </c>
      <c r="BW19" s="168">
        <f t="shared" ca="1" si="3"/>
        <v>604451.66046954948</v>
      </c>
      <c r="CL19" s="7">
        <v>8</v>
      </c>
    </row>
    <row r="20" spans="1:90" ht="15.75" x14ac:dyDescent="0.25">
      <c r="A20" s="224" t="s">
        <v>107</v>
      </c>
      <c r="B20" s="2" t="str">
        <f>VLOOKUP(A20,'Mã NV'!$A$1:$C$27,2,0)</f>
        <v>Võ Văn Có</v>
      </c>
      <c r="C20" s="23"/>
      <c r="D20" s="4">
        <f ca="1">SUMIF('Đóng gói ngoài giờ'!$A$12:$A$216,'Tổng hợp ngoài giờ'!$A20,'Đóng gói ngoài giờ'!D$12:D$87)</f>
        <v>0</v>
      </c>
      <c r="E20" s="4">
        <f ca="1">SUMIF('Đóng gói ngoài giờ'!$A$12:$A$216,'Tổng hợp ngoài giờ'!$A20,'Đóng gói ngoài giờ'!E$12:E$87)</f>
        <v>0</v>
      </c>
      <c r="F20" s="4">
        <f ca="1">SUMIF('Đóng gói ngoài giờ'!$A$12:$A$216,'Tổng hợp ngoài giờ'!$A20,'Đóng gói ngoài giờ'!F$12:F$87)</f>
        <v>150</v>
      </c>
      <c r="G20" s="4">
        <f ca="1">SUMIF('Đóng gói ngoài giờ'!$A$12:$A$216,'Tổng hợp ngoài giờ'!$A20,'Đóng gói ngoài giờ'!G$12:G$87)</f>
        <v>0</v>
      </c>
      <c r="H20" s="4">
        <f ca="1">SUMIF('Đóng gói ngoài giờ'!$A$12:$A$216,'Tổng hợp ngoài giờ'!$A20,'Đóng gói ngoài giờ'!H$12:H$87)</f>
        <v>0</v>
      </c>
      <c r="I20" s="4">
        <f ca="1">SUMIF('Đóng gói ngoài giờ'!$A$12:$A$216,'Tổng hợp ngoài giờ'!$A20,'Đóng gói ngoài giờ'!I$12:I$87)</f>
        <v>0</v>
      </c>
      <c r="J20" s="4">
        <f ca="1">SUMIF('Đóng gói ngoài giờ'!$A$12:$A$216,'Tổng hợp ngoài giờ'!$A20,'Đóng gói ngoài giờ'!J$12:J$87)</f>
        <v>0</v>
      </c>
      <c r="K20" s="4">
        <f ca="1">SUMIF('Đóng gói ngoài giờ'!$A$12:$A$216,'Tổng hợp ngoài giờ'!$A20,'Đóng gói ngoài giờ'!K$12:K$87)</f>
        <v>0</v>
      </c>
      <c r="L20" s="4">
        <f ca="1">SUMIF('Đóng gói ngoài giờ'!$A$12:$A$216,'Tổng hợp ngoài giờ'!$A20,'Đóng gói ngoài giờ'!L$12:L$87)</f>
        <v>0</v>
      </c>
      <c r="M20" s="4">
        <f ca="1">SUMIF('Đóng gói ngoài giờ'!$A$12:$A$216,'Tổng hợp ngoài giờ'!$A20,'Đóng gói ngoài giờ'!M$12:M$87)</f>
        <v>0</v>
      </c>
      <c r="N20" s="4">
        <f ca="1">SUMIF('Đóng gói ngoài giờ'!$A$12:$A$216,'Tổng hợp ngoài giờ'!$A20,'Đóng gói ngoài giờ'!N$12:N$87)</f>
        <v>0</v>
      </c>
      <c r="O20" s="4">
        <f ca="1">SUMIF('Đóng gói ngoài giờ'!$A$12:$A$216,'Tổng hợp ngoài giờ'!$A20,'Đóng gói ngoài giờ'!O$12:O$87)</f>
        <v>0</v>
      </c>
      <c r="P20" s="4">
        <f ca="1">SUMIF('Đóng gói ngoài giờ'!$A$12:$A$216,'Tổng hợp ngoài giờ'!$A20,'Đóng gói ngoài giờ'!P$12:P$87)</f>
        <v>0</v>
      </c>
      <c r="Q20" s="4">
        <f ca="1">SUMIF('Đóng gói ngoài giờ'!$A$12:$A$216,'Tổng hợp ngoài giờ'!$A20,'Đóng gói ngoài giờ'!Q$12:Q$87)</f>
        <v>0</v>
      </c>
      <c r="R20" s="4">
        <f ca="1">SUMIF('Đóng gói ngoài giờ'!$A$12:$A$216,'Tổng hợp ngoài giờ'!$A20,'Đóng gói ngoài giờ'!R$12:R$87)</f>
        <v>0</v>
      </c>
      <c r="S20" s="4">
        <f ca="1">SUMIF('Đóng gói ngoài giờ'!$A$12:$A$216,'Tổng hợp ngoài giờ'!$A20,'Đóng gói ngoài giờ'!S$12:S$87)</f>
        <v>0</v>
      </c>
      <c r="T20" s="4">
        <f ca="1">SUMIF('Đóng gói ngoài giờ'!$A$12:$A$216,'Tổng hợp ngoài giờ'!$A20,'Đóng gói ngoài giờ'!T$12:T$87)</f>
        <v>0</v>
      </c>
      <c r="U20" s="4">
        <f ca="1">SUMIF('Đóng gói ngoài giờ'!$A$12:$A$216,'Tổng hợp ngoài giờ'!$A20,'Đóng gói ngoài giờ'!U$12:U$87)</f>
        <v>0</v>
      </c>
      <c r="V20" s="4">
        <f ca="1">SUMIF('Đóng gói ngoài giờ'!$A$12:$A$216,'Tổng hợp ngoài giờ'!$A20,'Đóng gói ngoài giờ'!V$12:V$87)</f>
        <v>0</v>
      </c>
      <c r="W20" s="4">
        <f ca="1">SUMIF('Đóng gói ngoài giờ'!$A$12:$A$216,'Tổng hợp ngoài giờ'!$A20,'Đóng gói ngoài giờ'!W$12:W$87)</f>
        <v>0</v>
      </c>
      <c r="X20" s="4">
        <f ca="1">SUMIF('Đóng gói ngoài giờ'!$A$12:$A$216,'Tổng hợp ngoài giờ'!$A20,'Đóng gói ngoài giờ'!X$12:X$87)</f>
        <v>0</v>
      </c>
      <c r="Y20" s="4">
        <f ca="1">SUMIF('Đóng gói ngoài giờ'!$A$12:$A$216,'Tổng hợp ngoài giờ'!$A20,'Đóng gói ngoài giờ'!Y$12:Y$87)</f>
        <v>0</v>
      </c>
      <c r="Z20" s="4">
        <f ca="1">SUMIF('Đóng gói ngoài giờ'!$A$12:$A$216,'Tổng hợp ngoài giờ'!$A20,'Đóng gói ngoài giờ'!Z$12:Z$87)</f>
        <v>0</v>
      </c>
      <c r="AA20" s="4">
        <f ca="1">SUMIF('Đóng gói ngoài giờ'!$A$12:$A$216,'Tổng hợp ngoài giờ'!$A20,'Đóng gói ngoài giờ'!AA$12:AA$87)</f>
        <v>0</v>
      </c>
      <c r="AB20" s="4">
        <f ca="1">SUMIF('Đóng gói ngoài giờ'!$A$12:$A$216,'Tổng hợp ngoài giờ'!$A20,'Đóng gói ngoài giờ'!AB$12:AB$87)</f>
        <v>0</v>
      </c>
      <c r="AC20" s="4">
        <f ca="1">SUMIF('Đóng gói ngoài giờ'!$A$12:$A$216,'Tổng hợp ngoài giờ'!$A20,'Đóng gói ngoài giờ'!AC$12:AC$87)</f>
        <v>37.5</v>
      </c>
      <c r="AD20" s="4">
        <f ca="1">SUMIF('Đóng gói ngoài giờ'!$A$12:$A$216,'Tổng hợp ngoài giờ'!$A20,'Đóng gói ngoài giờ'!AD$12:AD$87)</f>
        <v>172.5</v>
      </c>
      <c r="AE20" s="4">
        <f ca="1">SUMIF('Đóng gói ngoài giờ'!$A$12:$A$216,'Tổng hợp ngoài giờ'!$A20,'Đóng gói ngoài giờ'!AE$12:AE$87)</f>
        <v>0</v>
      </c>
      <c r="AF20" s="4">
        <f ca="1">SUMIF('Đóng gói ngoài giờ'!$A$12:$A$216,'Tổng hợp ngoài giờ'!$A20,'Đóng gói ngoài giờ'!AF$12:AF$87)</f>
        <v>0</v>
      </c>
      <c r="AG20" s="4">
        <f ca="1">SUMIF('Đóng gói ngoài giờ'!$A$12:$A$216,'Tổng hợp ngoài giờ'!$A20,'Đóng gói ngoài giờ'!AG$12:AG$87)</f>
        <v>0</v>
      </c>
      <c r="AH20" s="4">
        <f ca="1">SUMIF('Đóng gói ngoài giờ'!$A$12:$A$216,'Tổng hợp ngoài giờ'!$A20,'Đóng gói ngoài giờ'!AH$12:AH$87)</f>
        <v>0</v>
      </c>
      <c r="AI20" s="4">
        <f ca="1">SUMIF('Đóng gói ngoài giờ'!$A$12:$A$216,'Tổng hợp ngoài giờ'!$A20,'Đóng gói ngoài giờ'!AI$12:AI$87)</f>
        <v>0</v>
      </c>
      <c r="AJ20" s="4">
        <f ca="1">SUMIF('Đóng gói ngoài giờ'!$A$12:$A$216,'Tổng hợp ngoài giờ'!$A20,'Đóng gói ngoài giờ'!AJ$12:AJ$87)</f>
        <v>0</v>
      </c>
      <c r="AK20" s="4">
        <f ca="1">SUMIF('Đóng gói ngoài giờ'!$A$12:$A$216,'Tổng hợp ngoài giờ'!$A20,'Đóng gói ngoài giờ'!AK$12:AK$87)</f>
        <v>75</v>
      </c>
      <c r="AL20" s="4">
        <f ca="1">SUMIF('Đóng gói ngoài giờ'!$A$12:$A$216,'Tổng hợp ngoài giờ'!$A20,'Đóng gói ngoài giờ'!AL$12:AL$87)</f>
        <v>0</v>
      </c>
      <c r="AM20" s="4">
        <f ca="1">SUMIF('Đóng gói ngoài giờ'!$A$12:$A$216,'Tổng hợp ngoài giờ'!$A20,'Đóng gói ngoài giờ'!AM$12:AM$87)</f>
        <v>0</v>
      </c>
      <c r="AN20" s="4">
        <f ca="1">SUMIF('Đóng gói ngoài giờ'!$A$12:$A$216,'Tổng hợp ngoài giờ'!$A20,'Đóng gói ngoài giờ'!AN$12:AN$87)</f>
        <v>0</v>
      </c>
      <c r="AO20" s="4">
        <f ca="1">SUMIF('Đóng gói ngoài giờ'!$A$12:$A$216,'Tổng hợp ngoài giờ'!$A20,'Đóng gói ngoài giờ'!AO$12:AO$87)</f>
        <v>0</v>
      </c>
      <c r="AP20" s="4">
        <f ca="1">SUMIF('Đóng gói ngoài giờ'!$A$12:$A$216,'Tổng hợp ngoài giờ'!$A20,'Đóng gói ngoài giờ'!AP$12:AP$87)</f>
        <v>0</v>
      </c>
      <c r="AQ20" s="4">
        <f ca="1">SUMIF('Đóng gói ngoài giờ'!$A$12:$A$216,'Tổng hợp ngoài giờ'!$A20,'Đóng gói ngoài giờ'!AQ$12:AQ$87)</f>
        <v>0</v>
      </c>
      <c r="AR20" s="4">
        <f ca="1">SUMIF('Đóng gói ngoài giờ'!$A$12:$A$216,'Tổng hợp ngoài giờ'!$A20,'Đóng gói ngoài giờ'!AR$12:AR$87)</f>
        <v>0</v>
      </c>
      <c r="AS20" s="4">
        <f ca="1">SUMIF('Đóng gói ngoài giờ'!$A$12:$A$216,'Tổng hợp ngoài giờ'!$A20,'Đóng gói ngoài giờ'!AS$12:AS$87)</f>
        <v>0</v>
      </c>
      <c r="AT20" s="4">
        <f ca="1">SUMIF('Đóng gói ngoài giờ'!$A$12:$A$216,'Tổng hợp ngoài giờ'!$A20,'Đóng gói ngoài giờ'!AT$12:AT$87)</f>
        <v>0</v>
      </c>
      <c r="AU20" s="4">
        <f ca="1">SUMIF('Đóng gói ngoài giờ'!$A$12:$A$216,'Tổng hợp ngoài giờ'!$A20,'Đóng gói ngoài giờ'!AU$12:AU$87)</f>
        <v>0</v>
      </c>
      <c r="AV20" s="4">
        <f ca="1">SUMIF('Đóng gói ngoài giờ'!$A$12:$A$216,'Tổng hợp ngoài giờ'!$A20,'Đóng gói ngoài giờ'!AV$12:AV$87)</f>
        <v>0</v>
      </c>
      <c r="AW20" s="4">
        <f ca="1">SUMIF('Đóng gói ngoài giờ'!$A$12:$A$216,'Tổng hợp ngoài giờ'!$A20,'Đóng gói ngoài giờ'!AW$12:AW$87)</f>
        <v>0</v>
      </c>
      <c r="AX20" s="4">
        <f ca="1">SUMIF('Đóng gói ngoài giờ'!$A$12:$A$216,'Tổng hợp ngoài giờ'!$A20,'Đóng gói ngoài giờ'!AX$12:AX$87)</f>
        <v>0</v>
      </c>
      <c r="AY20" s="4">
        <f ca="1">SUMIF('Đóng gói ngoài giờ'!$A$12:$A$216,'Tổng hợp ngoài giờ'!$A20,'Đóng gói ngoài giờ'!AY$12:AY$87)</f>
        <v>0</v>
      </c>
      <c r="AZ20" s="4">
        <f ca="1">SUMIF('Đóng gói ngoài giờ'!$A$12:$A$216,'Tổng hợp ngoài giờ'!$A20,'Đóng gói ngoài giờ'!AZ$12:AZ$87)</f>
        <v>0</v>
      </c>
      <c r="BA20" s="4">
        <f ca="1">SUMIF('Đóng gói ngoài giờ'!$A$12:$A$216,'Tổng hợp ngoài giờ'!$A20,'Đóng gói ngoài giờ'!BA$12:BA$87)</f>
        <v>0</v>
      </c>
      <c r="BB20" s="4">
        <f ca="1">SUMIF('Đóng gói ngoài giờ'!$A$12:$A$216,'Tổng hợp ngoài giờ'!$A20,'Đóng gói ngoài giờ'!BB$12:BB$87)</f>
        <v>0</v>
      </c>
      <c r="BC20" s="22">
        <f>SUMIF('Đóng gói ngoài giờ'!$A$12:$A$34,'Tổng hợp ngoài giờ'!$A20,'Đóng gói ngoài giờ'!BC$12:BC$34)</f>
        <v>0</v>
      </c>
      <c r="BD20" s="120">
        <f>SUMIF('Bốc hàng ngoài giờ new'!$H$13:$H$4949,'Tổng hợp trong giờ'!A20,'Bốc hàng ngoài giờ new'!$J$13:$J$4949)</f>
        <v>0</v>
      </c>
      <c r="BE20" s="22">
        <f>SUMIF('Đóng gói ngoài giờ'!$A$12:$A$34,'Tổng hợp ngoài giờ'!$A20,'Đóng gói ngoài giờ'!BE$12:BE$34)</f>
        <v>1.5</v>
      </c>
      <c r="BF20" s="4">
        <f ca="1">SUMIF('Đóng gói ngoài giờ'!$A$12:$A$216,'Tổng hợp ngoài giờ'!$A20,'Đóng gói ngoài giờ'!BD$12:BD$87)</f>
        <v>0</v>
      </c>
      <c r="BG20" s="4">
        <f ca="1">SUMIF('Đóng gói ngoài giờ'!$A$12:$A$216,'Tổng hợp ngoài giờ'!$A20,'Đóng gói ngoài giờ'!BE$12:BE$87)</f>
        <v>14.5</v>
      </c>
      <c r="BH20" s="4">
        <f ca="1">SUMIF('Đóng gói ngoài giờ'!$A$12:$A$216,'Tổng hợp ngoài giờ'!$A20,'Đóng gói ngoài giờ'!BF$12:BF$87)</f>
        <v>0</v>
      </c>
      <c r="BI20" s="4">
        <f ca="1">SUMIF('Đóng gói ngoài giờ'!$A$12:$A$216,'Tổng hợp ngoài giờ'!$A20,'Đóng gói ngoài giờ'!BG$12:BG$87)</f>
        <v>0</v>
      </c>
      <c r="BJ20" s="4">
        <f ca="1">SUMIF('Đóng gói ngoài giờ'!$A$12:$A$216,'Tổng hợp ngoài giờ'!$A20,'Đóng gói ngoài giờ'!BH$12:BH$87)</f>
        <v>0</v>
      </c>
      <c r="BK20" s="4">
        <f ca="1">SUMIF('Đóng gói ngoài giờ'!$A$12:$A$216,'Tổng hợp ngoài giờ'!$A20,'Đóng gói ngoài giờ'!BI$12:BI$87)</f>
        <v>0</v>
      </c>
      <c r="BL20" s="4">
        <f ca="1">SUMIF('Đóng gói ngoài giờ'!$A$12:$A$216,'Tổng hợp ngoài giờ'!$A20,'Đóng gói ngoài giờ'!BJ$12:BJ$87)</f>
        <v>0</v>
      </c>
      <c r="BM20" s="4">
        <f ca="1">SUMIF('Đóng gói ngoài giờ'!$A$12:$A$216,'Tổng hợp ngoài giờ'!$A20,'Đóng gói ngoài giờ'!BK$12:BK$87)</f>
        <v>0</v>
      </c>
      <c r="BN20" s="4">
        <f ca="1">SUMIF('Đóng gói ngoài giờ'!$A$12:$A$216,'Tổng hợp ngoài giờ'!$A20,'Đóng gói ngoài giờ'!BL$12:BL$87)</f>
        <v>6.5</v>
      </c>
      <c r="BO20" s="4">
        <f ca="1">SUMIF('Đóng gói ngoài giờ'!$A$12:$A$216,'Tổng hợp ngoài giờ'!$A20,'Đóng gói ngoài giờ'!BM$12:BM$87)</f>
        <v>0</v>
      </c>
      <c r="BP20" s="4">
        <f ca="1">SUMIF('Đóng gói ngoài giờ'!$A$12:$A$216,'Tổng hợp ngoài giờ'!$A20,'Đóng gói ngoài giờ'!BN$12:BN$87)</f>
        <v>0</v>
      </c>
      <c r="BQ20" s="4">
        <f ca="1">SUMIF('Đóng gói ngoài giờ'!$A$12:$A$216,'Tổng hợp ngoài giờ'!$A20,'Đóng gói ngoài giờ'!BO$12:BO$87)</f>
        <v>0</v>
      </c>
      <c r="BR20" s="4">
        <f ca="1">SUMIF('Đóng gói ngoài giờ'!$A$12:$A$216,'Tổng hợp ngoài giờ'!$A20,'Đóng gói ngoài giờ'!BP$12:BP$87)</f>
        <v>0</v>
      </c>
      <c r="BS20" s="4">
        <f ca="1">SUMIF('Đóng gói ngoài giờ'!$A$12:$A$216,'Tổng hợp ngoài giờ'!$A20,'Đóng gói ngoài giờ'!BQ$12:BQ$87)</f>
        <v>0</v>
      </c>
      <c r="BT20" s="4">
        <f ca="1">SUMIF('Đóng gói ngoài giờ'!$A$12:$A$216,'Tổng hợp ngoài giờ'!$A20,'Đóng gói ngoài giờ'!BR$12:BR$87)</f>
        <v>0</v>
      </c>
      <c r="BU20" s="96">
        <f t="shared" ca="1" si="1"/>
        <v>21</v>
      </c>
      <c r="BV20" s="244">
        <f t="shared" ca="1" si="2"/>
        <v>851949.42044257117</v>
      </c>
      <c r="BW20" s="168">
        <f t="shared" ca="1" si="3"/>
        <v>1218951.1559999627</v>
      </c>
      <c r="CL20" s="9">
        <v>9</v>
      </c>
    </row>
    <row r="21" spans="1:90" ht="15.75" x14ac:dyDescent="0.25">
      <c r="A21" s="224" t="s">
        <v>108</v>
      </c>
      <c r="B21" s="2" t="str">
        <f>VLOOKUP(A21,'Mã NV'!$A$1:$C$27,2,0)</f>
        <v>Lê Minh Nghĩa</v>
      </c>
      <c r="C21" s="23"/>
      <c r="D21" s="4">
        <f ca="1">SUMIF('Đóng gói ngoài giờ'!$A$12:$A$216,'Tổng hợp ngoài giờ'!$A21,'Đóng gói ngoài giờ'!D$12:D$87)</f>
        <v>0</v>
      </c>
      <c r="E21" s="4">
        <f ca="1">SUMIF('Đóng gói ngoài giờ'!$A$12:$A$216,'Tổng hợp ngoài giờ'!$A21,'Đóng gói ngoài giờ'!E$12:E$87)</f>
        <v>0</v>
      </c>
      <c r="F21" s="4">
        <f ca="1">SUMIF('Đóng gói ngoài giờ'!$A$12:$A$216,'Tổng hợp ngoài giờ'!$A21,'Đóng gói ngoài giờ'!F$12:F$87)</f>
        <v>0</v>
      </c>
      <c r="G21" s="4">
        <f ca="1">SUMIF('Đóng gói ngoài giờ'!$A$12:$A$216,'Tổng hợp ngoài giờ'!$A21,'Đóng gói ngoài giờ'!G$12:G$87)</f>
        <v>0</v>
      </c>
      <c r="H21" s="4">
        <f ca="1">SUMIF('Đóng gói ngoài giờ'!$A$12:$A$216,'Tổng hợp ngoài giờ'!$A21,'Đóng gói ngoài giờ'!H$12:H$87)</f>
        <v>0</v>
      </c>
      <c r="I21" s="4">
        <f ca="1">SUMIF('Đóng gói ngoài giờ'!$A$12:$A$216,'Tổng hợp ngoài giờ'!$A21,'Đóng gói ngoài giờ'!I$12:I$87)</f>
        <v>0</v>
      </c>
      <c r="J21" s="4">
        <f ca="1">SUMIF('Đóng gói ngoài giờ'!$A$12:$A$216,'Tổng hợp ngoài giờ'!$A21,'Đóng gói ngoài giờ'!J$12:J$87)</f>
        <v>0</v>
      </c>
      <c r="K21" s="4">
        <f ca="1">SUMIF('Đóng gói ngoài giờ'!$A$12:$A$216,'Tổng hợp ngoài giờ'!$A21,'Đóng gói ngoài giờ'!K$12:K$87)</f>
        <v>0</v>
      </c>
      <c r="L21" s="4">
        <f ca="1">SUMIF('Đóng gói ngoài giờ'!$A$12:$A$216,'Tổng hợp ngoài giờ'!$A21,'Đóng gói ngoài giờ'!L$12:L$87)</f>
        <v>0</v>
      </c>
      <c r="M21" s="4">
        <f ca="1">SUMIF('Đóng gói ngoài giờ'!$A$12:$A$216,'Tổng hợp ngoài giờ'!$A21,'Đóng gói ngoài giờ'!M$12:M$87)</f>
        <v>0</v>
      </c>
      <c r="N21" s="4">
        <f ca="1">SUMIF('Đóng gói ngoài giờ'!$A$12:$A$216,'Tổng hợp ngoài giờ'!$A21,'Đóng gói ngoài giờ'!N$12:N$87)</f>
        <v>0</v>
      </c>
      <c r="O21" s="4">
        <f ca="1">SUMIF('Đóng gói ngoài giờ'!$A$12:$A$216,'Tổng hợp ngoài giờ'!$A21,'Đóng gói ngoài giờ'!O$12:O$87)</f>
        <v>0</v>
      </c>
      <c r="P21" s="4">
        <f ca="1">SUMIF('Đóng gói ngoài giờ'!$A$12:$A$216,'Tổng hợp ngoài giờ'!$A21,'Đóng gói ngoài giờ'!P$12:P$87)</f>
        <v>0</v>
      </c>
      <c r="Q21" s="4">
        <f ca="1">SUMIF('Đóng gói ngoài giờ'!$A$12:$A$216,'Tổng hợp ngoài giờ'!$A21,'Đóng gói ngoài giờ'!Q$12:Q$87)</f>
        <v>0</v>
      </c>
      <c r="R21" s="4">
        <f ca="1">SUMIF('Đóng gói ngoài giờ'!$A$12:$A$216,'Tổng hợp ngoài giờ'!$A21,'Đóng gói ngoài giờ'!R$12:R$87)</f>
        <v>0</v>
      </c>
      <c r="S21" s="4">
        <f ca="1">SUMIF('Đóng gói ngoài giờ'!$A$12:$A$216,'Tổng hợp ngoài giờ'!$A21,'Đóng gói ngoài giờ'!S$12:S$87)</f>
        <v>0</v>
      </c>
      <c r="T21" s="4">
        <f ca="1">SUMIF('Đóng gói ngoài giờ'!$A$12:$A$216,'Tổng hợp ngoài giờ'!$A21,'Đóng gói ngoài giờ'!T$12:T$87)</f>
        <v>0</v>
      </c>
      <c r="U21" s="4">
        <f ca="1">SUMIF('Đóng gói ngoài giờ'!$A$12:$A$216,'Tổng hợp ngoài giờ'!$A21,'Đóng gói ngoài giờ'!U$12:U$87)</f>
        <v>0</v>
      </c>
      <c r="V21" s="4">
        <f ca="1">SUMIF('Đóng gói ngoài giờ'!$A$12:$A$216,'Tổng hợp ngoài giờ'!$A21,'Đóng gói ngoài giờ'!V$12:V$87)</f>
        <v>0</v>
      </c>
      <c r="W21" s="4">
        <f ca="1">SUMIF('Đóng gói ngoài giờ'!$A$12:$A$216,'Tổng hợp ngoài giờ'!$A21,'Đóng gói ngoài giờ'!W$12:W$87)</f>
        <v>0</v>
      </c>
      <c r="X21" s="4">
        <f ca="1">SUMIF('Đóng gói ngoài giờ'!$A$12:$A$216,'Tổng hợp ngoài giờ'!$A21,'Đóng gói ngoài giờ'!X$12:X$87)</f>
        <v>0</v>
      </c>
      <c r="Y21" s="4">
        <f ca="1">SUMIF('Đóng gói ngoài giờ'!$A$12:$A$216,'Tổng hợp ngoài giờ'!$A21,'Đóng gói ngoài giờ'!Y$12:Y$87)</f>
        <v>0</v>
      </c>
      <c r="Z21" s="4">
        <f ca="1">SUMIF('Đóng gói ngoài giờ'!$A$12:$A$216,'Tổng hợp ngoài giờ'!$A21,'Đóng gói ngoài giờ'!Z$12:Z$87)</f>
        <v>0</v>
      </c>
      <c r="AA21" s="4">
        <f ca="1">SUMIF('Đóng gói ngoài giờ'!$A$12:$A$216,'Tổng hợp ngoài giờ'!$A21,'Đóng gói ngoài giờ'!AA$12:AA$87)</f>
        <v>0</v>
      </c>
      <c r="AB21" s="4">
        <f ca="1">SUMIF('Đóng gói ngoài giờ'!$A$12:$A$216,'Tổng hợp ngoài giờ'!$A21,'Đóng gói ngoài giờ'!AB$12:AB$87)</f>
        <v>0</v>
      </c>
      <c r="AC21" s="4">
        <f ca="1">SUMIF('Đóng gói ngoài giờ'!$A$12:$A$216,'Tổng hợp ngoài giờ'!$A21,'Đóng gói ngoài giờ'!AC$12:AC$87)</f>
        <v>0</v>
      </c>
      <c r="AD21" s="4">
        <f ca="1">SUMIF('Đóng gói ngoài giờ'!$A$12:$A$216,'Tổng hợp ngoài giờ'!$A21,'Đóng gói ngoài giờ'!AD$12:AD$87)</f>
        <v>0</v>
      </c>
      <c r="AE21" s="4">
        <f ca="1">SUMIF('Đóng gói ngoài giờ'!$A$12:$A$216,'Tổng hợp ngoài giờ'!$A21,'Đóng gói ngoài giờ'!AE$12:AE$87)</f>
        <v>0</v>
      </c>
      <c r="AF21" s="4">
        <f ca="1">SUMIF('Đóng gói ngoài giờ'!$A$12:$A$216,'Tổng hợp ngoài giờ'!$A21,'Đóng gói ngoài giờ'!AF$12:AF$87)</f>
        <v>0</v>
      </c>
      <c r="AG21" s="4">
        <f ca="1">SUMIF('Đóng gói ngoài giờ'!$A$12:$A$216,'Tổng hợp ngoài giờ'!$A21,'Đóng gói ngoài giờ'!AG$12:AG$87)</f>
        <v>0</v>
      </c>
      <c r="AH21" s="4">
        <f ca="1">SUMIF('Đóng gói ngoài giờ'!$A$12:$A$216,'Tổng hợp ngoài giờ'!$A21,'Đóng gói ngoài giờ'!AH$12:AH$87)</f>
        <v>0</v>
      </c>
      <c r="AI21" s="4">
        <f ca="1">SUMIF('Đóng gói ngoài giờ'!$A$12:$A$216,'Tổng hợp ngoài giờ'!$A21,'Đóng gói ngoài giờ'!AI$12:AI$87)</f>
        <v>0</v>
      </c>
      <c r="AJ21" s="4">
        <f ca="1">SUMIF('Đóng gói ngoài giờ'!$A$12:$A$216,'Tổng hợp ngoài giờ'!$A21,'Đóng gói ngoài giờ'!AJ$12:AJ$87)</f>
        <v>0</v>
      </c>
      <c r="AK21" s="4">
        <f ca="1">SUMIF('Đóng gói ngoài giờ'!$A$12:$A$216,'Tổng hợp ngoài giờ'!$A21,'Đóng gói ngoài giờ'!AK$12:AK$87)</f>
        <v>0</v>
      </c>
      <c r="AL21" s="4">
        <f ca="1">SUMIF('Đóng gói ngoài giờ'!$A$12:$A$216,'Tổng hợp ngoài giờ'!$A21,'Đóng gói ngoài giờ'!AL$12:AL$87)</f>
        <v>0</v>
      </c>
      <c r="AM21" s="4">
        <f ca="1">SUMIF('Đóng gói ngoài giờ'!$A$12:$A$216,'Tổng hợp ngoài giờ'!$A21,'Đóng gói ngoài giờ'!AM$12:AM$87)</f>
        <v>0</v>
      </c>
      <c r="AN21" s="4">
        <f ca="1">SUMIF('Đóng gói ngoài giờ'!$A$12:$A$216,'Tổng hợp ngoài giờ'!$A21,'Đóng gói ngoài giờ'!AN$12:AN$87)</f>
        <v>0</v>
      </c>
      <c r="AO21" s="4">
        <f ca="1">SUMIF('Đóng gói ngoài giờ'!$A$12:$A$216,'Tổng hợp ngoài giờ'!$A21,'Đóng gói ngoài giờ'!AO$12:AO$87)</f>
        <v>0</v>
      </c>
      <c r="AP21" s="4">
        <f ca="1">SUMIF('Đóng gói ngoài giờ'!$A$12:$A$216,'Tổng hợp ngoài giờ'!$A21,'Đóng gói ngoài giờ'!AP$12:AP$87)</f>
        <v>0</v>
      </c>
      <c r="AQ21" s="4">
        <f ca="1">SUMIF('Đóng gói ngoài giờ'!$A$12:$A$216,'Tổng hợp ngoài giờ'!$A21,'Đóng gói ngoài giờ'!AQ$12:AQ$87)</f>
        <v>0</v>
      </c>
      <c r="AR21" s="4">
        <f ca="1">SUMIF('Đóng gói ngoài giờ'!$A$12:$A$216,'Tổng hợp ngoài giờ'!$A21,'Đóng gói ngoài giờ'!AR$12:AR$87)</f>
        <v>0</v>
      </c>
      <c r="AS21" s="4">
        <f ca="1">SUMIF('Đóng gói ngoài giờ'!$A$12:$A$216,'Tổng hợp ngoài giờ'!$A21,'Đóng gói ngoài giờ'!AS$12:AS$87)</f>
        <v>0</v>
      </c>
      <c r="AT21" s="4">
        <f ca="1">SUMIF('Đóng gói ngoài giờ'!$A$12:$A$216,'Tổng hợp ngoài giờ'!$A21,'Đóng gói ngoài giờ'!AT$12:AT$87)</f>
        <v>0</v>
      </c>
      <c r="AU21" s="4">
        <f ca="1">SUMIF('Đóng gói ngoài giờ'!$A$12:$A$216,'Tổng hợp ngoài giờ'!$A21,'Đóng gói ngoài giờ'!AU$12:AU$87)</f>
        <v>0</v>
      </c>
      <c r="AV21" s="4">
        <f ca="1">SUMIF('Đóng gói ngoài giờ'!$A$12:$A$216,'Tổng hợp ngoài giờ'!$A21,'Đóng gói ngoài giờ'!AV$12:AV$87)</f>
        <v>0</v>
      </c>
      <c r="AW21" s="4">
        <f ca="1">SUMIF('Đóng gói ngoài giờ'!$A$12:$A$216,'Tổng hợp ngoài giờ'!$A21,'Đóng gói ngoài giờ'!AW$12:AW$87)</f>
        <v>0</v>
      </c>
      <c r="AX21" s="4">
        <f ca="1">SUMIF('Đóng gói ngoài giờ'!$A$12:$A$216,'Tổng hợp ngoài giờ'!$A21,'Đóng gói ngoài giờ'!AX$12:AX$87)</f>
        <v>0</v>
      </c>
      <c r="AY21" s="4">
        <f ca="1">SUMIF('Đóng gói ngoài giờ'!$A$12:$A$216,'Tổng hợp ngoài giờ'!$A21,'Đóng gói ngoài giờ'!AY$12:AY$87)</f>
        <v>0</v>
      </c>
      <c r="AZ21" s="4">
        <f ca="1">SUMIF('Đóng gói ngoài giờ'!$A$12:$A$216,'Tổng hợp ngoài giờ'!$A21,'Đóng gói ngoài giờ'!AZ$12:AZ$87)</f>
        <v>0</v>
      </c>
      <c r="BA21" s="4">
        <f ca="1">SUMIF('Đóng gói ngoài giờ'!$A$12:$A$216,'Tổng hợp ngoài giờ'!$A21,'Đóng gói ngoài giờ'!BA$12:BA$87)</f>
        <v>0</v>
      </c>
      <c r="BB21" s="4">
        <f ca="1">SUMIF('Đóng gói ngoài giờ'!$A$12:$A$216,'Tổng hợp ngoài giờ'!$A21,'Đóng gói ngoài giờ'!BB$12:BB$87)</f>
        <v>0</v>
      </c>
      <c r="BC21" s="22">
        <f>SUMIF('Đóng gói ngoài giờ'!$A$12:$A$34,'Tổng hợp ngoài giờ'!$A21,'Đóng gói ngoài giờ'!BC$12:BC$34)</f>
        <v>0</v>
      </c>
      <c r="BD21" s="120">
        <f>SUMIF('Bốc hàng ngoài giờ new'!$H$13:$H$4949,'Tổng hợp trong giờ'!A21,'Bốc hàng ngoài giờ new'!$J$13:$J$4949)</f>
        <v>0</v>
      </c>
      <c r="BE21" s="22">
        <f>SUMIF('Đóng gói ngoài giờ'!$A$12:$A$34,'Tổng hợp ngoài giờ'!$A21,'Đóng gói ngoài giờ'!BE$12:BE$34)</f>
        <v>1.5</v>
      </c>
      <c r="BF21" s="4">
        <f ca="1">SUMIF('Đóng gói ngoài giờ'!$A$12:$A$216,'Tổng hợp ngoài giờ'!$A21,'Đóng gói ngoài giờ'!BD$12:BD$87)</f>
        <v>0</v>
      </c>
      <c r="BG21" s="4">
        <f ca="1">SUMIF('Đóng gói ngoài giờ'!$A$12:$A$216,'Tổng hợp ngoài giờ'!$A21,'Đóng gói ngoài giờ'!BE$12:BE$87)</f>
        <v>9.5</v>
      </c>
      <c r="BH21" s="4">
        <f ca="1">SUMIF('Đóng gói ngoài giờ'!$A$12:$A$216,'Tổng hợp ngoài giờ'!$A21,'Đóng gói ngoài giờ'!BF$12:BF$87)</f>
        <v>0</v>
      </c>
      <c r="BI21" s="4">
        <f ca="1">SUMIF('Đóng gói ngoài giờ'!$A$12:$A$216,'Tổng hợp ngoài giờ'!$A21,'Đóng gói ngoài giờ'!BG$12:BG$87)</f>
        <v>0</v>
      </c>
      <c r="BJ21" s="4">
        <f ca="1">SUMIF('Đóng gói ngoài giờ'!$A$12:$A$216,'Tổng hợp ngoài giờ'!$A21,'Đóng gói ngoài giờ'!BH$12:BH$87)</f>
        <v>0</v>
      </c>
      <c r="BK21" s="4">
        <f ca="1">SUMIF('Đóng gói ngoài giờ'!$A$12:$A$216,'Tổng hợp ngoài giờ'!$A21,'Đóng gói ngoài giờ'!BI$12:BI$87)</f>
        <v>0</v>
      </c>
      <c r="BL21" s="4">
        <f ca="1">SUMIF('Đóng gói ngoài giờ'!$A$12:$A$216,'Tổng hợp ngoài giờ'!$A21,'Đóng gói ngoài giờ'!BJ$12:BJ$87)</f>
        <v>0</v>
      </c>
      <c r="BM21" s="4">
        <f ca="1">SUMIF('Đóng gói ngoài giờ'!$A$12:$A$216,'Tổng hợp ngoài giờ'!$A21,'Đóng gói ngoài giờ'!BK$12:BK$87)</f>
        <v>0</v>
      </c>
      <c r="BN21" s="4">
        <f ca="1">SUMIF('Đóng gói ngoài giờ'!$A$12:$A$216,'Tổng hợp ngoài giờ'!$A21,'Đóng gói ngoài giờ'!BL$12:BL$87)</f>
        <v>1.5</v>
      </c>
      <c r="BO21" s="4">
        <f ca="1">SUMIF('Đóng gói ngoài giờ'!$A$12:$A$216,'Tổng hợp ngoài giờ'!$A21,'Đóng gói ngoài giờ'!BM$12:BM$87)</f>
        <v>0</v>
      </c>
      <c r="BP21" s="4">
        <f ca="1">SUMIF('Đóng gói ngoài giờ'!$A$12:$A$216,'Tổng hợp ngoài giờ'!$A21,'Đóng gói ngoài giờ'!BN$12:BN$87)</f>
        <v>0</v>
      </c>
      <c r="BQ21" s="4">
        <f ca="1">SUMIF('Đóng gói ngoài giờ'!$A$12:$A$216,'Tổng hợp ngoài giờ'!$A21,'Đóng gói ngoài giờ'!BO$12:BO$87)</f>
        <v>0</v>
      </c>
      <c r="BR21" s="4">
        <f ca="1">SUMIF('Đóng gói ngoài giờ'!$A$12:$A$216,'Tổng hợp ngoài giờ'!$A21,'Đóng gói ngoài giờ'!BP$12:BP$87)</f>
        <v>0</v>
      </c>
      <c r="BS21" s="4">
        <f ca="1">SUMIF('Đóng gói ngoài giờ'!$A$12:$A$216,'Tổng hợp ngoài giờ'!$A21,'Đóng gói ngoài giờ'!BQ$12:BQ$87)</f>
        <v>0</v>
      </c>
      <c r="BT21" s="4">
        <f ca="1">SUMIF('Đóng gói ngoài giờ'!$A$12:$A$216,'Tổng hợp ngoài giờ'!$A21,'Đóng gói ngoài giờ'!BR$12:BR$87)</f>
        <v>0</v>
      </c>
      <c r="BU21" s="96">
        <f t="shared" ca="1" si="1"/>
        <v>11</v>
      </c>
      <c r="BV21" s="244">
        <f t="shared" ca="1" si="2"/>
        <v>446259.22023182304</v>
      </c>
      <c r="BW21" s="168">
        <f t="shared" ca="1" si="3"/>
        <v>446259.22023182304</v>
      </c>
      <c r="CL21" s="7">
        <v>10</v>
      </c>
    </row>
    <row r="22" spans="1:90" ht="15.75" x14ac:dyDescent="0.25">
      <c r="A22" s="224" t="s">
        <v>109</v>
      </c>
      <c r="B22" s="2" t="str">
        <f>VLOOKUP(A22,'Mã NV'!$A$1:$C$27,2,0)</f>
        <v>Trần Văn Tây</v>
      </c>
      <c r="C22" s="23"/>
      <c r="D22" s="4">
        <f ca="1">SUMIF('Đóng gói ngoài giờ'!$A$12:$A$216,'Tổng hợp ngoài giờ'!$A22,'Đóng gói ngoài giờ'!D$12:D$87)</f>
        <v>0</v>
      </c>
      <c r="E22" s="4">
        <f ca="1">SUMIF('Đóng gói ngoài giờ'!$A$12:$A$216,'Tổng hợp ngoài giờ'!$A22,'Đóng gói ngoài giờ'!E$12:E$87)</f>
        <v>0</v>
      </c>
      <c r="F22" s="4">
        <f ca="1">SUMIF('Đóng gói ngoài giờ'!$A$12:$A$216,'Tổng hợp ngoài giờ'!$A22,'Đóng gói ngoài giờ'!F$12:F$87)</f>
        <v>150</v>
      </c>
      <c r="G22" s="4">
        <f ca="1">SUMIF('Đóng gói ngoài giờ'!$A$12:$A$216,'Tổng hợp ngoài giờ'!$A22,'Đóng gói ngoài giờ'!G$12:G$87)</f>
        <v>0</v>
      </c>
      <c r="H22" s="4">
        <f ca="1">SUMIF('Đóng gói ngoài giờ'!$A$12:$A$216,'Tổng hợp ngoài giờ'!$A22,'Đóng gói ngoài giờ'!H$12:H$87)</f>
        <v>0</v>
      </c>
      <c r="I22" s="4">
        <f ca="1">SUMIF('Đóng gói ngoài giờ'!$A$12:$A$216,'Tổng hợp ngoài giờ'!$A22,'Đóng gói ngoài giờ'!I$12:I$87)</f>
        <v>0</v>
      </c>
      <c r="J22" s="4">
        <f ca="1">SUMIF('Đóng gói ngoài giờ'!$A$12:$A$216,'Tổng hợp ngoài giờ'!$A22,'Đóng gói ngoài giờ'!J$12:J$87)</f>
        <v>0</v>
      </c>
      <c r="K22" s="4">
        <f ca="1">SUMIF('Đóng gói ngoài giờ'!$A$12:$A$216,'Tổng hợp ngoài giờ'!$A22,'Đóng gói ngoài giờ'!K$12:K$87)</f>
        <v>0</v>
      </c>
      <c r="L22" s="4">
        <f ca="1">SUMIF('Đóng gói ngoài giờ'!$A$12:$A$216,'Tổng hợp ngoài giờ'!$A22,'Đóng gói ngoài giờ'!L$12:L$87)</f>
        <v>0</v>
      </c>
      <c r="M22" s="4">
        <f ca="1">SUMIF('Đóng gói ngoài giờ'!$A$12:$A$216,'Tổng hợp ngoài giờ'!$A22,'Đóng gói ngoài giờ'!M$12:M$87)</f>
        <v>0</v>
      </c>
      <c r="N22" s="4">
        <f ca="1">SUMIF('Đóng gói ngoài giờ'!$A$12:$A$216,'Tổng hợp ngoài giờ'!$A22,'Đóng gói ngoài giờ'!N$12:N$87)</f>
        <v>0</v>
      </c>
      <c r="O22" s="4">
        <f ca="1">SUMIF('Đóng gói ngoài giờ'!$A$12:$A$216,'Tổng hợp ngoài giờ'!$A22,'Đóng gói ngoài giờ'!O$12:O$87)</f>
        <v>0</v>
      </c>
      <c r="P22" s="4">
        <f ca="1">SUMIF('Đóng gói ngoài giờ'!$A$12:$A$216,'Tổng hợp ngoài giờ'!$A22,'Đóng gói ngoài giờ'!P$12:P$87)</f>
        <v>0</v>
      </c>
      <c r="Q22" s="4">
        <f ca="1">SUMIF('Đóng gói ngoài giờ'!$A$12:$A$216,'Tổng hợp ngoài giờ'!$A22,'Đóng gói ngoài giờ'!Q$12:Q$87)</f>
        <v>0</v>
      </c>
      <c r="R22" s="4">
        <f ca="1">SUMIF('Đóng gói ngoài giờ'!$A$12:$A$216,'Tổng hợp ngoài giờ'!$A22,'Đóng gói ngoài giờ'!R$12:R$87)</f>
        <v>0</v>
      </c>
      <c r="S22" s="4">
        <f ca="1">SUMIF('Đóng gói ngoài giờ'!$A$12:$A$216,'Tổng hợp ngoài giờ'!$A22,'Đóng gói ngoài giờ'!S$12:S$87)</f>
        <v>0</v>
      </c>
      <c r="T22" s="4">
        <f ca="1">SUMIF('Đóng gói ngoài giờ'!$A$12:$A$216,'Tổng hợp ngoài giờ'!$A22,'Đóng gói ngoài giờ'!T$12:T$87)</f>
        <v>0</v>
      </c>
      <c r="U22" s="4">
        <f ca="1">SUMIF('Đóng gói ngoài giờ'!$A$12:$A$216,'Tổng hợp ngoài giờ'!$A22,'Đóng gói ngoài giờ'!U$12:U$87)</f>
        <v>0</v>
      </c>
      <c r="V22" s="4">
        <f ca="1">SUMIF('Đóng gói ngoài giờ'!$A$12:$A$216,'Tổng hợp ngoài giờ'!$A22,'Đóng gói ngoài giờ'!V$12:V$87)</f>
        <v>0</v>
      </c>
      <c r="W22" s="4">
        <f ca="1">SUMIF('Đóng gói ngoài giờ'!$A$12:$A$216,'Tổng hợp ngoài giờ'!$A22,'Đóng gói ngoài giờ'!W$12:W$87)</f>
        <v>0</v>
      </c>
      <c r="X22" s="4">
        <f ca="1">SUMIF('Đóng gói ngoài giờ'!$A$12:$A$216,'Tổng hợp ngoài giờ'!$A22,'Đóng gói ngoài giờ'!X$12:X$87)</f>
        <v>0</v>
      </c>
      <c r="Y22" s="4">
        <f ca="1">SUMIF('Đóng gói ngoài giờ'!$A$12:$A$216,'Tổng hợp ngoài giờ'!$A22,'Đóng gói ngoài giờ'!Y$12:Y$87)</f>
        <v>0</v>
      </c>
      <c r="Z22" s="4">
        <f ca="1">SUMIF('Đóng gói ngoài giờ'!$A$12:$A$216,'Tổng hợp ngoài giờ'!$A22,'Đóng gói ngoài giờ'!Z$12:Z$87)</f>
        <v>0</v>
      </c>
      <c r="AA22" s="4">
        <f ca="1">SUMIF('Đóng gói ngoài giờ'!$A$12:$A$216,'Tổng hợp ngoài giờ'!$A22,'Đóng gói ngoài giờ'!AA$12:AA$87)</f>
        <v>0</v>
      </c>
      <c r="AB22" s="4">
        <f ca="1">SUMIF('Đóng gói ngoài giờ'!$A$12:$A$216,'Tổng hợp ngoài giờ'!$A22,'Đóng gói ngoài giờ'!AB$12:AB$87)</f>
        <v>0</v>
      </c>
      <c r="AC22" s="4">
        <f ca="1">SUMIF('Đóng gói ngoài giờ'!$A$12:$A$216,'Tổng hợp ngoài giờ'!$A22,'Đóng gói ngoài giờ'!AC$12:AC$87)</f>
        <v>37.5</v>
      </c>
      <c r="AD22" s="4">
        <f ca="1">SUMIF('Đóng gói ngoài giờ'!$A$12:$A$216,'Tổng hợp ngoài giờ'!$A22,'Đóng gói ngoài giờ'!AD$12:AD$87)</f>
        <v>172.5</v>
      </c>
      <c r="AE22" s="4">
        <f ca="1">SUMIF('Đóng gói ngoài giờ'!$A$12:$A$216,'Tổng hợp ngoài giờ'!$A22,'Đóng gói ngoài giờ'!AE$12:AE$87)</f>
        <v>0</v>
      </c>
      <c r="AF22" s="4">
        <f ca="1">SUMIF('Đóng gói ngoài giờ'!$A$12:$A$216,'Tổng hợp ngoài giờ'!$A22,'Đóng gói ngoài giờ'!AF$12:AF$87)</f>
        <v>0</v>
      </c>
      <c r="AG22" s="4">
        <f ca="1">SUMIF('Đóng gói ngoài giờ'!$A$12:$A$216,'Tổng hợp ngoài giờ'!$A22,'Đóng gói ngoài giờ'!AG$12:AG$87)</f>
        <v>0</v>
      </c>
      <c r="AH22" s="4">
        <f ca="1">SUMIF('Đóng gói ngoài giờ'!$A$12:$A$216,'Tổng hợp ngoài giờ'!$A22,'Đóng gói ngoài giờ'!AH$12:AH$87)</f>
        <v>0</v>
      </c>
      <c r="AI22" s="4">
        <f ca="1">SUMIF('Đóng gói ngoài giờ'!$A$12:$A$216,'Tổng hợp ngoài giờ'!$A22,'Đóng gói ngoài giờ'!AI$12:AI$87)</f>
        <v>0</v>
      </c>
      <c r="AJ22" s="4">
        <f ca="1">SUMIF('Đóng gói ngoài giờ'!$A$12:$A$216,'Tổng hợp ngoài giờ'!$A22,'Đóng gói ngoài giờ'!AJ$12:AJ$87)</f>
        <v>60</v>
      </c>
      <c r="AK22" s="4">
        <f ca="1">SUMIF('Đóng gói ngoài giờ'!$A$12:$A$216,'Tổng hợp ngoài giờ'!$A22,'Đóng gói ngoài giờ'!AK$12:AK$87)</f>
        <v>33.333333333333336</v>
      </c>
      <c r="AL22" s="4">
        <f ca="1">SUMIF('Đóng gói ngoài giờ'!$A$12:$A$216,'Tổng hợp ngoài giờ'!$A22,'Đóng gói ngoài giờ'!AL$12:AL$87)</f>
        <v>0</v>
      </c>
      <c r="AM22" s="4">
        <f ca="1">SUMIF('Đóng gói ngoài giờ'!$A$12:$A$216,'Tổng hợp ngoài giờ'!$A22,'Đóng gói ngoài giờ'!AM$12:AM$87)</f>
        <v>0</v>
      </c>
      <c r="AN22" s="4">
        <f ca="1">SUMIF('Đóng gói ngoài giờ'!$A$12:$A$216,'Tổng hợp ngoài giờ'!$A22,'Đóng gói ngoài giờ'!AN$12:AN$87)</f>
        <v>0</v>
      </c>
      <c r="AO22" s="4">
        <f ca="1">SUMIF('Đóng gói ngoài giờ'!$A$12:$A$216,'Tổng hợp ngoài giờ'!$A22,'Đóng gói ngoài giờ'!AO$12:AO$87)</f>
        <v>0</v>
      </c>
      <c r="AP22" s="4">
        <f ca="1">SUMIF('Đóng gói ngoài giờ'!$A$12:$A$216,'Tổng hợp ngoài giờ'!$A22,'Đóng gói ngoài giờ'!AP$12:AP$87)</f>
        <v>0</v>
      </c>
      <c r="AQ22" s="4">
        <f ca="1">SUMIF('Đóng gói ngoài giờ'!$A$12:$A$216,'Tổng hợp ngoài giờ'!$A22,'Đóng gói ngoài giờ'!AQ$12:AQ$87)</f>
        <v>0</v>
      </c>
      <c r="AR22" s="4">
        <f ca="1">SUMIF('Đóng gói ngoài giờ'!$A$12:$A$216,'Tổng hợp ngoài giờ'!$A22,'Đóng gói ngoài giờ'!AR$12:AR$87)</f>
        <v>0</v>
      </c>
      <c r="AS22" s="4">
        <f ca="1">SUMIF('Đóng gói ngoài giờ'!$A$12:$A$216,'Tổng hợp ngoài giờ'!$A22,'Đóng gói ngoài giờ'!AS$12:AS$87)</f>
        <v>0</v>
      </c>
      <c r="AT22" s="4">
        <f ca="1">SUMIF('Đóng gói ngoài giờ'!$A$12:$A$216,'Tổng hợp ngoài giờ'!$A22,'Đóng gói ngoài giờ'!AT$12:AT$87)</f>
        <v>0</v>
      </c>
      <c r="AU22" s="4">
        <f ca="1">SUMIF('Đóng gói ngoài giờ'!$A$12:$A$216,'Tổng hợp ngoài giờ'!$A22,'Đóng gói ngoài giờ'!AU$12:AU$87)</f>
        <v>0</v>
      </c>
      <c r="AV22" s="4">
        <f ca="1">SUMIF('Đóng gói ngoài giờ'!$A$12:$A$216,'Tổng hợp ngoài giờ'!$A22,'Đóng gói ngoài giờ'!AV$12:AV$87)</f>
        <v>0</v>
      </c>
      <c r="AW22" s="4">
        <f ca="1">SUMIF('Đóng gói ngoài giờ'!$A$12:$A$216,'Tổng hợp ngoài giờ'!$A22,'Đóng gói ngoài giờ'!AW$12:AW$87)</f>
        <v>0</v>
      </c>
      <c r="AX22" s="4">
        <f ca="1">SUMIF('Đóng gói ngoài giờ'!$A$12:$A$216,'Tổng hợp ngoài giờ'!$A22,'Đóng gói ngoài giờ'!AX$12:AX$87)</f>
        <v>0</v>
      </c>
      <c r="AY22" s="4">
        <f ca="1">SUMIF('Đóng gói ngoài giờ'!$A$12:$A$216,'Tổng hợp ngoài giờ'!$A22,'Đóng gói ngoài giờ'!AY$12:AY$87)</f>
        <v>0</v>
      </c>
      <c r="AZ22" s="4">
        <f ca="1">SUMIF('Đóng gói ngoài giờ'!$A$12:$A$216,'Tổng hợp ngoài giờ'!$A22,'Đóng gói ngoài giờ'!AZ$12:AZ$87)</f>
        <v>0</v>
      </c>
      <c r="BA22" s="4">
        <f ca="1">SUMIF('Đóng gói ngoài giờ'!$A$12:$A$216,'Tổng hợp ngoài giờ'!$A22,'Đóng gói ngoài giờ'!BA$12:BA$87)</f>
        <v>0</v>
      </c>
      <c r="BB22" s="4">
        <f ca="1">SUMIF('Đóng gói ngoài giờ'!$A$12:$A$216,'Tổng hợp ngoài giờ'!$A22,'Đóng gói ngoài giờ'!BB$12:BB$87)</f>
        <v>0</v>
      </c>
      <c r="BC22" s="22">
        <f>SUMIF('Đóng gói ngoài giờ'!$A$12:$A$34,'Tổng hợp ngoài giờ'!$A22,'Đóng gói ngoài giờ'!BC$12:BC$34)</f>
        <v>0</v>
      </c>
      <c r="BD22" s="120">
        <f>SUMIF('Bốc hàng ngoài giờ new'!$H$13:$H$4949,'Tổng hợp trong giờ'!A22,'Bốc hàng ngoài giờ new'!$J$13:$J$4949)</f>
        <v>0</v>
      </c>
      <c r="BE22" s="22">
        <f>SUMIF('Đóng gói ngoài giờ'!$A$12:$A$34,'Tổng hợp ngoài giờ'!$A22,'Đóng gói ngoài giờ'!BE$12:BE$34)</f>
        <v>1.5</v>
      </c>
      <c r="BF22" s="4">
        <f ca="1">SUMIF('Đóng gói ngoài giờ'!$A$12:$A$216,'Tổng hợp ngoài giờ'!$A22,'Đóng gói ngoài giờ'!BD$12:BD$87)</f>
        <v>0</v>
      </c>
      <c r="BG22" s="4">
        <f ca="1">SUMIF('Đóng gói ngoài giờ'!$A$12:$A$216,'Tổng hợp ngoài giờ'!$A22,'Đóng gói ngoài giờ'!BE$12:BE$87)</f>
        <v>18.5</v>
      </c>
      <c r="BH22" s="4">
        <f ca="1">SUMIF('Đóng gói ngoài giờ'!$A$12:$A$216,'Tổng hợp ngoài giờ'!$A22,'Đóng gói ngoài giờ'!BF$12:BF$87)</f>
        <v>0</v>
      </c>
      <c r="BI22" s="4">
        <f ca="1">SUMIF('Đóng gói ngoài giờ'!$A$12:$A$216,'Tổng hợp ngoài giờ'!$A22,'Đóng gói ngoài giờ'!BG$12:BG$87)</f>
        <v>0</v>
      </c>
      <c r="BJ22" s="4">
        <f ca="1">SUMIF('Đóng gói ngoài giờ'!$A$12:$A$216,'Tổng hợp ngoài giờ'!$A22,'Đóng gói ngoài giờ'!BH$12:BH$87)</f>
        <v>0</v>
      </c>
      <c r="BK22" s="4">
        <f ca="1">SUMIF('Đóng gói ngoài giờ'!$A$12:$A$216,'Tổng hợp ngoài giờ'!$A22,'Đóng gói ngoài giờ'!BI$12:BI$87)</f>
        <v>0</v>
      </c>
      <c r="BL22" s="4">
        <f ca="1">SUMIF('Đóng gói ngoài giờ'!$A$12:$A$216,'Tổng hợp ngoài giờ'!$A22,'Đóng gói ngoài giờ'!BJ$12:BJ$87)</f>
        <v>0</v>
      </c>
      <c r="BM22" s="4">
        <f ca="1">SUMIF('Đóng gói ngoài giờ'!$A$12:$A$216,'Tổng hợp ngoài giờ'!$A22,'Đóng gói ngoài giờ'!BK$12:BK$87)</f>
        <v>0</v>
      </c>
      <c r="BN22" s="4">
        <f ca="1">SUMIF('Đóng gói ngoài giờ'!$A$12:$A$216,'Tổng hợp ngoài giờ'!$A22,'Đóng gói ngoài giờ'!BL$12:BL$87)</f>
        <v>4.5</v>
      </c>
      <c r="BO22" s="4">
        <f ca="1">SUMIF('Đóng gói ngoài giờ'!$A$12:$A$216,'Tổng hợp ngoài giờ'!$A22,'Đóng gói ngoài giờ'!BM$12:BM$87)</f>
        <v>0</v>
      </c>
      <c r="BP22" s="4">
        <f ca="1">SUMIF('Đóng gói ngoài giờ'!$A$12:$A$216,'Tổng hợp ngoài giờ'!$A22,'Đóng gói ngoài giờ'!BN$12:BN$87)</f>
        <v>0</v>
      </c>
      <c r="BQ22" s="4">
        <f ca="1">SUMIF('Đóng gói ngoài giờ'!$A$12:$A$216,'Tổng hợp ngoài giờ'!$A22,'Đóng gói ngoài giờ'!BO$12:BO$87)</f>
        <v>0</v>
      </c>
      <c r="BR22" s="4">
        <f ca="1">SUMIF('Đóng gói ngoài giờ'!$A$12:$A$216,'Tổng hợp ngoài giờ'!$A22,'Đóng gói ngoài giờ'!BP$12:BP$87)</f>
        <v>0</v>
      </c>
      <c r="BS22" s="4">
        <f ca="1">SUMIF('Đóng gói ngoài giờ'!$A$12:$A$216,'Tổng hợp ngoài giờ'!$A22,'Đóng gói ngoài giờ'!BQ$12:BQ$87)</f>
        <v>0</v>
      </c>
      <c r="BT22" s="4">
        <f ca="1">SUMIF('Đóng gói ngoài giờ'!$A$12:$A$216,'Tổng hợp ngoài giờ'!$A22,'Đóng gói ngoài giờ'!BR$12:BR$87)</f>
        <v>0</v>
      </c>
      <c r="BU22" s="96">
        <f t="shared" ca="1" si="1"/>
        <v>23</v>
      </c>
      <c r="BV22" s="244">
        <f t="shared" ca="1" si="2"/>
        <v>933087.46048472088</v>
      </c>
      <c r="BW22" s="168">
        <f t="shared" ca="1" si="3"/>
        <v>1301334.1674810569</v>
      </c>
      <c r="CL22" s="9">
        <v>11</v>
      </c>
    </row>
    <row r="23" spans="1:90" ht="15.75" x14ac:dyDescent="0.25">
      <c r="A23" s="224" t="s">
        <v>110</v>
      </c>
      <c r="B23" s="2" t="str">
        <f>VLOOKUP(A23,'Mã NV'!$A$1:$C$27,2,0)</f>
        <v>Huỳnh Huy Phụng</v>
      </c>
      <c r="C23" s="23"/>
      <c r="D23" s="4">
        <f ca="1">SUMIF('Đóng gói ngoài giờ'!$A$12:$A$216,'Tổng hợp ngoài giờ'!$A23,'Đóng gói ngoài giờ'!D$12:D$87)</f>
        <v>0</v>
      </c>
      <c r="E23" s="4">
        <f ca="1">SUMIF('Đóng gói ngoài giờ'!$A$12:$A$216,'Tổng hợp ngoài giờ'!$A23,'Đóng gói ngoài giờ'!E$12:E$87)</f>
        <v>0</v>
      </c>
      <c r="F23" s="4">
        <f ca="1">SUMIF('Đóng gói ngoài giờ'!$A$12:$A$216,'Tổng hợp ngoài giờ'!$A23,'Đóng gói ngoài giờ'!F$12:F$87)</f>
        <v>150</v>
      </c>
      <c r="G23" s="4">
        <f ca="1">SUMIF('Đóng gói ngoài giờ'!$A$12:$A$216,'Tổng hợp ngoài giờ'!$A23,'Đóng gói ngoài giờ'!G$12:G$87)</f>
        <v>0</v>
      </c>
      <c r="H23" s="4">
        <f ca="1">SUMIF('Đóng gói ngoài giờ'!$A$12:$A$216,'Tổng hợp ngoài giờ'!$A23,'Đóng gói ngoài giờ'!H$12:H$87)</f>
        <v>0</v>
      </c>
      <c r="I23" s="4">
        <f ca="1">SUMIF('Đóng gói ngoài giờ'!$A$12:$A$216,'Tổng hợp ngoài giờ'!$A23,'Đóng gói ngoài giờ'!I$12:I$87)</f>
        <v>0</v>
      </c>
      <c r="J23" s="4">
        <f ca="1">SUMIF('Đóng gói ngoài giờ'!$A$12:$A$216,'Tổng hợp ngoài giờ'!$A23,'Đóng gói ngoài giờ'!J$12:J$87)</f>
        <v>0</v>
      </c>
      <c r="K23" s="4">
        <f ca="1">SUMIF('Đóng gói ngoài giờ'!$A$12:$A$216,'Tổng hợp ngoài giờ'!$A23,'Đóng gói ngoài giờ'!K$12:K$87)</f>
        <v>0</v>
      </c>
      <c r="L23" s="4">
        <f ca="1">SUMIF('Đóng gói ngoài giờ'!$A$12:$A$216,'Tổng hợp ngoài giờ'!$A23,'Đóng gói ngoài giờ'!L$12:L$87)</f>
        <v>0</v>
      </c>
      <c r="M23" s="4">
        <f ca="1">SUMIF('Đóng gói ngoài giờ'!$A$12:$A$216,'Tổng hợp ngoài giờ'!$A23,'Đóng gói ngoài giờ'!M$12:M$87)</f>
        <v>0</v>
      </c>
      <c r="N23" s="4">
        <f ca="1">SUMIF('Đóng gói ngoài giờ'!$A$12:$A$216,'Tổng hợp ngoài giờ'!$A23,'Đóng gói ngoài giờ'!N$12:N$87)</f>
        <v>0</v>
      </c>
      <c r="O23" s="4">
        <f ca="1">SUMIF('Đóng gói ngoài giờ'!$A$12:$A$216,'Tổng hợp ngoài giờ'!$A23,'Đóng gói ngoài giờ'!O$12:O$87)</f>
        <v>0</v>
      </c>
      <c r="P23" s="4">
        <f ca="1">SUMIF('Đóng gói ngoài giờ'!$A$12:$A$216,'Tổng hợp ngoài giờ'!$A23,'Đóng gói ngoài giờ'!P$12:P$87)</f>
        <v>0</v>
      </c>
      <c r="Q23" s="4">
        <f ca="1">SUMIF('Đóng gói ngoài giờ'!$A$12:$A$216,'Tổng hợp ngoài giờ'!$A23,'Đóng gói ngoài giờ'!Q$12:Q$87)</f>
        <v>0</v>
      </c>
      <c r="R23" s="4">
        <f ca="1">SUMIF('Đóng gói ngoài giờ'!$A$12:$A$216,'Tổng hợp ngoài giờ'!$A23,'Đóng gói ngoài giờ'!R$12:R$87)</f>
        <v>0</v>
      </c>
      <c r="S23" s="4">
        <f ca="1">SUMIF('Đóng gói ngoài giờ'!$A$12:$A$216,'Tổng hợp ngoài giờ'!$A23,'Đóng gói ngoài giờ'!S$12:S$87)</f>
        <v>0</v>
      </c>
      <c r="T23" s="4">
        <f ca="1">SUMIF('Đóng gói ngoài giờ'!$A$12:$A$216,'Tổng hợp ngoài giờ'!$A23,'Đóng gói ngoài giờ'!T$12:T$87)</f>
        <v>0</v>
      </c>
      <c r="U23" s="4">
        <f ca="1">SUMIF('Đóng gói ngoài giờ'!$A$12:$A$216,'Tổng hợp ngoài giờ'!$A23,'Đóng gói ngoài giờ'!U$12:U$87)</f>
        <v>0</v>
      </c>
      <c r="V23" s="4">
        <f ca="1">SUMIF('Đóng gói ngoài giờ'!$A$12:$A$216,'Tổng hợp ngoài giờ'!$A23,'Đóng gói ngoài giờ'!V$12:V$87)</f>
        <v>0</v>
      </c>
      <c r="W23" s="4">
        <f ca="1">SUMIF('Đóng gói ngoài giờ'!$A$12:$A$216,'Tổng hợp ngoài giờ'!$A23,'Đóng gói ngoài giờ'!W$12:W$87)</f>
        <v>0</v>
      </c>
      <c r="X23" s="4">
        <f ca="1">SUMIF('Đóng gói ngoài giờ'!$A$12:$A$216,'Tổng hợp ngoài giờ'!$A23,'Đóng gói ngoài giờ'!X$12:X$87)</f>
        <v>0</v>
      </c>
      <c r="Y23" s="4">
        <f ca="1">SUMIF('Đóng gói ngoài giờ'!$A$12:$A$216,'Tổng hợp ngoài giờ'!$A23,'Đóng gói ngoài giờ'!Y$12:Y$87)</f>
        <v>0</v>
      </c>
      <c r="Z23" s="4">
        <f ca="1">SUMIF('Đóng gói ngoài giờ'!$A$12:$A$216,'Tổng hợp ngoài giờ'!$A23,'Đóng gói ngoài giờ'!Z$12:Z$87)</f>
        <v>0</v>
      </c>
      <c r="AA23" s="4">
        <f ca="1">SUMIF('Đóng gói ngoài giờ'!$A$12:$A$216,'Tổng hợp ngoài giờ'!$A23,'Đóng gói ngoài giờ'!AA$12:AA$87)</f>
        <v>0</v>
      </c>
      <c r="AB23" s="4">
        <f ca="1">SUMIF('Đóng gói ngoài giờ'!$A$12:$A$216,'Tổng hợp ngoài giờ'!$A23,'Đóng gói ngoài giờ'!AB$12:AB$87)</f>
        <v>0</v>
      </c>
      <c r="AC23" s="4">
        <f ca="1">SUMIF('Đóng gói ngoài giờ'!$A$12:$A$216,'Tổng hợp ngoài giờ'!$A23,'Đóng gói ngoài giờ'!AC$12:AC$87)</f>
        <v>37.5</v>
      </c>
      <c r="AD23" s="4">
        <f ca="1">SUMIF('Đóng gói ngoài giờ'!$A$12:$A$216,'Tổng hợp ngoài giờ'!$A23,'Đóng gói ngoài giờ'!AD$12:AD$87)</f>
        <v>172.5</v>
      </c>
      <c r="AE23" s="4">
        <f ca="1">SUMIF('Đóng gói ngoài giờ'!$A$12:$A$216,'Tổng hợp ngoài giờ'!$A23,'Đóng gói ngoài giờ'!AE$12:AE$87)</f>
        <v>0</v>
      </c>
      <c r="AF23" s="4">
        <f ca="1">SUMIF('Đóng gói ngoài giờ'!$A$12:$A$216,'Tổng hợp ngoài giờ'!$A23,'Đóng gói ngoài giờ'!AF$12:AF$87)</f>
        <v>0</v>
      </c>
      <c r="AG23" s="4">
        <f ca="1">SUMIF('Đóng gói ngoài giờ'!$A$12:$A$216,'Tổng hợp ngoài giờ'!$A23,'Đóng gói ngoài giờ'!AG$12:AG$87)</f>
        <v>0</v>
      </c>
      <c r="AH23" s="4">
        <f ca="1">SUMIF('Đóng gói ngoài giờ'!$A$12:$A$216,'Tổng hợp ngoài giờ'!$A23,'Đóng gói ngoài giờ'!AH$12:AH$87)</f>
        <v>0</v>
      </c>
      <c r="AI23" s="4">
        <f ca="1">SUMIF('Đóng gói ngoài giờ'!$A$12:$A$216,'Tổng hợp ngoài giờ'!$A23,'Đóng gói ngoài giờ'!AI$12:AI$87)</f>
        <v>0</v>
      </c>
      <c r="AJ23" s="4">
        <f ca="1">SUMIF('Đóng gói ngoài giờ'!$A$12:$A$216,'Tổng hợp ngoài giờ'!$A23,'Đóng gói ngoài giờ'!AJ$12:AJ$87)</f>
        <v>0</v>
      </c>
      <c r="AK23" s="4">
        <f ca="1">SUMIF('Đóng gói ngoài giờ'!$A$12:$A$216,'Tổng hợp ngoài giờ'!$A23,'Đóng gói ngoài giờ'!AK$12:AK$87)</f>
        <v>75</v>
      </c>
      <c r="AL23" s="4">
        <f ca="1">SUMIF('Đóng gói ngoài giờ'!$A$12:$A$216,'Tổng hợp ngoài giờ'!$A23,'Đóng gói ngoài giờ'!AL$12:AL$87)</f>
        <v>0</v>
      </c>
      <c r="AM23" s="4">
        <f ca="1">SUMIF('Đóng gói ngoài giờ'!$A$12:$A$216,'Tổng hợp ngoài giờ'!$A23,'Đóng gói ngoài giờ'!AM$12:AM$87)</f>
        <v>0</v>
      </c>
      <c r="AN23" s="4">
        <f ca="1">SUMIF('Đóng gói ngoài giờ'!$A$12:$A$216,'Tổng hợp ngoài giờ'!$A23,'Đóng gói ngoài giờ'!AN$12:AN$87)</f>
        <v>0</v>
      </c>
      <c r="AO23" s="4">
        <f ca="1">SUMIF('Đóng gói ngoài giờ'!$A$12:$A$216,'Tổng hợp ngoài giờ'!$A23,'Đóng gói ngoài giờ'!AO$12:AO$87)</f>
        <v>0</v>
      </c>
      <c r="AP23" s="4">
        <f ca="1">SUMIF('Đóng gói ngoài giờ'!$A$12:$A$216,'Tổng hợp ngoài giờ'!$A23,'Đóng gói ngoài giờ'!AP$12:AP$87)</f>
        <v>0</v>
      </c>
      <c r="AQ23" s="4">
        <f ca="1">SUMIF('Đóng gói ngoài giờ'!$A$12:$A$216,'Tổng hợp ngoài giờ'!$A23,'Đóng gói ngoài giờ'!AQ$12:AQ$87)</f>
        <v>0</v>
      </c>
      <c r="AR23" s="4">
        <f ca="1">SUMIF('Đóng gói ngoài giờ'!$A$12:$A$216,'Tổng hợp ngoài giờ'!$A23,'Đóng gói ngoài giờ'!AR$12:AR$87)</f>
        <v>0</v>
      </c>
      <c r="AS23" s="4">
        <f ca="1">SUMIF('Đóng gói ngoài giờ'!$A$12:$A$216,'Tổng hợp ngoài giờ'!$A23,'Đóng gói ngoài giờ'!AS$12:AS$87)</f>
        <v>0</v>
      </c>
      <c r="AT23" s="4">
        <f ca="1">SUMIF('Đóng gói ngoài giờ'!$A$12:$A$216,'Tổng hợp ngoài giờ'!$A23,'Đóng gói ngoài giờ'!AT$12:AT$87)</f>
        <v>0</v>
      </c>
      <c r="AU23" s="4">
        <f ca="1">SUMIF('Đóng gói ngoài giờ'!$A$12:$A$216,'Tổng hợp ngoài giờ'!$A23,'Đóng gói ngoài giờ'!AU$12:AU$87)</f>
        <v>0</v>
      </c>
      <c r="AV23" s="4">
        <f ca="1">SUMIF('Đóng gói ngoài giờ'!$A$12:$A$216,'Tổng hợp ngoài giờ'!$A23,'Đóng gói ngoài giờ'!AV$12:AV$87)</f>
        <v>0</v>
      </c>
      <c r="AW23" s="4">
        <f ca="1">SUMIF('Đóng gói ngoài giờ'!$A$12:$A$216,'Tổng hợp ngoài giờ'!$A23,'Đóng gói ngoài giờ'!AW$12:AW$87)</f>
        <v>0</v>
      </c>
      <c r="AX23" s="4">
        <f ca="1">SUMIF('Đóng gói ngoài giờ'!$A$12:$A$216,'Tổng hợp ngoài giờ'!$A23,'Đóng gói ngoài giờ'!AX$12:AX$87)</f>
        <v>0</v>
      </c>
      <c r="AY23" s="4">
        <f ca="1">SUMIF('Đóng gói ngoài giờ'!$A$12:$A$216,'Tổng hợp ngoài giờ'!$A23,'Đóng gói ngoài giờ'!AY$12:AY$87)</f>
        <v>0</v>
      </c>
      <c r="AZ23" s="4">
        <f ca="1">SUMIF('Đóng gói ngoài giờ'!$A$12:$A$216,'Tổng hợp ngoài giờ'!$A23,'Đóng gói ngoài giờ'!AZ$12:AZ$87)</f>
        <v>0</v>
      </c>
      <c r="BA23" s="4">
        <f ca="1">SUMIF('Đóng gói ngoài giờ'!$A$12:$A$216,'Tổng hợp ngoài giờ'!$A23,'Đóng gói ngoài giờ'!BA$12:BA$87)</f>
        <v>0</v>
      </c>
      <c r="BB23" s="4">
        <f ca="1">SUMIF('Đóng gói ngoài giờ'!$A$12:$A$216,'Tổng hợp ngoài giờ'!$A23,'Đóng gói ngoài giờ'!BB$12:BB$87)</f>
        <v>0</v>
      </c>
      <c r="BC23" s="22">
        <f>SUMIF('Đóng gói ngoài giờ'!$A$12:$A$34,'Tổng hợp ngoài giờ'!$A23,'Đóng gói ngoài giờ'!BC$12:BC$34)</f>
        <v>0</v>
      </c>
      <c r="BD23" s="120">
        <f>SUMIF('Bốc hàng ngoài giờ new'!$H$13:$H$4949,'Tổng hợp trong giờ'!A23,'Bốc hàng ngoài giờ new'!$J$13:$J$4949)</f>
        <v>0</v>
      </c>
      <c r="BE23" s="22">
        <f>SUMIF('Đóng gói ngoài giờ'!$A$12:$A$34,'Tổng hợp ngoài giờ'!$A23,'Đóng gói ngoài giờ'!BE$12:BE$34)</f>
        <v>7</v>
      </c>
      <c r="BF23" s="4">
        <f ca="1">SUMIF('Đóng gói ngoài giờ'!$A$12:$A$216,'Tổng hợp ngoài giờ'!$A23,'Đóng gói ngoài giờ'!BD$12:BD$87)</f>
        <v>0</v>
      </c>
      <c r="BG23" s="4">
        <f ca="1">SUMIF('Đóng gói ngoài giờ'!$A$12:$A$216,'Tổng hợp ngoài giờ'!$A23,'Đóng gói ngoài giờ'!BE$12:BE$87)</f>
        <v>27</v>
      </c>
      <c r="BH23" s="4">
        <f ca="1">SUMIF('Đóng gói ngoài giờ'!$A$12:$A$216,'Tổng hợp ngoài giờ'!$A23,'Đóng gói ngoài giờ'!BF$12:BF$87)</f>
        <v>0</v>
      </c>
      <c r="BI23" s="4">
        <f ca="1">SUMIF('Đóng gói ngoài giờ'!$A$12:$A$216,'Tổng hợp ngoài giờ'!$A23,'Đóng gói ngoài giờ'!BG$12:BG$87)</f>
        <v>0</v>
      </c>
      <c r="BJ23" s="4">
        <f ca="1">SUMIF('Đóng gói ngoài giờ'!$A$12:$A$216,'Tổng hợp ngoài giờ'!$A23,'Đóng gói ngoài giờ'!BH$12:BH$87)</f>
        <v>0</v>
      </c>
      <c r="BK23" s="4">
        <f ca="1">SUMIF('Đóng gói ngoài giờ'!$A$12:$A$216,'Tổng hợp ngoài giờ'!$A23,'Đóng gói ngoài giờ'!BI$12:BI$87)</f>
        <v>0</v>
      </c>
      <c r="BL23" s="4">
        <f ca="1">SUMIF('Đóng gói ngoài giờ'!$A$12:$A$216,'Tổng hợp ngoài giờ'!$A23,'Đóng gói ngoài giờ'!BJ$12:BJ$87)</f>
        <v>0</v>
      </c>
      <c r="BM23" s="4">
        <f ca="1">SUMIF('Đóng gói ngoài giờ'!$A$12:$A$216,'Tổng hợp ngoài giờ'!$A23,'Đóng gói ngoài giờ'!BK$12:BK$87)</f>
        <v>0</v>
      </c>
      <c r="BN23" s="4">
        <f ca="1">SUMIF('Đóng gói ngoài giờ'!$A$12:$A$216,'Tổng hợp ngoài giờ'!$A23,'Đóng gói ngoài giờ'!BL$12:BL$87)</f>
        <v>10.5</v>
      </c>
      <c r="BO23" s="4">
        <f ca="1">SUMIF('Đóng gói ngoài giờ'!$A$12:$A$216,'Tổng hợp ngoài giờ'!$A23,'Đóng gói ngoài giờ'!BM$12:BM$87)</f>
        <v>0</v>
      </c>
      <c r="BP23" s="4">
        <f ca="1">SUMIF('Đóng gói ngoài giờ'!$A$12:$A$216,'Tổng hợp ngoài giờ'!$A23,'Đóng gói ngoài giờ'!BN$12:BN$87)</f>
        <v>0</v>
      </c>
      <c r="BQ23" s="4">
        <f ca="1">SUMIF('Đóng gói ngoài giờ'!$A$12:$A$216,'Tổng hợp ngoài giờ'!$A23,'Đóng gói ngoài giờ'!BO$12:BO$87)</f>
        <v>0</v>
      </c>
      <c r="BR23" s="4">
        <f ca="1">SUMIF('Đóng gói ngoài giờ'!$A$12:$A$216,'Tổng hợp ngoài giờ'!$A23,'Đóng gói ngoài giờ'!BP$12:BP$87)</f>
        <v>0</v>
      </c>
      <c r="BS23" s="4">
        <f ca="1">SUMIF('Đóng gói ngoài giờ'!$A$12:$A$216,'Tổng hợp ngoài giờ'!$A23,'Đóng gói ngoài giờ'!BQ$12:BQ$87)</f>
        <v>0</v>
      </c>
      <c r="BT23" s="4">
        <f ca="1">SUMIF('Đóng gói ngoài giờ'!$A$12:$A$216,'Tổng hợp ngoài giờ'!$A23,'Đóng gói ngoài giờ'!BR$12:BR$87)</f>
        <v>0</v>
      </c>
      <c r="BU23" s="96">
        <f t="shared" ca="1" si="1"/>
        <v>37.5</v>
      </c>
      <c r="BV23" s="244">
        <f t="shared" ca="1" si="2"/>
        <v>1521338.2507903059</v>
      </c>
      <c r="BW23" s="168">
        <f t="shared" ca="1" si="3"/>
        <v>1888339.9863476977</v>
      </c>
      <c r="CL23" s="7">
        <v>12</v>
      </c>
    </row>
    <row r="24" spans="1:90" ht="15.75" x14ac:dyDescent="0.25">
      <c r="A24" s="224" t="s">
        <v>111</v>
      </c>
      <c r="B24" s="2" t="str">
        <f>VLOOKUP(A24,'Mã NV'!$A$1:$C$27,2,0)</f>
        <v>Võ Quang Tuấn</v>
      </c>
      <c r="C24" s="23"/>
      <c r="D24" s="4">
        <f ca="1">SUMIF('Đóng gói ngoài giờ'!$A$12:$A$216,'Tổng hợp ngoài giờ'!$A24,'Đóng gói ngoài giờ'!D$12:D$87)</f>
        <v>0</v>
      </c>
      <c r="E24" s="4">
        <f ca="1">SUMIF('Đóng gói ngoài giờ'!$A$12:$A$216,'Tổng hợp ngoài giờ'!$A24,'Đóng gói ngoài giờ'!E$12:E$87)</f>
        <v>0</v>
      </c>
      <c r="F24" s="4">
        <f ca="1">SUMIF('Đóng gói ngoài giờ'!$A$12:$A$216,'Tổng hợp ngoài giờ'!$A24,'Đóng gói ngoài giờ'!F$12:F$87)</f>
        <v>0</v>
      </c>
      <c r="G24" s="4">
        <f ca="1">SUMIF('Đóng gói ngoài giờ'!$A$12:$A$216,'Tổng hợp ngoài giờ'!$A24,'Đóng gói ngoài giờ'!G$12:G$87)</f>
        <v>0</v>
      </c>
      <c r="H24" s="4">
        <f ca="1">SUMIF('Đóng gói ngoài giờ'!$A$12:$A$216,'Tổng hợp ngoài giờ'!$A24,'Đóng gói ngoài giờ'!H$12:H$87)</f>
        <v>0</v>
      </c>
      <c r="I24" s="4">
        <f ca="1">SUMIF('Đóng gói ngoài giờ'!$A$12:$A$216,'Tổng hợp ngoài giờ'!$A24,'Đóng gói ngoài giờ'!I$12:I$87)</f>
        <v>0</v>
      </c>
      <c r="J24" s="4">
        <f ca="1">SUMIF('Đóng gói ngoài giờ'!$A$12:$A$216,'Tổng hợp ngoài giờ'!$A24,'Đóng gói ngoài giờ'!J$12:J$87)</f>
        <v>0</v>
      </c>
      <c r="K24" s="4">
        <f ca="1">SUMIF('Đóng gói ngoài giờ'!$A$12:$A$216,'Tổng hợp ngoài giờ'!$A24,'Đóng gói ngoài giờ'!K$12:K$87)</f>
        <v>0</v>
      </c>
      <c r="L24" s="4">
        <f ca="1">SUMIF('Đóng gói ngoài giờ'!$A$12:$A$216,'Tổng hợp ngoài giờ'!$A24,'Đóng gói ngoài giờ'!L$12:L$87)</f>
        <v>0</v>
      </c>
      <c r="M24" s="4">
        <f ca="1">SUMIF('Đóng gói ngoài giờ'!$A$12:$A$216,'Tổng hợp ngoài giờ'!$A24,'Đóng gói ngoài giờ'!M$12:M$87)</f>
        <v>0</v>
      </c>
      <c r="N24" s="4">
        <f ca="1">SUMIF('Đóng gói ngoài giờ'!$A$12:$A$216,'Tổng hợp ngoài giờ'!$A24,'Đóng gói ngoài giờ'!N$12:N$87)</f>
        <v>0</v>
      </c>
      <c r="O24" s="4">
        <f ca="1">SUMIF('Đóng gói ngoài giờ'!$A$12:$A$216,'Tổng hợp ngoài giờ'!$A24,'Đóng gói ngoài giờ'!O$12:O$87)</f>
        <v>0</v>
      </c>
      <c r="P24" s="4">
        <f ca="1">SUMIF('Đóng gói ngoài giờ'!$A$12:$A$216,'Tổng hợp ngoài giờ'!$A24,'Đóng gói ngoài giờ'!P$12:P$87)</f>
        <v>0</v>
      </c>
      <c r="Q24" s="4">
        <f ca="1">SUMIF('Đóng gói ngoài giờ'!$A$12:$A$216,'Tổng hợp ngoài giờ'!$A24,'Đóng gói ngoài giờ'!Q$12:Q$87)</f>
        <v>0</v>
      </c>
      <c r="R24" s="4">
        <f ca="1">SUMIF('Đóng gói ngoài giờ'!$A$12:$A$216,'Tổng hợp ngoài giờ'!$A24,'Đóng gói ngoài giờ'!R$12:R$87)</f>
        <v>0</v>
      </c>
      <c r="S24" s="4">
        <f ca="1">SUMIF('Đóng gói ngoài giờ'!$A$12:$A$216,'Tổng hợp ngoài giờ'!$A24,'Đóng gói ngoài giờ'!S$12:S$87)</f>
        <v>0</v>
      </c>
      <c r="T24" s="4">
        <f ca="1">SUMIF('Đóng gói ngoài giờ'!$A$12:$A$216,'Tổng hợp ngoài giờ'!$A24,'Đóng gói ngoài giờ'!T$12:T$87)</f>
        <v>0</v>
      </c>
      <c r="U24" s="4">
        <f ca="1">SUMIF('Đóng gói ngoài giờ'!$A$12:$A$216,'Tổng hợp ngoài giờ'!$A24,'Đóng gói ngoài giờ'!U$12:U$87)</f>
        <v>0</v>
      </c>
      <c r="V24" s="4">
        <f ca="1">SUMIF('Đóng gói ngoài giờ'!$A$12:$A$216,'Tổng hợp ngoài giờ'!$A24,'Đóng gói ngoài giờ'!V$12:V$87)</f>
        <v>0</v>
      </c>
      <c r="W24" s="4">
        <f ca="1">SUMIF('Đóng gói ngoài giờ'!$A$12:$A$216,'Tổng hợp ngoài giờ'!$A24,'Đóng gói ngoài giờ'!W$12:W$87)</f>
        <v>0</v>
      </c>
      <c r="X24" s="4">
        <f ca="1">SUMIF('Đóng gói ngoài giờ'!$A$12:$A$216,'Tổng hợp ngoài giờ'!$A24,'Đóng gói ngoài giờ'!X$12:X$87)</f>
        <v>0</v>
      </c>
      <c r="Y24" s="4">
        <f ca="1">SUMIF('Đóng gói ngoài giờ'!$A$12:$A$216,'Tổng hợp ngoài giờ'!$A24,'Đóng gói ngoài giờ'!Y$12:Y$87)</f>
        <v>0</v>
      </c>
      <c r="Z24" s="4">
        <f ca="1">SUMIF('Đóng gói ngoài giờ'!$A$12:$A$216,'Tổng hợp ngoài giờ'!$A24,'Đóng gói ngoài giờ'!Z$12:Z$87)</f>
        <v>0</v>
      </c>
      <c r="AA24" s="4">
        <f ca="1">SUMIF('Đóng gói ngoài giờ'!$A$12:$A$216,'Tổng hợp ngoài giờ'!$A24,'Đóng gói ngoài giờ'!AA$12:AA$87)</f>
        <v>0</v>
      </c>
      <c r="AB24" s="4">
        <f ca="1">SUMIF('Đóng gói ngoài giờ'!$A$12:$A$216,'Tổng hợp ngoài giờ'!$A24,'Đóng gói ngoài giờ'!AB$12:AB$87)</f>
        <v>0</v>
      </c>
      <c r="AC24" s="4">
        <f ca="1">SUMIF('Đóng gói ngoài giờ'!$A$12:$A$216,'Tổng hợp ngoài giờ'!$A24,'Đóng gói ngoài giờ'!AC$12:AC$87)</f>
        <v>0</v>
      </c>
      <c r="AD24" s="4">
        <f ca="1">SUMIF('Đóng gói ngoài giờ'!$A$12:$A$216,'Tổng hợp ngoài giờ'!$A24,'Đóng gói ngoài giờ'!AD$12:AD$87)</f>
        <v>0</v>
      </c>
      <c r="AE24" s="4">
        <f ca="1">SUMIF('Đóng gói ngoài giờ'!$A$12:$A$216,'Tổng hợp ngoài giờ'!$A24,'Đóng gói ngoài giờ'!AE$12:AE$87)</f>
        <v>0</v>
      </c>
      <c r="AF24" s="4">
        <f ca="1">SUMIF('Đóng gói ngoài giờ'!$A$12:$A$216,'Tổng hợp ngoài giờ'!$A24,'Đóng gói ngoài giờ'!AF$12:AF$87)</f>
        <v>0</v>
      </c>
      <c r="AG24" s="4">
        <f ca="1">SUMIF('Đóng gói ngoài giờ'!$A$12:$A$216,'Tổng hợp ngoài giờ'!$A24,'Đóng gói ngoài giờ'!AG$12:AG$87)</f>
        <v>0</v>
      </c>
      <c r="AH24" s="4">
        <f ca="1">SUMIF('Đóng gói ngoài giờ'!$A$12:$A$216,'Tổng hợp ngoài giờ'!$A24,'Đóng gói ngoài giờ'!AH$12:AH$87)</f>
        <v>0</v>
      </c>
      <c r="AI24" s="4">
        <f ca="1">SUMIF('Đóng gói ngoài giờ'!$A$12:$A$216,'Tổng hợp ngoài giờ'!$A24,'Đóng gói ngoài giờ'!AI$12:AI$87)</f>
        <v>0</v>
      </c>
      <c r="AJ24" s="4">
        <f ca="1">SUMIF('Đóng gói ngoài giờ'!$A$12:$A$216,'Tổng hợp ngoài giờ'!$A24,'Đóng gói ngoài giờ'!AJ$12:AJ$87)</f>
        <v>0</v>
      </c>
      <c r="AK24" s="4">
        <f ca="1">SUMIF('Đóng gói ngoài giờ'!$A$12:$A$216,'Tổng hợp ngoài giờ'!$A24,'Đóng gói ngoài giờ'!AK$12:AK$87)</f>
        <v>0</v>
      </c>
      <c r="AL24" s="4">
        <f ca="1">SUMIF('Đóng gói ngoài giờ'!$A$12:$A$216,'Tổng hợp ngoài giờ'!$A24,'Đóng gói ngoài giờ'!AL$12:AL$87)</f>
        <v>0</v>
      </c>
      <c r="AM24" s="4">
        <f ca="1">SUMIF('Đóng gói ngoài giờ'!$A$12:$A$216,'Tổng hợp ngoài giờ'!$A24,'Đóng gói ngoài giờ'!AM$12:AM$87)</f>
        <v>0</v>
      </c>
      <c r="AN24" s="4">
        <f ca="1">SUMIF('Đóng gói ngoài giờ'!$A$12:$A$216,'Tổng hợp ngoài giờ'!$A24,'Đóng gói ngoài giờ'!AN$12:AN$87)</f>
        <v>0</v>
      </c>
      <c r="AO24" s="4">
        <f ca="1">SUMIF('Đóng gói ngoài giờ'!$A$12:$A$216,'Tổng hợp ngoài giờ'!$A24,'Đóng gói ngoài giờ'!AO$12:AO$87)</f>
        <v>0</v>
      </c>
      <c r="AP24" s="4">
        <f ca="1">SUMIF('Đóng gói ngoài giờ'!$A$12:$A$216,'Tổng hợp ngoài giờ'!$A24,'Đóng gói ngoài giờ'!AP$12:AP$87)</f>
        <v>0</v>
      </c>
      <c r="AQ24" s="4">
        <f ca="1">SUMIF('Đóng gói ngoài giờ'!$A$12:$A$216,'Tổng hợp ngoài giờ'!$A24,'Đóng gói ngoài giờ'!AQ$12:AQ$87)</f>
        <v>0</v>
      </c>
      <c r="AR24" s="4">
        <f ca="1">SUMIF('Đóng gói ngoài giờ'!$A$12:$A$216,'Tổng hợp ngoài giờ'!$A24,'Đóng gói ngoài giờ'!AR$12:AR$87)</f>
        <v>0</v>
      </c>
      <c r="AS24" s="4">
        <f ca="1">SUMIF('Đóng gói ngoài giờ'!$A$12:$A$216,'Tổng hợp ngoài giờ'!$A24,'Đóng gói ngoài giờ'!AS$12:AS$87)</f>
        <v>0</v>
      </c>
      <c r="AT24" s="4">
        <f ca="1">SUMIF('Đóng gói ngoài giờ'!$A$12:$A$216,'Tổng hợp ngoài giờ'!$A24,'Đóng gói ngoài giờ'!AT$12:AT$87)</f>
        <v>0</v>
      </c>
      <c r="AU24" s="4">
        <f ca="1">SUMIF('Đóng gói ngoài giờ'!$A$12:$A$216,'Tổng hợp ngoài giờ'!$A24,'Đóng gói ngoài giờ'!AU$12:AU$87)</f>
        <v>0</v>
      </c>
      <c r="AV24" s="4">
        <f ca="1">SUMIF('Đóng gói ngoài giờ'!$A$12:$A$216,'Tổng hợp ngoài giờ'!$A24,'Đóng gói ngoài giờ'!AV$12:AV$87)</f>
        <v>0</v>
      </c>
      <c r="AW24" s="4">
        <f ca="1">SUMIF('Đóng gói ngoài giờ'!$A$12:$A$216,'Tổng hợp ngoài giờ'!$A24,'Đóng gói ngoài giờ'!AW$12:AW$87)</f>
        <v>0</v>
      </c>
      <c r="AX24" s="4">
        <f ca="1">SUMIF('Đóng gói ngoài giờ'!$A$12:$A$216,'Tổng hợp ngoài giờ'!$A24,'Đóng gói ngoài giờ'!AX$12:AX$87)</f>
        <v>0</v>
      </c>
      <c r="AY24" s="4">
        <f ca="1">SUMIF('Đóng gói ngoài giờ'!$A$12:$A$216,'Tổng hợp ngoài giờ'!$A24,'Đóng gói ngoài giờ'!AY$12:AY$87)</f>
        <v>0</v>
      </c>
      <c r="AZ24" s="4">
        <f ca="1">SUMIF('Đóng gói ngoài giờ'!$A$12:$A$216,'Tổng hợp ngoài giờ'!$A24,'Đóng gói ngoài giờ'!AZ$12:AZ$87)</f>
        <v>0</v>
      </c>
      <c r="BA24" s="4">
        <f ca="1">SUMIF('Đóng gói ngoài giờ'!$A$12:$A$216,'Tổng hợp ngoài giờ'!$A24,'Đóng gói ngoài giờ'!BA$12:BA$87)</f>
        <v>0</v>
      </c>
      <c r="BB24" s="4">
        <f ca="1">SUMIF('Đóng gói ngoài giờ'!$A$12:$A$216,'Tổng hợp ngoài giờ'!$A24,'Đóng gói ngoài giờ'!BB$12:BB$87)</f>
        <v>0</v>
      </c>
      <c r="BC24" s="22">
        <f>SUMIF('Đóng gói ngoài giờ'!$A$12:$A$34,'Tổng hợp ngoài giờ'!$A24,'Đóng gói ngoài giờ'!BC$12:BC$34)</f>
        <v>0</v>
      </c>
      <c r="BD24" s="120">
        <f>SUMIF('Bốc hàng ngoài giờ new'!$H$13:$H$4949,'Tổng hợp trong giờ'!#REF!,'Bốc hàng ngoài giờ new'!$J$13:$J$4949)</f>
        <v>0</v>
      </c>
      <c r="BE24" s="22">
        <f>SUMIF('Đóng gói ngoài giờ'!$A$12:$A$34,'Tổng hợp ngoài giờ'!$A24,'Đóng gói ngoài giờ'!BE$12:BE$34)</f>
        <v>0</v>
      </c>
      <c r="BF24" s="4">
        <f ca="1">SUMIF('Đóng gói ngoài giờ'!$A$12:$A$216,'Tổng hợp ngoài giờ'!$A24,'Đóng gói ngoài giờ'!BD$12:BD$87)</f>
        <v>0</v>
      </c>
      <c r="BG24" s="4">
        <f ca="1">SUMIF('Đóng gói ngoài giờ'!$A$12:$A$216,'Tổng hợp ngoài giờ'!$A24,'Đóng gói ngoài giờ'!BE$12:BE$87)</f>
        <v>0</v>
      </c>
      <c r="BH24" s="4">
        <f ca="1">SUMIF('Đóng gói ngoài giờ'!$A$12:$A$216,'Tổng hợp ngoài giờ'!$A24,'Đóng gói ngoài giờ'!BF$12:BF$87)</f>
        <v>0</v>
      </c>
      <c r="BI24" s="4">
        <f ca="1">SUMIF('Đóng gói ngoài giờ'!$A$12:$A$216,'Tổng hợp ngoài giờ'!$A24,'Đóng gói ngoài giờ'!BG$12:BG$87)</f>
        <v>0</v>
      </c>
      <c r="BJ24" s="4">
        <f ca="1">SUMIF('Đóng gói ngoài giờ'!$A$12:$A$216,'Tổng hợp ngoài giờ'!$A24,'Đóng gói ngoài giờ'!BH$12:BH$87)</f>
        <v>0</v>
      </c>
      <c r="BK24" s="4">
        <f ca="1">SUMIF('Đóng gói ngoài giờ'!$A$12:$A$216,'Tổng hợp ngoài giờ'!$A24,'Đóng gói ngoài giờ'!BI$12:BI$87)</f>
        <v>0</v>
      </c>
      <c r="BL24" s="4">
        <f ca="1">SUMIF('Đóng gói ngoài giờ'!$A$12:$A$216,'Tổng hợp ngoài giờ'!$A24,'Đóng gói ngoài giờ'!BJ$12:BJ$87)</f>
        <v>0</v>
      </c>
      <c r="BM24" s="4">
        <f ca="1">SUMIF('Đóng gói ngoài giờ'!$A$12:$A$216,'Tổng hợp ngoài giờ'!$A24,'Đóng gói ngoài giờ'!BK$12:BK$87)</f>
        <v>0</v>
      </c>
      <c r="BN24" s="4">
        <f ca="1">SUMIF('Đóng gói ngoài giờ'!$A$12:$A$216,'Tổng hợp ngoài giờ'!$A24,'Đóng gói ngoài giờ'!BL$12:BL$87)</f>
        <v>0</v>
      </c>
      <c r="BO24" s="4">
        <f ca="1">SUMIF('Đóng gói ngoài giờ'!$A$12:$A$216,'Tổng hợp ngoài giờ'!$A24,'Đóng gói ngoài giờ'!BM$12:BM$87)</f>
        <v>0</v>
      </c>
      <c r="BP24" s="4">
        <f ca="1">SUMIF('Đóng gói ngoài giờ'!$A$12:$A$216,'Tổng hợp ngoài giờ'!$A24,'Đóng gói ngoài giờ'!BN$12:BN$87)</f>
        <v>0</v>
      </c>
      <c r="BQ24" s="4">
        <f ca="1">SUMIF('Đóng gói ngoài giờ'!$A$12:$A$216,'Tổng hợp ngoài giờ'!$A24,'Đóng gói ngoài giờ'!BO$12:BO$87)</f>
        <v>0</v>
      </c>
      <c r="BR24" s="4">
        <f ca="1">SUMIF('Đóng gói ngoài giờ'!$A$12:$A$216,'Tổng hợp ngoài giờ'!$A24,'Đóng gói ngoài giờ'!BP$12:BP$87)</f>
        <v>0</v>
      </c>
      <c r="BS24" s="4">
        <f ca="1">SUMIF('Đóng gói ngoài giờ'!$A$12:$A$216,'Tổng hợp ngoài giờ'!$A24,'Đóng gói ngoài giờ'!BQ$12:BQ$87)</f>
        <v>0</v>
      </c>
      <c r="BT24" s="4">
        <f ca="1">SUMIF('Đóng gói ngoài giờ'!$A$12:$A$216,'Tổng hợp ngoài giờ'!$A24,'Đóng gói ngoài giờ'!BR$12:BR$87)</f>
        <v>0</v>
      </c>
      <c r="BU24" s="96">
        <f t="shared" ca="1" si="1"/>
        <v>0</v>
      </c>
      <c r="BV24" s="244">
        <f t="shared" ca="1" si="2"/>
        <v>0</v>
      </c>
      <c r="BW24" s="168">
        <f t="shared" ca="1" si="3"/>
        <v>0</v>
      </c>
      <c r="CL24" s="9">
        <v>13</v>
      </c>
    </row>
    <row r="25" spans="1:90" ht="15.75" x14ac:dyDescent="0.25">
      <c r="A25" s="224" t="s">
        <v>112</v>
      </c>
      <c r="B25" s="2" t="str">
        <f>VLOOKUP(A25,'Mã NV'!$A$1:$C$27,2,0)</f>
        <v>Lê Hiệp</v>
      </c>
      <c r="C25" s="23"/>
      <c r="D25" s="4">
        <f ca="1">SUMIF('Đóng gói ngoài giờ'!$A$12:$A$216,'Tổng hợp ngoài giờ'!$A25,'Đóng gói ngoài giờ'!D$12:D$87)</f>
        <v>0</v>
      </c>
      <c r="E25" s="4">
        <f ca="1">SUMIF('Đóng gói ngoài giờ'!$A$12:$A$216,'Tổng hợp ngoài giờ'!$A25,'Đóng gói ngoài giờ'!E$12:E$87)</f>
        <v>150</v>
      </c>
      <c r="F25" s="4">
        <f ca="1">SUMIF('Đóng gói ngoài giờ'!$A$12:$A$216,'Tổng hợp ngoài giờ'!$A25,'Đóng gói ngoài giờ'!F$12:F$87)</f>
        <v>0</v>
      </c>
      <c r="G25" s="4">
        <f ca="1">SUMIF('Đóng gói ngoài giờ'!$A$12:$A$216,'Tổng hợp ngoài giờ'!$A25,'Đóng gói ngoài giờ'!G$12:G$87)</f>
        <v>0</v>
      </c>
      <c r="H25" s="4">
        <f ca="1">SUMIF('Đóng gói ngoài giờ'!$A$12:$A$216,'Tổng hợp ngoài giờ'!$A25,'Đóng gói ngoài giờ'!H$12:H$87)</f>
        <v>0</v>
      </c>
      <c r="I25" s="4">
        <f ca="1">SUMIF('Đóng gói ngoài giờ'!$A$12:$A$216,'Tổng hợp ngoài giờ'!$A25,'Đóng gói ngoài giờ'!I$12:I$87)</f>
        <v>0</v>
      </c>
      <c r="J25" s="4">
        <f ca="1">SUMIF('Đóng gói ngoài giờ'!$A$12:$A$216,'Tổng hợp ngoài giờ'!$A25,'Đóng gói ngoài giờ'!J$12:J$87)</f>
        <v>0</v>
      </c>
      <c r="K25" s="4">
        <f ca="1">SUMIF('Đóng gói ngoài giờ'!$A$12:$A$216,'Tổng hợp ngoài giờ'!$A25,'Đóng gói ngoài giờ'!K$12:K$87)</f>
        <v>0</v>
      </c>
      <c r="L25" s="4">
        <f ca="1">SUMIF('Đóng gói ngoài giờ'!$A$12:$A$216,'Tổng hợp ngoài giờ'!$A25,'Đóng gói ngoài giờ'!L$12:L$87)</f>
        <v>0</v>
      </c>
      <c r="M25" s="4">
        <f ca="1">SUMIF('Đóng gói ngoài giờ'!$A$12:$A$216,'Tổng hợp ngoài giờ'!$A25,'Đóng gói ngoài giờ'!M$12:M$87)</f>
        <v>0</v>
      </c>
      <c r="N25" s="4">
        <f ca="1">SUMIF('Đóng gói ngoài giờ'!$A$12:$A$216,'Tổng hợp ngoài giờ'!$A25,'Đóng gói ngoài giờ'!N$12:N$87)</f>
        <v>0</v>
      </c>
      <c r="O25" s="4">
        <f ca="1">SUMIF('Đóng gói ngoài giờ'!$A$12:$A$216,'Tổng hợp ngoài giờ'!$A25,'Đóng gói ngoài giờ'!O$12:O$87)</f>
        <v>0</v>
      </c>
      <c r="P25" s="4">
        <f ca="1">SUMIF('Đóng gói ngoài giờ'!$A$12:$A$216,'Tổng hợp ngoài giờ'!$A25,'Đóng gói ngoài giờ'!P$12:P$87)</f>
        <v>0</v>
      </c>
      <c r="Q25" s="4">
        <f ca="1">SUMIF('Đóng gói ngoài giờ'!$A$12:$A$216,'Tổng hợp ngoài giờ'!$A25,'Đóng gói ngoài giờ'!Q$12:Q$87)</f>
        <v>0</v>
      </c>
      <c r="R25" s="4">
        <f ca="1">SUMIF('Đóng gói ngoài giờ'!$A$12:$A$216,'Tổng hợp ngoài giờ'!$A25,'Đóng gói ngoài giờ'!R$12:R$87)</f>
        <v>0</v>
      </c>
      <c r="S25" s="4">
        <f ca="1">SUMIF('Đóng gói ngoài giờ'!$A$12:$A$216,'Tổng hợp ngoài giờ'!$A25,'Đóng gói ngoài giờ'!S$12:S$87)</f>
        <v>0</v>
      </c>
      <c r="T25" s="4">
        <f ca="1">SUMIF('Đóng gói ngoài giờ'!$A$12:$A$216,'Tổng hợp ngoài giờ'!$A25,'Đóng gói ngoài giờ'!T$12:T$87)</f>
        <v>0</v>
      </c>
      <c r="U25" s="4">
        <f ca="1">SUMIF('Đóng gói ngoài giờ'!$A$12:$A$216,'Tổng hợp ngoài giờ'!$A25,'Đóng gói ngoài giờ'!U$12:U$87)</f>
        <v>0</v>
      </c>
      <c r="V25" s="4">
        <f ca="1">SUMIF('Đóng gói ngoài giờ'!$A$12:$A$216,'Tổng hợp ngoài giờ'!$A25,'Đóng gói ngoài giờ'!V$12:V$87)</f>
        <v>0</v>
      </c>
      <c r="W25" s="4">
        <f ca="1">SUMIF('Đóng gói ngoài giờ'!$A$12:$A$216,'Tổng hợp ngoài giờ'!$A25,'Đóng gói ngoài giờ'!W$12:W$87)</f>
        <v>0</v>
      </c>
      <c r="X25" s="4">
        <f ca="1">SUMIF('Đóng gói ngoài giờ'!$A$12:$A$216,'Tổng hợp ngoài giờ'!$A25,'Đóng gói ngoài giờ'!X$12:X$87)</f>
        <v>0</v>
      </c>
      <c r="Y25" s="4">
        <f ca="1">SUMIF('Đóng gói ngoài giờ'!$A$12:$A$216,'Tổng hợp ngoài giờ'!$A25,'Đóng gói ngoài giờ'!Y$12:Y$87)</f>
        <v>0</v>
      </c>
      <c r="Z25" s="4">
        <f ca="1">SUMIF('Đóng gói ngoài giờ'!$A$12:$A$216,'Tổng hợp ngoài giờ'!$A25,'Đóng gói ngoài giờ'!Z$12:Z$87)</f>
        <v>0</v>
      </c>
      <c r="AA25" s="4">
        <f ca="1">SUMIF('Đóng gói ngoài giờ'!$A$12:$A$216,'Tổng hợp ngoài giờ'!$A25,'Đóng gói ngoài giờ'!AA$12:AA$87)</f>
        <v>0</v>
      </c>
      <c r="AB25" s="4">
        <f ca="1">SUMIF('Đóng gói ngoài giờ'!$A$12:$A$216,'Tổng hợp ngoài giờ'!$A25,'Đóng gói ngoài giờ'!AB$12:AB$87)</f>
        <v>0</v>
      </c>
      <c r="AC25" s="4">
        <f ca="1">SUMIF('Đóng gói ngoài giờ'!$A$12:$A$216,'Tổng hợp ngoài giờ'!$A25,'Đóng gói ngoài giờ'!AC$12:AC$87)</f>
        <v>0</v>
      </c>
      <c r="AD25" s="4">
        <f ca="1">SUMIF('Đóng gói ngoài giờ'!$A$12:$A$216,'Tổng hợp ngoài giờ'!$A25,'Đóng gói ngoài giờ'!AD$12:AD$87)</f>
        <v>0</v>
      </c>
      <c r="AE25" s="4">
        <f ca="1">SUMIF('Đóng gói ngoài giờ'!$A$12:$A$216,'Tổng hợp ngoài giờ'!$A25,'Đóng gói ngoài giờ'!AE$12:AE$87)</f>
        <v>0</v>
      </c>
      <c r="AF25" s="4">
        <f ca="1">SUMIF('Đóng gói ngoài giờ'!$A$12:$A$216,'Tổng hợp ngoài giờ'!$A25,'Đóng gói ngoài giờ'!AF$12:AF$87)</f>
        <v>0</v>
      </c>
      <c r="AG25" s="4">
        <f ca="1">SUMIF('Đóng gói ngoài giờ'!$A$12:$A$216,'Tổng hợp ngoài giờ'!$A25,'Đóng gói ngoài giờ'!AG$12:AG$87)</f>
        <v>0</v>
      </c>
      <c r="AH25" s="4">
        <f ca="1">SUMIF('Đóng gói ngoài giờ'!$A$12:$A$216,'Tổng hợp ngoài giờ'!$A25,'Đóng gói ngoài giờ'!AH$12:AH$87)</f>
        <v>0</v>
      </c>
      <c r="AI25" s="4">
        <f ca="1">SUMIF('Đóng gói ngoài giờ'!$A$12:$A$216,'Tổng hợp ngoài giờ'!$A25,'Đóng gói ngoài giờ'!AI$12:AI$87)</f>
        <v>0</v>
      </c>
      <c r="AJ25" s="4">
        <f ca="1">SUMIF('Đóng gói ngoài giờ'!$A$12:$A$216,'Tổng hợp ngoài giờ'!$A25,'Đóng gói ngoài giờ'!AJ$12:AJ$87)</f>
        <v>105</v>
      </c>
      <c r="AK25" s="4">
        <f ca="1">SUMIF('Đóng gói ngoài giờ'!$A$12:$A$216,'Tổng hợp ngoài giờ'!$A25,'Đóng gói ngoài giờ'!AK$12:AK$87)</f>
        <v>0</v>
      </c>
      <c r="AL25" s="4">
        <f ca="1">SUMIF('Đóng gói ngoài giờ'!$A$12:$A$216,'Tổng hợp ngoài giờ'!$A25,'Đóng gói ngoài giờ'!AL$12:AL$87)</f>
        <v>0</v>
      </c>
      <c r="AM25" s="4">
        <f ca="1">SUMIF('Đóng gói ngoài giờ'!$A$12:$A$216,'Tổng hợp ngoài giờ'!$A25,'Đóng gói ngoài giờ'!AM$12:AM$87)</f>
        <v>26.666666666666668</v>
      </c>
      <c r="AN25" s="4">
        <f ca="1">SUMIF('Đóng gói ngoài giờ'!$A$12:$A$216,'Tổng hợp ngoài giờ'!$A25,'Đóng gói ngoài giờ'!AN$12:AN$87)</f>
        <v>0</v>
      </c>
      <c r="AO25" s="4">
        <f ca="1">SUMIF('Đóng gói ngoài giờ'!$A$12:$A$216,'Tổng hợp ngoài giờ'!$A25,'Đóng gói ngoài giờ'!AO$12:AO$87)</f>
        <v>0</v>
      </c>
      <c r="AP25" s="4">
        <f ca="1">SUMIF('Đóng gói ngoài giờ'!$A$12:$A$216,'Tổng hợp ngoài giờ'!$A25,'Đóng gói ngoài giờ'!AP$12:AP$87)</f>
        <v>0</v>
      </c>
      <c r="AQ25" s="4">
        <f ca="1">SUMIF('Đóng gói ngoài giờ'!$A$12:$A$216,'Tổng hợp ngoài giờ'!$A25,'Đóng gói ngoài giờ'!AQ$12:AQ$87)</f>
        <v>0</v>
      </c>
      <c r="AR25" s="4">
        <f ca="1">SUMIF('Đóng gói ngoài giờ'!$A$12:$A$216,'Tổng hợp ngoài giờ'!$A25,'Đóng gói ngoài giờ'!AR$12:AR$87)</f>
        <v>0</v>
      </c>
      <c r="AS25" s="4">
        <f ca="1">SUMIF('Đóng gói ngoài giờ'!$A$12:$A$216,'Tổng hợp ngoài giờ'!$A25,'Đóng gói ngoài giờ'!AS$12:AS$87)</f>
        <v>0</v>
      </c>
      <c r="AT25" s="4">
        <f ca="1">SUMIF('Đóng gói ngoài giờ'!$A$12:$A$216,'Tổng hợp ngoài giờ'!$A25,'Đóng gói ngoài giờ'!AT$12:AT$87)</f>
        <v>0</v>
      </c>
      <c r="AU25" s="4">
        <f ca="1">SUMIF('Đóng gói ngoài giờ'!$A$12:$A$216,'Tổng hợp ngoài giờ'!$A25,'Đóng gói ngoài giờ'!AU$12:AU$87)</f>
        <v>0</v>
      </c>
      <c r="AV25" s="4">
        <f ca="1">SUMIF('Đóng gói ngoài giờ'!$A$12:$A$216,'Tổng hợp ngoài giờ'!$A25,'Đóng gói ngoài giờ'!AV$12:AV$87)</f>
        <v>0</v>
      </c>
      <c r="AW25" s="4">
        <f ca="1">SUMIF('Đóng gói ngoài giờ'!$A$12:$A$216,'Tổng hợp ngoài giờ'!$A25,'Đóng gói ngoài giờ'!AW$12:AW$87)</f>
        <v>0</v>
      </c>
      <c r="AX25" s="4">
        <f ca="1">SUMIF('Đóng gói ngoài giờ'!$A$12:$A$216,'Tổng hợp ngoài giờ'!$A25,'Đóng gói ngoài giờ'!AX$12:AX$87)</f>
        <v>0</v>
      </c>
      <c r="AY25" s="4">
        <f ca="1">SUMIF('Đóng gói ngoài giờ'!$A$12:$A$216,'Tổng hợp ngoài giờ'!$A25,'Đóng gói ngoài giờ'!AY$12:AY$87)</f>
        <v>0</v>
      </c>
      <c r="AZ25" s="4">
        <f ca="1">SUMIF('Đóng gói ngoài giờ'!$A$12:$A$216,'Tổng hợp ngoài giờ'!$A25,'Đóng gói ngoài giờ'!AZ$12:AZ$87)</f>
        <v>0</v>
      </c>
      <c r="BA25" s="4">
        <f ca="1">SUMIF('Đóng gói ngoài giờ'!$A$12:$A$216,'Tổng hợp ngoài giờ'!$A25,'Đóng gói ngoài giờ'!BA$12:BA$87)</f>
        <v>0</v>
      </c>
      <c r="BB25" s="4">
        <f ca="1">SUMIF('Đóng gói ngoài giờ'!$A$12:$A$216,'Tổng hợp ngoài giờ'!$A25,'Đóng gói ngoài giờ'!BB$12:BB$87)</f>
        <v>0</v>
      </c>
      <c r="BC25" s="22">
        <f>SUMIF('Đóng gói ngoài giờ'!$A$12:$A$34,'Tổng hợp ngoài giờ'!$A25,'Đóng gói ngoài giờ'!BC$12:BC$34)</f>
        <v>0</v>
      </c>
      <c r="BD25" s="120">
        <f>SUMIF('Bốc hàng ngoài giờ new'!$H$13:$H$4949,'Tổng hợp trong giờ'!A24,'Bốc hàng ngoài giờ new'!$J$13:$J$4949)</f>
        <v>0</v>
      </c>
      <c r="BE25" s="22">
        <f>SUMIF('Đóng gói ngoài giờ'!$A$12:$A$34,'Tổng hợp ngoài giờ'!$A25,'Đóng gói ngoài giờ'!BE$12:BE$34)</f>
        <v>1.5</v>
      </c>
      <c r="BF25" s="4">
        <f ca="1">SUMIF('Đóng gói ngoài giờ'!$A$12:$A$216,'Tổng hợp ngoài giờ'!$A25,'Đóng gói ngoài giờ'!BD$12:BD$87)</f>
        <v>0</v>
      </c>
      <c r="BG25" s="4">
        <f ca="1">SUMIF('Đóng gói ngoài giờ'!$A$12:$A$216,'Tổng hợp ngoài giờ'!$A25,'Đóng gói ngoài giờ'!BE$12:BE$87)</f>
        <v>22.5</v>
      </c>
      <c r="BH25" s="4">
        <f ca="1">SUMIF('Đóng gói ngoài giờ'!$A$12:$A$216,'Tổng hợp ngoài giờ'!$A25,'Đóng gói ngoài giờ'!BF$12:BF$87)</f>
        <v>0</v>
      </c>
      <c r="BI25" s="4">
        <f ca="1">SUMIF('Đóng gói ngoài giờ'!$A$12:$A$216,'Tổng hợp ngoài giờ'!$A25,'Đóng gói ngoài giờ'!BG$12:BG$87)</f>
        <v>0</v>
      </c>
      <c r="BJ25" s="4">
        <f ca="1">SUMIF('Đóng gói ngoài giờ'!$A$12:$A$216,'Tổng hợp ngoài giờ'!$A25,'Đóng gói ngoài giờ'!BH$12:BH$87)</f>
        <v>0</v>
      </c>
      <c r="BK25" s="4">
        <f ca="1">SUMIF('Đóng gói ngoài giờ'!$A$12:$A$216,'Tổng hợp ngoài giờ'!$A25,'Đóng gói ngoài giờ'!BI$12:BI$87)</f>
        <v>0</v>
      </c>
      <c r="BL25" s="4">
        <f ca="1">SUMIF('Đóng gói ngoài giờ'!$A$12:$A$216,'Tổng hợp ngoài giờ'!$A25,'Đóng gói ngoài giờ'!BJ$12:BJ$87)</f>
        <v>0</v>
      </c>
      <c r="BM25" s="4">
        <f ca="1">SUMIF('Đóng gói ngoài giờ'!$A$12:$A$216,'Tổng hợp ngoài giờ'!$A25,'Đóng gói ngoài giờ'!BK$12:BK$87)</f>
        <v>0</v>
      </c>
      <c r="BN25" s="4">
        <f ca="1">SUMIF('Đóng gói ngoài giờ'!$A$12:$A$216,'Tổng hợp ngoài giờ'!$A25,'Đóng gói ngoài giờ'!BL$12:BL$87)</f>
        <v>4</v>
      </c>
      <c r="BO25" s="4">
        <f ca="1">SUMIF('Đóng gói ngoài giờ'!$A$12:$A$216,'Tổng hợp ngoài giờ'!$A25,'Đóng gói ngoài giờ'!BM$12:BM$87)</f>
        <v>0</v>
      </c>
      <c r="BP25" s="4">
        <f ca="1">SUMIF('Đóng gói ngoài giờ'!$A$12:$A$216,'Tổng hợp ngoài giờ'!$A25,'Đóng gói ngoài giờ'!BN$12:BN$87)</f>
        <v>0</v>
      </c>
      <c r="BQ25" s="4">
        <f ca="1">SUMIF('Đóng gói ngoài giờ'!$A$12:$A$216,'Tổng hợp ngoài giờ'!$A25,'Đóng gói ngoài giờ'!BO$12:BO$87)</f>
        <v>0</v>
      </c>
      <c r="BR25" s="4">
        <f ca="1">SUMIF('Đóng gói ngoài giờ'!$A$12:$A$216,'Tổng hợp ngoài giờ'!$A25,'Đóng gói ngoài giờ'!BP$12:BP$87)</f>
        <v>0</v>
      </c>
      <c r="BS25" s="4">
        <f ca="1">SUMIF('Đóng gói ngoài giờ'!$A$12:$A$216,'Tổng hợp ngoài giờ'!$A25,'Đóng gói ngoài giờ'!BQ$12:BQ$87)</f>
        <v>0</v>
      </c>
      <c r="BT25" s="4">
        <f ca="1">SUMIF('Đóng gói ngoài giờ'!$A$12:$A$216,'Tổng hợp ngoài giờ'!$A25,'Đóng gói ngoài giờ'!BR$12:BR$87)</f>
        <v>0</v>
      </c>
      <c r="BU25" s="96">
        <f t="shared" ca="1" si="1"/>
        <v>26.5</v>
      </c>
      <c r="BV25" s="244">
        <f t="shared" ca="1" si="2"/>
        <v>1075079.0305584827</v>
      </c>
      <c r="BW25" s="168">
        <f t="shared" ca="1" si="3"/>
        <v>1238903.8910456207</v>
      </c>
      <c r="CL25" s="7">
        <v>14</v>
      </c>
    </row>
    <row r="26" spans="1:90" ht="15.75" x14ac:dyDescent="0.25">
      <c r="A26" s="224" t="s">
        <v>113</v>
      </c>
      <c r="B26" s="2" t="str">
        <f>VLOOKUP(A26,'Mã NV'!$A$1:$C$27,2,0)</f>
        <v>Lê Văn Bi</v>
      </c>
      <c r="C26" s="23"/>
      <c r="D26" s="4">
        <f ca="1">SUMIF('Đóng gói ngoài giờ'!$A$12:$A$216,'Tổng hợp ngoài giờ'!$A26,'Đóng gói ngoài giờ'!D$12:D$87)</f>
        <v>0</v>
      </c>
      <c r="E26" s="4">
        <f ca="1">SUMIF('Đóng gói ngoài giờ'!$A$12:$A$216,'Tổng hợp ngoài giờ'!$A26,'Đóng gói ngoài giờ'!E$12:E$87)</f>
        <v>0</v>
      </c>
      <c r="F26" s="4">
        <f ca="1">SUMIF('Đóng gói ngoài giờ'!$A$12:$A$216,'Tổng hợp ngoài giờ'!$A26,'Đóng gói ngoài giờ'!F$12:F$87)</f>
        <v>0</v>
      </c>
      <c r="G26" s="4">
        <f ca="1">SUMIF('Đóng gói ngoài giờ'!$A$12:$A$216,'Tổng hợp ngoài giờ'!$A26,'Đóng gói ngoài giờ'!G$12:G$87)</f>
        <v>0</v>
      </c>
      <c r="H26" s="4">
        <f ca="1">SUMIF('Đóng gói ngoài giờ'!$A$12:$A$216,'Tổng hợp ngoài giờ'!$A26,'Đóng gói ngoài giờ'!H$12:H$87)</f>
        <v>0</v>
      </c>
      <c r="I26" s="4">
        <f ca="1">SUMIF('Đóng gói ngoài giờ'!$A$12:$A$216,'Tổng hợp ngoài giờ'!$A26,'Đóng gói ngoài giờ'!I$12:I$87)</f>
        <v>0</v>
      </c>
      <c r="J26" s="4">
        <f ca="1">SUMIF('Đóng gói ngoài giờ'!$A$12:$A$216,'Tổng hợp ngoài giờ'!$A26,'Đóng gói ngoài giờ'!J$12:J$87)</f>
        <v>0</v>
      </c>
      <c r="K26" s="4">
        <f ca="1">SUMIF('Đóng gói ngoài giờ'!$A$12:$A$216,'Tổng hợp ngoài giờ'!$A26,'Đóng gói ngoài giờ'!K$12:K$87)</f>
        <v>0</v>
      </c>
      <c r="L26" s="4">
        <f ca="1">SUMIF('Đóng gói ngoài giờ'!$A$12:$A$216,'Tổng hợp ngoài giờ'!$A26,'Đóng gói ngoài giờ'!L$12:L$87)</f>
        <v>0</v>
      </c>
      <c r="M26" s="4">
        <f ca="1">SUMIF('Đóng gói ngoài giờ'!$A$12:$A$216,'Tổng hợp ngoài giờ'!$A26,'Đóng gói ngoài giờ'!M$12:M$87)</f>
        <v>0</v>
      </c>
      <c r="N26" s="4">
        <f ca="1">SUMIF('Đóng gói ngoài giờ'!$A$12:$A$216,'Tổng hợp ngoài giờ'!$A26,'Đóng gói ngoài giờ'!N$12:N$87)</f>
        <v>0</v>
      </c>
      <c r="O26" s="4">
        <f ca="1">SUMIF('Đóng gói ngoài giờ'!$A$12:$A$216,'Tổng hợp ngoài giờ'!$A26,'Đóng gói ngoài giờ'!O$12:O$87)</f>
        <v>0</v>
      </c>
      <c r="P26" s="4">
        <f ca="1">SUMIF('Đóng gói ngoài giờ'!$A$12:$A$216,'Tổng hợp ngoài giờ'!$A26,'Đóng gói ngoài giờ'!P$12:P$87)</f>
        <v>0</v>
      </c>
      <c r="Q26" s="4">
        <f ca="1">SUMIF('Đóng gói ngoài giờ'!$A$12:$A$216,'Tổng hợp ngoài giờ'!$A26,'Đóng gói ngoài giờ'!Q$12:Q$87)</f>
        <v>0</v>
      </c>
      <c r="R26" s="4">
        <f ca="1">SUMIF('Đóng gói ngoài giờ'!$A$12:$A$216,'Tổng hợp ngoài giờ'!$A26,'Đóng gói ngoài giờ'!R$12:R$87)</f>
        <v>0</v>
      </c>
      <c r="S26" s="4">
        <f ca="1">SUMIF('Đóng gói ngoài giờ'!$A$12:$A$216,'Tổng hợp ngoài giờ'!$A26,'Đóng gói ngoài giờ'!S$12:S$87)</f>
        <v>0</v>
      </c>
      <c r="T26" s="4">
        <f ca="1">SUMIF('Đóng gói ngoài giờ'!$A$12:$A$216,'Tổng hợp ngoài giờ'!$A26,'Đóng gói ngoài giờ'!T$12:T$87)</f>
        <v>0</v>
      </c>
      <c r="U26" s="4">
        <f ca="1">SUMIF('Đóng gói ngoài giờ'!$A$12:$A$216,'Tổng hợp ngoài giờ'!$A26,'Đóng gói ngoài giờ'!U$12:U$87)</f>
        <v>0</v>
      </c>
      <c r="V26" s="4">
        <f ca="1">SUMIF('Đóng gói ngoài giờ'!$A$12:$A$216,'Tổng hợp ngoài giờ'!$A26,'Đóng gói ngoài giờ'!V$12:V$87)</f>
        <v>0</v>
      </c>
      <c r="W26" s="4">
        <f ca="1">SUMIF('Đóng gói ngoài giờ'!$A$12:$A$216,'Tổng hợp ngoài giờ'!$A26,'Đóng gói ngoài giờ'!W$12:W$87)</f>
        <v>0</v>
      </c>
      <c r="X26" s="4">
        <f ca="1">SUMIF('Đóng gói ngoài giờ'!$A$12:$A$216,'Tổng hợp ngoài giờ'!$A26,'Đóng gói ngoài giờ'!X$12:X$87)</f>
        <v>0</v>
      </c>
      <c r="Y26" s="4">
        <f ca="1">SUMIF('Đóng gói ngoài giờ'!$A$12:$A$216,'Tổng hợp ngoài giờ'!$A26,'Đóng gói ngoài giờ'!Y$12:Y$87)</f>
        <v>0</v>
      </c>
      <c r="Z26" s="4">
        <f ca="1">SUMIF('Đóng gói ngoài giờ'!$A$12:$A$216,'Tổng hợp ngoài giờ'!$A26,'Đóng gói ngoài giờ'!Z$12:Z$87)</f>
        <v>0</v>
      </c>
      <c r="AA26" s="4">
        <f ca="1">SUMIF('Đóng gói ngoài giờ'!$A$12:$A$216,'Tổng hợp ngoài giờ'!$A26,'Đóng gói ngoài giờ'!AA$12:AA$87)</f>
        <v>0</v>
      </c>
      <c r="AB26" s="4">
        <f ca="1">SUMIF('Đóng gói ngoài giờ'!$A$12:$A$216,'Tổng hợp ngoài giờ'!$A26,'Đóng gói ngoài giờ'!AB$12:AB$87)</f>
        <v>0</v>
      </c>
      <c r="AC26" s="4">
        <f ca="1">SUMIF('Đóng gói ngoài giờ'!$A$12:$A$216,'Tổng hợp ngoài giờ'!$A26,'Đóng gói ngoài giờ'!AC$12:AC$87)</f>
        <v>0</v>
      </c>
      <c r="AD26" s="4">
        <f ca="1">SUMIF('Đóng gói ngoài giờ'!$A$12:$A$216,'Tổng hợp ngoài giờ'!$A26,'Đóng gói ngoài giờ'!AD$12:AD$87)</f>
        <v>0</v>
      </c>
      <c r="AE26" s="4">
        <f ca="1">SUMIF('Đóng gói ngoài giờ'!$A$12:$A$216,'Tổng hợp ngoài giờ'!$A26,'Đóng gói ngoài giờ'!AE$12:AE$87)</f>
        <v>0</v>
      </c>
      <c r="AF26" s="4">
        <f ca="1">SUMIF('Đóng gói ngoài giờ'!$A$12:$A$216,'Tổng hợp ngoài giờ'!$A26,'Đóng gói ngoài giờ'!AF$12:AF$87)</f>
        <v>0</v>
      </c>
      <c r="AG26" s="4">
        <f ca="1">SUMIF('Đóng gói ngoài giờ'!$A$12:$A$216,'Tổng hợp ngoài giờ'!$A26,'Đóng gói ngoài giờ'!AG$12:AG$87)</f>
        <v>0</v>
      </c>
      <c r="AH26" s="4">
        <f ca="1">SUMIF('Đóng gói ngoài giờ'!$A$12:$A$216,'Tổng hợp ngoài giờ'!$A26,'Đóng gói ngoài giờ'!AH$12:AH$87)</f>
        <v>0</v>
      </c>
      <c r="AI26" s="4">
        <f ca="1">SUMIF('Đóng gói ngoài giờ'!$A$12:$A$216,'Tổng hợp ngoài giờ'!$A26,'Đóng gói ngoài giờ'!AI$12:AI$87)</f>
        <v>0</v>
      </c>
      <c r="AJ26" s="4">
        <f ca="1">SUMIF('Đóng gói ngoài giờ'!$A$12:$A$216,'Tổng hợp ngoài giờ'!$A26,'Đóng gói ngoài giờ'!AJ$12:AJ$87)</f>
        <v>0</v>
      </c>
      <c r="AK26" s="4">
        <f ca="1">SUMIF('Đóng gói ngoài giờ'!$A$12:$A$216,'Tổng hợp ngoài giờ'!$A26,'Đóng gói ngoài giờ'!AK$12:AK$87)</f>
        <v>106.66666666666667</v>
      </c>
      <c r="AL26" s="4">
        <f ca="1">SUMIF('Đóng gói ngoài giờ'!$A$12:$A$216,'Tổng hợp ngoài giờ'!$A26,'Đóng gói ngoài giờ'!AL$12:AL$87)</f>
        <v>0</v>
      </c>
      <c r="AM26" s="4">
        <f ca="1">SUMIF('Đóng gói ngoài giờ'!$A$12:$A$216,'Tổng hợp ngoài giờ'!$A26,'Đóng gói ngoài giờ'!AM$12:AM$87)</f>
        <v>51.666666666666671</v>
      </c>
      <c r="AN26" s="4">
        <f ca="1">SUMIF('Đóng gói ngoài giờ'!$A$12:$A$216,'Tổng hợp ngoài giờ'!$A26,'Đóng gói ngoài giờ'!AN$12:AN$87)</f>
        <v>0</v>
      </c>
      <c r="AO26" s="4">
        <f ca="1">SUMIF('Đóng gói ngoài giờ'!$A$12:$A$216,'Tổng hợp ngoài giờ'!$A26,'Đóng gói ngoài giờ'!AO$12:AO$87)</f>
        <v>0</v>
      </c>
      <c r="AP26" s="4">
        <f ca="1">SUMIF('Đóng gói ngoài giờ'!$A$12:$A$216,'Tổng hợp ngoài giờ'!$A26,'Đóng gói ngoài giờ'!AP$12:AP$87)</f>
        <v>0</v>
      </c>
      <c r="AQ26" s="4">
        <f ca="1">SUMIF('Đóng gói ngoài giờ'!$A$12:$A$216,'Tổng hợp ngoài giờ'!$A26,'Đóng gói ngoài giờ'!AQ$12:AQ$87)</f>
        <v>0</v>
      </c>
      <c r="AR26" s="4">
        <f ca="1">SUMIF('Đóng gói ngoài giờ'!$A$12:$A$216,'Tổng hợp ngoài giờ'!$A26,'Đóng gói ngoài giờ'!AR$12:AR$87)</f>
        <v>0</v>
      </c>
      <c r="AS26" s="4">
        <f ca="1">SUMIF('Đóng gói ngoài giờ'!$A$12:$A$216,'Tổng hợp ngoài giờ'!$A26,'Đóng gói ngoài giờ'!AS$12:AS$87)</f>
        <v>0</v>
      </c>
      <c r="AT26" s="4">
        <f ca="1">SUMIF('Đóng gói ngoài giờ'!$A$12:$A$216,'Tổng hợp ngoài giờ'!$A26,'Đóng gói ngoài giờ'!AT$12:AT$87)</f>
        <v>0</v>
      </c>
      <c r="AU26" s="4">
        <f ca="1">SUMIF('Đóng gói ngoài giờ'!$A$12:$A$216,'Tổng hợp ngoài giờ'!$A26,'Đóng gói ngoài giờ'!AU$12:AU$87)</f>
        <v>0</v>
      </c>
      <c r="AV26" s="4">
        <f ca="1">SUMIF('Đóng gói ngoài giờ'!$A$12:$A$216,'Tổng hợp ngoài giờ'!$A26,'Đóng gói ngoài giờ'!AV$12:AV$87)</f>
        <v>0</v>
      </c>
      <c r="AW26" s="4">
        <f ca="1">SUMIF('Đóng gói ngoài giờ'!$A$12:$A$216,'Tổng hợp ngoài giờ'!$A26,'Đóng gói ngoài giờ'!AW$12:AW$87)</f>
        <v>0</v>
      </c>
      <c r="AX26" s="4">
        <f ca="1">SUMIF('Đóng gói ngoài giờ'!$A$12:$A$216,'Tổng hợp ngoài giờ'!$A26,'Đóng gói ngoài giờ'!AX$12:AX$87)</f>
        <v>0</v>
      </c>
      <c r="AY26" s="4">
        <f ca="1">SUMIF('Đóng gói ngoài giờ'!$A$12:$A$216,'Tổng hợp ngoài giờ'!$A26,'Đóng gói ngoài giờ'!AY$12:AY$87)</f>
        <v>0</v>
      </c>
      <c r="AZ26" s="4">
        <f ca="1">SUMIF('Đóng gói ngoài giờ'!$A$12:$A$216,'Tổng hợp ngoài giờ'!$A26,'Đóng gói ngoài giờ'!AZ$12:AZ$87)</f>
        <v>0</v>
      </c>
      <c r="BA26" s="4">
        <f ca="1">SUMIF('Đóng gói ngoài giờ'!$A$12:$A$216,'Tổng hợp ngoài giờ'!$A26,'Đóng gói ngoài giờ'!BA$12:BA$87)</f>
        <v>0</v>
      </c>
      <c r="BB26" s="4">
        <f ca="1">SUMIF('Đóng gói ngoài giờ'!$A$12:$A$216,'Tổng hợp ngoài giờ'!$A26,'Đóng gói ngoài giờ'!BB$12:BB$87)</f>
        <v>0</v>
      </c>
      <c r="BC26" s="22">
        <f>SUMIF('Đóng gói ngoài giờ'!$A$12:$A$34,'Tổng hợp ngoài giờ'!$A26,'Đóng gói ngoài giờ'!BC$12:BC$34)</f>
        <v>0</v>
      </c>
      <c r="BD26" s="120">
        <f>SUMIF('Bốc hàng ngoài giờ new'!$H$13:$H$4949,'Tổng hợp trong giờ'!A25,'Bốc hàng ngoài giờ new'!$J$13:$J$4949)</f>
        <v>0</v>
      </c>
      <c r="BE26" s="22">
        <f>SUMIF('Đóng gói ngoài giờ'!$A$12:$A$34,'Tổng hợp ngoài giờ'!$A26,'Đóng gói ngoài giờ'!BE$12:BE$34)</f>
        <v>1.5</v>
      </c>
      <c r="BF26" s="4">
        <f ca="1">SUMIF('Đóng gói ngoài giờ'!$A$12:$A$216,'Tổng hợp ngoài giờ'!$A26,'Đóng gói ngoài giờ'!BD$12:BD$87)</f>
        <v>0</v>
      </c>
      <c r="BG26" s="4">
        <f ca="1">SUMIF('Đóng gói ngoài giờ'!$A$12:$A$216,'Tổng hợp ngoài giờ'!$A26,'Đóng gói ngoài giờ'!BE$12:BE$87)</f>
        <v>12</v>
      </c>
      <c r="BH26" s="4">
        <f ca="1">SUMIF('Đóng gói ngoài giờ'!$A$12:$A$216,'Tổng hợp ngoài giờ'!$A26,'Đóng gói ngoài giờ'!BF$12:BF$87)</f>
        <v>0</v>
      </c>
      <c r="BI26" s="4">
        <f ca="1">SUMIF('Đóng gói ngoài giờ'!$A$12:$A$216,'Tổng hợp ngoài giờ'!$A26,'Đóng gói ngoài giờ'!BG$12:BG$87)</f>
        <v>0</v>
      </c>
      <c r="BJ26" s="4">
        <f ca="1">SUMIF('Đóng gói ngoài giờ'!$A$12:$A$216,'Tổng hợp ngoài giờ'!$A26,'Đóng gói ngoài giờ'!BH$12:BH$87)</f>
        <v>0</v>
      </c>
      <c r="BK26" s="4">
        <f ca="1">SUMIF('Đóng gói ngoài giờ'!$A$12:$A$216,'Tổng hợp ngoài giờ'!$A26,'Đóng gói ngoài giờ'!BI$12:BI$87)</f>
        <v>0</v>
      </c>
      <c r="BL26" s="4">
        <f ca="1">SUMIF('Đóng gói ngoài giờ'!$A$12:$A$216,'Tổng hợp ngoài giờ'!$A26,'Đóng gói ngoài giờ'!BJ$12:BJ$87)</f>
        <v>0</v>
      </c>
      <c r="BM26" s="4">
        <f ca="1">SUMIF('Đóng gói ngoài giờ'!$A$12:$A$216,'Tổng hợp ngoài giờ'!$A26,'Đóng gói ngoài giờ'!BK$12:BK$87)</f>
        <v>0</v>
      </c>
      <c r="BN26" s="4">
        <f ca="1">SUMIF('Đóng gói ngoài giờ'!$A$12:$A$216,'Tổng hợp ngoài giờ'!$A26,'Đóng gói ngoài giờ'!BL$12:BL$87)</f>
        <v>0</v>
      </c>
      <c r="BO26" s="4">
        <f ca="1">SUMIF('Đóng gói ngoài giờ'!$A$12:$A$216,'Tổng hợp ngoài giờ'!$A26,'Đóng gói ngoài giờ'!BM$12:BM$87)</f>
        <v>0</v>
      </c>
      <c r="BP26" s="4">
        <f ca="1">SUMIF('Đóng gói ngoài giờ'!$A$12:$A$216,'Tổng hợp ngoài giờ'!$A26,'Đóng gói ngoài giờ'!BN$12:BN$87)</f>
        <v>0</v>
      </c>
      <c r="BQ26" s="4">
        <f ca="1">SUMIF('Đóng gói ngoài giờ'!$A$12:$A$216,'Tổng hợp ngoài giờ'!$A26,'Đóng gói ngoài giờ'!BO$12:BO$87)</f>
        <v>0</v>
      </c>
      <c r="BR26" s="4">
        <f ca="1">SUMIF('Đóng gói ngoài giờ'!$A$12:$A$216,'Tổng hợp ngoài giờ'!$A26,'Đóng gói ngoài giờ'!BP$12:BP$87)</f>
        <v>0</v>
      </c>
      <c r="BS26" s="4">
        <f ca="1">SUMIF('Đóng gói ngoài giờ'!$A$12:$A$216,'Tổng hợp ngoài giờ'!$A26,'Đóng gói ngoài giờ'!BQ$12:BQ$87)</f>
        <v>0</v>
      </c>
      <c r="BT26" s="4">
        <f ca="1">SUMIF('Đóng gói ngoài giờ'!$A$12:$A$216,'Tổng hợp ngoài giờ'!$A26,'Đóng gói ngoài giờ'!BR$12:BR$87)</f>
        <v>0</v>
      </c>
      <c r="BU26" s="96">
        <f t="shared" ca="1" si="1"/>
        <v>12</v>
      </c>
      <c r="BV26" s="244">
        <f t="shared" ca="1" si="2"/>
        <v>486828.24025289784</v>
      </c>
      <c r="BW26" s="168">
        <f t="shared" ca="1" si="3"/>
        <v>604451.66046954948</v>
      </c>
      <c r="CL26" s="9">
        <v>15</v>
      </c>
    </row>
    <row r="27" spans="1:90" s="222" customFormat="1" ht="15.75" x14ac:dyDescent="0.25">
      <c r="A27" s="224" t="s">
        <v>115</v>
      </c>
      <c r="B27" s="2" t="str">
        <f>VLOOKUP(A27,'Mã NV'!$A$1:$C$27,2,0)</f>
        <v>Trần Anh Dũ</v>
      </c>
      <c r="C27" s="273"/>
      <c r="D27" s="4">
        <f ca="1">SUMIF('Đóng gói ngoài giờ'!$A$12:$A$216,'Tổng hợp ngoài giờ'!$A27,'Đóng gói ngoài giờ'!D$12:D$87)</f>
        <v>0</v>
      </c>
      <c r="E27" s="4">
        <f ca="1">SUMIF('Đóng gói ngoài giờ'!$A$12:$A$216,'Tổng hợp ngoài giờ'!$A27,'Đóng gói ngoài giờ'!E$12:E$87)</f>
        <v>0</v>
      </c>
      <c r="F27" s="4">
        <f ca="1">SUMIF('Đóng gói ngoài giờ'!$A$12:$A$216,'Tổng hợp ngoài giờ'!$A27,'Đóng gói ngoài giờ'!F$12:F$87)</f>
        <v>0</v>
      </c>
      <c r="G27" s="4">
        <f ca="1">SUMIF('Đóng gói ngoài giờ'!$A$12:$A$216,'Tổng hợp ngoài giờ'!$A27,'Đóng gói ngoài giờ'!G$12:G$87)</f>
        <v>0</v>
      </c>
      <c r="H27" s="4">
        <f ca="1">SUMIF('Đóng gói ngoài giờ'!$A$12:$A$216,'Tổng hợp ngoài giờ'!$A27,'Đóng gói ngoài giờ'!H$12:H$87)</f>
        <v>0</v>
      </c>
      <c r="I27" s="4">
        <f ca="1">SUMIF('Đóng gói ngoài giờ'!$A$12:$A$216,'Tổng hợp ngoài giờ'!$A27,'Đóng gói ngoài giờ'!I$12:I$87)</f>
        <v>0</v>
      </c>
      <c r="J27" s="4">
        <f ca="1">SUMIF('Đóng gói ngoài giờ'!$A$12:$A$216,'Tổng hợp ngoài giờ'!$A27,'Đóng gói ngoài giờ'!J$12:J$87)</f>
        <v>0</v>
      </c>
      <c r="K27" s="4">
        <f ca="1">SUMIF('Đóng gói ngoài giờ'!$A$12:$A$216,'Tổng hợp ngoài giờ'!$A27,'Đóng gói ngoài giờ'!K$12:K$87)</f>
        <v>0</v>
      </c>
      <c r="L27" s="4">
        <f ca="1">SUMIF('Đóng gói ngoài giờ'!$A$12:$A$216,'Tổng hợp ngoài giờ'!$A27,'Đóng gói ngoài giờ'!L$12:L$87)</f>
        <v>0</v>
      </c>
      <c r="M27" s="4">
        <f ca="1">SUMIF('Đóng gói ngoài giờ'!$A$12:$A$216,'Tổng hợp ngoài giờ'!$A27,'Đóng gói ngoài giờ'!M$12:M$87)</f>
        <v>0</v>
      </c>
      <c r="N27" s="4">
        <f ca="1">SUMIF('Đóng gói ngoài giờ'!$A$12:$A$216,'Tổng hợp ngoài giờ'!$A27,'Đóng gói ngoài giờ'!N$12:N$87)</f>
        <v>0</v>
      </c>
      <c r="O27" s="4">
        <f ca="1">SUMIF('Đóng gói ngoài giờ'!$A$12:$A$216,'Tổng hợp ngoài giờ'!$A27,'Đóng gói ngoài giờ'!O$12:O$87)</f>
        <v>0</v>
      </c>
      <c r="P27" s="4">
        <f ca="1">SUMIF('Đóng gói ngoài giờ'!$A$12:$A$216,'Tổng hợp ngoài giờ'!$A27,'Đóng gói ngoài giờ'!P$12:P$87)</f>
        <v>0</v>
      </c>
      <c r="Q27" s="4">
        <f ca="1">SUMIF('Đóng gói ngoài giờ'!$A$12:$A$216,'Tổng hợp ngoài giờ'!$A27,'Đóng gói ngoài giờ'!Q$12:Q$87)</f>
        <v>0</v>
      </c>
      <c r="R27" s="4">
        <f ca="1">SUMIF('Đóng gói ngoài giờ'!$A$12:$A$216,'Tổng hợp ngoài giờ'!$A27,'Đóng gói ngoài giờ'!R$12:R$87)</f>
        <v>0</v>
      </c>
      <c r="S27" s="4">
        <f ca="1">SUMIF('Đóng gói ngoài giờ'!$A$12:$A$216,'Tổng hợp ngoài giờ'!$A27,'Đóng gói ngoài giờ'!S$12:S$87)</f>
        <v>0</v>
      </c>
      <c r="T27" s="4">
        <f ca="1">SUMIF('Đóng gói ngoài giờ'!$A$12:$A$216,'Tổng hợp ngoài giờ'!$A27,'Đóng gói ngoài giờ'!T$12:T$87)</f>
        <v>0</v>
      </c>
      <c r="U27" s="4">
        <f ca="1">SUMIF('Đóng gói ngoài giờ'!$A$12:$A$216,'Tổng hợp ngoài giờ'!$A27,'Đóng gói ngoài giờ'!U$12:U$87)</f>
        <v>0</v>
      </c>
      <c r="V27" s="4">
        <f ca="1">SUMIF('Đóng gói ngoài giờ'!$A$12:$A$216,'Tổng hợp ngoài giờ'!$A27,'Đóng gói ngoài giờ'!V$12:V$87)</f>
        <v>0</v>
      </c>
      <c r="W27" s="4">
        <f ca="1">SUMIF('Đóng gói ngoài giờ'!$A$12:$A$216,'Tổng hợp ngoài giờ'!$A27,'Đóng gói ngoài giờ'!W$12:W$87)</f>
        <v>0</v>
      </c>
      <c r="X27" s="4">
        <f ca="1">SUMIF('Đóng gói ngoài giờ'!$A$12:$A$216,'Tổng hợp ngoài giờ'!$A27,'Đóng gói ngoài giờ'!X$12:X$87)</f>
        <v>0</v>
      </c>
      <c r="Y27" s="4">
        <f ca="1">SUMIF('Đóng gói ngoài giờ'!$A$12:$A$216,'Tổng hợp ngoài giờ'!$A27,'Đóng gói ngoài giờ'!Y$12:Y$87)</f>
        <v>0</v>
      </c>
      <c r="Z27" s="4">
        <f ca="1">SUMIF('Đóng gói ngoài giờ'!$A$12:$A$216,'Tổng hợp ngoài giờ'!$A27,'Đóng gói ngoài giờ'!Z$12:Z$87)</f>
        <v>0</v>
      </c>
      <c r="AA27" s="4">
        <f ca="1">SUMIF('Đóng gói ngoài giờ'!$A$12:$A$216,'Tổng hợp ngoài giờ'!$A27,'Đóng gói ngoài giờ'!AA$12:AA$87)</f>
        <v>0</v>
      </c>
      <c r="AB27" s="4">
        <f ca="1">SUMIF('Đóng gói ngoài giờ'!$A$12:$A$216,'Tổng hợp ngoài giờ'!$A27,'Đóng gói ngoài giờ'!AB$12:AB$87)</f>
        <v>0</v>
      </c>
      <c r="AC27" s="4">
        <f ca="1">SUMIF('Đóng gói ngoài giờ'!$A$12:$A$216,'Tổng hợp ngoài giờ'!$A27,'Đóng gói ngoài giờ'!AC$12:AC$87)</f>
        <v>0</v>
      </c>
      <c r="AD27" s="4">
        <f ca="1">SUMIF('Đóng gói ngoài giờ'!$A$12:$A$216,'Tổng hợp ngoài giờ'!$A27,'Đóng gói ngoài giờ'!AD$12:AD$87)</f>
        <v>0</v>
      </c>
      <c r="AE27" s="4">
        <f ca="1">SUMIF('Đóng gói ngoài giờ'!$A$12:$A$216,'Tổng hợp ngoài giờ'!$A27,'Đóng gói ngoài giờ'!AE$12:AE$87)</f>
        <v>0</v>
      </c>
      <c r="AF27" s="4">
        <f ca="1">SUMIF('Đóng gói ngoài giờ'!$A$12:$A$216,'Tổng hợp ngoài giờ'!$A27,'Đóng gói ngoài giờ'!AF$12:AF$87)</f>
        <v>0</v>
      </c>
      <c r="AG27" s="4">
        <f ca="1">SUMIF('Đóng gói ngoài giờ'!$A$12:$A$216,'Tổng hợp ngoài giờ'!$A27,'Đóng gói ngoài giờ'!AG$12:AG$87)</f>
        <v>0</v>
      </c>
      <c r="AH27" s="4">
        <f ca="1">SUMIF('Đóng gói ngoài giờ'!$A$12:$A$216,'Tổng hợp ngoài giờ'!$A27,'Đóng gói ngoài giờ'!AH$12:AH$87)</f>
        <v>0</v>
      </c>
      <c r="AI27" s="4">
        <f ca="1">SUMIF('Đóng gói ngoài giờ'!$A$12:$A$216,'Tổng hợp ngoài giờ'!$A27,'Đóng gói ngoài giờ'!AI$12:AI$87)</f>
        <v>0</v>
      </c>
      <c r="AJ27" s="4">
        <f ca="1">SUMIF('Đóng gói ngoài giờ'!$A$12:$A$216,'Tổng hợp ngoài giờ'!$A27,'Đóng gói ngoài giờ'!AJ$12:AJ$87)</f>
        <v>105</v>
      </c>
      <c r="AK27" s="4">
        <f ca="1">SUMIF('Đóng gói ngoài giờ'!$A$12:$A$216,'Tổng hợp ngoài giờ'!$A27,'Đóng gói ngoài giờ'!AK$12:AK$87)</f>
        <v>0</v>
      </c>
      <c r="AL27" s="4">
        <f ca="1">SUMIF('Đóng gói ngoài giờ'!$A$12:$A$216,'Tổng hợp ngoài giờ'!$A27,'Đóng gói ngoài giờ'!AL$12:AL$87)</f>
        <v>0</v>
      </c>
      <c r="AM27" s="4">
        <f ca="1">SUMIF('Đóng gói ngoài giờ'!$A$12:$A$216,'Tổng hợp ngoài giờ'!$A27,'Đóng gói ngoài giờ'!AM$12:AM$87)</f>
        <v>33.333333333333336</v>
      </c>
      <c r="AN27" s="4">
        <f ca="1">SUMIF('Đóng gói ngoài giờ'!$A$12:$A$216,'Tổng hợp ngoài giờ'!$A27,'Đóng gói ngoài giờ'!AN$12:AN$87)</f>
        <v>0</v>
      </c>
      <c r="AO27" s="4">
        <f ca="1">SUMIF('Đóng gói ngoài giờ'!$A$12:$A$216,'Tổng hợp ngoài giờ'!$A27,'Đóng gói ngoài giờ'!AO$12:AO$87)</f>
        <v>0</v>
      </c>
      <c r="AP27" s="4">
        <f ca="1">SUMIF('Đóng gói ngoài giờ'!$A$12:$A$216,'Tổng hợp ngoài giờ'!$A27,'Đóng gói ngoài giờ'!AP$12:AP$87)</f>
        <v>0</v>
      </c>
      <c r="AQ27" s="4">
        <f ca="1">SUMIF('Đóng gói ngoài giờ'!$A$12:$A$216,'Tổng hợp ngoài giờ'!$A27,'Đóng gói ngoài giờ'!AQ$12:AQ$87)</f>
        <v>0</v>
      </c>
      <c r="AR27" s="4">
        <f ca="1">SUMIF('Đóng gói ngoài giờ'!$A$12:$A$216,'Tổng hợp ngoài giờ'!$A27,'Đóng gói ngoài giờ'!AR$12:AR$87)</f>
        <v>0</v>
      </c>
      <c r="AS27" s="4">
        <f ca="1">SUMIF('Đóng gói ngoài giờ'!$A$12:$A$216,'Tổng hợp ngoài giờ'!$A27,'Đóng gói ngoài giờ'!AS$12:AS$87)</f>
        <v>0</v>
      </c>
      <c r="AT27" s="4">
        <f ca="1">SUMIF('Đóng gói ngoài giờ'!$A$12:$A$216,'Tổng hợp ngoài giờ'!$A27,'Đóng gói ngoài giờ'!AT$12:AT$87)</f>
        <v>0</v>
      </c>
      <c r="AU27" s="4">
        <f ca="1">SUMIF('Đóng gói ngoài giờ'!$A$12:$A$216,'Tổng hợp ngoài giờ'!$A27,'Đóng gói ngoài giờ'!AU$12:AU$87)</f>
        <v>0</v>
      </c>
      <c r="AV27" s="4">
        <f ca="1">SUMIF('Đóng gói ngoài giờ'!$A$12:$A$216,'Tổng hợp ngoài giờ'!$A27,'Đóng gói ngoài giờ'!AV$12:AV$87)</f>
        <v>0</v>
      </c>
      <c r="AW27" s="4">
        <f ca="1">SUMIF('Đóng gói ngoài giờ'!$A$12:$A$216,'Tổng hợp ngoài giờ'!$A27,'Đóng gói ngoài giờ'!AW$12:AW$87)</f>
        <v>0</v>
      </c>
      <c r="AX27" s="4">
        <f ca="1">SUMIF('Đóng gói ngoài giờ'!$A$12:$A$216,'Tổng hợp ngoài giờ'!$A27,'Đóng gói ngoài giờ'!AX$12:AX$87)</f>
        <v>0</v>
      </c>
      <c r="AY27" s="4">
        <f ca="1">SUMIF('Đóng gói ngoài giờ'!$A$12:$A$216,'Tổng hợp ngoài giờ'!$A27,'Đóng gói ngoài giờ'!AY$12:AY$87)</f>
        <v>0</v>
      </c>
      <c r="AZ27" s="4">
        <f ca="1">SUMIF('Đóng gói ngoài giờ'!$A$12:$A$216,'Tổng hợp ngoài giờ'!$A27,'Đóng gói ngoài giờ'!AZ$12:AZ$87)</f>
        <v>0</v>
      </c>
      <c r="BA27" s="4">
        <f ca="1">SUMIF('Đóng gói ngoài giờ'!$A$12:$A$216,'Tổng hợp ngoài giờ'!$A27,'Đóng gói ngoài giờ'!BA$12:BA$87)</f>
        <v>0</v>
      </c>
      <c r="BB27" s="4">
        <f ca="1">SUMIF('Đóng gói ngoài giờ'!$A$12:$A$216,'Tổng hợp ngoài giờ'!$A27,'Đóng gói ngoài giờ'!BB$12:BB$87)</f>
        <v>0</v>
      </c>
      <c r="BC27" s="22">
        <f>SUMIF('Đóng gói ngoài giờ'!$A$12:$A$34,'Tổng hợp ngoài giờ'!$A27,'Đóng gói ngoài giờ'!BC$12:BC$34)</f>
        <v>0</v>
      </c>
      <c r="BD27" s="120">
        <f>SUMIF('Bốc hàng ngoài giờ new'!$H$13:$H$4949,'Tổng hợp trong giờ'!A26,'Bốc hàng ngoài giờ new'!$J$13:$J$4949)</f>
        <v>0</v>
      </c>
      <c r="BE27" s="22">
        <f>SUMIF('Đóng gói ngoài giờ'!$A$12:$A$34,'Tổng hợp ngoài giờ'!$A27,'Đóng gói ngoài giờ'!BE$12:BE$34)</f>
        <v>1.5</v>
      </c>
      <c r="BF27" s="4">
        <f ca="1">SUMIF('Đóng gói ngoài giờ'!$A$12:$A$216,'Tổng hợp ngoài giờ'!$A27,'Đóng gói ngoài giờ'!BD$12:BD$87)</f>
        <v>0</v>
      </c>
      <c r="BG27" s="4">
        <f ca="1">SUMIF('Đóng gói ngoài giờ'!$A$12:$A$216,'Tổng hợp ngoài giờ'!$A27,'Đóng gói ngoài giờ'!BE$12:BE$87)</f>
        <v>2.5</v>
      </c>
      <c r="BH27" s="4">
        <f ca="1">SUMIF('Đóng gói ngoài giờ'!$A$12:$A$216,'Tổng hợp ngoài giờ'!$A27,'Đóng gói ngoài giờ'!BF$12:BF$87)</f>
        <v>0</v>
      </c>
      <c r="BI27" s="4">
        <f ca="1">SUMIF('Đóng gói ngoài giờ'!$A$12:$A$216,'Tổng hợp ngoài giờ'!$A27,'Đóng gói ngoài giờ'!BG$12:BG$87)</f>
        <v>0</v>
      </c>
      <c r="BJ27" s="4">
        <f ca="1">SUMIF('Đóng gói ngoài giờ'!$A$12:$A$216,'Tổng hợp ngoài giờ'!$A27,'Đóng gói ngoài giờ'!BH$12:BH$87)</f>
        <v>0</v>
      </c>
      <c r="BK27" s="4">
        <f ca="1">SUMIF('Đóng gói ngoài giờ'!$A$12:$A$216,'Tổng hợp ngoài giờ'!$A27,'Đóng gói ngoài giờ'!BI$12:BI$87)</f>
        <v>0</v>
      </c>
      <c r="BL27" s="4">
        <f ca="1">SUMIF('Đóng gói ngoài giờ'!$A$12:$A$216,'Tổng hợp ngoài giờ'!$A27,'Đóng gói ngoài giờ'!BJ$12:BJ$87)</f>
        <v>0</v>
      </c>
      <c r="BM27" s="4">
        <f ca="1">SUMIF('Đóng gói ngoài giờ'!$A$12:$A$216,'Tổng hợp ngoài giờ'!$A27,'Đóng gói ngoài giờ'!BK$12:BK$87)</f>
        <v>0</v>
      </c>
      <c r="BN27" s="4">
        <f ca="1">SUMIF('Đóng gói ngoài giờ'!$A$12:$A$216,'Tổng hợp ngoài giờ'!$A27,'Đóng gói ngoài giờ'!BL$12:BL$87)</f>
        <v>3.5</v>
      </c>
      <c r="BO27" s="4">
        <f ca="1">SUMIF('Đóng gói ngoài giờ'!$A$12:$A$216,'Tổng hợp ngoài giờ'!$A27,'Đóng gói ngoài giờ'!BM$12:BM$87)</f>
        <v>0</v>
      </c>
      <c r="BP27" s="4">
        <f ca="1">SUMIF('Đóng gói ngoài giờ'!$A$12:$A$216,'Tổng hợp ngoài giờ'!$A27,'Đóng gói ngoài giờ'!BN$12:BN$87)</f>
        <v>0</v>
      </c>
      <c r="BQ27" s="4">
        <f ca="1">SUMIF('Đóng gói ngoài giờ'!$A$12:$A$216,'Tổng hợp ngoài giờ'!$A27,'Đóng gói ngoài giờ'!BO$12:BO$87)</f>
        <v>0</v>
      </c>
      <c r="BR27" s="4">
        <f ca="1">SUMIF('Đóng gói ngoài giờ'!$A$12:$A$216,'Tổng hợp ngoài giờ'!$A27,'Đóng gói ngoài giờ'!BP$12:BP$87)</f>
        <v>0</v>
      </c>
      <c r="BS27" s="4">
        <f ca="1">SUMIF('Đóng gói ngoài giờ'!$A$12:$A$216,'Tổng hợp ngoài giờ'!$A27,'Đóng gói ngoài giờ'!BQ$12:BQ$87)</f>
        <v>0</v>
      </c>
      <c r="BT27" s="4">
        <f ca="1">SUMIF('Đóng gói ngoài giờ'!$A$12:$A$216,'Tổng hợp ngoài giờ'!$A27,'Đóng gói ngoài giờ'!BR$12:BR$87)</f>
        <v>0</v>
      </c>
      <c r="BU27" s="96">
        <f t="shared" ca="1" si="1"/>
        <v>6</v>
      </c>
      <c r="BV27" s="244">
        <f t="shared" ca="1" si="2"/>
        <v>243414.12012644895</v>
      </c>
      <c r="BW27" s="168">
        <f t="shared" ca="1" si="3"/>
        <v>322991.44531178748</v>
      </c>
      <c r="CL27" s="7">
        <v>16</v>
      </c>
    </row>
    <row r="28" spans="1:90" ht="15.75" x14ac:dyDescent="0.25">
      <c r="A28" s="224" t="s">
        <v>116</v>
      </c>
      <c r="B28" s="2" t="str">
        <f>VLOOKUP(A28,'Mã NV'!$A$1:$C$27,2,0)</f>
        <v>Thạch Ngọc Tiến</v>
      </c>
      <c r="C28" s="23"/>
      <c r="D28" s="4">
        <f ca="1">SUMIF('Đóng gói ngoài giờ'!$A$12:$A$216,'Tổng hợp ngoài giờ'!$A28,'Đóng gói ngoài giờ'!D$12:D$87)</f>
        <v>0</v>
      </c>
      <c r="E28" s="4">
        <f ca="1">SUMIF('Đóng gói ngoài giờ'!$A$12:$A$216,'Tổng hợp ngoài giờ'!$A28,'Đóng gói ngoài giờ'!E$12:E$87)</f>
        <v>0</v>
      </c>
      <c r="F28" s="4">
        <f ca="1">SUMIF('Đóng gói ngoài giờ'!$A$12:$A$216,'Tổng hợp ngoài giờ'!$A28,'Đóng gói ngoài giờ'!F$12:F$87)</f>
        <v>0</v>
      </c>
      <c r="G28" s="4">
        <f ca="1">SUMIF('Đóng gói ngoài giờ'!$A$12:$A$216,'Tổng hợp ngoài giờ'!$A28,'Đóng gói ngoài giờ'!G$12:G$87)</f>
        <v>0</v>
      </c>
      <c r="H28" s="4">
        <f ca="1">SUMIF('Đóng gói ngoài giờ'!$A$12:$A$216,'Tổng hợp ngoài giờ'!$A28,'Đóng gói ngoài giờ'!H$12:H$87)</f>
        <v>0</v>
      </c>
      <c r="I28" s="4">
        <f ca="1">SUMIF('Đóng gói ngoài giờ'!$A$12:$A$216,'Tổng hợp ngoài giờ'!$A28,'Đóng gói ngoài giờ'!I$12:I$87)</f>
        <v>0</v>
      </c>
      <c r="J28" s="4">
        <f ca="1">SUMIF('Đóng gói ngoài giờ'!$A$12:$A$216,'Tổng hợp ngoài giờ'!$A28,'Đóng gói ngoài giờ'!J$12:J$87)</f>
        <v>0</v>
      </c>
      <c r="K28" s="4">
        <f ca="1">SUMIF('Đóng gói ngoài giờ'!$A$12:$A$216,'Tổng hợp ngoài giờ'!$A28,'Đóng gói ngoài giờ'!K$12:K$87)</f>
        <v>0</v>
      </c>
      <c r="L28" s="4">
        <f ca="1">SUMIF('Đóng gói ngoài giờ'!$A$12:$A$216,'Tổng hợp ngoài giờ'!$A28,'Đóng gói ngoài giờ'!L$12:L$87)</f>
        <v>0</v>
      </c>
      <c r="M28" s="4">
        <f ca="1">SUMIF('Đóng gói ngoài giờ'!$A$12:$A$216,'Tổng hợp ngoài giờ'!$A28,'Đóng gói ngoài giờ'!M$12:M$87)</f>
        <v>0</v>
      </c>
      <c r="N28" s="4">
        <f ca="1">SUMIF('Đóng gói ngoài giờ'!$A$12:$A$216,'Tổng hợp ngoài giờ'!$A28,'Đóng gói ngoài giờ'!N$12:N$87)</f>
        <v>0</v>
      </c>
      <c r="O28" s="4">
        <f ca="1">SUMIF('Đóng gói ngoài giờ'!$A$12:$A$216,'Tổng hợp ngoài giờ'!$A28,'Đóng gói ngoài giờ'!O$12:O$87)</f>
        <v>0</v>
      </c>
      <c r="P28" s="4">
        <f ca="1">SUMIF('Đóng gói ngoài giờ'!$A$12:$A$216,'Tổng hợp ngoài giờ'!$A28,'Đóng gói ngoài giờ'!P$12:P$87)</f>
        <v>0</v>
      </c>
      <c r="Q28" s="4">
        <f ca="1">SUMIF('Đóng gói ngoài giờ'!$A$12:$A$216,'Tổng hợp ngoài giờ'!$A28,'Đóng gói ngoài giờ'!Q$12:Q$87)</f>
        <v>0</v>
      </c>
      <c r="R28" s="4">
        <f ca="1">SUMIF('Đóng gói ngoài giờ'!$A$12:$A$216,'Tổng hợp ngoài giờ'!$A28,'Đóng gói ngoài giờ'!R$12:R$87)</f>
        <v>0</v>
      </c>
      <c r="S28" s="4">
        <f ca="1">SUMIF('Đóng gói ngoài giờ'!$A$12:$A$216,'Tổng hợp ngoài giờ'!$A28,'Đóng gói ngoài giờ'!S$12:S$87)</f>
        <v>0</v>
      </c>
      <c r="T28" s="4">
        <f ca="1">SUMIF('Đóng gói ngoài giờ'!$A$12:$A$216,'Tổng hợp ngoài giờ'!$A28,'Đóng gói ngoài giờ'!T$12:T$87)</f>
        <v>0</v>
      </c>
      <c r="U28" s="4">
        <f ca="1">SUMIF('Đóng gói ngoài giờ'!$A$12:$A$216,'Tổng hợp ngoài giờ'!$A28,'Đóng gói ngoài giờ'!U$12:U$87)</f>
        <v>0</v>
      </c>
      <c r="V28" s="4">
        <f ca="1">SUMIF('Đóng gói ngoài giờ'!$A$12:$A$216,'Tổng hợp ngoài giờ'!$A28,'Đóng gói ngoài giờ'!V$12:V$87)</f>
        <v>0</v>
      </c>
      <c r="W28" s="4">
        <f ca="1">SUMIF('Đóng gói ngoài giờ'!$A$12:$A$216,'Tổng hợp ngoài giờ'!$A28,'Đóng gói ngoài giờ'!W$12:W$87)</f>
        <v>0</v>
      </c>
      <c r="X28" s="4">
        <f ca="1">SUMIF('Đóng gói ngoài giờ'!$A$12:$A$216,'Tổng hợp ngoài giờ'!$A28,'Đóng gói ngoài giờ'!X$12:X$87)</f>
        <v>0</v>
      </c>
      <c r="Y28" s="4">
        <f ca="1">SUMIF('Đóng gói ngoài giờ'!$A$12:$A$216,'Tổng hợp ngoài giờ'!$A28,'Đóng gói ngoài giờ'!Y$12:Y$87)</f>
        <v>0</v>
      </c>
      <c r="Z28" s="4">
        <f ca="1">SUMIF('Đóng gói ngoài giờ'!$A$12:$A$216,'Tổng hợp ngoài giờ'!$A28,'Đóng gói ngoài giờ'!Z$12:Z$87)</f>
        <v>0</v>
      </c>
      <c r="AA28" s="4">
        <f ca="1">SUMIF('Đóng gói ngoài giờ'!$A$12:$A$216,'Tổng hợp ngoài giờ'!$A28,'Đóng gói ngoài giờ'!AA$12:AA$87)</f>
        <v>0</v>
      </c>
      <c r="AB28" s="4">
        <f ca="1">SUMIF('Đóng gói ngoài giờ'!$A$12:$A$216,'Tổng hợp ngoài giờ'!$A28,'Đóng gói ngoài giờ'!AB$12:AB$87)</f>
        <v>0</v>
      </c>
      <c r="AC28" s="4">
        <f ca="1">SUMIF('Đóng gói ngoài giờ'!$A$12:$A$216,'Tổng hợp ngoài giờ'!$A28,'Đóng gói ngoài giờ'!AC$12:AC$87)</f>
        <v>0</v>
      </c>
      <c r="AD28" s="4">
        <f ca="1">SUMIF('Đóng gói ngoài giờ'!$A$12:$A$216,'Tổng hợp ngoài giờ'!$A28,'Đóng gói ngoài giờ'!AD$12:AD$87)</f>
        <v>0</v>
      </c>
      <c r="AE28" s="4">
        <f ca="1">SUMIF('Đóng gói ngoài giờ'!$A$12:$A$216,'Tổng hợp ngoài giờ'!$A28,'Đóng gói ngoài giờ'!AE$12:AE$87)</f>
        <v>0</v>
      </c>
      <c r="AF28" s="4">
        <f ca="1">SUMIF('Đóng gói ngoài giờ'!$A$12:$A$216,'Tổng hợp ngoài giờ'!$A28,'Đóng gói ngoài giờ'!AF$12:AF$87)</f>
        <v>0</v>
      </c>
      <c r="AG28" s="4">
        <f ca="1">SUMIF('Đóng gói ngoài giờ'!$A$12:$A$216,'Tổng hợp ngoài giờ'!$A28,'Đóng gói ngoài giờ'!AG$12:AG$87)</f>
        <v>0</v>
      </c>
      <c r="AH28" s="4">
        <f ca="1">SUMIF('Đóng gói ngoài giờ'!$A$12:$A$216,'Tổng hợp ngoài giờ'!$A28,'Đóng gói ngoài giờ'!AH$12:AH$87)</f>
        <v>0</v>
      </c>
      <c r="AI28" s="4">
        <f ca="1">SUMIF('Đóng gói ngoài giờ'!$A$12:$A$216,'Tổng hợp ngoài giờ'!$A28,'Đóng gói ngoài giờ'!AI$12:AI$87)</f>
        <v>0</v>
      </c>
      <c r="AJ28" s="4">
        <f ca="1">SUMIF('Đóng gói ngoài giờ'!$A$12:$A$216,'Tổng hợp ngoài giờ'!$A28,'Đóng gói ngoài giờ'!AJ$12:AJ$87)</f>
        <v>105</v>
      </c>
      <c r="AK28" s="4">
        <f ca="1">SUMIF('Đóng gói ngoài giờ'!$A$12:$A$216,'Tổng hợp ngoài giờ'!$A28,'Đóng gói ngoài giờ'!AK$12:AK$87)</f>
        <v>0</v>
      </c>
      <c r="AL28" s="4">
        <f ca="1">SUMIF('Đóng gói ngoài giờ'!$A$12:$A$216,'Tổng hợp ngoài giờ'!$A28,'Đóng gói ngoài giờ'!AL$12:AL$87)</f>
        <v>0</v>
      </c>
      <c r="AM28" s="4">
        <f ca="1">SUMIF('Đóng gói ngoài giờ'!$A$12:$A$216,'Tổng hợp ngoài giờ'!$A28,'Đóng gói ngoài giờ'!AM$12:AM$87)</f>
        <v>33.333333333333336</v>
      </c>
      <c r="AN28" s="4">
        <f ca="1">SUMIF('Đóng gói ngoài giờ'!$A$12:$A$216,'Tổng hợp ngoài giờ'!$A28,'Đóng gói ngoài giờ'!AN$12:AN$87)</f>
        <v>0</v>
      </c>
      <c r="AO28" s="4">
        <f ca="1">SUMIF('Đóng gói ngoài giờ'!$A$12:$A$216,'Tổng hợp ngoài giờ'!$A28,'Đóng gói ngoài giờ'!AO$12:AO$87)</f>
        <v>0</v>
      </c>
      <c r="AP28" s="4">
        <f ca="1">SUMIF('Đóng gói ngoài giờ'!$A$12:$A$216,'Tổng hợp ngoài giờ'!$A28,'Đóng gói ngoài giờ'!AP$12:AP$87)</f>
        <v>0</v>
      </c>
      <c r="AQ28" s="4">
        <f ca="1">SUMIF('Đóng gói ngoài giờ'!$A$12:$A$216,'Tổng hợp ngoài giờ'!$A28,'Đóng gói ngoài giờ'!AQ$12:AQ$87)</f>
        <v>0</v>
      </c>
      <c r="AR28" s="4">
        <f ca="1">SUMIF('Đóng gói ngoài giờ'!$A$12:$A$216,'Tổng hợp ngoài giờ'!$A28,'Đóng gói ngoài giờ'!AR$12:AR$87)</f>
        <v>0</v>
      </c>
      <c r="AS28" s="4">
        <f ca="1">SUMIF('Đóng gói ngoài giờ'!$A$12:$A$216,'Tổng hợp ngoài giờ'!$A28,'Đóng gói ngoài giờ'!AS$12:AS$87)</f>
        <v>0</v>
      </c>
      <c r="AT28" s="4">
        <f ca="1">SUMIF('Đóng gói ngoài giờ'!$A$12:$A$216,'Tổng hợp ngoài giờ'!$A28,'Đóng gói ngoài giờ'!AT$12:AT$87)</f>
        <v>0</v>
      </c>
      <c r="AU28" s="4">
        <f ca="1">SUMIF('Đóng gói ngoài giờ'!$A$12:$A$216,'Tổng hợp ngoài giờ'!$A28,'Đóng gói ngoài giờ'!AU$12:AU$87)</f>
        <v>0</v>
      </c>
      <c r="AV28" s="4">
        <f ca="1">SUMIF('Đóng gói ngoài giờ'!$A$12:$A$216,'Tổng hợp ngoài giờ'!$A28,'Đóng gói ngoài giờ'!AV$12:AV$87)</f>
        <v>0</v>
      </c>
      <c r="AW28" s="4">
        <f ca="1">SUMIF('Đóng gói ngoài giờ'!$A$12:$A$216,'Tổng hợp ngoài giờ'!$A28,'Đóng gói ngoài giờ'!AW$12:AW$87)</f>
        <v>0</v>
      </c>
      <c r="AX28" s="4">
        <f ca="1">SUMIF('Đóng gói ngoài giờ'!$A$12:$A$216,'Tổng hợp ngoài giờ'!$A28,'Đóng gói ngoài giờ'!AX$12:AX$87)</f>
        <v>0</v>
      </c>
      <c r="AY28" s="4">
        <f ca="1">SUMIF('Đóng gói ngoài giờ'!$A$12:$A$216,'Tổng hợp ngoài giờ'!$A28,'Đóng gói ngoài giờ'!AY$12:AY$87)</f>
        <v>0</v>
      </c>
      <c r="AZ28" s="4">
        <f ca="1">SUMIF('Đóng gói ngoài giờ'!$A$12:$A$216,'Tổng hợp ngoài giờ'!$A28,'Đóng gói ngoài giờ'!AZ$12:AZ$87)</f>
        <v>0</v>
      </c>
      <c r="BA28" s="4">
        <f ca="1">SUMIF('Đóng gói ngoài giờ'!$A$12:$A$216,'Tổng hợp ngoài giờ'!$A28,'Đóng gói ngoài giờ'!BA$12:BA$87)</f>
        <v>0</v>
      </c>
      <c r="BB28" s="4">
        <f ca="1">SUMIF('Đóng gói ngoài giờ'!$A$12:$A$216,'Tổng hợp ngoài giờ'!$A28,'Đóng gói ngoài giờ'!BB$12:BB$87)</f>
        <v>0</v>
      </c>
      <c r="BC28" s="22">
        <f>SUMIF('Đóng gói ngoài giờ'!$A$12:$A$34,'Tổng hợp ngoài giờ'!$A28,'Đóng gói ngoài giờ'!BC$12:BC$34)</f>
        <v>0</v>
      </c>
      <c r="BD28" s="120">
        <f>SUMIF('Bốc hàng ngoài giờ new'!$H$13:$H$4949,'Tổng hợp trong giờ'!A27,'Bốc hàng ngoài giờ new'!$J$13:$J$4949)</f>
        <v>0</v>
      </c>
      <c r="BE28" s="22">
        <f>SUMIF('Đóng gói ngoài giờ'!$A$12:$A$34,'Tổng hợp ngoài giờ'!$A28,'Đóng gói ngoài giờ'!BE$12:BE$34)</f>
        <v>0</v>
      </c>
      <c r="BF28" s="4">
        <f ca="1">SUMIF('Đóng gói ngoài giờ'!$A$12:$A$216,'Tổng hợp ngoài giờ'!$A28,'Đóng gói ngoài giờ'!BD$12:BD$87)</f>
        <v>0</v>
      </c>
      <c r="BG28" s="4">
        <f ca="1">SUMIF('Đóng gói ngoài giờ'!$A$12:$A$216,'Tổng hợp ngoài giờ'!$A28,'Đóng gói ngoài giờ'!BE$12:BE$87)</f>
        <v>1</v>
      </c>
      <c r="BH28" s="4">
        <f ca="1">SUMIF('Đóng gói ngoài giờ'!$A$12:$A$216,'Tổng hợp ngoài giờ'!$A28,'Đóng gói ngoài giờ'!BF$12:BF$87)</f>
        <v>0</v>
      </c>
      <c r="BI28" s="4">
        <f ca="1">SUMIF('Đóng gói ngoài giờ'!$A$12:$A$216,'Tổng hợp ngoài giờ'!$A28,'Đóng gói ngoài giờ'!BG$12:BG$87)</f>
        <v>0</v>
      </c>
      <c r="BJ28" s="4">
        <f ca="1">SUMIF('Đóng gói ngoài giờ'!$A$12:$A$216,'Tổng hợp ngoài giờ'!$A28,'Đóng gói ngoài giờ'!BH$12:BH$87)</f>
        <v>0</v>
      </c>
      <c r="BK28" s="4">
        <f ca="1">SUMIF('Đóng gói ngoài giờ'!$A$12:$A$216,'Tổng hợp ngoài giờ'!$A28,'Đóng gói ngoài giờ'!BI$12:BI$87)</f>
        <v>0</v>
      </c>
      <c r="BL28" s="4">
        <f ca="1">SUMIF('Đóng gói ngoài giờ'!$A$12:$A$216,'Tổng hợp ngoài giờ'!$A28,'Đóng gói ngoài giờ'!BJ$12:BJ$87)</f>
        <v>0</v>
      </c>
      <c r="BM28" s="4">
        <f ca="1">SUMIF('Đóng gói ngoài giờ'!$A$12:$A$216,'Tổng hợp ngoài giờ'!$A28,'Đóng gói ngoài giờ'!BK$12:BK$87)</f>
        <v>0</v>
      </c>
      <c r="BN28" s="4">
        <f ca="1">SUMIF('Đóng gói ngoài giờ'!$A$12:$A$216,'Tổng hợp ngoài giờ'!$A28,'Đóng gói ngoài giờ'!BL$12:BL$87)</f>
        <v>10</v>
      </c>
      <c r="BO28" s="4">
        <f ca="1">SUMIF('Đóng gói ngoài giờ'!$A$12:$A$216,'Tổng hợp ngoài giờ'!$A28,'Đóng gói ngoài giờ'!BM$12:BM$87)</f>
        <v>0</v>
      </c>
      <c r="BP28" s="4">
        <f ca="1">SUMIF('Đóng gói ngoài giờ'!$A$12:$A$216,'Tổng hợp ngoài giờ'!$A28,'Đóng gói ngoài giờ'!BN$12:BN$87)</f>
        <v>0</v>
      </c>
      <c r="BQ28" s="4">
        <f ca="1">SUMIF('Đóng gói ngoài giờ'!$A$12:$A$216,'Tổng hợp ngoài giờ'!$A28,'Đóng gói ngoài giờ'!BO$12:BO$87)</f>
        <v>0</v>
      </c>
      <c r="BR28" s="4">
        <f ca="1">SUMIF('Đóng gói ngoài giờ'!$A$12:$A$216,'Tổng hợp ngoài giờ'!$A28,'Đóng gói ngoài giờ'!BP$12:BP$87)</f>
        <v>0</v>
      </c>
      <c r="BS28" s="4">
        <f ca="1">SUMIF('Đóng gói ngoài giờ'!$A$12:$A$216,'Tổng hợp ngoài giờ'!$A28,'Đóng gói ngoài giờ'!BQ$12:BQ$87)</f>
        <v>0</v>
      </c>
      <c r="BT28" s="4">
        <f ca="1">SUMIF('Đóng gói ngoài giờ'!$A$12:$A$216,'Tổng hợp ngoài giờ'!$A28,'Đóng gói ngoài giờ'!BR$12:BR$87)</f>
        <v>0</v>
      </c>
      <c r="BU28" s="96">
        <f t="shared" ca="1" si="1"/>
        <v>11</v>
      </c>
      <c r="BV28" s="244">
        <f t="shared" ca="1" si="2"/>
        <v>446259.22023182304</v>
      </c>
      <c r="BW28" s="168">
        <f t="shared" ca="1" si="3"/>
        <v>525836.54541716154</v>
      </c>
      <c r="CL28" s="9">
        <v>17</v>
      </c>
    </row>
    <row r="29" spans="1:90" ht="15.75" x14ac:dyDescent="0.25">
      <c r="A29" s="224" t="s">
        <v>117</v>
      </c>
      <c r="B29" s="2" t="str">
        <f>VLOOKUP(A29,'Mã NV'!$A$1:$C$27,2,0)</f>
        <v>Nguyễn Tuấn Vinh</v>
      </c>
      <c r="C29" s="23"/>
      <c r="D29" s="4">
        <f ca="1">SUMIF('Đóng gói ngoài giờ'!$A$12:$A$216,'Tổng hợp ngoài giờ'!$A29,'Đóng gói ngoài giờ'!D$12:D$87)</f>
        <v>0</v>
      </c>
      <c r="E29" s="4">
        <f ca="1">SUMIF('Đóng gói ngoài giờ'!$A$12:$A$216,'Tổng hợp ngoài giờ'!$A29,'Đóng gói ngoài giờ'!E$12:E$87)</f>
        <v>150</v>
      </c>
      <c r="F29" s="4">
        <f ca="1">SUMIF('Đóng gói ngoài giờ'!$A$12:$A$216,'Tổng hợp ngoài giờ'!$A29,'Đóng gói ngoài giờ'!F$12:F$87)</f>
        <v>0</v>
      </c>
      <c r="G29" s="4">
        <f ca="1">SUMIF('Đóng gói ngoài giờ'!$A$12:$A$216,'Tổng hợp ngoài giờ'!$A29,'Đóng gói ngoài giờ'!G$12:G$87)</f>
        <v>0</v>
      </c>
      <c r="H29" s="4">
        <f ca="1">SUMIF('Đóng gói ngoài giờ'!$A$12:$A$216,'Tổng hợp ngoài giờ'!$A29,'Đóng gói ngoài giờ'!H$12:H$87)</f>
        <v>0</v>
      </c>
      <c r="I29" s="4">
        <f ca="1">SUMIF('Đóng gói ngoài giờ'!$A$12:$A$216,'Tổng hợp ngoài giờ'!$A29,'Đóng gói ngoài giờ'!I$12:I$87)</f>
        <v>0</v>
      </c>
      <c r="J29" s="4">
        <f ca="1">SUMIF('Đóng gói ngoài giờ'!$A$12:$A$216,'Tổng hợp ngoài giờ'!$A29,'Đóng gói ngoài giờ'!J$12:J$87)</f>
        <v>0</v>
      </c>
      <c r="K29" s="4">
        <f ca="1">SUMIF('Đóng gói ngoài giờ'!$A$12:$A$216,'Tổng hợp ngoài giờ'!$A29,'Đóng gói ngoài giờ'!K$12:K$87)</f>
        <v>0</v>
      </c>
      <c r="L29" s="4">
        <f ca="1">SUMIF('Đóng gói ngoài giờ'!$A$12:$A$216,'Tổng hợp ngoài giờ'!$A29,'Đóng gói ngoài giờ'!L$12:L$87)</f>
        <v>0</v>
      </c>
      <c r="M29" s="4">
        <f ca="1">SUMIF('Đóng gói ngoài giờ'!$A$12:$A$216,'Tổng hợp ngoài giờ'!$A29,'Đóng gói ngoài giờ'!M$12:M$87)</f>
        <v>0</v>
      </c>
      <c r="N29" s="4">
        <f ca="1">SUMIF('Đóng gói ngoài giờ'!$A$12:$A$216,'Tổng hợp ngoài giờ'!$A29,'Đóng gói ngoài giờ'!N$12:N$87)</f>
        <v>0</v>
      </c>
      <c r="O29" s="4">
        <f ca="1">SUMIF('Đóng gói ngoài giờ'!$A$12:$A$216,'Tổng hợp ngoài giờ'!$A29,'Đóng gói ngoài giờ'!O$12:O$87)</f>
        <v>0</v>
      </c>
      <c r="P29" s="4">
        <f ca="1">SUMIF('Đóng gói ngoài giờ'!$A$12:$A$216,'Tổng hợp ngoài giờ'!$A29,'Đóng gói ngoài giờ'!P$12:P$87)</f>
        <v>0</v>
      </c>
      <c r="Q29" s="4">
        <f ca="1">SUMIF('Đóng gói ngoài giờ'!$A$12:$A$216,'Tổng hợp ngoài giờ'!$A29,'Đóng gói ngoài giờ'!Q$12:Q$87)</f>
        <v>0</v>
      </c>
      <c r="R29" s="4">
        <f ca="1">SUMIF('Đóng gói ngoài giờ'!$A$12:$A$216,'Tổng hợp ngoài giờ'!$A29,'Đóng gói ngoài giờ'!R$12:R$87)</f>
        <v>0</v>
      </c>
      <c r="S29" s="4">
        <f ca="1">SUMIF('Đóng gói ngoài giờ'!$A$12:$A$216,'Tổng hợp ngoài giờ'!$A29,'Đóng gói ngoài giờ'!S$12:S$87)</f>
        <v>0</v>
      </c>
      <c r="T29" s="4">
        <f ca="1">SUMIF('Đóng gói ngoài giờ'!$A$12:$A$216,'Tổng hợp ngoài giờ'!$A29,'Đóng gói ngoài giờ'!T$12:T$87)</f>
        <v>0</v>
      </c>
      <c r="U29" s="4">
        <f ca="1">SUMIF('Đóng gói ngoài giờ'!$A$12:$A$216,'Tổng hợp ngoài giờ'!$A29,'Đóng gói ngoài giờ'!U$12:U$87)</f>
        <v>0</v>
      </c>
      <c r="V29" s="4">
        <f ca="1">SUMIF('Đóng gói ngoài giờ'!$A$12:$A$216,'Tổng hợp ngoài giờ'!$A29,'Đóng gói ngoài giờ'!V$12:V$87)</f>
        <v>0</v>
      </c>
      <c r="W29" s="4">
        <f ca="1">SUMIF('Đóng gói ngoài giờ'!$A$12:$A$216,'Tổng hợp ngoài giờ'!$A29,'Đóng gói ngoài giờ'!W$12:W$87)</f>
        <v>0</v>
      </c>
      <c r="X29" s="4">
        <f ca="1">SUMIF('Đóng gói ngoài giờ'!$A$12:$A$216,'Tổng hợp ngoài giờ'!$A29,'Đóng gói ngoài giờ'!X$12:X$87)</f>
        <v>0</v>
      </c>
      <c r="Y29" s="4">
        <f ca="1">SUMIF('Đóng gói ngoài giờ'!$A$12:$A$216,'Tổng hợp ngoài giờ'!$A29,'Đóng gói ngoài giờ'!Y$12:Y$87)</f>
        <v>0</v>
      </c>
      <c r="Z29" s="4">
        <f ca="1">SUMIF('Đóng gói ngoài giờ'!$A$12:$A$216,'Tổng hợp ngoài giờ'!$A29,'Đóng gói ngoài giờ'!Z$12:Z$87)</f>
        <v>0</v>
      </c>
      <c r="AA29" s="4">
        <f ca="1">SUMIF('Đóng gói ngoài giờ'!$A$12:$A$216,'Tổng hợp ngoài giờ'!$A29,'Đóng gói ngoài giờ'!AA$12:AA$87)</f>
        <v>0</v>
      </c>
      <c r="AB29" s="4">
        <f ca="1">SUMIF('Đóng gói ngoài giờ'!$A$12:$A$216,'Tổng hợp ngoài giờ'!$A29,'Đóng gói ngoài giờ'!AB$12:AB$87)</f>
        <v>0</v>
      </c>
      <c r="AC29" s="4">
        <f ca="1">SUMIF('Đóng gói ngoài giờ'!$A$12:$A$216,'Tổng hợp ngoài giờ'!$A29,'Đóng gói ngoài giờ'!AC$12:AC$87)</f>
        <v>0</v>
      </c>
      <c r="AD29" s="4">
        <f ca="1">SUMIF('Đóng gói ngoài giờ'!$A$12:$A$216,'Tổng hợp ngoài giờ'!$A29,'Đóng gói ngoài giờ'!AD$12:AD$87)</f>
        <v>0</v>
      </c>
      <c r="AE29" s="4">
        <f ca="1">SUMIF('Đóng gói ngoài giờ'!$A$12:$A$216,'Tổng hợp ngoài giờ'!$A29,'Đóng gói ngoài giờ'!AE$12:AE$87)</f>
        <v>0</v>
      </c>
      <c r="AF29" s="4">
        <f ca="1">SUMIF('Đóng gói ngoài giờ'!$A$12:$A$216,'Tổng hợp ngoài giờ'!$A29,'Đóng gói ngoài giờ'!AF$12:AF$87)</f>
        <v>0</v>
      </c>
      <c r="AG29" s="4">
        <f ca="1">SUMIF('Đóng gói ngoài giờ'!$A$12:$A$216,'Tổng hợp ngoài giờ'!$A29,'Đóng gói ngoài giờ'!AG$12:AG$87)</f>
        <v>0</v>
      </c>
      <c r="AH29" s="4">
        <f ca="1">SUMIF('Đóng gói ngoài giờ'!$A$12:$A$216,'Tổng hợp ngoài giờ'!$A29,'Đóng gói ngoài giờ'!AH$12:AH$87)</f>
        <v>33.333333333333336</v>
      </c>
      <c r="AI29" s="4">
        <f ca="1">SUMIF('Đóng gói ngoài giờ'!$A$12:$A$216,'Tổng hợp ngoài giờ'!$A29,'Đóng gói ngoài giờ'!AI$12:AI$87)</f>
        <v>0</v>
      </c>
      <c r="AJ29" s="4">
        <f ca="1">SUMIF('Đóng gói ngoài giờ'!$A$12:$A$216,'Tổng hợp ngoài giờ'!$A29,'Đóng gói ngoài giờ'!AJ$12:AJ$87)</f>
        <v>0</v>
      </c>
      <c r="AK29" s="4">
        <f ca="1">SUMIF('Đóng gói ngoài giờ'!$A$12:$A$216,'Tổng hợp ngoài giờ'!$A29,'Đóng gói ngoài giờ'!AK$12:AK$87)</f>
        <v>106.66666666666667</v>
      </c>
      <c r="AL29" s="4">
        <f ca="1">SUMIF('Đóng gói ngoài giờ'!$A$12:$A$216,'Tổng hợp ngoài giờ'!$A29,'Đóng gói ngoài giờ'!AL$12:AL$87)</f>
        <v>0</v>
      </c>
      <c r="AM29" s="4">
        <f ca="1">SUMIF('Đóng gói ngoài giờ'!$A$12:$A$216,'Tổng hợp ngoài giờ'!$A29,'Đóng gói ngoài giờ'!AM$12:AM$87)</f>
        <v>58.333333333333336</v>
      </c>
      <c r="AN29" s="4">
        <f ca="1">SUMIF('Đóng gói ngoài giờ'!$A$12:$A$216,'Tổng hợp ngoài giờ'!$A29,'Đóng gói ngoài giờ'!AN$12:AN$87)</f>
        <v>0</v>
      </c>
      <c r="AO29" s="4">
        <f ca="1">SUMIF('Đóng gói ngoài giờ'!$A$12:$A$216,'Tổng hợp ngoài giờ'!$A29,'Đóng gói ngoài giờ'!AO$12:AO$87)</f>
        <v>0</v>
      </c>
      <c r="AP29" s="4">
        <f ca="1">SUMIF('Đóng gói ngoài giờ'!$A$12:$A$216,'Tổng hợp ngoài giờ'!$A29,'Đóng gói ngoài giờ'!AP$12:AP$87)</f>
        <v>0</v>
      </c>
      <c r="AQ29" s="4">
        <f ca="1">SUMIF('Đóng gói ngoài giờ'!$A$12:$A$216,'Tổng hợp ngoài giờ'!$A29,'Đóng gói ngoài giờ'!AQ$12:AQ$87)</f>
        <v>0</v>
      </c>
      <c r="AR29" s="4">
        <f ca="1">SUMIF('Đóng gói ngoài giờ'!$A$12:$A$216,'Tổng hợp ngoài giờ'!$A29,'Đóng gói ngoài giờ'!AR$12:AR$87)</f>
        <v>0</v>
      </c>
      <c r="AS29" s="4">
        <f ca="1">SUMIF('Đóng gói ngoài giờ'!$A$12:$A$216,'Tổng hợp ngoài giờ'!$A29,'Đóng gói ngoài giờ'!AS$12:AS$87)</f>
        <v>0</v>
      </c>
      <c r="AT29" s="4">
        <f ca="1">SUMIF('Đóng gói ngoài giờ'!$A$12:$A$216,'Tổng hợp ngoài giờ'!$A29,'Đóng gói ngoài giờ'!AT$12:AT$87)</f>
        <v>0</v>
      </c>
      <c r="AU29" s="4">
        <f ca="1">SUMIF('Đóng gói ngoài giờ'!$A$12:$A$216,'Tổng hợp ngoài giờ'!$A29,'Đóng gói ngoài giờ'!AU$12:AU$87)</f>
        <v>0</v>
      </c>
      <c r="AV29" s="4">
        <f ca="1">SUMIF('Đóng gói ngoài giờ'!$A$12:$A$216,'Tổng hợp ngoài giờ'!$A29,'Đóng gói ngoài giờ'!AV$12:AV$87)</f>
        <v>0</v>
      </c>
      <c r="AW29" s="4">
        <f ca="1">SUMIF('Đóng gói ngoài giờ'!$A$12:$A$216,'Tổng hợp ngoài giờ'!$A29,'Đóng gói ngoài giờ'!AW$12:AW$87)</f>
        <v>0</v>
      </c>
      <c r="AX29" s="4">
        <f ca="1">SUMIF('Đóng gói ngoài giờ'!$A$12:$A$216,'Tổng hợp ngoài giờ'!$A29,'Đóng gói ngoài giờ'!AX$12:AX$87)</f>
        <v>0</v>
      </c>
      <c r="AY29" s="4">
        <f ca="1">SUMIF('Đóng gói ngoài giờ'!$A$12:$A$216,'Tổng hợp ngoài giờ'!$A29,'Đóng gói ngoài giờ'!AY$12:AY$87)</f>
        <v>0</v>
      </c>
      <c r="AZ29" s="4">
        <f ca="1">SUMIF('Đóng gói ngoài giờ'!$A$12:$A$216,'Tổng hợp ngoài giờ'!$A29,'Đóng gói ngoài giờ'!AZ$12:AZ$87)</f>
        <v>0</v>
      </c>
      <c r="BA29" s="4">
        <f ca="1">SUMIF('Đóng gói ngoài giờ'!$A$12:$A$216,'Tổng hợp ngoài giờ'!$A29,'Đóng gói ngoài giờ'!BA$12:BA$87)</f>
        <v>0</v>
      </c>
      <c r="BB29" s="4">
        <f ca="1">SUMIF('Đóng gói ngoài giờ'!$A$12:$A$216,'Tổng hợp ngoài giờ'!$A29,'Đóng gói ngoài giờ'!BB$12:BB$87)</f>
        <v>0</v>
      </c>
      <c r="BC29" s="22">
        <f>SUMIF('Đóng gói ngoài giờ'!$A$12:$A$34,'Tổng hợp ngoài giờ'!$A29,'Đóng gói ngoài giờ'!BC$12:BC$34)</f>
        <v>0</v>
      </c>
      <c r="BD29" s="120">
        <f>SUMIF('Bốc hàng ngoài giờ new'!$H$13:$H$4949,'Tổng hợp trong giờ'!A28,'Bốc hàng ngoài giờ new'!$J$13:$J$4949)</f>
        <v>0</v>
      </c>
      <c r="BE29" s="22">
        <f>SUMIF('Đóng gói ngoài giờ'!$A$12:$A$34,'Tổng hợp ngoài giờ'!$A29,'Đóng gói ngoài giờ'!BE$12:BE$34)</f>
        <v>1.5</v>
      </c>
      <c r="BF29" s="4">
        <f ca="1">SUMIF('Đóng gói ngoài giờ'!$A$12:$A$216,'Tổng hợp ngoài giờ'!$A29,'Đóng gói ngoài giờ'!BD$12:BD$87)</f>
        <v>0</v>
      </c>
      <c r="BG29" s="4">
        <f ca="1">SUMIF('Đóng gói ngoài giờ'!$A$12:$A$216,'Tổng hợp ngoài giờ'!$A29,'Đóng gói ngoài giờ'!BE$12:BE$87)</f>
        <v>1.5</v>
      </c>
      <c r="BH29" s="4">
        <f ca="1">SUMIF('Đóng gói ngoài giờ'!$A$12:$A$216,'Tổng hợp ngoài giờ'!$A29,'Đóng gói ngoài giờ'!BF$12:BF$87)</f>
        <v>0</v>
      </c>
      <c r="BI29" s="4">
        <f ca="1">SUMIF('Đóng gói ngoài giờ'!$A$12:$A$216,'Tổng hợp ngoài giờ'!$A29,'Đóng gói ngoài giờ'!BG$12:BG$87)</f>
        <v>0</v>
      </c>
      <c r="BJ29" s="4">
        <f ca="1">SUMIF('Đóng gói ngoài giờ'!$A$12:$A$216,'Tổng hợp ngoài giờ'!$A29,'Đóng gói ngoài giờ'!BH$12:BH$87)</f>
        <v>0</v>
      </c>
      <c r="BK29" s="4">
        <f ca="1">SUMIF('Đóng gói ngoài giờ'!$A$12:$A$216,'Tổng hợp ngoài giờ'!$A29,'Đóng gói ngoài giờ'!BI$12:BI$87)</f>
        <v>0</v>
      </c>
      <c r="BL29" s="4">
        <f ca="1">SUMIF('Đóng gói ngoài giờ'!$A$12:$A$216,'Tổng hợp ngoài giờ'!$A29,'Đóng gói ngoài giờ'!BJ$12:BJ$87)</f>
        <v>0</v>
      </c>
      <c r="BM29" s="4">
        <f ca="1">SUMIF('Đóng gói ngoài giờ'!$A$12:$A$216,'Tổng hợp ngoài giờ'!$A29,'Đóng gói ngoài giờ'!BK$12:BK$87)</f>
        <v>0</v>
      </c>
      <c r="BN29" s="4">
        <f ca="1">SUMIF('Đóng gói ngoài giờ'!$A$12:$A$216,'Tổng hợp ngoài giờ'!$A29,'Đóng gói ngoài giờ'!BL$12:BL$87)</f>
        <v>8</v>
      </c>
      <c r="BO29" s="4">
        <f ca="1">SUMIF('Đóng gói ngoài giờ'!$A$12:$A$216,'Tổng hợp ngoài giờ'!$A29,'Đóng gói ngoài giờ'!BM$12:BM$87)</f>
        <v>0</v>
      </c>
      <c r="BP29" s="4">
        <f ca="1">SUMIF('Đóng gói ngoài giờ'!$A$12:$A$216,'Tổng hợp ngoài giờ'!$A29,'Đóng gói ngoài giờ'!BN$12:BN$87)</f>
        <v>0</v>
      </c>
      <c r="BQ29" s="4">
        <f ca="1">SUMIF('Đóng gói ngoài giờ'!$A$12:$A$216,'Tổng hợp ngoài giờ'!$A29,'Đóng gói ngoài giờ'!BO$12:BO$87)</f>
        <v>0</v>
      </c>
      <c r="BR29" s="4">
        <f ca="1">SUMIF('Đóng gói ngoài giờ'!$A$12:$A$216,'Tổng hợp ngoài giờ'!$A29,'Đóng gói ngoài giờ'!BP$12:BP$87)</f>
        <v>0</v>
      </c>
      <c r="BS29" s="4">
        <f ca="1">SUMIF('Đóng gói ngoài giờ'!$A$12:$A$216,'Tổng hợp ngoài giờ'!$A29,'Đóng gói ngoài giờ'!BQ$12:BQ$87)</f>
        <v>0</v>
      </c>
      <c r="BT29" s="4">
        <f ca="1">SUMIF('Đóng gói ngoài giờ'!$A$12:$A$216,'Tổng hợp ngoài giờ'!$A29,'Đóng gói ngoài giờ'!BR$12:BR$87)</f>
        <v>0</v>
      </c>
      <c r="BU29" s="96">
        <f t="shared" ca="1" si="1"/>
        <v>9.5</v>
      </c>
      <c r="BV29" s="244">
        <f t="shared" ca="1" si="2"/>
        <v>385405.69020021078</v>
      </c>
      <c r="BW29" s="168">
        <f t="shared" ca="1" si="3"/>
        <v>620829.39234685607</v>
      </c>
      <c r="CL29" s="7">
        <v>18</v>
      </c>
    </row>
    <row r="30" spans="1:90" ht="15.75" x14ac:dyDescent="0.25">
      <c r="A30" s="224" t="s">
        <v>118</v>
      </c>
      <c r="B30" s="2" t="str">
        <f>VLOOKUP(A30,'Mã NV'!$A$1:$C$27,2,0)</f>
        <v>Trần Thanh Nguyên</v>
      </c>
      <c r="C30" s="23"/>
      <c r="D30" s="4">
        <f ca="1">SUMIF('Đóng gói ngoài giờ'!$A$12:$A$216,'Tổng hợp ngoài giờ'!$A30,'Đóng gói ngoài giờ'!D$12:D$87)</f>
        <v>0</v>
      </c>
      <c r="E30" s="4">
        <f ca="1">SUMIF('Đóng gói ngoài giờ'!$A$12:$A$216,'Tổng hợp ngoài giờ'!$A30,'Đóng gói ngoài giờ'!E$12:E$87)</f>
        <v>0</v>
      </c>
      <c r="F30" s="4">
        <f ca="1">SUMIF('Đóng gói ngoài giờ'!$A$12:$A$216,'Tổng hợp ngoài giờ'!$A30,'Đóng gói ngoài giờ'!F$12:F$87)</f>
        <v>100</v>
      </c>
      <c r="G30" s="4">
        <f ca="1">SUMIF('Đóng gói ngoài giờ'!$A$12:$A$216,'Tổng hợp ngoài giờ'!$A30,'Đóng gói ngoài giờ'!G$12:G$87)</f>
        <v>0</v>
      </c>
      <c r="H30" s="4">
        <f ca="1">SUMIF('Đóng gói ngoài giờ'!$A$12:$A$216,'Tổng hợp ngoài giờ'!$A30,'Đóng gói ngoài giờ'!H$12:H$87)</f>
        <v>0</v>
      </c>
      <c r="I30" s="4">
        <f ca="1">SUMIF('Đóng gói ngoài giờ'!$A$12:$A$216,'Tổng hợp ngoài giờ'!$A30,'Đóng gói ngoài giờ'!I$12:I$87)</f>
        <v>0</v>
      </c>
      <c r="J30" s="4">
        <f ca="1">SUMIF('Đóng gói ngoài giờ'!$A$12:$A$216,'Tổng hợp ngoài giờ'!$A30,'Đóng gói ngoài giờ'!J$12:J$87)</f>
        <v>0</v>
      </c>
      <c r="K30" s="4">
        <f ca="1">SUMIF('Đóng gói ngoài giờ'!$A$12:$A$216,'Tổng hợp ngoài giờ'!$A30,'Đóng gói ngoài giờ'!K$12:K$87)</f>
        <v>0</v>
      </c>
      <c r="L30" s="4">
        <f ca="1">SUMIF('Đóng gói ngoài giờ'!$A$12:$A$216,'Tổng hợp ngoài giờ'!$A30,'Đóng gói ngoài giờ'!L$12:L$87)</f>
        <v>0</v>
      </c>
      <c r="M30" s="4">
        <f ca="1">SUMIF('Đóng gói ngoài giờ'!$A$12:$A$216,'Tổng hợp ngoài giờ'!$A30,'Đóng gói ngoài giờ'!M$12:M$87)</f>
        <v>0</v>
      </c>
      <c r="N30" s="4">
        <f ca="1">SUMIF('Đóng gói ngoài giờ'!$A$12:$A$216,'Tổng hợp ngoài giờ'!$A30,'Đóng gói ngoài giờ'!N$12:N$87)</f>
        <v>0</v>
      </c>
      <c r="O30" s="4">
        <f ca="1">SUMIF('Đóng gói ngoài giờ'!$A$12:$A$216,'Tổng hợp ngoài giờ'!$A30,'Đóng gói ngoài giờ'!O$12:O$87)</f>
        <v>0</v>
      </c>
      <c r="P30" s="4">
        <f ca="1">SUMIF('Đóng gói ngoài giờ'!$A$12:$A$216,'Tổng hợp ngoài giờ'!$A30,'Đóng gói ngoài giờ'!P$12:P$87)</f>
        <v>0</v>
      </c>
      <c r="Q30" s="4">
        <f ca="1">SUMIF('Đóng gói ngoài giờ'!$A$12:$A$216,'Tổng hợp ngoài giờ'!$A30,'Đóng gói ngoài giờ'!Q$12:Q$87)</f>
        <v>0</v>
      </c>
      <c r="R30" s="4">
        <f ca="1">SUMIF('Đóng gói ngoài giờ'!$A$12:$A$216,'Tổng hợp ngoài giờ'!$A30,'Đóng gói ngoài giờ'!R$12:R$87)</f>
        <v>0</v>
      </c>
      <c r="S30" s="4">
        <f ca="1">SUMIF('Đóng gói ngoài giờ'!$A$12:$A$216,'Tổng hợp ngoài giờ'!$A30,'Đóng gói ngoài giờ'!S$12:S$87)</f>
        <v>0</v>
      </c>
      <c r="T30" s="4">
        <f ca="1">SUMIF('Đóng gói ngoài giờ'!$A$12:$A$216,'Tổng hợp ngoài giờ'!$A30,'Đóng gói ngoài giờ'!T$12:T$87)</f>
        <v>0</v>
      </c>
      <c r="U30" s="4">
        <f ca="1">SUMIF('Đóng gói ngoài giờ'!$A$12:$A$216,'Tổng hợp ngoài giờ'!$A30,'Đóng gói ngoài giờ'!U$12:U$87)</f>
        <v>0</v>
      </c>
      <c r="V30" s="4">
        <f ca="1">SUMIF('Đóng gói ngoài giờ'!$A$12:$A$216,'Tổng hợp ngoài giờ'!$A30,'Đóng gói ngoài giờ'!V$12:V$87)</f>
        <v>0</v>
      </c>
      <c r="W30" s="4">
        <f ca="1">SUMIF('Đóng gói ngoài giờ'!$A$12:$A$216,'Tổng hợp ngoài giờ'!$A30,'Đóng gói ngoài giờ'!W$12:W$87)</f>
        <v>0</v>
      </c>
      <c r="X30" s="4">
        <f ca="1">SUMIF('Đóng gói ngoài giờ'!$A$12:$A$216,'Tổng hợp ngoài giờ'!$A30,'Đóng gói ngoài giờ'!X$12:X$87)</f>
        <v>0</v>
      </c>
      <c r="Y30" s="4">
        <f ca="1">SUMIF('Đóng gói ngoài giờ'!$A$12:$A$216,'Tổng hợp ngoài giờ'!$A30,'Đóng gói ngoài giờ'!Y$12:Y$87)</f>
        <v>0</v>
      </c>
      <c r="Z30" s="4">
        <f ca="1">SUMIF('Đóng gói ngoài giờ'!$A$12:$A$216,'Tổng hợp ngoài giờ'!$A30,'Đóng gói ngoài giờ'!Z$12:Z$87)</f>
        <v>0</v>
      </c>
      <c r="AA30" s="4">
        <f ca="1">SUMIF('Đóng gói ngoài giờ'!$A$12:$A$216,'Tổng hợp ngoài giờ'!$A30,'Đóng gói ngoài giờ'!AA$12:AA$87)</f>
        <v>0</v>
      </c>
      <c r="AB30" s="4">
        <f ca="1">SUMIF('Đóng gói ngoài giờ'!$A$12:$A$216,'Tổng hợp ngoài giờ'!$A30,'Đóng gói ngoài giờ'!AB$12:AB$87)</f>
        <v>0</v>
      </c>
      <c r="AC30" s="4">
        <f ca="1">SUMIF('Đóng gói ngoài giờ'!$A$12:$A$216,'Tổng hợp ngoài giờ'!$A30,'Đóng gói ngoài giờ'!AC$12:AC$87)</f>
        <v>0</v>
      </c>
      <c r="AD30" s="4">
        <f ca="1">SUMIF('Đóng gói ngoài giờ'!$A$12:$A$216,'Tổng hợp ngoài giờ'!$A30,'Đóng gói ngoài giờ'!AD$12:AD$87)</f>
        <v>0</v>
      </c>
      <c r="AE30" s="4">
        <f ca="1">SUMIF('Đóng gói ngoài giờ'!$A$12:$A$216,'Tổng hợp ngoài giờ'!$A30,'Đóng gói ngoài giờ'!AE$12:AE$87)</f>
        <v>0</v>
      </c>
      <c r="AF30" s="4">
        <f ca="1">SUMIF('Đóng gói ngoài giờ'!$A$12:$A$216,'Tổng hợp ngoài giờ'!$A30,'Đóng gói ngoài giờ'!AF$12:AF$87)</f>
        <v>0</v>
      </c>
      <c r="AG30" s="4">
        <f ca="1">SUMIF('Đóng gói ngoài giờ'!$A$12:$A$216,'Tổng hợp ngoài giờ'!$A30,'Đóng gói ngoài giờ'!AG$12:AG$87)</f>
        <v>0</v>
      </c>
      <c r="AH30" s="4">
        <f ca="1">SUMIF('Đóng gói ngoài giờ'!$A$12:$A$216,'Tổng hợp ngoài giờ'!$A30,'Đóng gói ngoài giờ'!AH$12:AH$87)</f>
        <v>0</v>
      </c>
      <c r="AI30" s="4">
        <f ca="1">SUMIF('Đóng gói ngoài giờ'!$A$12:$A$216,'Tổng hợp ngoài giờ'!$A30,'Đóng gói ngoài giờ'!AI$12:AI$87)</f>
        <v>0</v>
      </c>
      <c r="AJ30" s="4">
        <f ca="1">SUMIF('Đóng gói ngoài giờ'!$A$12:$A$216,'Tổng hợp ngoài giờ'!$A30,'Đóng gói ngoài giờ'!AJ$12:AJ$87)</f>
        <v>105</v>
      </c>
      <c r="AK30" s="4">
        <f ca="1">SUMIF('Đóng gói ngoài giờ'!$A$12:$A$216,'Tổng hợp ngoài giờ'!$A30,'Đóng gói ngoài giờ'!AK$12:AK$87)</f>
        <v>0</v>
      </c>
      <c r="AL30" s="4">
        <f ca="1">SUMIF('Đóng gói ngoài giờ'!$A$12:$A$216,'Tổng hợp ngoài giờ'!$A30,'Đóng gói ngoài giờ'!AL$12:AL$87)</f>
        <v>0</v>
      </c>
      <c r="AM30" s="4">
        <f ca="1">SUMIF('Đóng gói ngoài giờ'!$A$12:$A$216,'Tổng hợp ngoài giờ'!$A30,'Đóng gói ngoài giờ'!AM$12:AM$87)</f>
        <v>33.333333333333336</v>
      </c>
      <c r="AN30" s="4">
        <f ca="1">SUMIF('Đóng gói ngoài giờ'!$A$12:$A$216,'Tổng hợp ngoài giờ'!$A30,'Đóng gói ngoài giờ'!AN$12:AN$87)</f>
        <v>0</v>
      </c>
      <c r="AO30" s="4">
        <f ca="1">SUMIF('Đóng gói ngoài giờ'!$A$12:$A$216,'Tổng hợp ngoài giờ'!$A30,'Đóng gói ngoài giờ'!AO$12:AO$87)</f>
        <v>0</v>
      </c>
      <c r="AP30" s="4">
        <f ca="1">SUMIF('Đóng gói ngoài giờ'!$A$12:$A$216,'Tổng hợp ngoài giờ'!$A30,'Đóng gói ngoài giờ'!AP$12:AP$87)</f>
        <v>0</v>
      </c>
      <c r="AQ30" s="4">
        <f ca="1">SUMIF('Đóng gói ngoài giờ'!$A$12:$A$216,'Tổng hợp ngoài giờ'!$A30,'Đóng gói ngoài giờ'!AQ$12:AQ$87)</f>
        <v>0</v>
      </c>
      <c r="AR30" s="4">
        <f ca="1">SUMIF('Đóng gói ngoài giờ'!$A$12:$A$216,'Tổng hợp ngoài giờ'!$A30,'Đóng gói ngoài giờ'!AR$12:AR$87)</f>
        <v>0</v>
      </c>
      <c r="AS30" s="4">
        <f ca="1">SUMIF('Đóng gói ngoài giờ'!$A$12:$A$216,'Tổng hợp ngoài giờ'!$A30,'Đóng gói ngoài giờ'!AS$12:AS$87)</f>
        <v>0</v>
      </c>
      <c r="AT30" s="4">
        <f ca="1">SUMIF('Đóng gói ngoài giờ'!$A$12:$A$216,'Tổng hợp ngoài giờ'!$A30,'Đóng gói ngoài giờ'!AT$12:AT$87)</f>
        <v>0</v>
      </c>
      <c r="AU30" s="4">
        <f ca="1">SUMIF('Đóng gói ngoài giờ'!$A$12:$A$216,'Tổng hợp ngoài giờ'!$A30,'Đóng gói ngoài giờ'!AU$12:AU$87)</f>
        <v>0</v>
      </c>
      <c r="AV30" s="4">
        <f ca="1">SUMIF('Đóng gói ngoài giờ'!$A$12:$A$216,'Tổng hợp ngoài giờ'!$A30,'Đóng gói ngoài giờ'!AV$12:AV$87)</f>
        <v>0</v>
      </c>
      <c r="AW30" s="4">
        <f ca="1">SUMIF('Đóng gói ngoài giờ'!$A$12:$A$216,'Tổng hợp ngoài giờ'!$A30,'Đóng gói ngoài giờ'!AW$12:AW$87)</f>
        <v>0</v>
      </c>
      <c r="AX30" s="4">
        <f ca="1">SUMIF('Đóng gói ngoài giờ'!$A$12:$A$216,'Tổng hợp ngoài giờ'!$A30,'Đóng gói ngoài giờ'!AX$12:AX$87)</f>
        <v>0</v>
      </c>
      <c r="AY30" s="4">
        <f ca="1">SUMIF('Đóng gói ngoài giờ'!$A$12:$A$216,'Tổng hợp ngoài giờ'!$A30,'Đóng gói ngoài giờ'!AY$12:AY$87)</f>
        <v>0</v>
      </c>
      <c r="AZ30" s="4">
        <f ca="1">SUMIF('Đóng gói ngoài giờ'!$A$12:$A$216,'Tổng hợp ngoài giờ'!$A30,'Đóng gói ngoài giờ'!AZ$12:AZ$87)</f>
        <v>0</v>
      </c>
      <c r="BA30" s="4">
        <f ca="1">SUMIF('Đóng gói ngoài giờ'!$A$12:$A$216,'Tổng hợp ngoài giờ'!$A30,'Đóng gói ngoài giờ'!BA$12:BA$87)</f>
        <v>0</v>
      </c>
      <c r="BB30" s="4">
        <f ca="1">SUMIF('Đóng gói ngoài giờ'!$A$12:$A$216,'Tổng hợp ngoài giờ'!$A30,'Đóng gói ngoài giờ'!BB$12:BB$87)</f>
        <v>0</v>
      </c>
      <c r="BC30" s="22">
        <f>SUMIF('Đóng gói ngoài giờ'!$A$12:$A$34,'Tổng hợp ngoài giờ'!$A30,'Đóng gói ngoài giờ'!BC$12:BC$34)</f>
        <v>0</v>
      </c>
      <c r="BD30" s="120">
        <f>SUMIF('Bốc hàng ngoài giờ new'!$H$13:$H$4949,'Tổng hợp trong giờ'!A29,'Bốc hàng ngoài giờ new'!$J$13:$J$4949)</f>
        <v>0</v>
      </c>
      <c r="BE30" s="22">
        <f>SUMIF('Đóng gói ngoài giờ'!$A$12:$A$34,'Tổng hợp ngoài giờ'!$A30,'Đóng gói ngoài giờ'!BE$12:BE$34)</f>
        <v>5.5</v>
      </c>
      <c r="BF30" s="4">
        <f ca="1">SUMIF('Đóng gói ngoài giờ'!$A$12:$A$216,'Tổng hợp ngoài giờ'!$A30,'Đóng gói ngoài giờ'!BD$12:BD$87)</f>
        <v>0</v>
      </c>
      <c r="BG30" s="4">
        <f ca="1">SUMIF('Đóng gói ngoài giờ'!$A$12:$A$216,'Tổng hợp ngoài giờ'!$A30,'Đóng gói ngoài giờ'!BE$12:BE$87)</f>
        <v>14.5</v>
      </c>
      <c r="BH30" s="4">
        <f ca="1">SUMIF('Đóng gói ngoài giờ'!$A$12:$A$216,'Tổng hợp ngoài giờ'!$A30,'Đóng gói ngoài giờ'!BF$12:BF$87)</f>
        <v>0</v>
      </c>
      <c r="BI30" s="4">
        <f ca="1">SUMIF('Đóng gói ngoài giờ'!$A$12:$A$216,'Tổng hợp ngoài giờ'!$A30,'Đóng gói ngoài giờ'!BG$12:BG$87)</f>
        <v>0</v>
      </c>
      <c r="BJ30" s="4">
        <f ca="1">SUMIF('Đóng gói ngoài giờ'!$A$12:$A$216,'Tổng hợp ngoài giờ'!$A30,'Đóng gói ngoài giờ'!BH$12:BH$87)</f>
        <v>0</v>
      </c>
      <c r="BK30" s="4">
        <f ca="1">SUMIF('Đóng gói ngoài giờ'!$A$12:$A$216,'Tổng hợp ngoài giờ'!$A30,'Đóng gói ngoài giờ'!BI$12:BI$87)</f>
        <v>0</v>
      </c>
      <c r="BL30" s="4">
        <f ca="1">SUMIF('Đóng gói ngoài giờ'!$A$12:$A$216,'Tổng hợp ngoài giờ'!$A30,'Đóng gói ngoài giờ'!BJ$12:BJ$87)</f>
        <v>0</v>
      </c>
      <c r="BM30" s="4">
        <f ca="1">SUMIF('Đóng gói ngoài giờ'!$A$12:$A$216,'Tổng hợp ngoài giờ'!$A30,'Đóng gói ngoài giờ'!BK$12:BK$87)</f>
        <v>0</v>
      </c>
      <c r="BN30" s="4">
        <f ca="1">SUMIF('Đóng gói ngoài giờ'!$A$12:$A$216,'Tổng hợp ngoài giờ'!$A30,'Đóng gói ngoài giờ'!BL$12:BL$87)</f>
        <v>10.5</v>
      </c>
      <c r="BO30" s="4">
        <f ca="1">SUMIF('Đóng gói ngoài giờ'!$A$12:$A$216,'Tổng hợp ngoài giờ'!$A30,'Đóng gói ngoài giờ'!BM$12:BM$87)</f>
        <v>0</v>
      </c>
      <c r="BP30" s="4">
        <f ca="1">SUMIF('Đóng gói ngoài giờ'!$A$12:$A$216,'Tổng hợp ngoài giờ'!$A30,'Đóng gói ngoài giờ'!BN$12:BN$87)</f>
        <v>0</v>
      </c>
      <c r="BQ30" s="4">
        <f ca="1">SUMIF('Đóng gói ngoài giờ'!$A$12:$A$216,'Tổng hợp ngoài giờ'!$A30,'Đóng gói ngoài giờ'!BO$12:BO$87)</f>
        <v>0</v>
      </c>
      <c r="BR30" s="4">
        <f ca="1">SUMIF('Đóng gói ngoài giờ'!$A$12:$A$216,'Tổng hợp ngoài giờ'!$A30,'Đóng gói ngoài giờ'!BP$12:BP$87)</f>
        <v>0</v>
      </c>
      <c r="BS30" s="4">
        <f ca="1">SUMIF('Đóng gói ngoài giờ'!$A$12:$A$216,'Tổng hợp ngoài giờ'!$A30,'Đóng gói ngoài giờ'!BQ$12:BQ$87)</f>
        <v>0</v>
      </c>
      <c r="BT30" s="4">
        <f ca="1">SUMIF('Đóng gói ngoài giờ'!$A$12:$A$216,'Tổng hợp ngoài giờ'!$A30,'Đóng gói ngoài giờ'!BR$12:BR$87)</f>
        <v>0</v>
      </c>
      <c r="BU30" s="96">
        <f t="shared" ca="1" si="1"/>
        <v>25</v>
      </c>
      <c r="BV30" s="244">
        <f t="shared" ca="1" si="2"/>
        <v>1014225.5005268706</v>
      </c>
      <c r="BW30" s="168">
        <f t="shared" ca="1" si="3"/>
        <v>1229032.8924491252</v>
      </c>
      <c r="CL30" s="9">
        <v>19</v>
      </c>
    </row>
    <row r="31" spans="1:90" ht="15.75" x14ac:dyDescent="0.25">
      <c r="A31" s="224" t="s">
        <v>119</v>
      </c>
      <c r="B31" s="2" t="str">
        <f>VLOOKUP(A31,'Mã NV'!$A$1:$C$27,2,0)</f>
        <v>Lê Nhật Trường Giang</v>
      </c>
      <c r="C31" s="23"/>
      <c r="D31" s="4">
        <f ca="1">SUMIF('Đóng gói ngoài giờ'!$A$12:$A$216,'Tổng hợp ngoài giờ'!$A31,'Đóng gói ngoài giờ'!D$12:D$87)</f>
        <v>0</v>
      </c>
      <c r="E31" s="4">
        <f ca="1">SUMIF('Đóng gói ngoài giờ'!$A$12:$A$216,'Tổng hợp ngoài giờ'!$A31,'Đóng gói ngoài giờ'!E$12:E$87)</f>
        <v>150</v>
      </c>
      <c r="F31" s="4">
        <f ca="1">SUMIF('Đóng gói ngoài giờ'!$A$12:$A$216,'Tổng hợp ngoài giờ'!$A31,'Đóng gói ngoài giờ'!F$12:F$87)</f>
        <v>50</v>
      </c>
      <c r="G31" s="4">
        <f ca="1">SUMIF('Đóng gói ngoài giờ'!$A$12:$A$216,'Tổng hợp ngoài giờ'!$A31,'Đóng gói ngoài giờ'!G$12:G$87)</f>
        <v>0</v>
      </c>
      <c r="H31" s="4">
        <f ca="1">SUMIF('Đóng gói ngoài giờ'!$A$12:$A$216,'Tổng hợp ngoài giờ'!$A31,'Đóng gói ngoài giờ'!H$12:H$87)</f>
        <v>0</v>
      </c>
      <c r="I31" s="4">
        <f ca="1">SUMIF('Đóng gói ngoài giờ'!$A$12:$A$216,'Tổng hợp ngoài giờ'!$A31,'Đóng gói ngoài giờ'!I$12:I$87)</f>
        <v>0</v>
      </c>
      <c r="J31" s="4">
        <f ca="1">SUMIF('Đóng gói ngoài giờ'!$A$12:$A$216,'Tổng hợp ngoài giờ'!$A31,'Đóng gói ngoài giờ'!J$12:J$87)</f>
        <v>0</v>
      </c>
      <c r="K31" s="4">
        <f ca="1">SUMIF('Đóng gói ngoài giờ'!$A$12:$A$216,'Tổng hợp ngoài giờ'!$A31,'Đóng gói ngoài giờ'!K$12:K$87)</f>
        <v>0</v>
      </c>
      <c r="L31" s="4">
        <f ca="1">SUMIF('Đóng gói ngoài giờ'!$A$12:$A$216,'Tổng hợp ngoài giờ'!$A31,'Đóng gói ngoài giờ'!L$12:L$87)</f>
        <v>0</v>
      </c>
      <c r="M31" s="4">
        <f ca="1">SUMIF('Đóng gói ngoài giờ'!$A$12:$A$216,'Tổng hợp ngoài giờ'!$A31,'Đóng gói ngoài giờ'!M$12:M$87)</f>
        <v>0</v>
      </c>
      <c r="N31" s="4">
        <f ca="1">SUMIF('Đóng gói ngoài giờ'!$A$12:$A$216,'Tổng hợp ngoài giờ'!$A31,'Đóng gói ngoài giờ'!N$12:N$87)</f>
        <v>0</v>
      </c>
      <c r="O31" s="4">
        <f ca="1">SUMIF('Đóng gói ngoài giờ'!$A$12:$A$216,'Tổng hợp ngoài giờ'!$A31,'Đóng gói ngoài giờ'!O$12:O$87)</f>
        <v>0</v>
      </c>
      <c r="P31" s="4">
        <f ca="1">SUMIF('Đóng gói ngoài giờ'!$A$12:$A$216,'Tổng hợp ngoài giờ'!$A31,'Đóng gói ngoài giờ'!P$12:P$87)</f>
        <v>0</v>
      </c>
      <c r="Q31" s="4">
        <f ca="1">SUMIF('Đóng gói ngoài giờ'!$A$12:$A$216,'Tổng hợp ngoài giờ'!$A31,'Đóng gói ngoài giờ'!Q$12:Q$87)</f>
        <v>0</v>
      </c>
      <c r="R31" s="4">
        <f ca="1">SUMIF('Đóng gói ngoài giờ'!$A$12:$A$216,'Tổng hợp ngoài giờ'!$A31,'Đóng gói ngoài giờ'!R$12:R$87)</f>
        <v>0</v>
      </c>
      <c r="S31" s="4">
        <f ca="1">SUMIF('Đóng gói ngoài giờ'!$A$12:$A$216,'Tổng hợp ngoài giờ'!$A31,'Đóng gói ngoài giờ'!S$12:S$87)</f>
        <v>0</v>
      </c>
      <c r="T31" s="4">
        <f ca="1">SUMIF('Đóng gói ngoài giờ'!$A$12:$A$216,'Tổng hợp ngoài giờ'!$A31,'Đóng gói ngoài giờ'!T$12:T$87)</f>
        <v>0</v>
      </c>
      <c r="U31" s="4">
        <f ca="1">SUMIF('Đóng gói ngoài giờ'!$A$12:$A$216,'Tổng hợp ngoài giờ'!$A31,'Đóng gói ngoài giờ'!U$12:U$87)</f>
        <v>0</v>
      </c>
      <c r="V31" s="4">
        <f ca="1">SUMIF('Đóng gói ngoài giờ'!$A$12:$A$216,'Tổng hợp ngoài giờ'!$A31,'Đóng gói ngoài giờ'!V$12:V$87)</f>
        <v>0</v>
      </c>
      <c r="W31" s="4">
        <f ca="1">SUMIF('Đóng gói ngoài giờ'!$A$12:$A$216,'Tổng hợp ngoài giờ'!$A31,'Đóng gói ngoài giờ'!W$12:W$87)</f>
        <v>0</v>
      </c>
      <c r="X31" s="4">
        <f ca="1">SUMIF('Đóng gói ngoài giờ'!$A$12:$A$216,'Tổng hợp ngoài giờ'!$A31,'Đóng gói ngoài giờ'!X$12:X$87)</f>
        <v>0</v>
      </c>
      <c r="Y31" s="4">
        <f ca="1">SUMIF('Đóng gói ngoài giờ'!$A$12:$A$216,'Tổng hợp ngoài giờ'!$A31,'Đóng gói ngoài giờ'!Y$12:Y$87)</f>
        <v>0</v>
      </c>
      <c r="Z31" s="4">
        <f ca="1">SUMIF('Đóng gói ngoài giờ'!$A$12:$A$216,'Tổng hợp ngoài giờ'!$A31,'Đóng gói ngoài giờ'!Z$12:Z$87)</f>
        <v>0</v>
      </c>
      <c r="AA31" s="4">
        <f ca="1">SUMIF('Đóng gói ngoài giờ'!$A$12:$A$216,'Tổng hợp ngoài giờ'!$A31,'Đóng gói ngoài giờ'!AA$12:AA$87)</f>
        <v>0</v>
      </c>
      <c r="AB31" s="4">
        <f ca="1">SUMIF('Đóng gói ngoài giờ'!$A$12:$A$216,'Tổng hợp ngoài giờ'!$A31,'Đóng gói ngoài giờ'!AB$12:AB$87)</f>
        <v>0</v>
      </c>
      <c r="AC31" s="4">
        <f ca="1">SUMIF('Đóng gói ngoài giờ'!$A$12:$A$216,'Tổng hợp ngoài giờ'!$A31,'Đóng gói ngoài giờ'!AC$12:AC$87)</f>
        <v>37.5</v>
      </c>
      <c r="AD31" s="4">
        <f ca="1">SUMIF('Đóng gói ngoài giờ'!$A$12:$A$216,'Tổng hợp ngoài giờ'!$A31,'Đóng gói ngoài giờ'!AD$12:AD$87)</f>
        <v>172.5</v>
      </c>
      <c r="AE31" s="4">
        <f ca="1">SUMIF('Đóng gói ngoài giờ'!$A$12:$A$216,'Tổng hợp ngoài giờ'!$A31,'Đóng gói ngoài giờ'!AE$12:AE$87)</f>
        <v>0</v>
      </c>
      <c r="AF31" s="4">
        <f ca="1">SUMIF('Đóng gói ngoài giờ'!$A$12:$A$216,'Tổng hợp ngoài giờ'!$A31,'Đóng gói ngoài giờ'!AF$12:AF$87)</f>
        <v>0</v>
      </c>
      <c r="AG31" s="4">
        <f ca="1">SUMIF('Đóng gói ngoài giờ'!$A$12:$A$216,'Tổng hợp ngoài giờ'!$A31,'Đóng gói ngoài giờ'!AG$12:AG$87)</f>
        <v>0</v>
      </c>
      <c r="AH31" s="4">
        <f ca="1">SUMIF('Đóng gói ngoài giờ'!$A$12:$A$216,'Tổng hợp ngoài giờ'!$A31,'Đóng gói ngoài giờ'!AH$12:AH$87)</f>
        <v>0</v>
      </c>
      <c r="AI31" s="4">
        <f ca="1">SUMIF('Đóng gói ngoài giờ'!$A$12:$A$216,'Tổng hợp ngoài giờ'!$A31,'Đóng gói ngoài giờ'!AI$12:AI$87)</f>
        <v>0</v>
      </c>
      <c r="AJ31" s="4">
        <f ca="1">SUMIF('Đóng gói ngoài giờ'!$A$12:$A$216,'Tổng hợp ngoài giờ'!$A31,'Đóng gói ngoài giờ'!AJ$12:AJ$87)</f>
        <v>60</v>
      </c>
      <c r="AK31" s="4">
        <f ca="1">SUMIF('Đóng gói ngoài giờ'!$A$12:$A$216,'Tổng hợp ngoài giờ'!$A31,'Đóng gói ngoài giờ'!AK$12:AK$87)</f>
        <v>33.333333333333336</v>
      </c>
      <c r="AL31" s="4">
        <f ca="1">SUMIF('Đóng gói ngoài giờ'!$A$12:$A$216,'Tổng hợp ngoài giờ'!$A31,'Đóng gói ngoài giờ'!AL$12:AL$87)</f>
        <v>0</v>
      </c>
      <c r="AM31" s="4">
        <f ca="1">SUMIF('Đóng gói ngoài giờ'!$A$12:$A$216,'Tổng hợp ngoài giờ'!$A31,'Đóng gói ngoài giờ'!AM$12:AM$87)</f>
        <v>51.666666666666671</v>
      </c>
      <c r="AN31" s="4">
        <f ca="1">SUMIF('Đóng gói ngoài giờ'!$A$12:$A$216,'Tổng hợp ngoài giờ'!$A31,'Đóng gói ngoài giờ'!AN$12:AN$87)</f>
        <v>0</v>
      </c>
      <c r="AO31" s="4">
        <f ca="1">SUMIF('Đóng gói ngoài giờ'!$A$12:$A$216,'Tổng hợp ngoài giờ'!$A31,'Đóng gói ngoài giờ'!AO$12:AO$87)</f>
        <v>0</v>
      </c>
      <c r="AP31" s="4">
        <f ca="1">SUMIF('Đóng gói ngoài giờ'!$A$12:$A$216,'Tổng hợp ngoài giờ'!$A31,'Đóng gói ngoài giờ'!AP$12:AP$87)</f>
        <v>0</v>
      </c>
      <c r="AQ31" s="4">
        <f ca="1">SUMIF('Đóng gói ngoài giờ'!$A$12:$A$216,'Tổng hợp ngoài giờ'!$A31,'Đóng gói ngoài giờ'!AQ$12:AQ$87)</f>
        <v>0</v>
      </c>
      <c r="AR31" s="4">
        <f ca="1">SUMIF('Đóng gói ngoài giờ'!$A$12:$A$216,'Tổng hợp ngoài giờ'!$A31,'Đóng gói ngoài giờ'!AR$12:AR$87)</f>
        <v>0</v>
      </c>
      <c r="AS31" s="4">
        <f ca="1">SUMIF('Đóng gói ngoài giờ'!$A$12:$A$216,'Tổng hợp ngoài giờ'!$A31,'Đóng gói ngoài giờ'!AS$12:AS$87)</f>
        <v>0</v>
      </c>
      <c r="AT31" s="4">
        <f ca="1">SUMIF('Đóng gói ngoài giờ'!$A$12:$A$216,'Tổng hợp ngoài giờ'!$A31,'Đóng gói ngoài giờ'!AT$12:AT$87)</f>
        <v>0</v>
      </c>
      <c r="AU31" s="4">
        <f ca="1">SUMIF('Đóng gói ngoài giờ'!$A$12:$A$216,'Tổng hợp ngoài giờ'!$A31,'Đóng gói ngoài giờ'!AU$12:AU$87)</f>
        <v>0</v>
      </c>
      <c r="AV31" s="4">
        <f ca="1">SUMIF('Đóng gói ngoài giờ'!$A$12:$A$216,'Tổng hợp ngoài giờ'!$A31,'Đóng gói ngoài giờ'!AV$12:AV$87)</f>
        <v>0</v>
      </c>
      <c r="AW31" s="4">
        <f ca="1">SUMIF('Đóng gói ngoài giờ'!$A$12:$A$216,'Tổng hợp ngoài giờ'!$A31,'Đóng gói ngoài giờ'!AW$12:AW$87)</f>
        <v>0</v>
      </c>
      <c r="AX31" s="4">
        <f ca="1">SUMIF('Đóng gói ngoài giờ'!$A$12:$A$216,'Tổng hợp ngoài giờ'!$A31,'Đóng gói ngoài giờ'!AX$12:AX$87)</f>
        <v>0</v>
      </c>
      <c r="AY31" s="4">
        <f ca="1">SUMIF('Đóng gói ngoài giờ'!$A$12:$A$216,'Tổng hợp ngoài giờ'!$A31,'Đóng gói ngoài giờ'!AY$12:AY$87)</f>
        <v>0</v>
      </c>
      <c r="AZ31" s="4">
        <f ca="1">SUMIF('Đóng gói ngoài giờ'!$A$12:$A$216,'Tổng hợp ngoài giờ'!$A31,'Đóng gói ngoài giờ'!AZ$12:AZ$87)</f>
        <v>0</v>
      </c>
      <c r="BA31" s="4">
        <f ca="1">SUMIF('Đóng gói ngoài giờ'!$A$12:$A$216,'Tổng hợp ngoài giờ'!$A31,'Đóng gói ngoài giờ'!BA$12:BA$87)</f>
        <v>0</v>
      </c>
      <c r="BB31" s="4">
        <f ca="1">SUMIF('Đóng gói ngoài giờ'!$A$12:$A$216,'Tổng hợp ngoài giờ'!$A31,'Đóng gói ngoài giờ'!BB$12:BB$87)</f>
        <v>0</v>
      </c>
      <c r="BF31" s="4">
        <f ca="1">SUMIF('Đóng gói ngoài giờ'!$A$12:$A$216,'Tổng hợp ngoài giờ'!$A31,'Đóng gói ngoài giờ'!BD$12:BD$87)</f>
        <v>0</v>
      </c>
      <c r="BG31" s="4">
        <f ca="1">SUMIF('Đóng gói ngoài giờ'!$A$12:$A$216,'Tổng hợp ngoài giờ'!$A31,'Đóng gói ngoài giờ'!BE$12:BE$87)</f>
        <v>9.5</v>
      </c>
      <c r="BH31" s="4">
        <f ca="1">SUMIF('Đóng gói ngoài giờ'!$A$12:$A$216,'Tổng hợp ngoài giờ'!$A31,'Đóng gói ngoài giờ'!BF$12:BF$87)</f>
        <v>0</v>
      </c>
      <c r="BI31" s="4">
        <f ca="1">SUMIF('Đóng gói ngoài giờ'!$A$12:$A$216,'Tổng hợp ngoài giờ'!$A31,'Đóng gói ngoài giờ'!BG$12:BG$87)</f>
        <v>0</v>
      </c>
      <c r="BJ31" s="4">
        <f ca="1">SUMIF('Đóng gói ngoài giờ'!$A$12:$A$216,'Tổng hợp ngoài giờ'!$A31,'Đóng gói ngoài giờ'!BH$12:BH$87)</f>
        <v>0</v>
      </c>
      <c r="BK31" s="4">
        <f ca="1">SUMIF('Đóng gói ngoài giờ'!$A$12:$A$216,'Tổng hợp ngoài giờ'!$A31,'Đóng gói ngoài giờ'!BI$12:BI$87)</f>
        <v>0</v>
      </c>
      <c r="BL31" s="4">
        <f ca="1">SUMIF('Đóng gói ngoài giờ'!$A$12:$A$216,'Tổng hợp ngoài giờ'!$A31,'Đóng gói ngoài giờ'!BJ$12:BJ$87)</f>
        <v>0</v>
      </c>
      <c r="BM31" s="4">
        <f ca="1">SUMIF('Đóng gói ngoài giờ'!$A$12:$A$216,'Tổng hợp ngoài giờ'!$A31,'Đóng gói ngoài giờ'!BK$12:BK$87)</f>
        <v>0</v>
      </c>
      <c r="BN31" s="4">
        <f ca="1">SUMIF('Đóng gói ngoài giờ'!$A$12:$A$216,'Tổng hợp ngoài giờ'!$A31,'Đóng gói ngoài giờ'!BL$12:BL$87)</f>
        <v>15</v>
      </c>
      <c r="BO31" s="4">
        <f ca="1">SUMIF('Đóng gói ngoài giờ'!$A$12:$A$216,'Tổng hợp ngoài giờ'!$A31,'Đóng gói ngoài giờ'!BM$12:BM$87)</f>
        <v>0</v>
      </c>
      <c r="BP31" s="4">
        <f ca="1">SUMIF('Đóng gói ngoài giờ'!$A$12:$A$216,'Tổng hợp ngoài giờ'!$A31,'Đóng gói ngoài giờ'!BN$12:BN$87)</f>
        <v>0</v>
      </c>
      <c r="BQ31" s="4">
        <f ca="1">SUMIF('Đóng gói ngoài giờ'!$A$12:$A$216,'Tổng hợp ngoài giờ'!$A31,'Đóng gói ngoài giờ'!BO$12:BO$87)</f>
        <v>0</v>
      </c>
      <c r="BR31" s="4">
        <f ca="1">SUMIF('Đóng gói ngoài giờ'!$A$12:$A$216,'Tổng hợp ngoài giờ'!$A31,'Đóng gói ngoài giờ'!BP$12:BP$87)</f>
        <v>0</v>
      </c>
      <c r="BS31" s="4">
        <f ca="1">SUMIF('Đóng gói ngoài giờ'!$A$12:$A$216,'Tổng hợp ngoài giờ'!$A31,'Đóng gói ngoài giờ'!BQ$12:BQ$87)</f>
        <v>0</v>
      </c>
      <c r="BT31" s="4">
        <f ca="1">SUMIF('Đóng gói ngoài giờ'!$A$12:$A$216,'Tổng hợp ngoài giờ'!$A31,'Đóng gói ngoài giờ'!BR$12:BR$87)</f>
        <v>0</v>
      </c>
      <c r="BU31" s="96">
        <f t="shared" ca="1" si="1"/>
        <v>24.5</v>
      </c>
      <c r="BV31" s="244">
        <f t="shared" ca="1" si="2"/>
        <v>993940.99051633314</v>
      </c>
      <c r="BW31" s="168">
        <f t="shared" ca="1" si="3"/>
        <v>1399571.616336586</v>
      </c>
      <c r="CL31" s="7">
        <v>20</v>
      </c>
    </row>
    <row r="32" spans="1:90" ht="15.75" x14ac:dyDescent="0.25">
      <c r="A32" s="224" t="s">
        <v>120</v>
      </c>
      <c r="B32" s="2" t="str">
        <f>VLOOKUP(A32,'Mã NV'!$A$1:$C$27,2,0)</f>
        <v>Thạch Ngọc Thắng</v>
      </c>
      <c r="C32" s="23"/>
      <c r="D32" s="4">
        <f ca="1">SUMIF('Đóng gói ngoài giờ'!$A$12:$A$216,'Tổng hợp ngoài giờ'!$A32,'Đóng gói ngoài giờ'!D$12:D$87)</f>
        <v>0</v>
      </c>
      <c r="E32" s="4">
        <f ca="1">SUMIF('Đóng gói ngoài giờ'!$A$12:$A$216,'Tổng hợp ngoài giờ'!$A32,'Đóng gói ngoài giờ'!E$12:E$87)</f>
        <v>0</v>
      </c>
      <c r="F32" s="4">
        <f ca="1">SUMIF('Đóng gói ngoài giờ'!$A$12:$A$216,'Tổng hợp ngoài giờ'!$A32,'Đóng gói ngoài giờ'!F$12:F$87)</f>
        <v>50</v>
      </c>
      <c r="G32" s="4">
        <f ca="1">SUMIF('Đóng gói ngoài giờ'!$A$12:$A$216,'Tổng hợp ngoài giờ'!$A32,'Đóng gói ngoài giờ'!G$12:G$87)</f>
        <v>0</v>
      </c>
      <c r="H32" s="4">
        <f ca="1">SUMIF('Đóng gói ngoài giờ'!$A$12:$A$216,'Tổng hợp ngoài giờ'!$A32,'Đóng gói ngoài giờ'!H$12:H$87)</f>
        <v>0</v>
      </c>
      <c r="I32" s="4">
        <f ca="1">SUMIF('Đóng gói ngoài giờ'!$A$12:$A$216,'Tổng hợp ngoài giờ'!$A32,'Đóng gói ngoài giờ'!I$12:I$87)</f>
        <v>0</v>
      </c>
      <c r="J32" s="4">
        <f ca="1">SUMIF('Đóng gói ngoài giờ'!$A$12:$A$216,'Tổng hợp ngoài giờ'!$A32,'Đóng gói ngoài giờ'!J$12:J$87)</f>
        <v>0</v>
      </c>
      <c r="K32" s="4">
        <f ca="1">SUMIF('Đóng gói ngoài giờ'!$A$12:$A$216,'Tổng hợp ngoài giờ'!$A32,'Đóng gói ngoài giờ'!K$12:K$87)</f>
        <v>0</v>
      </c>
      <c r="L32" s="4">
        <f ca="1">SUMIF('Đóng gói ngoài giờ'!$A$12:$A$216,'Tổng hợp ngoài giờ'!$A32,'Đóng gói ngoài giờ'!L$12:L$87)</f>
        <v>0</v>
      </c>
      <c r="M32" s="4">
        <f ca="1">SUMIF('Đóng gói ngoài giờ'!$A$12:$A$216,'Tổng hợp ngoài giờ'!$A32,'Đóng gói ngoài giờ'!M$12:M$87)</f>
        <v>0</v>
      </c>
      <c r="N32" s="4">
        <f ca="1">SUMIF('Đóng gói ngoài giờ'!$A$12:$A$216,'Tổng hợp ngoài giờ'!$A32,'Đóng gói ngoài giờ'!N$12:N$87)</f>
        <v>0</v>
      </c>
      <c r="O32" s="4">
        <f ca="1">SUMIF('Đóng gói ngoài giờ'!$A$12:$A$216,'Tổng hợp ngoài giờ'!$A32,'Đóng gói ngoài giờ'!O$12:O$87)</f>
        <v>0</v>
      </c>
      <c r="P32" s="4">
        <f ca="1">SUMIF('Đóng gói ngoài giờ'!$A$12:$A$216,'Tổng hợp ngoài giờ'!$A32,'Đóng gói ngoài giờ'!P$12:P$87)</f>
        <v>0</v>
      </c>
      <c r="Q32" s="4">
        <f ca="1">SUMIF('Đóng gói ngoài giờ'!$A$12:$A$216,'Tổng hợp ngoài giờ'!$A32,'Đóng gói ngoài giờ'!Q$12:Q$87)</f>
        <v>0</v>
      </c>
      <c r="R32" s="4">
        <f ca="1">SUMIF('Đóng gói ngoài giờ'!$A$12:$A$216,'Tổng hợp ngoài giờ'!$A32,'Đóng gói ngoài giờ'!R$12:R$87)</f>
        <v>0</v>
      </c>
      <c r="S32" s="4">
        <f ca="1">SUMIF('Đóng gói ngoài giờ'!$A$12:$A$216,'Tổng hợp ngoài giờ'!$A32,'Đóng gói ngoài giờ'!S$12:S$87)</f>
        <v>0</v>
      </c>
      <c r="T32" s="4">
        <f ca="1">SUMIF('Đóng gói ngoài giờ'!$A$12:$A$216,'Tổng hợp ngoài giờ'!$A32,'Đóng gói ngoài giờ'!T$12:T$87)</f>
        <v>0</v>
      </c>
      <c r="U32" s="4">
        <f ca="1">SUMIF('Đóng gói ngoài giờ'!$A$12:$A$216,'Tổng hợp ngoài giờ'!$A32,'Đóng gói ngoài giờ'!U$12:U$87)</f>
        <v>0</v>
      </c>
      <c r="V32" s="4">
        <f ca="1">SUMIF('Đóng gói ngoài giờ'!$A$12:$A$216,'Tổng hợp ngoài giờ'!$A32,'Đóng gói ngoài giờ'!V$12:V$87)</f>
        <v>0</v>
      </c>
      <c r="W32" s="4">
        <f ca="1">SUMIF('Đóng gói ngoài giờ'!$A$12:$A$216,'Tổng hợp ngoài giờ'!$A32,'Đóng gói ngoài giờ'!W$12:W$87)</f>
        <v>0</v>
      </c>
      <c r="X32" s="4">
        <f ca="1">SUMIF('Đóng gói ngoài giờ'!$A$12:$A$216,'Tổng hợp ngoài giờ'!$A32,'Đóng gói ngoài giờ'!X$12:X$87)</f>
        <v>0</v>
      </c>
      <c r="Y32" s="4">
        <f ca="1">SUMIF('Đóng gói ngoài giờ'!$A$12:$A$216,'Tổng hợp ngoài giờ'!$A32,'Đóng gói ngoài giờ'!Y$12:Y$87)</f>
        <v>0</v>
      </c>
      <c r="Z32" s="4">
        <f ca="1">SUMIF('Đóng gói ngoài giờ'!$A$12:$A$216,'Tổng hợp ngoài giờ'!$A32,'Đóng gói ngoài giờ'!Z$12:Z$87)</f>
        <v>0</v>
      </c>
      <c r="AA32" s="4">
        <f ca="1">SUMIF('Đóng gói ngoài giờ'!$A$12:$A$216,'Tổng hợp ngoài giờ'!$A32,'Đóng gói ngoài giờ'!AA$12:AA$87)</f>
        <v>0</v>
      </c>
      <c r="AB32" s="4">
        <f ca="1">SUMIF('Đóng gói ngoài giờ'!$A$12:$A$216,'Tổng hợp ngoài giờ'!$A32,'Đóng gói ngoài giờ'!AB$12:AB$87)</f>
        <v>0</v>
      </c>
      <c r="AC32" s="4">
        <f ca="1">SUMIF('Đóng gói ngoài giờ'!$A$12:$A$216,'Tổng hợp ngoài giờ'!$A32,'Đóng gói ngoài giờ'!AC$12:AC$87)</f>
        <v>0</v>
      </c>
      <c r="AD32" s="4">
        <f ca="1">SUMIF('Đóng gói ngoài giờ'!$A$12:$A$216,'Tổng hợp ngoài giờ'!$A32,'Đóng gói ngoài giờ'!AD$12:AD$87)</f>
        <v>0</v>
      </c>
      <c r="AE32" s="4">
        <f ca="1">SUMIF('Đóng gói ngoài giờ'!$A$12:$A$216,'Tổng hợp ngoài giờ'!$A32,'Đóng gói ngoài giờ'!AE$12:AE$87)</f>
        <v>0</v>
      </c>
      <c r="AF32" s="4">
        <f ca="1">SUMIF('Đóng gói ngoài giờ'!$A$12:$A$216,'Tổng hợp ngoài giờ'!$A32,'Đóng gói ngoài giờ'!AF$12:AF$87)</f>
        <v>0</v>
      </c>
      <c r="AG32" s="4">
        <f ca="1">SUMIF('Đóng gói ngoài giờ'!$A$12:$A$216,'Tổng hợp ngoài giờ'!$A32,'Đóng gói ngoài giờ'!AG$12:AG$87)</f>
        <v>0</v>
      </c>
      <c r="AH32" s="4">
        <f ca="1">SUMIF('Đóng gói ngoài giờ'!$A$12:$A$216,'Tổng hợp ngoài giờ'!$A32,'Đóng gói ngoài giờ'!AH$12:AH$87)</f>
        <v>0</v>
      </c>
      <c r="AI32" s="4">
        <f ca="1">SUMIF('Đóng gói ngoài giờ'!$A$12:$A$216,'Tổng hợp ngoài giờ'!$A32,'Đóng gói ngoài giờ'!AI$12:AI$87)</f>
        <v>0</v>
      </c>
      <c r="AJ32" s="4">
        <f ca="1">SUMIF('Đóng gói ngoài giờ'!$A$12:$A$216,'Tổng hợp ngoài giờ'!$A32,'Đóng gói ngoài giờ'!AJ$12:AJ$87)</f>
        <v>0</v>
      </c>
      <c r="AK32" s="4">
        <f ca="1">SUMIF('Đóng gói ngoài giờ'!$A$12:$A$216,'Tổng hợp ngoài giờ'!$A32,'Đóng gói ngoài giờ'!AK$12:AK$87)</f>
        <v>75</v>
      </c>
      <c r="AL32" s="4">
        <f ca="1">SUMIF('Đóng gói ngoài giờ'!$A$12:$A$216,'Tổng hợp ngoài giờ'!$A32,'Đóng gói ngoài giờ'!AL$12:AL$87)</f>
        <v>0</v>
      </c>
      <c r="AM32" s="4">
        <f ca="1">SUMIF('Đóng gói ngoài giờ'!$A$12:$A$216,'Tổng hợp ngoài giờ'!$A32,'Đóng gói ngoài giờ'!AM$12:AM$87)</f>
        <v>26.666666666666668</v>
      </c>
      <c r="AN32" s="4">
        <f ca="1">SUMIF('Đóng gói ngoài giờ'!$A$12:$A$216,'Tổng hợp ngoài giờ'!$A32,'Đóng gói ngoài giờ'!AN$12:AN$87)</f>
        <v>0</v>
      </c>
      <c r="AO32" s="4">
        <f ca="1">SUMIF('Đóng gói ngoài giờ'!$A$12:$A$216,'Tổng hợp ngoài giờ'!$A32,'Đóng gói ngoài giờ'!AO$12:AO$87)</f>
        <v>0</v>
      </c>
      <c r="AP32" s="4">
        <f ca="1">SUMIF('Đóng gói ngoài giờ'!$A$12:$A$216,'Tổng hợp ngoài giờ'!$A32,'Đóng gói ngoài giờ'!AP$12:AP$87)</f>
        <v>0</v>
      </c>
      <c r="AQ32" s="4">
        <f ca="1">SUMIF('Đóng gói ngoài giờ'!$A$12:$A$216,'Tổng hợp ngoài giờ'!$A32,'Đóng gói ngoài giờ'!AQ$12:AQ$87)</f>
        <v>0</v>
      </c>
      <c r="AR32" s="4">
        <f ca="1">SUMIF('Đóng gói ngoài giờ'!$A$12:$A$216,'Tổng hợp ngoài giờ'!$A32,'Đóng gói ngoài giờ'!AR$12:AR$87)</f>
        <v>0</v>
      </c>
      <c r="AS32" s="4">
        <f ca="1">SUMIF('Đóng gói ngoài giờ'!$A$12:$A$216,'Tổng hợp ngoài giờ'!$A32,'Đóng gói ngoài giờ'!AS$12:AS$87)</f>
        <v>0</v>
      </c>
      <c r="AT32" s="4">
        <f ca="1">SUMIF('Đóng gói ngoài giờ'!$A$12:$A$216,'Tổng hợp ngoài giờ'!$A32,'Đóng gói ngoài giờ'!AT$12:AT$87)</f>
        <v>0</v>
      </c>
      <c r="AU32" s="4">
        <f ca="1">SUMIF('Đóng gói ngoài giờ'!$A$12:$A$216,'Tổng hợp ngoài giờ'!$A32,'Đóng gói ngoài giờ'!AU$12:AU$87)</f>
        <v>0</v>
      </c>
      <c r="AV32" s="4">
        <f ca="1">SUMIF('Đóng gói ngoài giờ'!$A$12:$A$216,'Tổng hợp ngoài giờ'!$A32,'Đóng gói ngoài giờ'!AV$12:AV$87)</f>
        <v>0</v>
      </c>
      <c r="AW32" s="4">
        <f ca="1">SUMIF('Đóng gói ngoài giờ'!$A$12:$A$216,'Tổng hợp ngoài giờ'!$A32,'Đóng gói ngoài giờ'!AW$12:AW$87)</f>
        <v>0</v>
      </c>
      <c r="AX32" s="4">
        <f ca="1">SUMIF('Đóng gói ngoài giờ'!$A$12:$A$216,'Tổng hợp ngoài giờ'!$A32,'Đóng gói ngoài giờ'!AX$12:AX$87)</f>
        <v>0</v>
      </c>
      <c r="AY32" s="4">
        <f ca="1">SUMIF('Đóng gói ngoài giờ'!$A$12:$A$216,'Tổng hợp ngoài giờ'!$A32,'Đóng gói ngoài giờ'!AY$12:AY$87)</f>
        <v>0</v>
      </c>
      <c r="AZ32" s="4">
        <f ca="1">SUMIF('Đóng gói ngoài giờ'!$A$12:$A$216,'Tổng hợp ngoài giờ'!$A32,'Đóng gói ngoài giờ'!AZ$12:AZ$87)</f>
        <v>0</v>
      </c>
      <c r="BA32" s="4">
        <f ca="1">SUMIF('Đóng gói ngoài giờ'!$A$12:$A$216,'Tổng hợp ngoài giờ'!$A32,'Đóng gói ngoài giờ'!BA$12:BA$87)</f>
        <v>0</v>
      </c>
      <c r="BB32" s="4">
        <f ca="1">SUMIF('Đóng gói ngoài giờ'!$A$12:$A$216,'Tổng hợp ngoài giờ'!$A32,'Đóng gói ngoài giờ'!BB$12:BB$87)</f>
        <v>0</v>
      </c>
      <c r="BC32" s="22">
        <f>SUMIF('Đóng gói ngoài giờ'!$A$12:$A$34,'Tổng hợp ngoài giờ'!$A32,'Đóng gói ngoài giờ'!BC$12:BC$34)</f>
        <v>0</v>
      </c>
      <c r="BD32" s="120">
        <f>SUMIF('Bốc hàng ngoài giờ new'!$H$13:$H$4949,'Tổng hợp trong giờ'!A31,'Bốc hàng ngoài giờ new'!$J$13:$J$4949)</f>
        <v>0</v>
      </c>
      <c r="BE32" s="22">
        <f>SUMIF('Đóng gói ngoài giờ'!$A$12:$A$34,'Tổng hợp ngoài giờ'!$A32,'Đóng gói ngoài giờ'!BE$12:BE$34)</f>
        <v>0</v>
      </c>
      <c r="BF32" s="4">
        <f ca="1">SUMIF('Đóng gói ngoài giờ'!$A$12:$A$216,'Tổng hợp ngoài giờ'!$A32,'Đóng gói ngoài giờ'!BD$12:BD$87)</f>
        <v>0</v>
      </c>
      <c r="BG32" s="4">
        <f ca="1">SUMIF('Đóng gói ngoài giờ'!$A$12:$A$216,'Tổng hợp ngoài giờ'!$A32,'Đóng gói ngoài giờ'!BE$12:BE$87)</f>
        <v>8</v>
      </c>
      <c r="BH32" s="4">
        <f ca="1">SUMIF('Đóng gói ngoài giờ'!$A$12:$A$216,'Tổng hợp ngoài giờ'!$A32,'Đóng gói ngoài giờ'!BF$12:BF$87)</f>
        <v>0</v>
      </c>
      <c r="BI32" s="4">
        <f ca="1">SUMIF('Đóng gói ngoài giờ'!$A$12:$A$216,'Tổng hợp ngoài giờ'!$A32,'Đóng gói ngoài giờ'!BG$12:BG$87)</f>
        <v>0</v>
      </c>
      <c r="BJ32" s="4">
        <f ca="1">SUMIF('Đóng gói ngoài giờ'!$A$12:$A$216,'Tổng hợp ngoài giờ'!$A32,'Đóng gói ngoài giờ'!BH$12:BH$87)</f>
        <v>0</v>
      </c>
      <c r="BK32" s="4">
        <f ca="1">SUMIF('Đóng gói ngoài giờ'!$A$12:$A$216,'Tổng hợp ngoài giờ'!$A32,'Đóng gói ngoài giờ'!BI$12:BI$87)</f>
        <v>0</v>
      </c>
      <c r="BL32" s="4">
        <f ca="1">SUMIF('Đóng gói ngoài giờ'!$A$12:$A$216,'Tổng hợp ngoài giờ'!$A32,'Đóng gói ngoài giờ'!BJ$12:BJ$87)</f>
        <v>0</v>
      </c>
      <c r="BM32" s="4">
        <f ca="1">SUMIF('Đóng gói ngoài giờ'!$A$12:$A$216,'Tổng hợp ngoài giờ'!$A32,'Đóng gói ngoài giờ'!BK$12:BK$87)</f>
        <v>0</v>
      </c>
      <c r="BN32" s="4">
        <f ca="1">SUMIF('Đóng gói ngoài giờ'!$A$12:$A$216,'Tổng hợp ngoài giờ'!$A32,'Đóng gói ngoài giờ'!BL$12:BL$87)</f>
        <v>2</v>
      </c>
      <c r="BO32" s="4">
        <f ca="1">SUMIF('Đóng gói ngoài giờ'!$A$12:$A$216,'Tổng hợp ngoài giờ'!$A32,'Đóng gói ngoài giờ'!BM$12:BM$87)</f>
        <v>0</v>
      </c>
      <c r="BP32" s="4">
        <f ca="1">SUMIF('Đóng gói ngoài giờ'!$A$12:$A$216,'Tổng hợp ngoài giờ'!$A32,'Đóng gói ngoài giờ'!BN$12:BN$87)</f>
        <v>0</v>
      </c>
      <c r="BQ32" s="4">
        <f ca="1">SUMIF('Đóng gói ngoài giờ'!$A$12:$A$216,'Tổng hợp ngoài giờ'!$A32,'Đóng gói ngoài giờ'!BO$12:BO$87)</f>
        <v>0</v>
      </c>
      <c r="BR32" s="4">
        <f ca="1">SUMIF('Đóng gói ngoài giờ'!$A$12:$A$216,'Tổng hợp ngoài giờ'!$A32,'Đóng gói ngoài giờ'!BP$12:BP$87)</f>
        <v>0</v>
      </c>
      <c r="BS32" s="4">
        <f ca="1">SUMIF('Đóng gói ngoài giờ'!$A$12:$A$216,'Tổng hợp ngoài giờ'!$A32,'Đóng gói ngoài giờ'!BQ$12:BQ$87)</f>
        <v>0</v>
      </c>
      <c r="BT32" s="4">
        <f ca="1">SUMIF('Đóng gói ngoài giờ'!$A$12:$A$216,'Tổng hợp ngoài giờ'!$A32,'Đóng gói ngoài giờ'!BR$12:BR$87)</f>
        <v>0</v>
      </c>
      <c r="BU32" s="96">
        <f t="shared" ca="1" si="1"/>
        <v>10</v>
      </c>
      <c r="BV32" s="244">
        <f t="shared" ca="1" si="2"/>
        <v>405690.20021074824</v>
      </c>
      <c r="BW32" s="168">
        <f t="shared" ca="1" si="3"/>
        <v>541373.50759488705</v>
      </c>
      <c r="CL32" s="9">
        <v>21</v>
      </c>
    </row>
    <row r="33" spans="1:90" ht="15.75" x14ac:dyDescent="0.25">
      <c r="A33" s="224" t="s">
        <v>121</v>
      </c>
      <c r="B33" s="2" t="str">
        <f>VLOOKUP(A33,'Mã NV'!$A$1:$C$27,2,0)</f>
        <v>Dương Tấn Đạt</v>
      </c>
      <c r="C33" s="23"/>
      <c r="D33" s="4">
        <f ca="1">SUMIF('Đóng gói ngoài giờ'!$A$12:$A$216,'Tổng hợp ngoài giờ'!$A33,'Đóng gói ngoài giờ'!D$12:D$87)</f>
        <v>0</v>
      </c>
      <c r="E33" s="4">
        <f ca="1">SUMIF('Đóng gói ngoài giờ'!$A$12:$A$216,'Tổng hợp ngoài giờ'!$A33,'Đóng gói ngoài giờ'!E$12:E$87)</f>
        <v>0</v>
      </c>
      <c r="F33" s="4">
        <f ca="1">SUMIF('Đóng gói ngoài giờ'!$A$12:$A$216,'Tổng hợp ngoài giờ'!$A33,'Đóng gói ngoài giờ'!F$12:F$87)</f>
        <v>0</v>
      </c>
      <c r="G33" s="4">
        <f ca="1">SUMIF('Đóng gói ngoài giờ'!$A$12:$A$216,'Tổng hợp ngoài giờ'!$A33,'Đóng gói ngoài giờ'!G$12:G$87)</f>
        <v>0</v>
      </c>
      <c r="H33" s="4">
        <f ca="1">SUMIF('Đóng gói ngoài giờ'!$A$12:$A$216,'Tổng hợp ngoài giờ'!$A33,'Đóng gói ngoài giờ'!H$12:H$87)</f>
        <v>0</v>
      </c>
      <c r="I33" s="4">
        <f ca="1">SUMIF('Đóng gói ngoài giờ'!$A$12:$A$216,'Tổng hợp ngoài giờ'!$A33,'Đóng gói ngoài giờ'!I$12:I$87)</f>
        <v>0</v>
      </c>
      <c r="J33" s="4">
        <f ca="1">SUMIF('Đóng gói ngoài giờ'!$A$12:$A$216,'Tổng hợp ngoài giờ'!$A33,'Đóng gói ngoài giờ'!J$12:J$87)</f>
        <v>0</v>
      </c>
      <c r="K33" s="4">
        <f ca="1">SUMIF('Đóng gói ngoài giờ'!$A$12:$A$216,'Tổng hợp ngoài giờ'!$A33,'Đóng gói ngoài giờ'!K$12:K$87)</f>
        <v>0</v>
      </c>
      <c r="L33" s="4">
        <f ca="1">SUMIF('Đóng gói ngoài giờ'!$A$12:$A$216,'Tổng hợp ngoài giờ'!$A33,'Đóng gói ngoài giờ'!L$12:L$87)</f>
        <v>0</v>
      </c>
      <c r="M33" s="4">
        <f ca="1">SUMIF('Đóng gói ngoài giờ'!$A$12:$A$216,'Tổng hợp ngoài giờ'!$A33,'Đóng gói ngoài giờ'!M$12:M$87)</f>
        <v>0</v>
      </c>
      <c r="N33" s="4">
        <f ca="1">SUMIF('Đóng gói ngoài giờ'!$A$12:$A$216,'Tổng hợp ngoài giờ'!$A33,'Đóng gói ngoài giờ'!N$12:N$87)</f>
        <v>0</v>
      </c>
      <c r="O33" s="4">
        <f ca="1">SUMIF('Đóng gói ngoài giờ'!$A$12:$A$216,'Tổng hợp ngoài giờ'!$A33,'Đóng gói ngoài giờ'!O$12:O$87)</f>
        <v>0</v>
      </c>
      <c r="P33" s="4">
        <f ca="1">SUMIF('Đóng gói ngoài giờ'!$A$12:$A$216,'Tổng hợp ngoài giờ'!$A33,'Đóng gói ngoài giờ'!P$12:P$87)</f>
        <v>0</v>
      </c>
      <c r="Q33" s="4">
        <f ca="1">SUMIF('Đóng gói ngoài giờ'!$A$12:$A$216,'Tổng hợp ngoài giờ'!$A33,'Đóng gói ngoài giờ'!Q$12:Q$87)</f>
        <v>0</v>
      </c>
      <c r="R33" s="4">
        <f ca="1">SUMIF('Đóng gói ngoài giờ'!$A$12:$A$216,'Tổng hợp ngoài giờ'!$A33,'Đóng gói ngoài giờ'!R$12:R$87)</f>
        <v>0</v>
      </c>
      <c r="S33" s="4">
        <f ca="1">SUMIF('Đóng gói ngoài giờ'!$A$12:$A$216,'Tổng hợp ngoài giờ'!$A33,'Đóng gói ngoài giờ'!S$12:S$87)</f>
        <v>0</v>
      </c>
      <c r="T33" s="4">
        <f ca="1">SUMIF('Đóng gói ngoài giờ'!$A$12:$A$216,'Tổng hợp ngoài giờ'!$A33,'Đóng gói ngoài giờ'!T$12:T$87)</f>
        <v>0</v>
      </c>
      <c r="U33" s="4">
        <f ca="1">SUMIF('Đóng gói ngoài giờ'!$A$12:$A$216,'Tổng hợp ngoài giờ'!$A33,'Đóng gói ngoài giờ'!U$12:U$87)</f>
        <v>0</v>
      </c>
      <c r="V33" s="4">
        <f ca="1">SUMIF('Đóng gói ngoài giờ'!$A$12:$A$216,'Tổng hợp ngoài giờ'!$A33,'Đóng gói ngoài giờ'!V$12:V$87)</f>
        <v>0</v>
      </c>
      <c r="W33" s="4">
        <f ca="1">SUMIF('Đóng gói ngoài giờ'!$A$12:$A$216,'Tổng hợp ngoài giờ'!$A33,'Đóng gói ngoài giờ'!W$12:W$87)</f>
        <v>0</v>
      </c>
      <c r="X33" s="4">
        <f ca="1">SUMIF('Đóng gói ngoài giờ'!$A$12:$A$216,'Tổng hợp ngoài giờ'!$A33,'Đóng gói ngoài giờ'!X$12:X$87)</f>
        <v>0</v>
      </c>
      <c r="Y33" s="4">
        <f ca="1">SUMIF('Đóng gói ngoài giờ'!$A$12:$A$216,'Tổng hợp ngoài giờ'!$A33,'Đóng gói ngoài giờ'!Y$12:Y$87)</f>
        <v>0</v>
      </c>
      <c r="Z33" s="4">
        <f ca="1">SUMIF('Đóng gói ngoài giờ'!$A$12:$A$216,'Tổng hợp ngoài giờ'!$A33,'Đóng gói ngoài giờ'!Z$12:Z$87)</f>
        <v>0</v>
      </c>
      <c r="AA33" s="4">
        <f ca="1">SUMIF('Đóng gói ngoài giờ'!$A$12:$A$216,'Tổng hợp ngoài giờ'!$A33,'Đóng gói ngoài giờ'!AA$12:AA$87)</f>
        <v>0</v>
      </c>
      <c r="AB33" s="4">
        <f ca="1">SUMIF('Đóng gói ngoài giờ'!$A$12:$A$216,'Tổng hợp ngoài giờ'!$A33,'Đóng gói ngoài giờ'!AB$12:AB$87)</f>
        <v>0</v>
      </c>
      <c r="AC33" s="4">
        <f ca="1">SUMIF('Đóng gói ngoài giờ'!$A$12:$A$216,'Tổng hợp ngoài giờ'!$A33,'Đóng gói ngoài giờ'!AC$12:AC$87)</f>
        <v>0</v>
      </c>
      <c r="AD33" s="4">
        <f ca="1">SUMIF('Đóng gói ngoài giờ'!$A$12:$A$216,'Tổng hợp ngoài giờ'!$A33,'Đóng gói ngoài giờ'!AD$12:AD$87)</f>
        <v>0</v>
      </c>
      <c r="AE33" s="4">
        <f ca="1">SUMIF('Đóng gói ngoài giờ'!$A$12:$A$216,'Tổng hợp ngoài giờ'!$A33,'Đóng gói ngoài giờ'!AE$12:AE$87)</f>
        <v>0</v>
      </c>
      <c r="AF33" s="4">
        <f ca="1">SUMIF('Đóng gói ngoài giờ'!$A$12:$A$216,'Tổng hợp ngoài giờ'!$A33,'Đóng gói ngoài giờ'!AF$12:AF$87)</f>
        <v>0</v>
      </c>
      <c r="AG33" s="4">
        <f ca="1">SUMIF('Đóng gói ngoài giờ'!$A$12:$A$216,'Tổng hợp ngoài giờ'!$A33,'Đóng gói ngoài giờ'!AG$12:AG$87)</f>
        <v>0</v>
      </c>
      <c r="AH33" s="4">
        <f ca="1">SUMIF('Đóng gói ngoài giờ'!$A$12:$A$216,'Tổng hợp ngoài giờ'!$A33,'Đóng gói ngoài giờ'!AH$12:AH$87)</f>
        <v>0</v>
      </c>
      <c r="AI33" s="4">
        <f ca="1">SUMIF('Đóng gói ngoài giờ'!$A$12:$A$216,'Tổng hợp ngoài giờ'!$A33,'Đóng gói ngoài giờ'!AI$12:AI$87)</f>
        <v>0</v>
      </c>
      <c r="AJ33" s="4">
        <f ca="1">SUMIF('Đóng gói ngoài giờ'!$A$12:$A$216,'Tổng hợp ngoài giờ'!$A33,'Đóng gói ngoài giờ'!AJ$12:AJ$87)</f>
        <v>0</v>
      </c>
      <c r="AK33" s="4">
        <f ca="1">SUMIF('Đóng gói ngoài giờ'!$A$12:$A$216,'Tổng hợp ngoài giờ'!$A33,'Đóng gói ngoài giờ'!AK$12:AK$87)</f>
        <v>0</v>
      </c>
      <c r="AL33" s="4">
        <f ca="1">SUMIF('Đóng gói ngoài giờ'!$A$12:$A$216,'Tổng hợp ngoài giờ'!$A33,'Đóng gói ngoài giờ'!AL$12:AL$87)</f>
        <v>0</v>
      </c>
      <c r="AM33" s="4">
        <f ca="1">SUMIF('Đóng gói ngoài giờ'!$A$12:$A$216,'Tổng hợp ngoài giờ'!$A33,'Đóng gói ngoài giờ'!AM$12:AM$87)</f>
        <v>0</v>
      </c>
      <c r="AN33" s="4">
        <f ca="1">SUMIF('Đóng gói ngoài giờ'!$A$12:$A$216,'Tổng hợp ngoài giờ'!$A33,'Đóng gói ngoài giờ'!AN$12:AN$87)</f>
        <v>0</v>
      </c>
      <c r="AO33" s="4">
        <f ca="1">SUMIF('Đóng gói ngoài giờ'!$A$12:$A$216,'Tổng hợp ngoài giờ'!$A33,'Đóng gói ngoài giờ'!AO$12:AO$87)</f>
        <v>0</v>
      </c>
      <c r="AP33" s="4">
        <f ca="1">SUMIF('Đóng gói ngoài giờ'!$A$12:$A$216,'Tổng hợp ngoài giờ'!$A33,'Đóng gói ngoài giờ'!AP$12:AP$87)</f>
        <v>0</v>
      </c>
      <c r="AQ33" s="4">
        <f ca="1">SUMIF('Đóng gói ngoài giờ'!$A$12:$A$216,'Tổng hợp ngoài giờ'!$A33,'Đóng gói ngoài giờ'!AQ$12:AQ$87)</f>
        <v>0</v>
      </c>
      <c r="AR33" s="4">
        <f ca="1">SUMIF('Đóng gói ngoài giờ'!$A$12:$A$216,'Tổng hợp ngoài giờ'!$A33,'Đóng gói ngoài giờ'!AR$12:AR$87)</f>
        <v>0</v>
      </c>
      <c r="AS33" s="4">
        <f ca="1">SUMIF('Đóng gói ngoài giờ'!$A$12:$A$216,'Tổng hợp ngoài giờ'!$A33,'Đóng gói ngoài giờ'!AS$12:AS$87)</f>
        <v>0</v>
      </c>
      <c r="AT33" s="4">
        <f ca="1">SUMIF('Đóng gói ngoài giờ'!$A$12:$A$216,'Tổng hợp ngoài giờ'!$A33,'Đóng gói ngoài giờ'!AT$12:AT$87)</f>
        <v>0</v>
      </c>
      <c r="AU33" s="4">
        <f ca="1">SUMIF('Đóng gói ngoài giờ'!$A$12:$A$216,'Tổng hợp ngoài giờ'!$A33,'Đóng gói ngoài giờ'!AU$12:AU$87)</f>
        <v>0</v>
      </c>
      <c r="AV33" s="4">
        <f ca="1">SUMIF('Đóng gói ngoài giờ'!$A$12:$A$216,'Tổng hợp ngoài giờ'!$A33,'Đóng gói ngoài giờ'!AV$12:AV$87)</f>
        <v>0</v>
      </c>
      <c r="AW33" s="4">
        <f ca="1">SUMIF('Đóng gói ngoài giờ'!$A$12:$A$216,'Tổng hợp ngoài giờ'!$A33,'Đóng gói ngoài giờ'!AW$12:AW$87)</f>
        <v>0</v>
      </c>
      <c r="AX33" s="4">
        <f ca="1">SUMIF('Đóng gói ngoài giờ'!$A$12:$A$216,'Tổng hợp ngoài giờ'!$A33,'Đóng gói ngoài giờ'!AX$12:AX$87)</f>
        <v>0</v>
      </c>
      <c r="AY33" s="4">
        <f ca="1">SUMIF('Đóng gói ngoài giờ'!$A$12:$A$216,'Tổng hợp ngoài giờ'!$A33,'Đóng gói ngoài giờ'!AY$12:AY$87)</f>
        <v>0</v>
      </c>
      <c r="AZ33" s="4">
        <f ca="1">SUMIF('Đóng gói ngoài giờ'!$A$12:$A$216,'Tổng hợp ngoài giờ'!$A33,'Đóng gói ngoài giờ'!AZ$12:AZ$87)</f>
        <v>0</v>
      </c>
      <c r="BA33" s="4">
        <f ca="1">SUMIF('Đóng gói ngoài giờ'!$A$12:$A$216,'Tổng hợp ngoài giờ'!$A33,'Đóng gói ngoài giờ'!BA$12:BA$87)</f>
        <v>0</v>
      </c>
      <c r="BB33" s="4">
        <f ca="1">SUMIF('Đóng gói ngoài giờ'!$A$12:$A$216,'Tổng hợp ngoài giờ'!$A33,'Đóng gói ngoài giờ'!BB$12:BB$87)</f>
        <v>0</v>
      </c>
      <c r="BC33" s="22">
        <f>SUMIF('Đóng gói ngoài giờ'!$A$12:$A$34,'Tổng hợp ngoài giờ'!$A33,'Đóng gói ngoài giờ'!BC$12:BC$34)</f>
        <v>0</v>
      </c>
      <c r="BD33" s="120">
        <f>SUMIF('Bốc hàng ngoài giờ new'!$H$13:$H$4949,'Tổng hợp trong giờ'!A32,'Bốc hàng ngoài giờ new'!$J$13:$J$4949)</f>
        <v>0</v>
      </c>
      <c r="BE33" s="22">
        <f>SUMIF('Đóng gói ngoài giờ'!$A$12:$A$34,'Tổng hợp ngoài giờ'!$A33,'Đóng gói ngoài giờ'!BE$12:BE$34)</f>
        <v>0</v>
      </c>
      <c r="BF33" s="4">
        <f ca="1">SUMIF('Đóng gói ngoài giờ'!$A$12:$A$216,'Tổng hợp ngoài giờ'!$A33,'Đóng gói ngoài giờ'!BD$12:BD$87)</f>
        <v>0</v>
      </c>
      <c r="BG33" s="4">
        <f ca="1">SUMIF('Đóng gói ngoài giờ'!$A$12:$A$216,'Tổng hợp ngoài giờ'!$A33,'Đóng gói ngoài giờ'!BE$12:BE$87)</f>
        <v>8</v>
      </c>
      <c r="BH33" s="4">
        <f ca="1">SUMIF('Đóng gói ngoài giờ'!$A$12:$A$216,'Tổng hợp ngoài giờ'!$A33,'Đóng gói ngoài giờ'!BF$12:BF$87)</f>
        <v>0</v>
      </c>
      <c r="BI33" s="4">
        <f ca="1">SUMIF('Đóng gói ngoài giờ'!$A$12:$A$216,'Tổng hợp ngoài giờ'!$A33,'Đóng gói ngoài giờ'!BG$12:BG$87)</f>
        <v>0</v>
      </c>
      <c r="BJ33" s="4">
        <f ca="1">SUMIF('Đóng gói ngoài giờ'!$A$12:$A$216,'Tổng hợp ngoài giờ'!$A33,'Đóng gói ngoài giờ'!BH$12:BH$87)</f>
        <v>0</v>
      </c>
      <c r="BK33" s="4">
        <f ca="1">SUMIF('Đóng gói ngoài giờ'!$A$12:$A$216,'Tổng hợp ngoài giờ'!$A33,'Đóng gói ngoài giờ'!BI$12:BI$87)</f>
        <v>0</v>
      </c>
      <c r="BL33" s="4">
        <f ca="1">SUMIF('Đóng gói ngoài giờ'!$A$12:$A$216,'Tổng hợp ngoài giờ'!$A33,'Đóng gói ngoài giờ'!BJ$12:BJ$87)</f>
        <v>0</v>
      </c>
      <c r="BM33" s="4">
        <f ca="1">SUMIF('Đóng gói ngoài giờ'!$A$12:$A$216,'Tổng hợp ngoài giờ'!$A33,'Đóng gói ngoài giờ'!BK$12:BK$87)</f>
        <v>0</v>
      </c>
      <c r="BN33" s="4">
        <f ca="1">SUMIF('Đóng gói ngoài giờ'!$A$12:$A$216,'Tổng hợp ngoài giờ'!$A33,'Đóng gói ngoài giờ'!BL$12:BL$87)</f>
        <v>0</v>
      </c>
      <c r="BO33" s="4">
        <f ca="1">SUMIF('Đóng gói ngoài giờ'!$A$12:$A$216,'Tổng hợp ngoài giờ'!$A33,'Đóng gói ngoài giờ'!BM$12:BM$87)</f>
        <v>0</v>
      </c>
      <c r="BP33" s="4">
        <f ca="1">SUMIF('Đóng gói ngoài giờ'!$A$12:$A$216,'Tổng hợp ngoài giờ'!$A33,'Đóng gói ngoài giờ'!BN$12:BN$87)</f>
        <v>0</v>
      </c>
      <c r="BQ33" s="4">
        <f ca="1">SUMIF('Đóng gói ngoài giờ'!$A$12:$A$216,'Tổng hợp ngoài giờ'!$A33,'Đóng gói ngoài giờ'!BO$12:BO$87)</f>
        <v>0</v>
      </c>
      <c r="BR33" s="4">
        <f ca="1">SUMIF('Đóng gói ngoài giờ'!$A$12:$A$216,'Tổng hợp ngoài giờ'!$A33,'Đóng gói ngoài giờ'!BP$12:BP$87)</f>
        <v>0</v>
      </c>
      <c r="BS33" s="4">
        <f ca="1">SUMIF('Đóng gói ngoài giờ'!$A$12:$A$216,'Tổng hợp ngoài giờ'!$A33,'Đóng gói ngoài giờ'!BQ$12:BQ$87)</f>
        <v>0</v>
      </c>
      <c r="BT33" s="4">
        <f ca="1">SUMIF('Đóng gói ngoài giờ'!$A$12:$A$216,'Tổng hợp ngoài giờ'!$A33,'Đóng gói ngoài giờ'!BR$12:BR$87)</f>
        <v>0</v>
      </c>
      <c r="BU33" s="96">
        <f t="shared" ca="1" si="1"/>
        <v>8</v>
      </c>
      <c r="BV33" s="244">
        <f t="shared" ca="1" si="2"/>
        <v>324552.16016859858</v>
      </c>
      <c r="BW33" s="168">
        <f t="shared" ca="1" si="3"/>
        <v>324552.16016859858</v>
      </c>
      <c r="CL33" s="7">
        <v>22</v>
      </c>
    </row>
    <row r="34" spans="1:90" s="222" customFormat="1" ht="15.75" x14ac:dyDescent="0.25">
      <c r="A34" s="224" t="s">
        <v>407</v>
      </c>
      <c r="B34" s="2" t="str">
        <f>VLOOKUP(A34,'Mã NV'!$A$1:$C$27,2,0)</f>
        <v>Nguyễn Thanh Hùng</v>
      </c>
      <c r="C34" s="273"/>
      <c r="D34" s="4">
        <f ca="1">SUMIF('Đóng gói ngoài giờ'!$A$12:$A$216,'Tổng hợp ngoài giờ'!$A34,'Đóng gói ngoài giờ'!D$12:D$87)</f>
        <v>0</v>
      </c>
      <c r="E34" s="4">
        <f ca="1">SUMIF('Đóng gói ngoài giờ'!$A$12:$A$216,'Tổng hợp ngoài giờ'!$A34,'Đóng gói ngoài giờ'!E$12:E$87)</f>
        <v>0</v>
      </c>
      <c r="F34" s="4">
        <f ca="1">SUMIF('Đóng gói ngoài giờ'!$A$12:$A$216,'Tổng hợp ngoài giờ'!$A34,'Đóng gói ngoài giờ'!F$12:F$87)</f>
        <v>0</v>
      </c>
      <c r="G34" s="4">
        <f ca="1">SUMIF('Đóng gói ngoài giờ'!$A$12:$A$216,'Tổng hợp ngoài giờ'!$A34,'Đóng gói ngoài giờ'!G$12:G$87)</f>
        <v>0</v>
      </c>
      <c r="H34" s="4">
        <f ca="1">SUMIF('Đóng gói ngoài giờ'!$A$12:$A$216,'Tổng hợp ngoài giờ'!$A34,'Đóng gói ngoài giờ'!H$12:H$87)</f>
        <v>0</v>
      </c>
      <c r="I34" s="4">
        <f ca="1">SUMIF('Đóng gói ngoài giờ'!$A$12:$A$216,'Tổng hợp ngoài giờ'!$A34,'Đóng gói ngoài giờ'!I$12:I$87)</f>
        <v>0</v>
      </c>
      <c r="J34" s="4">
        <f ca="1">SUMIF('Đóng gói ngoài giờ'!$A$12:$A$216,'Tổng hợp ngoài giờ'!$A34,'Đóng gói ngoài giờ'!J$12:J$87)</f>
        <v>0</v>
      </c>
      <c r="K34" s="4">
        <f ca="1">SUMIF('Đóng gói ngoài giờ'!$A$12:$A$216,'Tổng hợp ngoài giờ'!$A34,'Đóng gói ngoài giờ'!K$12:K$87)</f>
        <v>0</v>
      </c>
      <c r="L34" s="4">
        <f ca="1">SUMIF('Đóng gói ngoài giờ'!$A$12:$A$216,'Tổng hợp ngoài giờ'!$A34,'Đóng gói ngoài giờ'!L$12:L$87)</f>
        <v>0</v>
      </c>
      <c r="M34" s="4">
        <f ca="1">SUMIF('Đóng gói ngoài giờ'!$A$12:$A$216,'Tổng hợp ngoài giờ'!$A34,'Đóng gói ngoài giờ'!M$12:M$87)</f>
        <v>0</v>
      </c>
      <c r="N34" s="4">
        <f ca="1">SUMIF('Đóng gói ngoài giờ'!$A$12:$A$216,'Tổng hợp ngoài giờ'!$A34,'Đóng gói ngoài giờ'!N$12:N$87)</f>
        <v>0</v>
      </c>
      <c r="O34" s="4">
        <f ca="1">SUMIF('Đóng gói ngoài giờ'!$A$12:$A$216,'Tổng hợp ngoài giờ'!$A34,'Đóng gói ngoài giờ'!O$12:O$87)</f>
        <v>0</v>
      </c>
      <c r="P34" s="4">
        <f ca="1">SUMIF('Đóng gói ngoài giờ'!$A$12:$A$216,'Tổng hợp ngoài giờ'!$A34,'Đóng gói ngoài giờ'!P$12:P$87)</f>
        <v>0</v>
      </c>
      <c r="Q34" s="4">
        <f ca="1">SUMIF('Đóng gói ngoài giờ'!$A$12:$A$216,'Tổng hợp ngoài giờ'!$A34,'Đóng gói ngoài giờ'!Q$12:Q$87)</f>
        <v>0</v>
      </c>
      <c r="R34" s="4">
        <f ca="1">SUMIF('Đóng gói ngoài giờ'!$A$12:$A$216,'Tổng hợp ngoài giờ'!$A34,'Đóng gói ngoài giờ'!R$12:R$87)</f>
        <v>0</v>
      </c>
      <c r="S34" s="4">
        <f ca="1">SUMIF('Đóng gói ngoài giờ'!$A$12:$A$216,'Tổng hợp ngoài giờ'!$A34,'Đóng gói ngoài giờ'!S$12:S$87)</f>
        <v>0</v>
      </c>
      <c r="T34" s="4">
        <f ca="1">SUMIF('Đóng gói ngoài giờ'!$A$12:$A$216,'Tổng hợp ngoài giờ'!$A34,'Đóng gói ngoài giờ'!T$12:T$87)</f>
        <v>0</v>
      </c>
      <c r="U34" s="4">
        <f ca="1">SUMIF('Đóng gói ngoài giờ'!$A$12:$A$216,'Tổng hợp ngoài giờ'!$A34,'Đóng gói ngoài giờ'!U$12:U$87)</f>
        <v>0</v>
      </c>
      <c r="V34" s="4">
        <f ca="1">SUMIF('Đóng gói ngoài giờ'!$A$12:$A$216,'Tổng hợp ngoài giờ'!$A34,'Đóng gói ngoài giờ'!V$12:V$87)</f>
        <v>0</v>
      </c>
      <c r="W34" s="4">
        <f ca="1">SUMIF('Đóng gói ngoài giờ'!$A$12:$A$216,'Tổng hợp ngoài giờ'!$A34,'Đóng gói ngoài giờ'!W$12:W$87)</f>
        <v>0</v>
      </c>
      <c r="X34" s="4">
        <f ca="1">SUMIF('Đóng gói ngoài giờ'!$A$12:$A$216,'Tổng hợp ngoài giờ'!$A34,'Đóng gói ngoài giờ'!X$12:X$87)</f>
        <v>0</v>
      </c>
      <c r="Y34" s="4">
        <f ca="1">SUMIF('Đóng gói ngoài giờ'!$A$12:$A$216,'Tổng hợp ngoài giờ'!$A34,'Đóng gói ngoài giờ'!Y$12:Y$87)</f>
        <v>0</v>
      </c>
      <c r="Z34" s="4">
        <f ca="1">SUMIF('Đóng gói ngoài giờ'!$A$12:$A$216,'Tổng hợp ngoài giờ'!$A34,'Đóng gói ngoài giờ'!Z$12:Z$87)</f>
        <v>0</v>
      </c>
      <c r="AA34" s="4">
        <f ca="1">SUMIF('Đóng gói ngoài giờ'!$A$12:$A$216,'Tổng hợp ngoài giờ'!$A34,'Đóng gói ngoài giờ'!AA$12:AA$87)</f>
        <v>0</v>
      </c>
      <c r="AB34" s="4">
        <f ca="1">SUMIF('Đóng gói ngoài giờ'!$A$12:$A$216,'Tổng hợp ngoài giờ'!$A34,'Đóng gói ngoài giờ'!AB$12:AB$87)</f>
        <v>0</v>
      </c>
      <c r="AC34" s="4">
        <f ca="1">SUMIF('Đóng gói ngoài giờ'!$A$12:$A$216,'Tổng hợp ngoài giờ'!$A34,'Đóng gói ngoài giờ'!AC$12:AC$87)</f>
        <v>37.5</v>
      </c>
      <c r="AD34" s="4">
        <f ca="1">SUMIF('Đóng gói ngoài giờ'!$A$12:$A$216,'Tổng hợp ngoài giờ'!$A34,'Đóng gói ngoài giờ'!AD$12:AD$87)</f>
        <v>172.5</v>
      </c>
      <c r="AE34" s="4">
        <f ca="1">SUMIF('Đóng gói ngoài giờ'!$A$12:$A$216,'Tổng hợp ngoài giờ'!$A34,'Đóng gói ngoài giờ'!AE$12:AE$87)</f>
        <v>0</v>
      </c>
      <c r="AF34" s="4">
        <f ca="1">SUMIF('Đóng gói ngoài giờ'!$A$12:$A$216,'Tổng hợp ngoài giờ'!$A34,'Đóng gói ngoài giờ'!AF$12:AF$87)</f>
        <v>0</v>
      </c>
      <c r="AG34" s="4">
        <f ca="1">SUMIF('Đóng gói ngoài giờ'!$A$12:$A$216,'Tổng hợp ngoài giờ'!$A34,'Đóng gói ngoài giờ'!AG$12:AG$87)</f>
        <v>0</v>
      </c>
      <c r="AH34" s="4">
        <f ca="1">SUMIF('Đóng gói ngoài giờ'!$A$12:$A$216,'Tổng hợp ngoài giờ'!$A34,'Đóng gói ngoài giờ'!AH$12:AH$87)</f>
        <v>0</v>
      </c>
      <c r="AI34" s="4">
        <f ca="1">SUMIF('Đóng gói ngoài giờ'!$A$12:$A$216,'Tổng hợp ngoài giờ'!$A34,'Đóng gói ngoài giờ'!AI$12:AI$87)</f>
        <v>0</v>
      </c>
      <c r="AJ34" s="4">
        <f ca="1">SUMIF('Đóng gói ngoài giờ'!$A$12:$A$216,'Tổng hợp ngoài giờ'!$A34,'Đóng gói ngoài giờ'!AJ$12:AJ$87)</f>
        <v>0</v>
      </c>
      <c r="AK34" s="4">
        <f ca="1">SUMIF('Đóng gói ngoài giờ'!$A$12:$A$216,'Tổng hợp ngoài giờ'!$A34,'Đóng gói ngoài giờ'!AK$12:AK$87)</f>
        <v>106.66666666666667</v>
      </c>
      <c r="AL34" s="4">
        <f ca="1">SUMIF('Đóng gói ngoài giờ'!$A$12:$A$216,'Tổng hợp ngoài giờ'!$A34,'Đóng gói ngoài giờ'!AL$12:AL$87)</f>
        <v>0</v>
      </c>
      <c r="AM34" s="4">
        <f ca="1">SUMIF('Đóng gói ngoài giờ'!$A$12:$A$216,'Tổng hợp ngoài giờ'!$A34,'Đóng gói ngoài giờ'!AM$12:AM$87)</f>
        <v>0</v>
      </c>
      <c r="AN34" s="4">
        <f ca="1">SUMIF('Đóng gói ngoài giờ'!$A$12:$A$216,'Tổng hợp ngoài giờ'!$A34,'Đóng gói ngoài giờ'!AN$12:AN$87)</f>
        <v>0</v>
      </c>
      <c r="AO34" s="4">
        <f ca="1">SUMIF('Đóng gói ngoài giờ'!$A$12:$A$216,'Tổng hợp ngoài giờ'!$A34,'Đóng gói ngoài giờ'!AO$12:AO$87)</f>
        <v>0</v>
      </c>
      <c r="AP34" s="4">
        <f ca="1">SUMIF('Đóng gói ngoài giờ'!$A$12:$A$216,'Tổng hợp ngoài giờ'!$A34,'Đóng gói ngoài giờ'!AP$12:AP$87)</f>
        <v>0</v>
      </c>
      <c r="AQ34" s="4">
        <f ca="1">SUMIF('Đóng gói ngoài giờ'!$A$12:$A$216,'Tổng hợp ngoài giờ'!$A34,'Đóng gói ngoài giờ'!AQ$12:AQ$87)</f>
        <v>0</v>
      </c>
      <c r="AR34" s="4">
        <f ca="1">SUMIF('Đóng gói ngoài giờ'!$A$12:$A$216,'Tổng hợp ngoài giờ'!$A34,'Đóng gói ngoài giờ'!AR$12:AR$87)</f>
        <v>0</v>
      </c>
      <c r="AS34" s="4">
        <f ca="1">SUMIF('Đóng gói ngoài giờ'!$A$12:$A$216,'Tổng hợp ngoài giờ'!$A34,'Đóng gói ngoài giờ'!AS$12:AS$87)</f>
        <v>0</v>
      </c>
      <c r="AT34" s="4">
        <f ca="1">SUMIF('Đóng gói ngoài giờ'!$A$12:$A$216,'Tổng hợp ngoài giờ'!$A34,'Đóng gói ngoài giờ'!AT$12:AT$87)</f>
        <v>0</v>
      </c>
      <c r="AU34" s="4">
        <f ca="1">SUMIF('Đóng gói ngoài giờ'!$A$12:$A$216,'Tổng hợp ngoài giờ'!$A34,'Đóng gói ngoài giờ'!AU$12:AU$87)</f>
        <v>0</v>
      </c>
      <c r="AV34" s="4">
        <f ca="1">SUMIF('Đóng gói ngoài giờ'!$A$12:$A$216,'Tổng hợp ngoài giờ'!$A34,'Đóng gói ngoài giờ'!AV$12:AV$87)</f>
        <v>0</v>
      </c>
      <c r="AW34" s="4">
        <f ca="1">SUMIF('Đóng gói ngoài giờ'!$A$12:$A$216,'Tổng hợp ngoài giờ'!$A34,'Đóng gói ngoài giờ'!AW$12:AW$87)</f>
        <v>0</v>
      </c>
      <c r="AX34" s="4">
        <f ca="1">SUMIF('Đóng gói ngoài giờ'!$A$12:$A$216,'Tổng hợp ngoài giờ'!$A34,'Đóng gói ngoài giờ'!AX$12:AX$87)</f>
        <v>0</v>
      </c>
      <c r="AY34" s="4">
        <f ca="1">SUMIF('Đóng gói ngoài giờ'!$A$12:$A$216,'Tổng hợp ngoài giờ'!$A34,'Đóng gói ngoài giờ'!AY$12:AY$87)</f>
        <v>0</v>
      </c>
      <c r="AZ34" s="4">
        <f ca="1">SUMIF('Đóng gói ngoài giờ'!$A$12:$A$216,'Tổng hợp ngoài giờ'!$A34,'Đóng gói ngoài giờ'!AZ$12:AZ$87)</f>
        <v>0</v>
      </c>
      <c r="BA34" s="4">
        <f ca="1">SUMIF('Đóng gói ngoài giờ'!$A$12:$A$216,'Tổng hợp ngoài giờ'!$A34,'Đóng gói ngoài giờ'!BA$12:BA$87)</f>
        <v>0</v>
      </c>
      <c r="BB34" s="4">
        <f ca="1">SUMIF('Đóng gói ngoài giờ'!$A$12:$A$216,'Tổng hợp ngoài giờ'!$A34,'Đóng gói ngoài giờ'!BB$12:BB$87)</f>
        <v>0</v>
      </c>
      <c r="BC34" s="22">
        <f>SUMIF('Đóng gói ngoài giờ'!$A$12:$A$34,'Tổng hợp ngoài giờ'!$A34,'Đóng gói ngoài giờ'!BC$12:BC$34)</f>
        <v>0</v>
      </c>
      <c r="BD34" s="120">
        <f>SUMIF('Bốc hàng ngoài giờ new'!$H$13:$H$4949,'Tổng hợp trong giờ'!A33,'Bốc hàng ngoài giờ new'!$J$13:$J$4949)</f>
        <v>0</v>
      </c>
      <c r="BE34" s="22">
        <f>SUMIF('Đóng gói ngoài giờ'!$A$12:$A$34,'Tổng hợp ngoài giờ'!$A34,'Đóng gói ngoài giờ'!BE$12:BE$34)</f>
        <v>7</v>
      </c>
      <c r="BF34" s="4">
        <f ca="1">SUMIF('Đóng gói ngoài giờ'!$A$12:$A$216,'Tổng hợp ngoài giờ'!$A34,'Đóng gói ngoài giờ'!BD$12:BD$87)</f>
        <v>0</v>
      </c>
      <c r="BG34" s="4">
        <f ca="1">SUMIF('Đóng gói ngoài giờ'!$A$12:$A$216,'Tổng hợp ngoài giờ'!$A34,'Đóng gói ngoài giờ'!BE$12:BE$87)</f>
        <v>14.5</v>
      </c>
      <c r="BH34" s="4">
        <f ca="1">SUMIF('Đóng gói ngoài giờ'!$A$12:$A$216,'Tổng hợp ngoài giờ'!$A34,'Đóng gói ngoài giờ'!BF$12:BF$87)</f>
        <v>0</v>
      </c>
      <c r="BI34" s="4">
        <f ca="1">SUMIF('Đóng gói ngoài giờ'!$A$12:$A$216,'Tổng hợp ngoài giờ'!$A34,'Đóng gói ngoài giờ'!BG$12:BG$87)</f>
        <v>0</v>
      </c>
      <c r="BJ34" s="4">
        <f ca="1">SUMIF('Đóng gói ngoài giờ'!$A$12:$A$216,'Tổng hợp ngoài giờ'!$A34,'Đóng gói ngoài giờ'!BH$12:BH$87)</f>
        <v>0</v>
      </c>
      <c r="BK34" s="4">
        <f ca="1">SUMIF('Đóng gói ngoài giờ'!$A$12:$A$216,'Tổng hợp ngoài giờ'!$A34,'Đóng gói ngoài giờ'!BI$12:BI$87)</f>
        <v>0</v>
      </c>
      <c r="BL34" s="4">
        <f ca="1">SUMIF('Đóng gói ngoài giờ'!$A$12:$A$216,'Tổng hợp ngoài giờ'!$A34,'Đóng gói ngoài giờ'!BJ$12:BJ$87)</f>
        <v>0</v>
      </c>
      <c r="BM34" s="4">
        <f ca="1">SUMIF('Đóng gói ngoài giờ'!$A$12:$A$216,'Tổng hợp ngoài giờ'!$A34,'Đóng gói ngoài giờ'!BK$12:BK$87)</f>
        <v>0</v>
      </c>
      <c r="BN34" s="4">
        <f ca="1">SUMIF('Đóng gói ngoài giờ'!$A$12:$A$216,'Tổng hợp ngoài giờ'!$A34,'Đóng gói ngoài giờ'!BL$12:BL$87)</f>
        <v>12.5</v>
      </c>
      <c r="BO34" s="4">
        <f ca="1">SUMIF('Đóng gói ngoài giờ'!$A$12:$A$216,'Tổng hợp ngoài giờ'!$A34,'Đóng gói ngoài giờ'!BM$12:BM$87)</f>
        <v>0</v>
      </c>
      <c r="BP34" s="4">
        <f ca="1">SUMIF('Đóng gói ngoài giờ'!$A$12:$A$216,'Tổng hợp ngoài giờ'!$A34,'Đóng gói ngoài giờ'!BN$12:BN$87)</f>
        <v>0</v>
      </c>
      <c r="BQ34" s="4">
        <f ca="1">SUMIF('Đóng gói ngoài giờ'!$A$12:$A$216,'Tổng hợp ngoài giờ'!$A34,'Đóng gói ngoài giờ'!BO$12:BO$87)</f>
        <v>0</v>
      </c>
      <c r="BR34" s="4">
        <f ca="1">SUMIF('Đóng gói ngoài giờ'!$A$12:$A$216,'Tổng hợp ngoài giờ'!$A34,'Đóng gói ngoài giờ'!BP$12:BP$87)</f>
        <v>0</v>
      </c>
      <c r="BS34" s="4">
        <f ca="1">SUMIF('Đóng gói ngoài giờ'!$A$12:$A$216,'Tổng hợp ngoài giờ'!$A34,'Đóng gói ngoài giờ'!BQ$12:BQ$87)</f>
        <v>0</v>
      </c>
      <c r="BT34" s="4">
        <f ca="1">SUMIF('Đóng gói ngoài giờ'!$A$12:$A$216,'Tổng hợp ngoài giờ'!$A34,'Đóng gói ngoài giờ'!BR$12:BR$87)</f>
        <v>0</v>
      </c>
      <c r="BU34" s="96">
        <f t="shared" ca="1" si="1"/>
        <v>27</v>
      </c>
      <c r="BV34" s="244">
        <f t="shared" ca="1" si="2"/>
        <v>1095363.5405690202</v>
      </c>
      <c r="BW34" s="168">
        <f t="shared" ca="1" si="3"/>
        <v>1271203.9863967088</v>
      </c>
      <c r="CL34" s="9">
        <v>23</v>
      </c>
    </row>
    <row r="35" spans="1:90" s="222" customFormat="1" ht="15.75" x14ac:dyDescent="0.25">
      <c r="A35" s="224" t="s">
        <v>409</v>
      </c>
      <c r="B35" s="2" t="str">
        <f>VLOOKUP(A35,'Mã NV'!$A$1:$C$27,2,0)</f>
        <v>Đặng Văn Luân</v>
      </c>
      <c r="C35" s="273"/>
      <c r="D35" s="4">
        <f ca="1">SUMIF('Đóng gói ngoài giờ'!$A$12:$A$216,'Tổng hợp ngoài giờ'!$A35,'Đóng gói ngoài giờ'!D$12:D$87)</f>
        <v>0</v>
      </c>
      <c r="E35" s="4">
        <f ca="1">SUMIF('Đóng gói ngoài giờ'!$A$12:$A$216,'Tổng hợp ngoài giờ'!$A35,'Đóng gói ngoài giờ'!E$12:E$87)</f>
        <v>0</v>
      </c>
      <c r="F35" s="4">
        <f ca="1">SUMIF('Đóng gói ngoài giờ'!$A$12:$A$216,'Tổng hợp ngoài giờ'!$A35,'Đóng gói ngoài giờ'!F$12:F$87)</f>
        <v>0</v>
      </c>
      <c r="G35" s="4">
        <f ca="1">SUMIF('Đóng gói ngoài giờ'!$A$12:$A$216,'Tổng hợp ngoài giờ'!$A35,'Đóng gói ngoài giờ'!G$12:G$87)</f>
        <v>0</v>
      </c>
      <c r="H35" s="4">
        <f ca="1">SUMIF('Đóng gói ngoài giờ'!$A$12:$A$216,'Tổng hợp ngoài giờ'!$A35,'Đóng gói ngoài giờ'!H$12:H$87)</f>
        <v>0</v>
      </c>
      <c r="I35" s="4">
        <f ca="1">SUMIF('Đóng gói ngoài giờ'!$A$12:$A$216,'Tổng hợp ngoài giờ'!$A35,'Đóng gói ngoài giờ'!I$12:I$87)</f>
        <v>0</v>
      </c>
      <c r="J35" s="4">
        <f ca="1">SUMIF('Đóng gói ngoài giờ'!$A$12:$A$216,'Tổng hợp ngoài giờ'!$A35,'Đóng gói ngoài giờ'!J$12:J$87)</f>
        <v>0</v>
      </c>
      <c r="K35" s="4">
        <f ca="1">SUMIF('Đóng gói ngoài giờ'!$A$12:$A$216,'Tổng hợp ngoài giờ'!$A35,'Đóng gói ngoài giờ'!K$12:K$87)</f>
        <v>0</v>
      </c>
      <c r="L35" s="4">
        <f ca="1">SUMIF('Đóng gói ngoài giờ'!$A$12:$A$216,'Tổng hợp ngoài giờ'!$A35,'Đóng gói ngoài giờ'!L$12:L$87)</f>
        <v>0</v>
      </c>
      <c r="M35" s="4">
        <f ca="1">SUMIF('Đóng gói ngoài giờ'!$A$12:$A$216,'Tổng hợp ngoài giờ'!$A35,'Đóng gói ngoài giờ'!M$12:M$87)</f>
        <v>0</v>
      </c>
      <c r="N35" s="4">
        <f ca="1">SUMIF('Đóng gói ngoài giờ'!$A$12:$A$216,'Tổng hợp ngoài giờ'!$A35,'Đóng gói ngoài giờ'!N$12:N$87)</f>
        <v>0</v>
      </c>
      <c r="O35" s="4">
        <f ca="1">SUMIF('Đóng gói ngoài giờ'!$A$12:$A$216,'Tổng hợp ngoài giờ'!$A35,'Đóng gói ngoài giờ'!O$12:O$87)</f>
        <v>0</v>
      </c>
      <c r="P35" s="4">
        <f ca="1">SUMIF('Đóng gói ngoài giờ'!$A$12:$A$216,'Tổng hợp ngoài giờ'!$A35,'Đóng gói ngoài giờ'!P$12:P$87)</f>
        <v>0</v>
      </c>
      <c r="Q35" s="4">
        <f ca="1">SUMIF('Đóng gói ngoài giờ'!$A$12:$A$216,'Tổng hợp ngoài giờ'!$A35,'Đóng gói ngoài giờ'!Q$12:Q$87)</f>
        <v>0</v>
      </c>
      <c r="R35" s="4">
        <f ca="1">SUMIF('Đóng gói ngoài giờ'!$A$12:$A$216,'Tổng hợp ngoài giờ'!$A35,'Đóng gói ngoài giờ'!R$12:R$87)</f>
        <v>0</v>
      </c>
      <c r="S35" s="4">
        <f ca="1">SUMIF('Đóng gói ngoài giờ'!$A$12:$A$216,'Tổng hợp ngoài giờ'!$A35,'Đóng gói ngoài giờ'!S$12:S$87)</f>
        <v>0</v>
      </c>
      <c r="T35" s="4">
        <f ca="1">SUMIF('Đóng gói ngoài giờ'!$A$12:$A$216,'Tổng hợp ngoài giờ'!$A35,'Đóng gói ngoài giờ'!T$12:T$87)</f>
        <v>0</v>
      </c>
      <c r="U35" s="4">
        <f ca="1">SUMIF('Đóng gói ngoài giờ'!$A$12:$A$216,'Tổng hợp ngoài giờ'!$A35,'Đóng gói ngoài giờ'!U$12:U$87)</f>
        <v>0</v>
      </c>
      <c r="V35" s="4">
        <f ca="1">SUMIF('Đóng gói ngoài giờ'!$A$12:$A$216,'Tổng hợp ngoài giờ'!$A35,'Đóng gói ngoài giờ'!V$12:V$87)</f>
        <v>0</v>
      </c>
      <c r="W35" s="4">
        <f ca="1">SUMIF('Đóng gói ngoài giờ'!$A$12:$A$216,'Tổng hợp ngoài giờ'!$A35,'Đóng gói ngoài giờ'!W$12:W$87)</f>
        <v>0</v>
      </c>
      <c r="X35" s="4">
        <f ca="1">SUMIF('Đóng gói ngoài giờ'!$A$12:$A$216,'Tổng hợp ngoài giờ'!$A35,'Đóng gói ngoài giờ'!X$12:X$87)</f>
        <v>0</v>
      </c>
      <c r="Y35" s="4">
        <f ca="1">SUMIF('Đóng gói ngoài giờ'!$A$12:$A$216,'Tổng hợp ngoài giờ'!$A35,'Đóng gói ngoài giờ'!Y$12:Y$87)</f>
        <v>0</v>
      </c>
      <c r="Z35" s="4">
        <f ca="1">SUMIF('Đóng gói ngoài giờ'!$A$12:$A$216,'Tổng hợp ngoài giờ'!$A35,'Đóng gói ngoài giờ'!Z$12:Z$87)</f>
        <v>0</v>
      </c>
      <c r="AA35" s="4">
        <f ca="1">SUMIF('Đóng gói ngoài giờ'!$A$12:$A$216,'Tổng hợp ngoài giờ'!$A35,'Đóng gói ngoài giờ'!AA$12:AA$87)</f>
        <v>0</v>
      </c>
      <c r="AB35" s="4">
        <f ca="1">SUMIF('Đóng gói ngoài giờ'!$A$12:$A$216,'Tổng hợp ngoài giờ'!$A35,'Đóng gói ngoài giờ'!AB$12:AB$87)</f>
        <v>0</v>
      </c>
      <c r="AC35" s="4">
        <f ca="1">SUMIF('Đóng gói ngoài giờ'!$A$12:$A$216,'Tổng hợp ngoài giờ'!$A35,'Đóng gói ngoài giờ'!AC$12:AC$87)</f>
        <v>37.5</v>
      </c>
      <c r="AD35" s="4">
        <f ca="1">SUMIF('Đóng gói ngoài giờ'!$A$12:$A$216,'Tổng hợp ngoài giờ'!$A35,'Đóng gói ngoài giờ'!AD$12:AD$87)</f>
        <v>172.5</v>
      </c>
      <c r="AE35" s="4">
        <f ca="1">SUMIF('Đóng gói ngoài giờ'!$A$12:$A$216,'Tổng hợp ngoài giờ'!$A35,'Đóng gói ngoài giờ'!AE$12:AE$87)</f>
        <v>0</v>
      </c>
      <c r="AF35" s="4">
        <f ca="1">SUMIF('Đóng gói ngoài giờ'!$A$12:$A$216,'Tổng hợp ngoài giờ'!$A35,'Đóng gói ngoài giờ'!AF$12:AF$87)</f>
        <v>0</v>
      </c>
      <c r="AG35" s="4">
        <f ca="1">SUMIF('Đóng gói ngoài giờ'!$A$12:$A$216,'Tổng hợp ngoài giờ'!$A35,'Đóng gói ngoài giờ'!AG$12:AG$87)</f>
        <v>0</v>
      </c>
      <c r="AH35" s="4">
        <f ca="1">SUMIF('Đóng gói ngoài giờ'!$A$12:$A$216,'Tổng hợp ngoài giờ'!$A35,'Đóng gói ngoài giờ'!AH$12:AH$87)</f>
        <v>0</v>
      </c>
      <c r="AI35" s="4">
        <f ca="1">SUMIF('Đóng gói ngoài giờ'!$A$12:$A$216,'Tổng hợp ngoài giờ'!$A35,'Đóng gói ngoài giờ'!AI$12:AI$87)</f>
        <v>0</v>
      </c>
      <c r="AJ35" s="4">
        <f ca="1">SUMIF('Đóng gói ngoài giờ'!$A$12:$A$216,'Tổng hợp ngoài giờ'!$A35,'Đóng gói ngoài giờ'!AJ$12:AJ$87)</f>
        <v>105</v>
      </c>
      <c r="AK35" s="4">
        <f ca="1">SUMIF('Đóng gói ngoài giờ'!$A$12:$A$216,'Tổng hợp ngoài giờ'!$A35,'Đóng gói ngoài giờ'!AK$12:AK$87)</f>
        <v>0</v>
      </c>
      <c r="AL35" s="4">
        <f ca="1">SUMIF('Đóng gói ngoài giờ'!$A$12:$A$216,'Tổng hợp ngoài giờ'!$A35,'Đóng gói ngoài giờ'!AL$12:AL$87)</f>
        <v>0</v>
      </c>
      <c r="AM35" s="4">
        <f ca="1">SUMIF('Đóng gói ngoài giờ'!$A$12:$A$216,'Tổng hợp ngoài giờ'!$A35,'Đóng gói ngoài giờ'!AM$12:AM$87)</f>
        <v>0</v>
      </c>
      <c r="AN35" s="4">
        <f ca="1">SUMIF('Đóng gói ngoài giờ'!$A$12:$A$216,'Tổng hợp ngoài giờ'!$A35,'Đóng gói ngoài giờ'!AN$12:AN$87)</f>
        <v>0</v>
      </c>
      <c r="AO35" s="4">
        <f ca="1">SUMIF('Đóng gói ngoài giờ'!$A$12:$A$216,'Tổng hợp ngoài giờ'!$A35,'Đóng gói ngoài giờ'!AO$12:AO$87)</f>
        <v>0</v>
      </c>
      <c r="AP35" s="4">
        <f ca="1">SUMIF('Đóng gói ngoài giờ'!$A$12:$A$216,'Tổng hợp ngoài giờ'!$A35,'Đóng gói ngoài giờ'!AP$12:AP$87)</f>
        <v>0</v>
      </c>
      <c r="AQ35" s="4">
        <f ca="1">SUMIF('Đóng gói ngoài giờ'!$A$12:$A$216,'Tổng hợp ngoài giờ'!$A35,'Đóng gói ngoài giờ'!AQ$12:AQ$87)</f>
        <v>0</v>
      </c>
      <c r="AR35" s="4">
        <f ca="1">SUMIF('Đóng gói ngoài giờ'!$A$12:$A$216,'Tổng hợp ngoài giờ'!$A35,'Đóng gói ngoài giờ'!AR$12:AR$87)</f>
        <v>0</v>
      </c>
      <c r="AS35" s="4">
        <f ca="1">SUMIF('Đóng gói ngoài giờ'!$A$12:$A$216,'Tổng hợp ngoài giờ'!$A35,'Đóng gói ngoài giờ'!AS$12:AS$87)</f>
        <v>0</v>
      </c>
      <c r="AT35" s="4">
        <f ca="1">SUMIF('Đóng gói ngoài giờ'!$A$12:$A$216,'Tổng hợp ngoài giờ'!$A35,'Đóng gói ngoài giờ'!AT$12:AT$87)</f>
        <v>0</v>
      </c>
      <c r="AU35" s="4">
        <f ca="1">SUMIF('Đóng gói ngoài giờ'!$A$12:$A$216,'Tổng hợp ngoài giờ'!$A35,'Đóng gói ngoài giờ'!AU$12:AU$87)</f>
        <v>0</v>
      </c>
      <c r="AV35" s="4">
        <f ca="1">SUMIF('Đóng gói ngoài giờ'!$A$12:$A$216,'Tổng hợp ngoài giờ'!$A35,'Đóng gói ngoài giờ'!AV$12:AV$87)</f>
        <v>0</v>
      </c>
      <c r="AW35" s="4">
        <f ca="1">SUMIF('Đóng gói ngoài giờ'!$A$12:$A$216,'Tổng hợp ngoài giờ'!$A35,'Đóng gói ngoài giờ'!AW$12:AW$87)</f>
        <v>0</v>
      </c>
      <c r="AX35" s="4">
        <f ca="1">SUMIF('Đóng gói ngoài giờ'!$A$12:$A$216,'Tổng hợp ngoài giờ'!$A35,'Đóng gói ngoài giờ'!AX$12:AX$87)</f>
        <v>0</v>
      </c>
      <c r="AY35" s="4">
        <f ca="1">SUMIF('Đóng gói ngoài giờ'!$A$12:$A$216,'Tổng hợp ngoài giờ'!$A35,'Đóng gói ngoài giờ'!AY$12:AY$87)</f>
        <v>0</v>
      </c>
      <c r="AZ35" s="4">
        <f ca="1">SUMIF('Đóng gói ngoài giờ'!$A$12:$A$216,'Tổng hợp ngoài giờ'!$A35,'Đóng gói ngoài giờ'!AZ$12:AZ$87)</f>
        <v>0</v>
      </c>
      <c r="BA35" s="4">
        <f ca="1">SUMIF('Đóng gói ngoài giờ'!$A$12:$A$216,'Tổng hợp ngoài giờ'!$A35,'Đóng gói ngoài giờ'!BA$12:BA$87)</f>
        <v>0</v>
      </c>
      <c r="BB35" s="4">
        <f ca="1">SUMIF('Đóng gói ngoài giờ'!$A$12:$A$216,'Tổng hợp ngoài giờ'!$A35,'Đóng gói ngoài giờ'!BB$12:BB$87)</f>
        <v>0</v>
      </c>
      <c r="BC35" s="22">
        <f>SUMIF('Đóng gói ngoài giờ'!$A$12:$A$34,'Tổng hợp ngoài giờ'!$A35,'Đóng gói ngoài giờ'!BC$12:BC$34)</f>
        <v>0</v>
      </c>
      <c r="BD35" s="120">
        <f>SUMIF('Bốc hàng ngoài giờ new'!$H$13:$H$4949,'Tổng hợp trong giờ'!A34,'Bốc hàng ngoài giờ new'!$J$13:$J$4949)</f>
        <v>0</v>
      </c>
      <c r="BE35" s="22">
        <f>SUMIF('Đóng gói ngoài giờ'!$A$12:$A$34,'Tổng hợp ngoài giờ'!$A35,'Đóng gói ngoài giờ'!BE$12:BE$34)</f>
        <v>1.5</v>
      </c>
      <c r="BF35" s="4">
        <f ca="1">SUMIF('Đóng gói ngoài giờ'!$A$12:$A$216,'Tổng hợp ngoài giờ'!$A35,'Đóng gói ngoài giờ'!BD$12:BD$87)</f>
        <v>0</v>
      </c>
      <c r="BG35" s="4">
        <f ca="1">SUMIF('Đóng gói ngoài giờ'!$A$12:$A$216,'Tổng hợp ngoài giờ'!$A35,'Đóng gói ngoài giờ'!BE$12:BE$87)</f>
        <v>2.5</v>
      </c>
      <c r="BH35" s="4">
        <f ca="1">SUMIF('Đóng gói ngoài giờ'!$A$12:$A$216,'Tổng hợp ngoài giờ'!$A35,'Đóng gói ngoài giờ'!BF$12:BF$87)</f>
        <v>0</v>
      </c>
      <c r="BI35" s="4">
        <f ca="1">SUMIF('Đóng gói ngoài giờ'!$A$12:$A$216,'Tổng hợp ngoài giờ'!$A35,'Đóng gói ngoài giờ'!BG$12:BG$87)</f>
        <v>0</v>
      </c>
      <c r="BJ35" s="4">
        <f ca="1">SUMIF('Đóng gói ngoài giờ'!$A$12:$A$216,'Tổng hợp ngoài giờ'!$A35,'Đóng gói ngoài giờ'!BH$12:BH$87)</f>
        <v>0</v>
      </c>
      <c r="BK35" s="4">
        <f ca="1">SUMIF('Đóng gói ngoài giờ'!$A$12:$A$216,'Tổng hợp ngoài giờ'!$A35,'Đóng gói ngoài giờ'!BI$12:BI$87)</f>
        <v>0</v>
      </c>
      <c r="BL35" s="4">
        <f ca="1">SUMIF('Đóng gói ngoài giờ'!$A$12:$A$216,'Tổng hợp ngoài giờ'!$A35,'Đóng gói ngoài giờ'!BJ$12:BJ$87)</f>
        <v>0</v>
      </c>
      <c r="BM35" s="4">
        <f ca="1">SUMIF('Đóng gói ngoài giờ'!$A$12:$A$216,'Tổng hợp ngoài giờ'!$A35,'Đóng gói ngoài giờ'!BK$12:BK$87)</f>
        <v>0</v>
      </c>
      <c r="BN35" s="4">
        <f ca="1">SUMIF('Đóng gói ngoài giờ'!$A$12:$A$216,'Tổng hợp ngoài giờ'!$A35,'Đóng gói ngoài giờ'!BL$12:BL$87)</f>
        <v>0</v>
      </c>
      <c r="BO35" s="4">
        <f ca="1">SUMIF('Đóng gói ngoài giờ'!$A$12:$A$216,'Tổng hợp ngoài giờ'!$A35,'Đóng gói ngoài giờ'!BM$12:BM$87)</f>
        <v>0</v>
      </c>
      <c r="BP35" s="4">
        <f ca="1">SUMIF('Đóng gói ngoài giờ'!$A$12:$A$216,'Tổng hợp ngoài giờ'!$A35,'Đóng gói ngoài giờ'!BN$12:BN$87)</f>
        <v>0</v>
      </c>
      <c r="BQ35" s="4">
        <f ca="1">SUMIF('Đóng gói ngoài giờ'!$A$12:$A$216,'Tổng hợp ngoài giờ'!$A35,'Đóng gói ngoài giờ'!BO$12:BO$87)</f>
        <v>0</v>
      </c>
      <c r="BR35" s="4">
        <f ca="1">SUMIF('Đóng gói ngoài giờ'!$A$12:$A$216,'Tổng hợp ngoài giờ'!$A35,'Đóng gói ngoài giờ'!BP$12:BP$87)</f>
        <v>0</v>
      </c>
      <c r="BS35" s="4">
        <f ca="1">SUMIF('Đóng gói ngoài giờ'!$A$12:$A$216,'Tổng hợp ngoài giờ'!$A35,'Đóng gói ngoài giờ'!BQ$12:BQ$87)</f>
        <v>0</v>
      </c>
      <c r="BT35" s="4">
        <f ca="1">SUMIF('Đóng gói ngoài giờ'!$A$12:$A$216,'Tổng hợp ngoài giờ'!$A35,'Đóng gói ngoài giờ'!BR$12:BR$87)</f>
        <v>0</v>
      </c>
      <c r="BU35" s="96">
        <f t="shared" ca="1" si="1"/>
        <v>2.5</v>
      </c>
      <c r="BV35" s="244">
        <f t="shared" ca="1" si="2"/>
        <v>101422.55005268706</v>
      </c>
      <c r="BW35" s="168">
        <f t="shared" ca="1" si="3"/>
        <v>266989.21378761576</v>
      </c>
      <c r="CL35" s="7">
        <v>24</v>
      </c>
    </row>
    <row r="36" spans="1:90" s="222" customFormat="1" ht="15.75" x14ac:dyDescent="0.25">
      <c r="A36" s="224" t="s">
        <v>410</v>
      </c>
      <c r="B36" s="2" t="str">
        <f>VLOOKUP(A36,'Mã NV'!$A$1:$C$27,2,0)</f>
        <v>Phan Thanh Minh</v>
      </c>
      <c r="C36" s="273"/>
      <c r="D36" s="4">
        <f ca="1">SUMIF('Đóng gói ngoài giờ'!$A$12:$A$216,'Tổng hợp ngoài giờ'!$A36,'Đóng gói ngoài giờ'!D$12:D$87)</f>
        <v>0</v>
      </c>
      <c r="E36" s="4">
        <f ca="1">SUMIF('Đóng gói ngoài giờ'!$A$12:$A$216,'Tổng hợp ngoài giờ'!$A36,'Đóng gói ngoài giờ'!E$12:E$87)</f>
        <v>0</v>
      </c>
      <c r="F36" s="4">
        <f ca="1">SUMIF('Đóng gói ngoài giờ'!$A$12:$A$216,'Tổng hợp ngoài giờ'!$A36,'Đóng gói ngoài giờ'!F$12:F$87)</f>
        <v>100</v>
      </c>
      <c r="G36" s="4">
        <f ca="1">SUMIF('Đóng gói ngoài giờ'!$A$12:$A$216,'Tổng hợp ngoài giờ'!$A36,'Đóng gói ngoài giờ'!G$12:G$87)</f>
        <v>0</v>
      </c>
      <c r="H36" s="4">
        <f ca="1">SUMIF('Đóng gói ngoài giờ'!$A$12:$A$216,'Tổng hợp ngoài giờ'!$A36,'Đóng gói ngoài giờ'!H$12:H$87)</f>
        <v>0</v>
      </c>
      <c r="I36" s="4">
        <f ca="1">SUMIF('Đóng gói ngoài giờ'!$A$12:$A$216,'Tổng hợp ngoài giờ'!$A36,'Đóng gói ngoài giờ'!I$12:I$87)</f>
        <v>0</v>
      </c>
      <c r="J36" s="4">
        <f ca="1">SUMIF('Đóng gói ngoài giờ'!$A$12:$A$216,'Tổng hợp ngoài giờ'!$A36,'Đóng gói ngoài giờ'!J$12:J$87)</f>
        <v>0</v>
      </c>
      <c r="K36" s="4">
        <f ca="1">SUMIF('Đóng gói ngoài giờ'!$A$12:$A$216,'Tổng hợp ngoài giờ'!$A36,'Đóng gói ngoài giờ'!K$12:K$87)</f>
        <v>0</v>
      </c>
      <c r="L36" s="4">
        <f ca="1">SUMIF('Đóng gói ngoài giờ'!$A$12:$A$216,'Tổng hợp ngoài giờ'!$A36,'Đóng gói ngoài giờ'!L$12:L$87)</f>
        <v>0</v>
      </c>
      <c r="M36" s="4">
        <f ca="1">SUMIF('Đóng gói ngoài giờ'!$A$12:$A$216,'Tổng hợp ngoài giờ'!$A36,'Đóng gói ngoài giờ'!M$12:M$87)</f>
        <v>0</v>
      </c>
      <c r="N36" s="4">
        <f ca="1">SUMIF('Đóng gói ngoài giờ'!$A$12:$A$216,'Tổng hợp ngoài giờ'!$A36,'Đóng gói ngoài giờ'!N$12:N$87)</f>
        <v>0</v>
      </c>
      <c r="O36" s="4">
        <f ca="1">SUMIF('Đóng gói ngoài giờ'!$A$12:$A$216,'Tổng hợp ngoài giờ'!$A36,'Đóng gói ngoài giờ'!O$12:O$87)</f>
        <v>0</v>
      </c>
      <c r="P36" s="4">
        <f ca="1">SUMIF('Đóng gói ngoài giờ'!$A$12:$A$216,'Tổng hợp ngoài giờ'!$A36,'Đóng gói ngoài giờ'!P$12:P$87)</f>
        <v>0</v>
      </c>
      <c r="Q36" s="4">
        <f ca="1">SUMIF('Đóng gói ngoài giờ'!$A$12:$A$216,'Tổng hợp ngoài giờ'!$A36,'Đóng gói ngoài giờ'!Q$12:Q$87)</f>
        <v>0</v>
      </c>
      <c r="R36" s="4">
        <f ca="1">SUMIF('Đóng gói ngoài giờ'!$A$12:$A$216,'Tổng hợp ngoài giờ'!$A36,'Đóng gói ngoài giờ'!R$12:R$87)</f>
        <v>0</v>
      </c>
      <c r="S36" s="4">
        <f ca="1">SUMIF('Đóng gói ngoài giờ'!$A$12:$A$216,'Tổng hợp ngoài giờ'!$A36,'Đóng gói ngoài giờ'!S$12:S$87)</f>
        <v>0</v>
      </c>
      <c r="T36" s="4">
        <f ca="1">SUMIF('Đóng gói ngoài giờ'!$A$12:$A$216,'Tổng hợp ngoài giờ'!$A36,'Đóng gói ngoài giờ'!T$12:T$87)</f>
        <v>0</v>
      </c>
      <c r="U36" s="4">
        <f ca="1">SUMIF('Đóng gói ngoài giờ'!$A$12:$A$216,'Tổng hợp ngoài giờ'!$A36,'Đóng gói ngoài giờ'!U$12:U$87)</f>
        <v>0</v>
      </c>
      <c r="V36" s="4">
        <f ca="1">SUMIF('Đóng gói ngoài giờ'!$A$12:$A$216,'Tổng hợp ngoài giờ'!$A36,'Đóng gói ngoài giờ'!V$12:V$87)</f>
        <v>0</v>
      </c>
      <c r="W36" s="4">
        <f ca="1">SUMIF('Đóng gói ngoài giờ'!$A$12:$A$216,'Tổng hợp ngoài giờ'!$A36,'Đóng gói ngoài giờ'!W$12:W$87)</f>
        <v>0</v>
      </c>
      <c r="X36" s="4">
        <f ca="1">SUMIF('Đóng gói ngoài giờ'!$A$12:$A$216,'Tổng hợp ngoài giờ'!$A36,'Đóng gói ngoài giờ'!X$12:X$87)</f>
        <v>0</v>
      </c>
      <c r="Y36" s="4">
        <f ca="1">SUMIF('Đóng gói ngoài giờ'!$A$12:$A$216,'Tổng hợp ngoài giờ'!$A36,'Đóng gói ngoài giờ'!Y$12:Y$87)</f>
        <v>0</v>
      </c>
      <c r="Z36" s="4">
        <f ca="1">SUMIF('Đóng gói ngoài giờ'!$A$12:$A$216,'Tổng hợp ngoài giờ'!$A36,'Đóng gói ngoài giờ'!Z$12:Z$87)</f>
        <v>0</v>
      </c>
      <c r="AA36" s="4">
        <f ca="1">SUMIF('Đóng gói ngoài giờ'!$A$12:$A$216,'Tổng hợp ngoài giờ'!$A36,'Đóng gói ngoài giờ'!AA$12:AA$87)</f>
        <v>0</v>
      </c>
      <c r="AB36" s="4">
        <f ca="1">SUMIF('Đóng gói ngoài giờ'!$A$12:$A$216,'Tổng hợp ngoài giờ'!$A36,'Đóng gói ngoài giờ'!AB$12:AB$87)</f>
        <v>0</v>
      </c>
      <c r="AC36" s="4">
        <f ca="1">SUMIF('Đóng gói ngoài giờ'!$A$12:$A$216,'Tổng hợp ngoài giờ'!$A36,'Đóng gói ngoài giờ'!AC$12:AC$87)</f>
        <v>0</v>
      </c>
      <c r="AD36" s="4">
        <f ca="1">SUMIF('Đóng gói ngoài giờ'!$A$12:$A$216,'Tổng hợp ngoài giờ'!$A36,'Đóng gói ngoài giờ'!AD$12:AD$87)</f>
        <v>0</v>
      </c>
      <c r="AE36" s="4">
        <f ca="1">SUMIF('Đóng gói ngoài giờ'!$A$12:$A$216,'Tổng hợp ngoài giờ'!$A36,'Đóng gói ngoài giờ'!AE$12:AE$87)</f>
        <v>0</v>
      </c>
      <c r="AF36" s="4">
        <f ca="1">SUMIF('Đóng gói ngoài giờ'!$A$12:$A$216,'Tổng hợp ngoài giờ'!$A36,'Đóng gói ngoài giờ'!AF$12:AF$87)</f>
        <v>0</v>
      </c>
      <c r="AG36" s="4">
        <f ca="1">SUMIF('Đóng gói ngoài giờ'!$A$12:$A$216,'Tổng hợp ngoài giờ'!$A36,'Đóng gói ngoài giờ'!AG$12:AG$87)</f>
        <v>0</v>
      </c>
      <c r="AH36" s="4">
        <f ca="1">SUMIF('Đóng gói ngoài giờ'!$A$12:$A$216,'Tổng hợp ngoài giờ'!$A36,'Đóng gói ngoài giờ'!AH$12:AH$87)</f>
        <v>0</v>
      </c>
      <c r="AI36" s="4">
        <f ca="1">SUMIF('Đóng gói ngoài giờ'!$A$12:$A$216,'Tổng hợp ngoài giờ'!$A36,'Đóng gói ngoài giờ'!AI$12:AI$87)</f>
        <v>0</v>
      </c>
      <c r="AJ36" s="4">
        <f ca="1">SUMIF('Đóng gói ngoài giờ'!$A$12:$A$216,'Tổng hợp ngoài giờ'!$A36,'Đóng gói ngoài giờ'!AJ$12:AJ$87)</f>
        <v>105</v>
      </c>
      <c r="AK36" s="4">
        <f ca="1">SUMIF('Đóng gói ngoài giờ'!$A$12:$A$216,'Tổng hợp ngoài giờ'!$A36,'Đóng gói ngoài giờ'!AK$12:AK$87)</f>
        <v>0</v>
      </c>
      <c r="AL36" s="4">
        <f ca="1">SUMIF('Đóng gói ngoài giờ'!$A$12:$A$216,'Tổng hợp ngoài giờ'!$A36,'Đóng gói ngoài giờ'!AL$12:AL$87)</f>
        <v>0</v>
      </c>
      <c r="AM36" s="4">
        <f ca="1">SUMIF('Đóng gói ngoài giờ'!$A$12:$A$216,'Tổng hợp ngoài giờ'!$A36,'Đóng gói ngoài giờ'!AM$12:AM$87)</f>
        <v>26.666666666666668</v>
      </c>
      <c r="AN36" s="4">
        <f ca="1">SUMIF('Đóng gói ngoài giờ'!$A$12:$A$216,'Tổng hợp ngoài giờ'!$A36,'Đóng gói ngoài giờ'!AN$12:AN$87)</f>
        <v>0</v>
      </c>
      <c r="AO36" s="4">
        <f ca="1">SUMIF('Đóng gói ngoài giờ'!$A$12:$A$216,'Tổng hợp ngoài giờ'!$A36,'Đóng gói ngoài giờ'!AO$12:AO$87)</f>
        <v>0</v>
      </c>
      <c r="AP36" s="4">
        <f ca="1">SUMIF('Đóng gói ngoài giờ'!$A$12:$A$216,'Tổng hợp ngoài giờ'!$A36,'Đóng gói ngoài giờ'!AP$12:AP$87)</f>
        <v>0</v>
      </c>
      <c r="AQ36" s="4">
        <f ca="1">SUMIF('Đóng gói ngoài giờ'!$A$12:$A$216,'Tổng hợp ngoài giờ'!$A36,'Đóng gói ngoài giờ'!AQ$12:AQ$87)</f>
        <v>0</v>
      </c>
      <c r="AR36" s="4">
        <f ca="1">SUMIF('Đóng gói ngoài giờ'!$A$12:$A$216,'Tổng hợp ngoài giờ'!$A36,'Đóng gói ngoài giờ'!AR$12:AR$87)</f>
        <v>0</v>
      </c>
      <c r="AS36" s="4">
        <f ca="1">SUMIF('Đóng gói ngoài giờ'!$A$12:$A$216,'Tổng hợp ngoài giờ'!$A36,'Đóng gói ngoài giờ'!AS$12:AS$87)</f>
        <v>0</v>
      </c>
      <c r="AT36" s="4">
        <f ca="1">SUMIF('Đóng gói ngoài giờ'!$A$12:$A$216,'Tổng hợp ngoài giờ'!$A36,'Đóng gói ngoài giờ'!AT$12:AT$87)</f>
        <v>0</v>
      </c>
      <c r="AU36" s="4">
        <f ca="1">SUMIF('Đóng gói ngoài giờ'!$A$12:$A$216,'Tổng hợp ngoài giờ'!$A36,'Đóng gói ngoài giờ'!AU$12:AU$87)</f>
        <v>0</v>
      </c>
      <c r="AV36" s="4">
        <f ca="1">SUMIF('Đóng gói ngoài giờ'!$A$12:$A$216,'Tổng hợp ngoài giờ'!$A36,'Đóng gói ngoài giờ'!AV$12:AV$87)</f>
        <v>0</v>
      </c>
      <c r="AW36" s="4">
        <f ca="1">SUMIF('Đóng gói ngoài giờ'!$A$12:$A$216,'Tổng hợp ngoài giờ'!$A36,'Đóng gói ngoài giờ'!AW$12:AW$87)</f>
        <v>0</v>
      </c>
      <c r="AX36" s="4">
        <f ca="1">SUMIF('Đóng gói ngoài giờ'!$A$12:$A$216,'Tổng hợp ngoài giờ'!$A36,'Đóng gói ngoài giờ'!AX$12:AX$87)</f>
        <v>0</v>
      </c>
      <c r="AY36" s="4">
        <f ca="1">SUMIF('Đóng gói ngoài giờ'!$A$12:$A$216,'Tổng hợp ngoài giờ'!$A36,'Đóng gói ngoài giờ'!AY$12:AY$87)</f>
        <v>0</v>
      </c>
      <c r="AZ36" s="4">
        <f ca="1">SUMIF('Đóng gói ngoài giờ'!$A$12:$A$216,'Tổng hợp ngoài giờ'!$A36,'Đóng gói ngoài giờ'!AZ$12:AZ$87)</f>
        <v>0</v>
      </c>
      <c r="BA36" s="4">
        <f ca="1">SUMIF('Đóng gói ngoài giờ'!$A$12:$A$216,'Tổng hợp ngoài giờ'!$A36,'Đóng gói ngoài giờ'!BA$12:BA$87)</f>
        <v>0</v>
      </c>
      <c r="BB36" s="4">
        <f ca="1">SUMIF('Đóng gói ngoài giờ'!$A$12:$A$216,'Tổng hợp ngoài giờ'!$A36,'Đóng gói ngoài giờ'!BB$12:BB$87)</f>
        <v>0</v>
      </c>
      <c r="BC36" s="22">
        <f>SUMIF('Đóng gói ngoài giờ'!$A$12:$A$34,'Tổng hợp ngoài giờ'!$A36,'Đóng gói ngoài giờ'!BC$12:BC$34)</f>
        <v>0</v>
      </c>
      <c r="BD36" s="120">
        <f>SUMIF('Bốc hàng ngoài giờ new'!$H$13:$H$4949,'Tổng hợp trong giờ'!#REF!,'Bốc hàng ngoài giờ new'!$J$13:$J$4949)</f>
        <v>0</v>
      </c>
      <c r="BE36" s="22">
        <f>SUMIF('Đóng gói ngoài giờ'!$A$12:$A$34,'Tổng hợp ngoài giờ'!$A36,'Đóng gói ngoài giờ'!BE$12:BE$34)</f>
        <v>1.5</v>
      </c>
      <c r="BF36" s="4">
        <f ca="1">SUMIF('Đóng gói ngoài giờ'!$A$12:$A$216,'Tổng hợp ngoài giờ'!$A36,'Đóng gói ngoài giờ'!BD$12:BD$87)</f>
        <v>0</v>
      </c>
      <c r="BG36" s="4">
        <f ca="1">SUMIF('Đóng gói ngoài giờ'!$A$12:$A$216,'Tổng hợp ngoài giờ'!$A36,'Đóng gói ngoài giờ'!BE$12:BE$87)</f>
        <v>2.5</v>
      </c>
      <c r="BH36" s="4">
        <f ca="1">SUMIF('Đóng gói ngoài giờ'!$A$12:$A$216,'Tổng hợp ngoài giờ'!$A36,'Đóng gói ngoài giờ'!BF$12:BF$87)</f>
        <v>0</v>
      </c>
      <c r="BI36" s="4">
        <f ca="1">SUMIF('Đóng gói ngoài giờ'!$A$12:$A$216,'Tổng hợp ngoài giờ'!$A36,'Đóng gói ngoài giờ'!BG$12:BG$87)</f>
        <v>0</v>
      </c>
      <c r="BJ36" s="4">
        <f ca="1">SUMIF('Đóng gói ngoài giờ'!$A$12:$A$216,'Tổng hợp ngoài giờ'!$A36,'Đóng gói ngoài giờ'!BH$12:BH$87)</f>
        <v>0</v>
      </c>
      <c r="BK36" s="4">
        <f ca="1">SUMIF('Đóng gói ngoài giờ'!$A$12:$A$216,'Tổng hợp ngoài giờ'!$A36,'Đóng gói ngoài giờ'!BI$12:BI$87)</f>
        <v>0</v>
      </c>
      <c r="BL36" s="4">
        <f ca="1">SUMIF('Đóng gói ngoài giờ'!$A$12:$A$216,'Tổng hợp ngoài giờ'!$A36,'Đóng gói ngoài giờ'!BJ$12:BJ$87)</f>
        <v>0</v>
      </c>
      <c r="BM36" s="4">
        <f ca="1">SUMIF('Đóng gói ngoài giờ'!$A$12:$A$216,'Tổng hợp ngoài giờ'!$A36,'Đóng gói ngoài giờ'!BK$12:BK$87)</f>
        <v>0</v>
      </c>
      <c r="BN36" s="4">
        <f ca="1">SUMIF('Đóng gói ngoài giờ'!$A$12:$A$216,'Tổng hợp ngoài giờ'!$A36,'Đóng gói ngoài giờ'!BL$12:BL$87)</f>
        <v>0</v>
      </c>
      <c r="BO36" s="4">
        <f ca="1">SUMIF('Đóng gói ngoài giờ'!$A$12:$A$216,'Tổng hợp ngoài giờ'!$A36,'Đóng gói ngoài giờ'!BM$12:BM$87)</f>
        <v>0</v>
      </c>
      <c r="BP36" s="4">
        <f ca="1">SUMIF('Đóng gói ngoài giờ'!$A$12:$A$216,'Tổng hợp ngoài giờ'!$A36,'Đóng gói ngoài giờ'!BN$12:BN$87)</f>
        <v>0</v>
      </c>
      <c r="BQ36" s="4">
        <f ca="1">SUMIF('Đóng gói ngoài giờ'!$A$12:$A$216,'Tổng hợp ngoài giờ'!$A36,'Đóng gói ngoài giờ'!BO$12:BO$87)</f>
        <v>0</v>
      </c>
      <c r="BR36" s="4">
        <f ca="1">SUMIF('Đóng gói ngoài giờ'!$A$12:$A$216,'Tổng hợp ngoài giờ'!$A36,'Đóng gói ngoài giờ'!BP$12:BP$87)</f>
        <v>0</v>
      </c>
      <c r="BS36" s="4">
        <f ca="1">SUMIF('Đóng gói ngoài giờ'!$A$12:$A$216,'Tổng hợp ngoài giờ'!$A36,'Đóng gói ngoài giờ'!BQ$12:BQ$87)</f>
        <v>0</v>
      </c>
      <c r="BT36" s="4">
        <f ca="1">SUMIF('Đóng gói ngoài giờ'!$A$12:$A$216,'Tổng hợp ngoài giờ'!$A36,'Đóng gói ngoài giờ'!BR$12:BR$87)</f>
        <v>0</v>
      </c>
      <c r="BU36" s="96">
        <f t="shared" ca="1" si="1"/>
        <v>2.5</v>
      </c>
      <c r="BV36" s="244">
        <f t="shared" ca="1" si="2"/>
        <v>101422.55005268706</v>
      </c>
      <c r="BW36" s="168">
        <f t="shared" ca="1" si="3"/>
        <v>306130.91908819496</v>
      </c>
      <c r="CL36" s="9">
        <v>25</v>
      </c>
    </row>
    <row r="37" spans="1:90" ht="15.75" x14ac:dyDescent="0.25">
      <c r="A37" s="224" t="s">
        <v>412</v>
      </c>
      <c r="B37" s="2" t="str">
        <f>VLOOKUP(A37,'Mã NV'!$A$1:$C$27,2,0)</f>
        <v>Danh Vươl</v>
      </c>
      <c r="D37" s="4">
        <f ca="1">SUMIF('Đóng gói ngoài giờ'!$A$12:$A$216,'Tổng hợp ngoài giờ'!$A37,'Đóng gói ngoài giờ'!D$12:D$87)</f>
        <v>0</v>
      </c>
      <c r="E37" s="4">
        <f ca="1">SUMIF('Đóng gói ngoài giờ'!$A$12:$A$216,'Tổng hợp ngoài giờ'!$A37,'Đóng gói ngoài giờ'!E$12:E$87)</f>
        <v>0</v>
      </c>
      <c r="F37" s="4">
        <f ca="1">SUMIF('Đóng gói ngoài giờ'!$A$12:$A$216,'Tổng hợp ngoài giờ'!$A37,'Đóng gói ngoài giờ'!F$12:F$87)</f>
        <v>0</v>
      </c>
      <c r="G37" s="4">
        <f ca="1">SUMIF('Đóng gói ngoài giờ'!$A$12:$A$216,'Tổng hợp ngoài giờ'!$A37,'Đóng gói ngoài giờ'!G$12:G$87)</f>
        <v>0</v>
      </c>
      <c r="H37" s="4">
        <f ca="1">SUMIF('Đóng gói ngoài giờ'!$A$12:$A$216,'Tổng hợp ngoài giờ'!$A37,'Đóng gói ngoài giờ'!H$12:H$87)</f>
        <v>0</v>
      </c>
      <c r="I37" s="4">
        <f ca="1">SUMIF('Đóng gói ngoài giờ'!$A$12:$A$216,'Tổng hợp ngoài giờ'!$A37,'Đóng gói ngoài giờ'!I$12:I$87)</f>
        <v>0</v>
      </c>
      <c r="J37" s="4">
        <f ca="1">SUMIF('Đóng gói ngoài giờ'!$A$12:$A$216,'Tổng hợp ngoài giờ'!$A37,'Đóng gói ngoài giờ'!J$12:J$87)</f>
        <v>0</v>
      </c>
      <c r="K37" s="4">
        <f ca="1">SUMIF('Đóng gói ngoài giờ'!$A$12:$A$216,'Tổng hợp ngoài giờ'!$A37,'Đóng gói ngoài giờ'!K$12:K$87)</f>
        <v>0</v>
      </c>
      <c r="L37" s="4">
        <f ca="1">SUMIF('Đóng gói ngoài giờ'!$A$12:$A$216,'Tổng hợp ngoài giờ'!$A37,'Đóng gói ngoài giờ'!L$12:L$87)</f>
        <v>0</v>
      </c>
      <c r="M37" s="4">
        <f ca="1">SUMIF('Đóng gói ngoài giờ'!$A$12:$A$216,'Tổng hợp ngoài giờ'!$A37,'Đóng gói ngoài giờ'!M$12:M$87)</f>
        <v>0</v>
      </c>
      <c r="N37" s="4">
        <f ca="1">SUMIF('Đóng gói ngoài giờ'!$A$12:$A$216,'Tổng hợp ngoài giờ'!$A37,'Đóng gói ngoài giờ'!N$12:N$87)</f>
        <v>0</v>
      </c>
      <c r="O37" s="4">
        <f ca="1">SUMIF('Đóng gói ngoài giờ'!$A$12:$A$216,'Tổng hợp ngoài giờ'!$A37,'Đóng gói ngoài giờ'!O$12:O$87)</f>
        <v>0</v>
      </c>
      <c r="P37" s="4">
        <f ca="1">SUMIF('Đóng gói ngoài giờ'!$A$12:$A$216,'Tổng hợp ngoài giờ'!$A37,'Đóng gói ngoài giờ'!P$12:P$87)</f>
        <v>0</v>
      </c>
      <c r="Q37" s="4">
        <f ca="1">SUMIF('Đóng gói ngoài giờ'!$A$12:$A$216,'Tổng hợp ngoài giờ'!$A37,'Đóng gói ngoài giờ'!Q$12:Q$87)</f>
        <v>0</v>
      </c>
      <c r="R37" s="4">
        <f ca="1">SUMIF('Đóng gói ngoài giờ'!$A$12:$A$216,'Tổng hợp ngoài giờ'!$A37,'Đóng gói ngoài giờ'!R$12:R$87)</f>
        <v>0</v>
      </c>
      <c r="S37" s="4">
        <f ca="1">SUMIF('Đóng gói ngoài giờ'!$A$12:$A$216,'Tổng hợp ngoài giờ'!$A37,'Đóng gói ngoài giờ'!S$12:S$87)</f>
        <v>0</v>
      </c>
      <c r="T37" s="4">
        <f ca="1">SUMIF('Đóng gói ngoài giờ'!$A$12:$A$216,'Tổng hợp ngoài giờ'!$A37,'Đóng gói ngoài giờ'!T$12:T$87)</f>
        <v>0</v>
      </c>
      <c r="U37" s="4">
        <f ca="1">SUMIF('Đóng gói ngoài giờ'!$A$12:$A$216,'Tổng hợp ngoài giờ'!$A37,'Đóng gói ngoài giờ'!U$12:U$87)</f>
        <v>0</v>
      </c>
      <c r="V37" s="4">
        <f ca="1">SUMIF('Đóng gói ngoài giờ'!$A$12:$A$216,'Tổng hợp ngoài giờ'!$A37,'Đóng gói ngoài giờ'!V$12:V$87)</f>
        <v>0</v>
      </c>
      <c r="W37" s="4">
        <f ca="1">SUMIF('Đóng gói ngoài giờ'!$A$12:$A$216,'Tổng hợp ngoài giờ'!$A37,'Đóng gói ngoài giờ'!W$12:W$87)</f>
        <v>0</v>
      </c>
      <c r="X37" s="4">
        <f ca="1">SUMIF('Đóng gói ngoài giờ'!$A$12:$A$216,'Tổng hợp ngoài giờ'!$A37,'Đóng gói ngoài giờ'!X$12:X$87)</f>
        <v>0</v>
      </c>
      <c r="Y37" s="4">
        <f ca="1">SUMIF('Đóng gói ngoài giờ'!$A$12:$A$216,'Tổng hợp ngoài giờ'!$A37,'Đóng gói ngoài giờ'!Y$12:Y$87)</f>
        <v>0</v>
      </c>
      <c r="Z37" s="4">
        <f ca="1">SUMIF('Đóng gói ngoài giờ'!$A$12:$A$216,'Tổng hợp ngoài giờ'!$A37,'Đóng gói ngoài giờ'!Z$12:Z$87)</f>
        <v>0</v>
      </c>
      <c r="AA37" s="4">
        <f ca="1">SUMIF('Đóng gói ngoài giờ'!$A$12:$A$216,'Tổng hợp ngoài giờ'!$A37,'Đóng gói ngoài giờ'!AA$12:AA$87)</f>
        <v>0</v>
      </c>
      <c r="AB37" s="4">
        <f ca="1">SUMIF('Đóng gói ngoài giờ'!$A$12:$A$216,'Tổng hợp ngoài giờ'!$A37,'Đóng gói ngoài giờ'!AB$12:AB$87)</f>
        <v>0</v>
      </c>
      <c r="AC37" s="4">
        <f ca="1">SUMIF('Đóng gói ngoài giờ'!$A$12:$A$216,'Tổng hợp ngoài giờ'!$A37,'Đóng gói ngoài giờ'!AC$12:AC$87)</f>
        <v>0</v>
      </c>
      <c r="AD37" s="4">
        <f ca="1">SUMIF('Đóng gói ngoài giờ'!$A$12:$A$216,'Tổng hợp ngoài giờ'!$A37,'Đóng gói ngoài giờ'!AD$12:AD$87)</f>
        <v>0</v>
      </c>
      <c r="AE37" s="4">
        <f ca="1">SUMIF('Đóng gói ngoài giờ'!$A$12:$A$216,'Tổng hợp ngoài giờ'!$A37,'Đóng gói ngoài giờ'!AE$12:AE$87)</f>
        <v>0</v>
      </c>
      <c r="AF37" s="4">
        <f ca="1">SUMIF('Đóng gói ngoài giờ'!$A$12:$A$216,'Tổng hợp ngoài giờ'!$A37,'Đóng gói ngoài giờ'!AF$12:AF$87)</f>
        <v>0</v>
      </c>
      <c r="AG37" s="4">
        <f ca="1">SUMIF('Đóng gói ngoài giờ'!$A$12:$A$216,'Tổng hợp ngoài giờ'!$A37,'Đóng gói ngoài giờ'!AG$12:AG$87)</f>
        <v>0</v>
      </c>
      <c r="AH37" s="4">
        <f ca="1">SUMIF('Đóng gói ngoài giờ'!$A$12:$A$216,'Tổng hợp ngoài giờ'!$A37,'Đóng gói ngoài giờ'!AH$12:AH$87)</f>
        <v>0</v>
      </c>
      <c r="AI37" s="4">
        <f ca="1">SUMIF('Đóng gói ngoài giờ'!$A$12:$A$216,'Tổng hợp ngoài giờ'!$A37,'Đóng gói ngoài giờ'!AI$12:AI$87)</f>
        <v>0</v>
      </c>
      <c r="AJ37" s="4">
        <f ca="1">SUMIF('Đóng gói ngoài giờ'!$A$12:$A$216,'Tổng hợp ngoài giờ'!$A37,'Đóng gói ngoài giờ'!AJ$12:AJ$87)</f>
        <v>0</v>
      </c>
      <c r="AK37" s="4">
        <f ca="1">SUMIF('Đóng gói ngoài giờ'!$A$12:$A$216,'Tổng hợp ngoài giờ'!$A37,'Đóng gói ngoài giờ'!AK$12:AK$87)</f>
        <v>0</v>
      </c>
      <c r="AL37" s="4">
        <f ca="1">SUMIF('Đóng gói ngoài giờ'!$A$12:$A$216,'Tổng hợp ngoài giờ'!$A37,'Đóng gói ngoài giờ'!AL$12:AL$87)</f>
        <v>0</v>
      </c>
      <c r="AM37" s="4">
        <f ca="1">SUMIF('Đóng gói ngoài giờ'!$A$12:$A$216,'Tổng hợp ngoài giờ'!$A37,'Đóng gói ngoài giờ'!AM$12:AM$87)</f>
        <v>0</v>
      </c>
      <c r="AN37" s="4">
        <f ca="1">SUMIF('Đóng gói ngoài giờ'!$A$12:$A$216,'Tổng hợp ngoài giờ'!$A37,'Đóng gói ngoài giờ'!AN$12:AN$87)</f>
        <v>0</v>
      </c>
      <c r="AO37" s="4">
        <f ca="1">SUMIF('Đóng gói ngoài giờ'!$A$12:$A$216,'Tổng hợp ngoài giờ'!$A37,'Đóng gói ngoài giờ'!AO$12:AO$87)</f>
        <v>0</v>
      </c>
      <c r="AP37" s="4">
        <f ca="1">SUMIF('Đóng gói ngoài giờ'!$A$12:$A$216,'Tổng hợp ngoài giờ'!$A37,'Đóng gói ngoài giờ'!AP$12:AP$87)</f>
        <v>0</v>
      </c>
      <c r="AQ37" s="4">
        <f ca="1">SUMIF('Đóng gói ngoài giờ'!$A$12:$A$216,'Tổng hợp ngoài giờ'!$A37,'Đóng gói ngoài giờ'!AQ$12:AQ$87)</f>
        <v>0</v>
      </c>
      <c r="AR37" s="4">
        <f ca="1">SUMIF('Đóng gói ngoài giờ'!$A$12:$A$216,'Tổng hợp ngoài giờ'!$A37,'Đóng gói ngoài giờ'!AR$12:AR$87)</f>
        <v>0</v>
      </c>
      <c r="AS37" s="4">
        <f ca="1">SUMIF('Đóng gói ngoài giờ'!$A$12:$A$216,'Tổng hợp ngoài giờ'!$A37,'Đóng gói ngoài giờ'!AS$12:AS$87)</f>
        <v>0</v>
      </c>
      <c r="AT37" s="4">
        <f ca="1">SUMIF('Đóng gói ngoài giờ'!$A$12:$A$216,'Tổng hợp ngoài giờ'!$A37,'Đóng gói ngoài giờ'!AT$12:AT$87)</f>
        <v>0</v>
      </c>
      <c r="AU37" s="4">
        <f ca="1">SUMIF('Đóng gói ngoài giờ'!$A$12:$A$216,'Tổng hợp ngoài giờ'!$A37,'Đóng gói ngoài giờ'!AU$12:AU$87)</f>
        <v>0</v>
      </c>
      <c r="AV37" s="4">
        <f ca="1">SUMIF('Đóng gói ngoài giờ'!$A$12:$A$216,'Tổng hợp ngoài giờ'!$A37,'Đóng gói ngoài giờ'!AV$12:AV$87)</f>
        <v>0</v>
      </c>
      <c r="AW37" s="4">
        <f ca="1">SUMIF('Đóng gói ngoài giờ'!$A$12:$A$216,'Tổng hợp ngoài giờ'!$A37,'Đóng gói ngoài giờ'!AW$12:AW$87)</f>
        <v>0</v>
      </c>
      <c r="AX37" s="4">
        <f ca="1">SUMIF('Đóng gói ngoài giờ'!$A$12:$A$216,'Tổng hợp ngoài giờ'!$A37,'Đóng gói ngoài giờ'!AX$12:AX$87)</f>
        <v>0</v>
      </c>
      <c r="AY37" s="4">
        <f ca="1">SUMIF('Đóng gói ngoài giờ'!$A$12:$A$216,'Tổng hợp ngoài giờ'!$A37,'Đóng gói ngoài giờ'!AY$12:AY$87)</f>
        <v>0</v>
      </c>
      <c r="AZ37" s="4">
        <f ca="1">SUMIF('Đóng gói ngoài giờ'!$A$12:$A$216,'Tổng hợp ngoài giờ'!$A37,'Đóng gói ngoài giờ'!AZ$12:AZ$87)</f>
        <v>0</v>
      </c>
      <c r="BA37" s="4">
        <f ca="1">SUMIF('Đóng gói ngoài giờ'!$A$12:$A$216,'Tổng hợp ngoài giờ'!$A37,'Đóng gói ngoài giờ'!BA$12:BA$87)</f>
        <v>0</v>
      </c>
      <c r="BB37" s="4">
        <f ca="1">SUMIF('Đóng gói ngoài giờ'!$A$12:$A$216,'Tổng hợp ngoài giờ'!$A37,'Đóng gói ngoài giờ'!BB$12:BB$87)</f>
        <v>0</v>
      </c>
      <c r="BC37" s="22">
        <f>SUMIF('Đóng gói ngoài giờ'!$A$12:$A$34,'Tổng hợp ngoài giờ'!$A37,'Đóng gói ngoài giờ'!BC$12:BC$34)</f>
        <v>0</v>
      </c>
      <c r="BD37" s="120">
        <f>SUMIF('Bốc hàng ngoài giờ new'!$H$13:$H$4949,'Tổng hợp trong giờ'!A36,'Bốc hàng ngoài giờ new'!$J$13:$J$4949)</f>
        <v>0</v>
      </c>
      <c r="BE37" s="22">
        <f>SUMIF('Đóng gói ngoài giờ'!$A$12:$A$34,'Tổng hợp ngoài giờ'!$A37,'Đóng gói ngoài giờ'!BE$12:BE$34)</f>
        <v>0</v>
      </c>
      <c r="BF37" s="4">
        <f ca="1">SUMIF('Đóng gói ngoài giờ'!$A$12:$A$216,'Tổng hợp ngoài giờ'!$A37,'Đóng gói ngoài giờ'!BD$12:BD$87)</f>
        <v>0</v>
      </c>
      <c r="BG37" s="4">
        <f ca="1">SUMIF('Đóng gói ngoài giờ'!$A$12:$A$216,'Tổng hợp ngoài giờ'!$A37,'Đóng gói ngoài giờ'!BE$12:BE$87)</f>
        <v>24</v>
      </c>
      <c r="BH37" s="4">
        <f ca="1">SUMIF('Đóng gói ngoài giờ'!$A$12:$A$216,'Tổng hợp ngoài giờ'!$A37,'Đóng gói ngoài giờ'!BF$12:BF$87)</f>
        <v>0</v>
      </c>
      <c r="BI37" s="4">
        <f ca="1">SUMIF('Đóng gói ngoài giờ'!$A$12:$A$216,'Tổng hợp ngoài giờ'!$A37,'Đóng gói ngoài giờ'!BG$12:BG$87)</f>
        <v>0</v>
      </c>
      <c r="BJ37" s="4">
        <f ca="1">SUMIF('Đóng gói ngoài giờ'!$A$12:$A$216,'Tổng hợp ngoài giờ'!$A37,'Đóng gói ngoài giờ'!BH$12:BH$87)</f>
        <v>0</v>
      </c>
      <c r="BK37" s="4">
        <f ca="1">SUMIF('Đóng gói ngoài giờ'!$A$12:$A$216,'Tổng hợp ngoài giờ'!$A37,'Đóng gói ngoài giờ'!BI$12:BI$87)</f>
        <v>0</v>
      </c>
      <c r="BL37" s="4">
        <f ca="1">SUMIF('Đóng gói ngoài giờ'!$A$12:$A$216,'Tổng hợp ngoài giờ'!$A37,'Đóng gói ngoài giờ'!BJ$12:BJ$87)</f>
        <v>0</v>
      </c>
      <c r="BM37" s="4">
        <f ca="1">SUMIF('Đóng gói ngoài giờ'!$A$12:$A$216,'Tổng hợp ngoài giờ'!$A37,'Đóng gói ngoài giờ'!BK$12:BK$87)</f>
        <v>0</v>
      </c>
      <c r="BN37" s="4">
        <f ca="1">SUMIF('Đóng gói ngoài giờ'!$A$12:$A$216,'Tổng hợp ngoài giờ'!$A37,'Đóng gói ngoài giờ'!BL$12:BL$87)</f>
        <v>0</v>
      </c>
      <c r="BO37" s="4">
        <f ca="1">SUMIF('Đóng gói ngoài giờ'!$A$12:$A$216,'Tổng hợp ngoài giờ'!$A37,'Đóng gói ngoài giờ'!BM$12:BM$87)</f>
        <v>0</v>
      </c>
      <c r="BP37" s="4">
        <f ca="1">SUMIF('Đóng gói ngoài giờ'!$A$12:$A$216,'Tổng hợp ngoài giờ'!$A37,'Đóng gói ngoài giờ'!BN$12:BN$87)</f>
        <v>0</v>
      </c>
      <c r="BQ37" s="4">
        <f ca="1">SUMIF('Đóng gói ngoài giờ'!$A$12:$A$216,'Tổng hợp ngoài giờ'!$A37,'Đóng gói ngoài giờ'!BO$12:BO$87)</f>
        <v>0</v>
      </c>
      <c r="BR37" s="4">
        <f ca="1">SUMIF('Đóng gói ngoài giờ'!$A$12:$A$216,'Tổng hợp ngoài giờ'!$A37,'Đóng gói ngoài giờ'!BP$12:BP$87)</f>
        <v>0</v>
      </c>
      <c r="BS37" s="4">
        <f ca="1">SUMIF('Đóng gói ngoài giờ'!$A$12:$A$216,'Tổng hợp ngoài giờ'!$A37,'Đóng gói ngoài giờ'!BQ$12:BQ$87)</f>
        <v>0</v>
      </c>
      <c r="BT37" s="4">
        <f ca="1">SUMIF('Đóng gói ngoài giờ'!$A$12:$A$216,'Tổng hợp ngoài giờ'!$A37,'Đóng gói ngoài giờ'!BR$12:BR$87)</f>
        <v>0</v>
      </c>
      <c r="BU37" s="96">
        <f t="shared" ca="1" si="1"/>
        <v>24</v>
      </c>
      <c r="BV37" s="244">
        <f ca="1">SUMPRODUCT($BF$13:$BT$13,BF37:BT37)</f>
        <v>973656.48050579568</v>
      </c>
      <c r="BW37" s="168">
        <f t="shared" ca="1" si="3"/>
        <v>973656.48050579568</v>
      </c>
      <c r="CL37" s="7">
        <v>26</v>
      </c>
    </row>
    <row r="38" spans="1:90" x14ac:dyDescent="0.25">
      <c r="D38" s="104">
        <f t="shared" ref="D38:AI38" ca="1" si="4">SUM(D15:D37)</f>
        <v>0</v>
      </c>
      <c r="E38" s="104">
        <f t="shared" ca="1" si="4"/>
        <v>600</v>
      </c>
      <c r="F38" s="104">
        <f t="shared" ca="1" si="4"/>
        <v>900</v>
      </c>
      <c r="G38" s="104">
        <f t="shared" ca="1" si="4"/>
        <v>0</v>
      </c>
      <c r="H38" s="104">
        <f t="shared" ca="1" si="4"/>
        <v>0</v>
      </c>
      <c r="I38" s="104">
        <f t="shared" ca="1" si="4"/>
        <v>0</v>
      </c>
      <c r="J38" s="104">
        <f t="shared" ca="1" si="4"/>
        <v>0</v>
      </c>
      <c r="K38" s="104">
        <f t="shared" ca="1" si="4"/>
        <v>0</v>
      </c>
      <c r="L38" s="104">
        <f t="shared" ca="1" si="4"/>
        <v>0</v>
      </c>
      <c r="M38" s="104">
        <f t="shared" ca="1" si="4"/>
        <v>0</v>
      </c>
      <c r="N38" s="104">
        <f t="shared" ca="1" si="4"/>
        <v>0</v>
      </c>
      <c r="O38" s="104">
        <f t="shared" ca="1" si="4"/>
        <v>0</v>
      </c>
      <c r="P38" s="104">
        <f t="shared" ca="1" si="4"/>
        <v>0</v>
      </c>
      <c r="Q38" s="104">
        <f t="shared" ca="1" si="4"/>
        <v>0</v>
      </c>
      <c r="R38" s="104">
        <f t="shared" ca="1" si="4"/>
        <v>0</v>
      </c>
      <c r="S38" s="104">
        <f t="shared" ca="1" si="4"/>
        <v>0</v>
      </c>
      <c r="T38" s="104">
        <f t="shared" ca="1" si="4"/>
        <v>0</v>
      </c>
      <c r="U38" s="104">
        <f t="shared" ca="1" si="4"/>
        <v>0</v>
      </c>
      <c r="V38" s="104">
        <f t="shared" ca="1" si="4"/>
        <v>0</v>
      </c>
      <c r="W38" s="104">
        <f t="shared" ca="1" si="4"/>
        <v>0</v>
      </c>
      <c r="X38" s="104">
        <f t="shared" ca="1" si="4"/>
        <v>0</v>
      </c>
      <c r="Y38" s="104">
        <f t="shared" ca="1" si="4"/>
        <v>0</v>
      </c>
      <c r="Z38" s="104">
        <f t="shared" ca="1" si="4"/>
        <v>0</v>
      </c>
      <c r="AA38" s="104">
        <f t="shared" ca="1" si="4"/>
        <v>0</v>
      </c>
      <c r="AB38" s="104">
        <f t="shared" ca="1" si="4"/>
        <v>0</v>
      </c>
      <c r="AC38" s="104">
        <f t="shared" ca="1" si="4"/>
        <v>300</v>
      </c>
      <c r="AD38" s="104">
        <f t="shared" ca="1" si="4"/>
        <v>1380</v>
      </c>
      <c r="AE38" s="104">
        <f t="shared" ca="1" si="4"/>
        <v>0</v>
      </c>
      <c r="AF38" s="104">
        <f t="shared" ca="1" si="4"/>
        <v>0</v>
      </c>
      <c r="AG38" s="104">
        <f t="shared" ca="1" si="4"/>
        <v>0</v>
      </c>
      <c r="AH38" s="104">
        <f t="shared" ca="1" si="4"/>
        <v>33.333333333333336</v>
      </c>
      <c r="AI38" s="104">
        <f t="shared" ca="1" si="4"/>
        <v>0</v>
      </c>
      <c r="AJ38" s="104">
        <f t="shared" ref="AJ38:BO38" ca="1" si="5">SUM(AJ15:AJ37)</f>
        <v>810</v>
      </c>
      <c r="AK38" s="104">
        <f t="shared" ca="1" si="5"/>
        <v>1040</v>
      </c>
      <c r="AL38" s="104">
        <f t="shared" ca="1" si="5"/>
        <v>0</v>
      </c>
      <c r="AM38" s="104">
        <f t="shared" ca="1" si="5"/>
        <v>510</v>
      </c>
      <c r="AN38" s="104">
        <f t="shared" ca="1" si="5"/>
        <v>0</v>
      </c>
      <c r="AO38" s="104">
        <f t="shared" ca="1" si="5"/>
        <v>0</v>
      </c>
      <c r="AP38" s="104">
        <f t="shared" ca="1" si="5"/>
        <v>0</v>
      </c>
      <c r="AQ38" s="104">
        <f t="shared" ca="1" si="5"/>
        <v>0</v>
      </c>
      <c r="AR38" s="104">
        <f t="shared" ca="1" si="5"/>
        <v>0</v>
      </c>
      <c r="AS38" s="104">
        <f t="shared" ca="1" si="5"/>
        <v>0</v>
      </c>
      <c r="AT38" s="104">
        <f t="shared" ca="1" si="5"/>
        <v>0</v>
      </c>
      <c r="AU38" s="104">
        <f t="shared" ca="1" si="5"/>
        <v>0</v>
      </c>
      <c r="AV38" s="104">
        <f t="shared" ca="1" si="5"/>
        <v>0</v>
      </c>
      <c r="AW38" s="104">
        <f t="shared" ca="1" si="5"/>
        <v>0</v>
      </c>
      <c r="AX38" s="104">
        <f t="shared" ca="1" si="5"/>
        <v>0</v>
      </c>
      <c r="AY38" s="104">
        <f t="shared" ca="1" si="5"/>
        <v>0</v>
      </c>
      <c r="AZ38" s="104">
        <f t="shared" ca="1" si="5"/>
        <v>0</v>
      </c>
      <c r="BA38" s="104">
        <f t="shared" ca="1" si="5"/>
        <v>0</v>
      </c>
      <c r="BB38" s="104">
        <f t="shared" ca="1" si="5"/>
        <v>0</v>
      </c>
      <c r="BC38" s="104">
        <f t="shared" si="5"/>
        <v>0</v>
      </c>
      <c r="BD38" s="104">
        <f t="shared" si="5"/>
        <v>0</v>
      </c>
      <c r="BE38" s="104">
        <f t="shared" si="5"/>
        <v>46</v>
      </c>
      <c r="BF38" s="104">
        <f t="shared" ca="1" si="5"/>
        <v>0</v>
      </c>
      <c r="BG38" s="104">
        <f t="shared" ca="1" si="5"/>
        <v>255.5</v>
      </c>
      <c r="BH38" s="104">
        <f t="shared" ca="1" si="5"/>
        <v>0</v>
      </c>
      <c r="BI38" s="104">
        <f t="shared" ca="1" si="5"/>
        <v>0</v>
      </c>
      <c r="BJ38" s="104">
        <f t="shared" ca="1" si="5"/>
        <v>0</v>
      </c>
      <c r="BK38" s="104">
        <f t="shared" ca="1" si="5"/>
        <v>0</v>
      </c>
      <c r="BL38" s="104">
        <f t="shared" ca="1" si="5"/>
        <v>0</v>
      </c>
      <c r="BM38" s="104">
        <f t="shared" ca="1" si="5"/>
        <v>0</v>
      </c>
      <c r="BN38" s="104">
        <f t="shared" ca="1" si="5"/>
        <v>99.5</v>
      </c>
      <c r="BO38" s="104">
        <f t="shared" ca="1" si="5"/>
        <v>0</v>
      </c>
      <c r="BP38" s="104">
        <f t="shared" ref="BP38:BV38" ca="1" si="6">SUM(BP15:BP37)</f>
        <v>0</v>
      </c>
      <c r="BQ38" s="104">
        <f t="shared" ca="1" si="6"/>
        <v>0</v>
      </c>
      <c r="BR38" s="104">
        <f t="shared" ca="1" si="6"/>
        <v>0</v>
      </c>
      <c r="BS38" s="104">
        <f t="shared" ca="1" si="6"/>
        <v>4</v>
      </c>
      <c r="BT38" s="104">
        <f t="shared" ca="1" si="6"/>
        <v>0</v>
      </c>
      <c r="BU38" s="104">
        <f t="shared" ca="1" si="6"/>
        <v>359</v>
      </c>
      <c r="BV38" s="104">
        <f t="shared" ca="1" si="6"/>
        <v>14564278.187565863</v>
      </c>
      <c r="BW38" s="104">
        <f ca="1">SUM(BW15:BW37)</f>
        <v>18644610.00968321</v>
      </c>
      <c r="CL38" s="9">
        <v>27</v>
      </c>
    </row>
    <row r="39" spans="1:90" x14ac:dyDescent="0.25">
      <c r="D39">
        <v>0</v>
      </c>
      <c r="E39">
        <v>0</v>
      </c>
      <c r="F39">
        <v>150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951.67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222">
        <v>0</v>
      </c>
      <c r="AY39">
        <v>0</v>
      </c>
      <c r="AZ39">
        <v>0</v>
      </c>
      <c r="BA39">
        <v>0</v>
      </c>
      <c r="BB39">
        <v>0</v>
      </c>
      <c r="BG39" s="24">
        <f>8500000/26/7.3*1.1</f>
        <v>49262.381454162278</v>
      </c>
      <c r="BW39" s="168"/>
      <c r="CL39" s="7">
        <v>28</v>
      </c>
    </row>
    <row r="40" spans="1:90" x14ac:dyDescent="0.25">
      <c r="BG40" s="4">
        <f ca="1">SUMPRODUCT(BG39,BG37)</f>
        <v>1182297.1548998947</v>
      </c>
      <c r="CL40" s="9">
        <v>29</v>
      </c>
    </row>
    <row r="41" spans="1:90" x14ac:dyDescent="0.25">
      <c r="BH41" s="567">
        <f>8500/26*24/8*2</f>
        <v>1961.5384615384614</v>
      </c>
      <c r="CL41" s="7">
        <v>30</v>
      </c>
    </row>
    <row r="42" spans="1:90" x14ac:dyDescent="0.25">
      <c r="CL42" s="9">
        <v>31</v>
      </c>
    </row>
    <row r="43" spans="1:90" x14ac:dyDescent="0.25">
      <c r="CL43" s="7">
        <v>32</v>
      </c>
    </row>
    <row r="44" spans="1:90" x14ac:dyDescent="0.25">
      <c r="CL44" s="9">
        <v>33</v>
      </c>
    </row>
    <row r="45" spans="1:90" x14ac:dyDescent="0.25">
      <c r="CL45" s="7">
        <v>34</v>
      </c>
    </row>
    <row r="46" spans="1:90" x14ac:dyDescent="0.25">
      <c r="CL46" s="9">
        <v>35</v>
      </c>
    </row>
    <row r="47" spans="1:90" x14ac:dyDescent="0.25">
      <c r="CL47" s="7">
        <v>36</v>
      </c>
    </row>
    <row r="48" spans="1:90" x14ac:dyDescent="0.25">
      <c r="CL48" s="9">
        <v>37</v>
      </c>
    </row>
  </sheetData>
  <autoFilter ref="A14:B36"/>
  <mergeCells count="6">
    <mergeCell ref="A13:B13"/>
    <mergeCell ref="A6:B6"/>
    <mergeCell ref="N6:U6"/>
    <mergeCell ref="BF6:BS6"/>
    <mergeCell ref="A11:B11"/>
    <mergeCell ref="A12:B1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3"/>
  <sheetViews>
    <sheetView tabSelected="1" topLeftCell="A7" zoomScaleNormal="100" workbookViewId="0">
      <pane xSplit="10" ySplit="6" topLeftCell="W28" activePane="bottomRight" state="frozen"/>
      <selection activeCell="A7" sqref="A7"/>
      <selection pane="topRight" activeCell="K7" sqref="K7"/>
      <selection pane="bottomLeft" activeCell="A13" sqref="A13"/>
      <selection pane="bottomRight" activeCell="AG35" sqref="AG35"/>
    </sheetView>
  </sheetViews>
  <sheetFormatPr defaultRowHeight="15" x14ac:dyDescent="0.25"/>
  <cols>
    <col min="1" max="1" width="7.42578125" customWidth="1"/>
    <col min="2" max="2" width="18.5703125" bestFit="1" customWidth="1"/>
    <col min="3" max="3" width="12.28515625" customWidth="1"/>
    <col min="4" max="8" width="12.28515625" hidden="1" customWidth="1"/>
    <col min="9" max="9" width="12.28515625" style="3" hidden="1" customWidth="1"/>
    <col min="10" max="10" width="11.140625" style="3" customWidth="1"/>
    <col min="11" max="11" width="8.42578125" style="3" customWidth="1"/>
    <col min="12" max="13" width="5.28515625" style="3" customWidth="1"/>
    <col min="14" max="14" width="11.85546875" style="3" customWidth="1"/>
    <col min="15" max="15" width="10.28515625" style="3" customWidth="1"/>
    <col min="16" max="16" width="12.7109375" style="3" customWidth="1"/>
    <col min="17" max="17" width="9.42578125" style="3" customWidth="1"/>
    <col min="18" max="20" width="13.28515625" style="3" hidden="1" customWidth="1"/>
    <col min="21" max="22" width="7.42578125" style="3" hidden="1" customWidth="1"/>
    <col min="23" max="23" width="8.7109375" style="3" customWidth="1"/>
    <col min="24" max="24" width="15" style="3" customWidth="1"/>
    <col min="25" max="25" width="13.28515625" style="3" customWidth="1"/>
    <col min="26" max="26" width="12.5703125" style="3" customWidth="1"/>
    <col min="27" max="27" width="12.7109375" style="3" hidden="1" customWidth="1"/>
    <col min="28" max="28" width="13.7109375" style="3" customWidth="1"/>
    <col min="29" max="30" width="13.7109375" customWidth="1"/>
    <col min="31" max="31" width="10.28515625" customWidth="1"/>
    <col min="32" max="32" width="11.7109375" customWidth="1"/>
    <col min="33" max="33" width="14.42578125" customWidth="1"/>
    <col min="34" max="34" width="13.28515625" hidden="1" customWidth="1"/>
    <col min="35" max="35" width="15.28515625" hidden="1" customWidth="1"/>
    <col min="36" max="36" width="14.28515625" hidden="1" customWidth="1"/>
    <col min="37" max="37" width="13.28515625" hidden="1" customWidth="1"/>
  </cols>
  <sheetData>
    <row r="1" spans="1:71" x14ac:dyDescent="0.25">
      <c r="A1" t="s">
        <v>144</v>
      </c>
      <c r="C1" s="1"/>
      <c r="D1" s="1"/>
      <c r="E1" s="1"/>
      <c r="F1" s="1"/>
      <c r="G1" s="1"/>
      <c r="H1" s="1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x14ac:dyDescent="0.25">
      <c r="A2" t="s">
        <v>145</v>
      </c>
      <c r="C2" s="1"/>
      <c r="D2" s="1"/>
      <c r="E2" s="1"/>
      <c r="F2" s="1"/>
      <c r="G2" s="1"/>
      <c r="H2" s="1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x14ac:dyDescent="0.25">
      <c r="A3" t="s">
        <v>146</v>
      </c>
      <c r="C3" s="1"/>
      <c r="D3" s="1"/>
      <c r="E3" s="1"/>
      <c r="F3" s="1"/>
      <c r="G3" s="1"/>
      <c r="H3" s="1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x14ac:dyDescent="0.25">
      <c r="A4" t="s">
        <v>147</v>
      </c>
      <c r="C4" s="1"/>
      <c r="D4" s="1"/>
      <c r="E4" s="1"/>
      <c r="F4" s="1"/>
      <c r="G4" s="1"/>
      <c r="H4" s="1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7" spans="1:71" ht="23.25" x14ac:dyDescent="0.35">
      <c r="A7" s="500" t="s">
        <v>440</v>
      </c>
      <c r="B7" s="500"/>
      <c r="C7" s="500"/>
      <c r="D7" s="500"/>
      <c r="E7" s="500"/>
      <c r="F7" s="500"/>
      <c r="G7" s="500"/>
      <c r="H7" s="500"/>
      <c r="I7" s="500"/>
      <c r="J7" s="500"/>
      <c r="K7" s="500"/>
      <c r="L7" s="500"/>
      <c r="M7" s="500"/>
      <c r="N7" s="500"/>
      <c r="O7" s="500"/>
      <c r="P7" s="500"/>
      <c r="Q7" s="500"/>
      <c r="R7" s="500"/>
      <c r="S7" s="500"/>
      <c r="T7" s="500"/>
      <c r="U7" s="500"/>
      <c r="V7" s="500"/>
      <c r="W7" s="500"/>
      <c r="X7" s="500"/>
      <c r="Y7" s="500"/>
      <c r="Z7" s="500"/>
      <c r="AA7" s="500"/>
      <c r="AB7" s="500"/>
      <c r="AC7" s="500"/>
      <c r="AD7" s="500"/>
      <c r="AE7" s="500"/>
      <c r="AF7" s="500"/>
      <c r="AG7" s="500"/>
    </row>
    <row r="8" spans="1:71" hidden="1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</row>
    <row r="9" spans="1:71" x14ac:dyDescent="0.25">
      <c r="D9" s="226"/>
      <c r="E9" s="1"/>
      <c r="F9" s="1"/>
      <c r="I9"/>
      <c r="J9"/>
      <c r="K9"/>
      <c r="L9"/>
      <c r="M9"/>
      <c r="N9" s="222">
        <v>26</v>
      </c>
      <c r="O9"/>
      <c r="P9"/>
      <c r="Q9"/>
      <c r="R9"/>
      <c r="S9"/>
      <c r="T9"/>
      <c r="U9"/>
      <c r="V9"/>
      <c r="Y9" s="3">
        <f>9865-4012</f>
        <v>5853</v>
      </c>
    </row>
    <row r="10" spans="1:71" ht="15" customHeight="1" x14ac:dyDescent="0.25">
      <c r="A10" s="522" t="s">
        <v>0</v>
      </c>
      <c r="B10" s="522" t="s">
        <v>1</v>
      </c>
      <c r="C10" s="522" t="s">
        <v>122</v>
      </c>
      <c r="D10" s="516" t="s">
        <v>308</v>
      </c>
      <c r="E10" s="516" t="s">
        <v>310</v>
      </c>
      <c r="F10" s="516" t="s">
        <v>309</v>
      </c>
      <c r="G10" s="516" t="s">
        <v>288</v>
      </c>
      <c r="H10" s="516" t="s">
        <v>289</v>
      </c>
      <c r="I10" s="522" t="s">
        <v>124</v>
      </c>
      <c r="J10" s="522" t="s">
        <v>124</v>
      </c>
      <c r="K10" s="516" t="s">
        <v>290</v>
      </c>
      <c r="L10" s="516" t="s">
        <v>305</v>
      </c>
      <c r="M10" s="516" t="s">
        <v>299</v>
      </c>
      <c r="N10" s="516" t="s">
        <v>306</v>
      </c>
      <c r="O10" s="516" t="s">
        <v>379</v>
      </c>
      <c r="P10" s="516" t="s">
        <v>311</v>
      </c>
      <c r="Q10" s="523" t="s">
        <v>125</v>
      </c>
      <c r="R10" s="524"/>
      <c r="S10" s="524"/>
      <c r="T10" s="524"/>
      <c r="U10" s="524"/>
      <c r="V10" s="525"/>
      <c r="W10" s="526" t="s">
        <v>312</v>
      </c>
      <c r="X10" s="519" t="s">
        <v>313</v>
      </c>
      <c r="Y10" s="519" t="s">
        <v>314</v>
      </c>
      <c r="Z10" s="519" t="s">
        <v>315</v>
      </c>
      <c r="AA10" s="519" t="s">
        <v>402</v>
      </c>
      <c r="AB10" s="519" t="s">
        <v>307</v>
      </c>
      <c r="AC10" s="511" t="s">
        <v>135</v>
      </c>
      <c r="AD10" s="527"/>
      <c r="AE10" s="512"/>
      <c r="AF10" s="12"/>
      <c r="AG10" s="522" t="s">
        <v>136</v>
      </c>
    </row>
    <row r="11" spans="1:71" x14ac:dyDescent="0.25">
      <c r="A11" s="522"/>
      <c r="B11" s="522"/>
      <c r="C11" s="522"/>
      <c r="D11" s="517"/>
      <c r="E11" s="517"/>
      <c r="F11" s="517"/>
      <c r="G11" s="517"/>
      <c r="H11" s="517"/>
      <c r="I11" s="522"/>
      <c r="J11" s="522"/>
      <c r="K11" s="517"/>
      <c r="L11" s="517"/>
      <c r="M11" s="517"/>
      <c r="N11" s="517"/>
      <c r="O11" s="517"/>
      <c r="P11" s="517"/>
      <c r="Q11" s="526" t="s">
        <v>126</v>
      </c>
      <c r="R11" s="526" t="s">
        <v>127</v>
      </c>
      <c r="S11" s="526" t="s">
        <v>128</v>
      </c>
      <c r="T11" s="526" t="s">
        <v>129</v>
      </c>
      <c r="U11" s="526" t="s">
        <v>130</v>
      </c>
      <c r="V11" s="526" t="s">
        <v>131</v>
      </c>
      <c r="W11" s="526"/>
      <c r="X11" s="520"/>
      <c r="Y11" s="520"/>
      <c r="Z11" s="520"/>
      <c r="AA11" s="520"/>
      <c r="AB11" s="520"/>
      <c r="AC11" s="11" t="s">
        <v>132</v>
      </c>
      <c r="AD11" s="11" t="s">
        <v>133</v>
      </c>
      <c r="AE11" s="11" t="s">
        <v>134</v>
      </c>
      <c r="AF11" s="11" t="s">
        <v>158</v>
      </c>
      <c r="AG11" s="522"/>
    </row>
    <row r="12" spans="1:71" ht="30.75" customHeight="1" x14ac:dyDescent="0.25">
      <c r="A12" s="522"/>
      <c r="B12" s="522"/>
      <c r="C12" s="522"/>
      <c r="D12" s="518"/>
      <c r="E12" s="518"/>
      <c r="F12" s="518"/>
      <c r="G12" s="518"/>
      <c r="H12" s="518"/>
      <c r="I12" s="522"/>
      <c r="J12" s="522"/>
      <c r="K12" s="518"/>
      <c r="L12" s="518"/>
      <c r="M12" s="518"/>
      <c r="N12" s="518"/>
      <c r="O12" s="518"/>
      <c r="P12" s="518"/>
      <c r="Q12" s="526"/>
      <c r="R12" s="526"/>
      <c r="S12" s="526"/>
      <c r="T12" s="526"/>
      <c r="U12" s="526"/>
      <c r="V12" s="526"/>
      <c r="W12" s="526"/>
      <c r="X12" s="521"/>
      <c r="Y12" s="521"/>
      <c r="Z12" s="521"/>
      <c r="AA12" s="521"/>
      <c r="AB12" s="521"/>
      <c r="AC12" s="5">
        <v>0.08</v>
      </c>
      <c r="AD12" s="6">
        <v>1.4999999999999999E-2</v>
      </c>
      <c r="AE12" s="5">
        <v>0.01</v>
      </c>
      <c r="AF12" s="5"/>
      <c r="AG12" s="522"/>
    </row>
    <row r="13" spans="1:71" s="9" customFormat="1" x14ac:dyDescent="0.25">
      <c r="A13" s="249" t="s">
        <v>101</v>
      </c>
      <c r="B13" s="257" t="str">
        <f>VLOOKUP(A13,'Mã NV'!$A$2:$C$71,2,0)</f>
        <v>Nguyễn Văn Chiến</v>
      </c>
      <c r="C13" s="257" t="str">
        <f>VLOOKUP(A13,'Mã NV'!$A$2:$C$14,3,0)</f>
        <v>Công nhân</v>
      </c>
      <c r="D13" s="264">
        <v>40561</v>
      </c>
      <c r="E13" s="228">
        <f>IF(ISNA(ROUND(($D$9-D13)/30,0)),0,ROUND(($D$9-D13)/30,0))</f>
        <v>-1352</v>
      </c>
      <c r="F13" s="265">
        <f t="shared" ref="F13:F34" si="0">IF(E13&lt;37,0%,3%+(ROUNDDOWN((E13-37)/12,0))/100)</f>
        <v>0</v>
      </c>
      <c r="G13" s="257" t="s">
        <v>285</v>
      </c>
      <c r="H13" s="257">
        <v>1</v>
      </c>
      <c r="I13" s="228">
        <f>VLOOKUP(G13,'thang luong'!B:I,' Bang luong'!H13+1,0)</f>
        <v>4213125</v>
      </c>
      <c r="J13" s="228">
        <v>4012500</v>
      </c>
      <c r="K13" s="120">
        <f>VLOOKUP(A13,'CHẤM CÔNG TRONG THÁNG'!$A$6:$BR$69,34,0)</f>
        <v>25</v>
      </c>
      <c r="L13" s="228">
        <f>VLOOKUP(A13,'CHẤM CÔNG TRONG THÁNG'!$A$6:$BR$69,36,0)</f>
        <v>1</v>
      </c>
      <c r="M13" s="228">
        <f>VLOOKUP(A13,'CHẤM CÔNG TRONG THÁNG'!$A$6:$BR$69,37,0)</f>
        <v>0</v>
      </c>
      <c r="N13" s="228">
        <f>J13/$N$9*K13</f>
        <v>3858173.0769230765</v>
      </c>
      <c r="O13" s="228">
        <f>L13*J13/$N$9+M13*J13/$N$9</f>
        <v>154326.92307692306</v>
      </c>
      <c r="P13" s="228">
        <f>N13+O13</f>
        <v>4012499.9999999995</v>
      </c>
      <c r="Q13" s="228">
        <f>VLOOKUP(A13,'CHẤM CÔNG TRONG THÁNG'!$A$6:$BS$22,71,0)*22000</f>
        <v>22000</v>
      </c>
      <c r="R13" s="228"/>
      <c r="S13" s="228"/>
      <c r="T13" s="228"/>
      <c r="U13" s="228"/>
      <c r="V13" s="228"/>
      <c r="W13" s="228">
        <f>SUM(Q13:V13)</f>
        <v>22000</v>
      </c>
      <c r="X13" s="228">
        <f ca="1">VLOOKUP(A13,'Tổng hợp trong giờ'!$A$15:$CA$37,77,0)-N13</f>
        <v>8250013.3063504547</v>
      </c>
      <c r="Y13" s="228">
        <f ca="1">IF(X13&lt;0,D9P13+W13,P13+W13+X13)</f>
        <v>12284513.306350455</v>
      </c>
      <c r="Z13" s="228">
        <f>VLOOKUP(B13,'ung luong'!$B$3:$D$27,3,0)</f>
        <v>4000000</v>
      </c>
      <c r="AA13" s="228"/>
      <c r="AB13" s="228">
        <v>4577000</v>
      </c>
      <c r="AC13" s="266">
        <f t="shared" ref="AC13:AC24" si="1">AB13*$AC$12</f>
        <v>366160</v>
      </c>
      <c r="AD13" s="266">
        <f t="shared" ref="AD13:AD24" si="2">AB13*$AD$12</f>
        <v>68655</v>
      </c>
      <c r="AE13" s="266">
        <f t="shared" ref="AE13:AE24" si="3">AB13*$AE$12</f>
        <v>45770</v>
      </c>
      <c r="AF13" s="266">
        <f>SUM(AC13:AE13)</f>
        <v>480585</v>
      </c>
      <c r="AG13" s="472">
        <f ca="1">ROUND(Y13-Z13+AA13-AF13,-4)</f>
        <v>7800000</v>
      </c>
      <c r="AH13" s="312">
        <v>2700000</v>
      </c>
      <c r="AI13" s="483">
        <f ca="1">AG13-AH13</f>
        <v>5100000</v>
      </c>
      <c r="AJ13" s="371">
        <v>2700000</v>
      </c>
      <c r="AK13" s="485">
        <f>AH13-AJ13</f>
        <v>0</v>
      </c>
    </row>
    <row r="14" spans="1:71" s="9" customFormat="1" x14ac:dyDescent="0.25">
      <c r="A14" s="249" t="s">
        <v>102</v>
      </c>
      <c r="B14" s="257" t="str">
        <f>VLOOKUP(A14,'Mã NV'!$A$2:$C$71,2,0)</f>
        <v>Ngô Văn Thanh</v>
      </c>
      <c r="C14" s="257" t="str">
        <f>VLOOKUP(A14,'Mã NV'!$A$2:$C$14,3,0)</f>
        <v>Công nhân</v>
      </c>
      <c r="D14" s="264">
        <v>40596</v>
      </c>
      <c r="E14" s="228">
        <f t="shared" ref="E14:E34" si="4">IF(ISNA(ROUND(($D$9-D14)/30,0)),0,ROUND(($D$9-D14)/30,0))</f>
        <v>-1353</v>
      </c>
      <c r="F14" s="265">
        <f t="shared" si="0"/>
        <v>0</v>
      </c>
      <c r="G14" s="257" t="s">
        <v>285</v>
      </c>
      <c r="H14" s="257">
        <v>1</v>
      </c>
      <c r="I14" s="228">
        <f>VLOOKUP(G14,'thang luong'!B:I,' Bang luong'!H14+1,0)</f>
        <v>4213125</v>
      </c>
      <c r="J14" s="228">
        <v>4012500</v>
      </c>
      <c r="K14" s="120">
        <f>VLOOKUP(A14,'CHẤM CÔNG TRONG THÁNG'!$A$6:$BR$69,34,0)</f>
        <v>26</v>
      </c>
      <c r="L14" s="228">
        <f>VLOOKUP(A14,'CHẤM CÔNG TRONG THÁNG'!$A$6:$BR$69,36,0)</f>
        <v>0</v>
      </c>
      <c r="M14" s="228">
        <f>VLOOKUP(A14,'CHẤM CÔNG TRONG THÁNG'!$A$6:$BR$69,37,0)</f>
        <v>0</v>
      </c>
      <c r="N14" s="228">
        <f t="shared" ref="N14:N26" si="5">J14/$N$9*K14</f>
        <v>4012499.9999999995</v>
      </c>
      <c r="O14" s="228">
        <f t="shared" ref="O14:O34" si="6">L14*J14/$N$9+M14*J14/$N$9</f>
        <v>0</v>
      </c>
      <c r="P14" s="228">
        <f t="shared" ref="P14:P34" si="7">N14+O14</f>
        <v>4012499.9999999995</v>
      </c>
      <c r="Q14" s="228">
        <f>VLOOKUP(A14,'CHẤM CÔNG TRONG THÁNG'!$A$6:$BS$22,71,0)*22000</f>
        <v>44000</v>
      </c>
      <c r="R14" s="228"/>
      <c r="S14" s="228"/>
      <c r="T14" s="228"/>
      <c r="U14" s="228"/>
      <c r="V14" s="228"/>
      <c r="W14" s="228">
        <f t="shared" ref="W14:W26" si="8">SUM(Q14:V14)</f>
        <v>44000</v>
      </c>
      <c r="X14" s="228">
        <f ca="1">VLOOKUP(A14,'Tổng hợp trong giờ'!$A$15:$CA$37,77,0)-N14</f>
        <v>8773539.6708358321</v>
      </c>
      <c r="Y14" s="228">
        <f ca="1">IF(X14&lt;0,D9P13+W14,P14+W14+X14)</f>
        <v>12830039.670835832</v>
      </c>
      <c r="Z14" s="228">
        <f>VLOOKUP(B14,'ung luong'!$B$3:$D$27,3,0)</f>
        <v>0</v>
      </c>
      <c r="AA14" s="228"/>
      <c r="AB14" s="228">
        <v>4577000</v>
      </c>
      <c r="AC14" s="266">
        <f t="shared" si="1"/>
        <v>366160</v>
      </c>
      <c r="AD14" s="266">
        <f t="shared" si="2"/>
        <v>68655</v>
      </c>
      <c r="AE14" s="266">
        <f t="shared" si="3"/>
        <v>45770</v>
      </c>
      <c r="AF14" s="266">
        <f t="shared" ref="AF14:AF24" si="9">SUM(AC14:AE14)</f>
        <v>480585</v>
      </c>
      <c r="AG14" s="472">
        <f t="shared" ref="AG14:AG33" ca="1" si="10">ROUND(Y14-Z14+AA14-AF14,-4)</f>
        <v>12350000</v>
      </c>
      <c r="AH14" s="312">
        <v>12350000</v>
      </c>
      <c r="AI14" s="312">
        <f t="shared" ref="AI14:AI34" ca="1" si="11">AG14-AH14</f>
        <v>0</v>
      </c>
      <c r="AJ14" s="371">
        <v>12350000</v>
      </c>
      <c r="AK14" s="485">
        <f t="shared" ref="AK14:AK34" si="12">AH14-AJ14</f>
        <v>0</v>
      </c>
    </row>
    <row r="15" spans="1:71" s="9" customFormat="1" x14ac:dyDescent="0.25">
      <c r="A15" s="249" t="s">
        <v>103</v>
      </c>
      <c r="B15" s="257" t="str">
        <f>VLOOKUP(A15,'Mã NV'!$A$2:$C$71,2,0)</f>
        <v>Võ Văn Giàu</v>
      </c>
      <c r="C15" s="257" t="str">
        <f>VLOOKUP(A15,'Mã NV'!$A$2:$C$14,3,0)</f>
        <v>Công nhân</v>
      </c>
      <c r="D15" s="264">
        <v>42415</v>
      </c>
      <c r="E15" s="228">
        <f t="shared" si="4"/>
        <v>-1414</v>
      </c>
      <c r="F15" s="265">
        <f t="shared" si="0"/>
        <v>0</v>
      </c>
      <c r="G15" s="257" t="s">
        <v>285</v>
      </c>
      <c r="H15" s="257">
        <v>1</v>
      </c>
      <c r="I15" s="228">
        <f>VLOOKUP(G15,'thang luong'!B:I,' Bang luong'!H15+1,0)</f>
        <v>4213125</v>
      </c>
      <c r="J15" s="228">
        <v>4012500</v>
      </c>
      <c r="K15" s="120">
        <f>VLOOKUP(A15,'CHẤM CÔNG TRONG THÁNG'!$A$6:$BR$69,34,0)</f>
        <v>26</v>
      </c>
      <c r="L15" s="228">
        <f>VLOOKUP(A15,'CHẤM CÔNG TRONG THÁNG'!$A$6:$BR$69,36,0)</f>
        <v>0</v>
      </c>
      <c r="M15" s="228">
        <f>VLOOKUP(A15,'CHẤM CÔNG TRONG THÁNG'!$A$6:$BR$69,37,0)</f>
        <v>0</v>
      </c>
      <c r="N15" s="228">
        <f t="shared" si="5"/>
        <v>4012499.9999999995</v>
      </c>
      <c r="O15" s="228">
        <f t="shared" si="6"/>
        <v>0</v>
      </c>
      <c r="P15" s="228">
        <f t="shared" si="7"/>
        <v>4012499.9999999995</v>
      </c>
      <c r="Q15" s="228">
        <f>VLOOKUP(A15,'CHẤM CÔNG TRONG THÁNG'!$A$6:$BS$22,71,0)*22000</f>
        <v>22000</v>
      </c>
      <c r="R15" s="228"/>
      <c r="S15" s="228"/>
      <c r="T15" s="228"/>
      <c r="U15" s="228"/>
      <c r="V15" s="228"/>
      <c r="W15" s="228">
        <f t="shared" si="8"/>
        <v>22000</v>
      </c>
      <c r="X15" s="228">
        <f ca="1">VLOOKUP(A15,'Tổng hợp trong giờ'!$A$15:$CA$37,77,0)-N15</f>
        <v>9514522.1043587197</v>
      </c>
      <c r="Y15" s="228">
        <f ca="1">IF(X15&lt;0,D9P13+W15,P15+W15+X15)</f>
        <v>13549022.10435872</v>
      </c>
      <c r="Z15" s="228">
        <f>VLOOKUP(B15,'ung luong'!$B$3:$D$27,3,0)</f>
        <v>4000000</v>
      </c>
      <c r="AA15" s="228"/>
      <c r="AB15" s="228">
        <v>4577000</v>
      </c>
      <c r="AC15" s="266">
        <f t="shared" si="1"/>
        <v>366160</v>
      </c>
      <c r="AD15" s="266">
        <f t="shared" si="2"/>
        <v>68655</v>
      </c>
      <c r="AE15" s="266">
        <f t="shared" si="3"/>
        <v>45770</v>
      </c>
      <c r="AF15" s="266">
        <f t="shared" si="9"/>
        <v>480585</v>
      </c>
      <c r="AG15" s="472">
        <f t="shared" ca="1" si="10"/>
        <v>9070000</v>
      </c>
      <c r="AH15" s="312">
        <v>5240000</v>
      </c>
      <c r="AI15" s="483">
        <f ca="1">AG15-AH15</f>
        <v>3830000</v>
      </c>
      <c r="AJ15" s="371">
        <v>3360000</v>
      </c>
      <c r="AK15" s="485">
        <f t="shared" si="12"/>
        <v>1880000</v>
      </c>
    </row>
    <row r="16" spans="1:71" s="9" customFormat="1" x14ac:dyDescent="0.25">
      <c r="A16" s="249" t="s">
        <v>105</v>
      </c>
      <c r="B16" s="257" t="str">
        <f>VLOOKUP(A16,'Mã NV'!$A$2:$C$71,2,0)</f>
        <v>Lê Phi Trung</v>
      </c>
      <c r="C16" s="257" t="str">
        <f>VLOOKUP(A16,'Mã NV'!$A$2:$C$14,3,0)</f>
        <v>Công nhân</v>
      </c>
      <c r="D16" s="264">
        <v>42419</v>
      </c>
      <c r="E16" s="228">
        <f t="shared" si="4"/>
        <v>-1414</v>
      </c>
      <c r="F16" s="265">
        <f t="shared" si="0"/>
        <v>0</v>
      </c>
      <c r="G16" s="257" t="s">
        <v>285</v>
      </c>
      <c r="H16" s="257">
        <v>1</v>
      </c>
      <c r="I16" s="228">
        <f>VLOOKUP(G16,'thang luong'!B:I,' Bang luong'!H16+1,0)</f>
        <v>4213125</v>
      </c>
      <c r="J16" s="228">
        <v>4012500</v>
      </c>
      <c r="K16" s="120">
        <f>VLOOKUP(A16,'CHẤM CÔNG TRONG THÁNG'!$A$6:$BR$69,34,0)</f>
        <v>25</v>
      </c>
      <c r="L16" s="228">
        <f>VLOOKUP(A16,'CHẤM CÔNG TRONG THÁNG'!$A$6:$BR$69,36,0)</f>
        <v>1</v>
      </c>
      <c r="M16" s="228">
        <f>VLOOKUP(A16,'CHẤM CÔNG TRONG THÁNG'!$A$6:$BR$69,37,0)</f>
        <v>0</v>
      </c>
      <c r="N16" s="228">
        <f t="shared" si="5"/>
        <v>3858173.0769230765</v>
      </c>
      <c r="O16" s="228">
        <f t="shared" si="6"/>
        <v>154326.92307692306</v>
      </c>
      <c r="P16" s="228">
        <f t="shared" si="7"/>
        <v>4012499.9999999995</v>
      </c>
      <c r="Q16" s="228">
        <f>VLOOKUP(A16,'CHẤM CÔNG TRONG THÁNG'!$A$6:$BS$22,71,0)*22000</f>
        <v>66000</v>
      </c>
      <c r="R16" s="228"/>
      <c r="S16" s="228"/>
      <c r="T16" s="228"/>
      <c r="U16" s="228"/>
      <c r="V16" s="228"/>
      <c r="W16" s="228">
        <f t="shared" si="8"/>
        <v>66000</v>
      </c>
      <c r="X16" s="228">
        <f ca="1">VLOOKUP(A16,'Tổng hợp trong giờ'!$A$15:$CA$37,77,0)-N16</f>
        <v>9721782.0497327913</v>
      </c>
      <c r="Y16" s="228">
        <f ca="1">IF(X16&lt;0,D9P13+W16,P16+W16+X16)</f>
        <v>13800282.049732791</v>
      </c>
      <c r="Z16" s="228">
        <f>VLOOKUP(B16,'ung luong'!$B$3:$D$27,3,0)</f>
        <v>4000000</v>
      </c>
      <c r="AA16" s="228"/>
      <c r="AB16" s="228">
        <v>4577000</v>
      </c>
      <c r="AC16" s="266">
        <f t="shared" si="1"/>
        <v>366160</v>
      </c>
      <c r="AD16" s="266">
        <f t="shared" si="2"/>
        <v>68655</v>
      </c>
      <c r="AE16" s="266">
        <f t="shared" si="3"/>
        <v>45770</v>
      </c>
      <c r="AF16" s="266">
        <f>SUM(AC16:AE16)</f>
        <v>480585</v>
      </c>
      <c r="AG16" s="472">
        <f t="shared" ca="1" si="10"/>
        <v>9320000</v>
      </c>
      <c r="AH16" s="312">
        <v>9320000</v>
      </c>
      <c r="AI16" s="312">
        <f t="shared" ca="1" si="11"/>
        <v>0</v>
      </c>
      <c r="AJ16" s="371">
        <v>9320000</v>
      </c>
      <c r="AK16" s="485">
        <f t="shared" si="12"/>
        <v>0</v>
      </c>
    </row>
    <row r="17" spans="1:37" s="9" customFormat="1" x14ac:dyDescent="0.25">
      <c r="A17" s="249" t="s">
        <v>106</v>
      </c>
      <c r="B17" s="257" t="str">
        <f>VLOOKUP(A17,'Mã NV'!$A$2:$C$71,2,0)</f>
        <v>Lâm Văn Thương</v>
      </c>
      <c r="C17" s="257" t="str">
        <f>VLOOKUP(A17,'Mã NV'!$A$2:$C$14,3,0)</f>
        <v>Công nhân</v>
      </c>
      <c r="D17" s="264">
        <v>42420</v>
      </c>
      <c r="E17" s="228">
        <f t="shared" si="4"/>
        <v>-1414</v>
      </c>
      <c r="F17" s="265">
        <f t="shared" si="0"/>
        <v>0</v>
      </c>
      <c r="G17" s="257" t="s">
        <v>285</v>
      </c>
      <c r="H17" s="257">
        <v>1</v>
      </c>
      <c r="I17" s="228">
        <f>VLOOKUP(G17,'thang luong'!B:I,' Bang luong'!H17+1,0)</f>
        <v>4213125</v>
      </c>
      <c r="J17" s="228">
        <v>4012500</v>
      </c>
      <c r="K17" s="120">
        <f>VLOOKUP(A17,'CHẤM CÔNG TRONG THÁNG'!$A$6:$BR$69,34,0)</f>
        <v>26</v>
      </c>
      <c r="L17" s="228">
        <f>VLOOKUP(A17,'CHẤM CÔNG TRONG THÁNG'!$A$6:$BR$69,36,0)</f>
        <v>0</v>
      </c>
      <c r="M17" s="228">
        <f>VLOOKUP(A17,'CHẤM CÔNG TRONG THÁNG'!$A$6:$BR$69,37,0)</f>
        <v>0</v>
      </c>
      <c r="N17" s="228">
        <f t="shared" si="5"/>
        <v>4012499.9999999995</v>
      </c>
      <c r="O17" s="228">
        <f t="shared" si="6"/>
        <v>0</v>
      </c>
      <c r="P17" s="228">
        <f t="shared" si="7"/>
        <v>4012499.9999999995</v>
      </c>
      <c r="Q17" s="228">
        <f>VLOOKUP(A17,'CHẤM CÔNG TRONG THÁNG'!$A$6:$BS$22,71,0)*22000</f>
        <v>22000</v>
      </c>
      <c r="R17" s="228"/>
      <c r="S17" s="228"/>
      <c r="T17" s="228"/>
      <c r="U17" s="228"/>
      <c r="V17" s="228"/>
      <c r="W17" s="228">
        <f t="shared" si="8"/>
        <v>22000</v>
      </c>
      <c r="X17" s="228">
        <f ca="1">VLOOKUP(A17,'Tổng hợp trong giờ'!$A$15:$CA$37,77,0)-N17</f>
        <v>8102585.060384078</v>
      </c>
      <c r="Y17" s="228">
        <f ca="1">IF(X17&lt;0,D9P13+W17,P17+W17+X17)</f>
        <v>12137085.060384078</v>
      </c>
      <c r="Z17" s="228">
        <f>VLOOKUP(B17,'ung luong'!$B$3:$D$27,3,0)</f>
        <v>4000000</v>
      </c>
      <c r="AA17" s="228"/>
      <c r="AB17" s="228">
        <v>4577000</v>
      </c>
      <c r="AC17" s="266">
        <f t="shared" si="1"/>
        <v>366160</v>
      </c>
      <c r="AD17" s="266">
        <f t="shared" si="2"/>
        <v>68655</v>
      </c>
      <c r="AE17" s="266">
        <f t="shared" si="3"/>
        <v>45770</v>
      </c>
      <c r="AF17" s="266">
        <f t="shared" si="9"/>
        <v>480585</v>
      </c>
      <c r="AG17" s="472">
        <f t="shared" ca="1" si="10"/>
        <v>7660000</v>
      </c>
      <c r="AH17" s="312">
        <v>7660000</v>
      </c>
      <c r="AI17" s="312">
        <f t="shared" ca="1" si="11"/>
        <v>0</v>
      </c>
      <c r="AJ17" s="371">
        <v>7660000</v>
      </c>
      <c r="AK17" s="485">
        <f t="shared" si="12"/>
        <v>0</v>
      </c>
    </row>
    <row r="18" spans="1:37" s="9" customFormat="1" x14ac:dyDescent="0.25">
      <c r="A18" s="249" t="s">
        <v>107</v>
      </c>
      <c r="B18" s="257" t="str">
        <f>VLOOKUP(A18,'Mã NV'!$A$2:$C$71,2,0)</f>
        <v>Võ Văn Có</v>
      </c>
      <c r="C18" s="257" t="str">
        <f>VLOOKUP(A18,'Mã NV'!$A$2:$C$14,3,0)</f>
        <v>Công nhân</v>
      </c>
      <c r="D18" s="264">
        <v>42424</v>
      </c>
      <c r="E18" s="228">
        <f t="shared" si="4"/>
        <v>-1414</v>
      </c>
      <c r="F18" s="265">
        <f t="shared" si="0"/>
        <v>0</v>
      </c>
      <c r="G18" s="257" t="s">
        <v>285</v>
      </c>
      <c r="H18" s="257">
        <v>1</v>
      </c>
      <c r="I18" s="228">
        <f>VLOOKUP(G18,'thang luong'!B:I,' Bang luong'!H18+1,0)</f>
        <v>4213125</v>
      </c>
      <c r="J18" s="228">
        <v>4012500</v>
      </c>
      <c r="K18" s="120">
        <f>VLOOKUP(A18,'CHẤM CÔNG TRONG THÁNG'!$A$6:$BR$69,34,0)</f>
        <v>26</v>
      </c>
      <c r="L18" s="228">
        <f>VLOOKUP(A18,'CHẤM CÔNG TRONG THÁNG'!$A$6:$BR$69,36,0)</f>
        <v>0</v>
      </c>
      <c r="M18" s="228">
        <f>VLOOKUP(A18,'CHẤM CÔNG TRONG THÁNG'!$A$6:$BR$69,37,0)</f>
        <v>0</v>
      </c>
      <c r="N18" s="228">
        <f t="shared" si="5"/>
        <v>4012499.9999999995</v>
      </c>
      <c r="O18" s="228">
        <f t="shared" si="6"/>
        <v>0</v>
      </c>
      <c r="P18" s="228">
        <f t="shared" si="7"/>
        <v>4012499.9999999995</v>
      </c>
      <c r="Q18" s="228">
        <f>VLOOKUP(A18,'CHẤM CÔNG TRONG THÁNG'!$A$6:$BS$22,71,0)*22000</f>
        <v>22000</v>
      </c>
      <c r="R18" s="228"/>
      <c r="S18" s="228"/>
      <c r="T18" s="228"/>
      <c r="U18" s="228"/>
      <c r="V18" s="228"/>
      <c r="W18" s="228">
        <f t="shared" si="8"/>
        <v>22000</v>
      </c>
      <c r="X18" s="228">
        <f ca="1">VLOOKUP(A18,'Tổng hợp trong giờ'!$A$15:$CA$37,77,0)-N18</f>
        <v>9712515.7264160663</v>
      </c>
      <c r="Y18" s="228">
        <f ca="1">IF(X18&lt;0,D9P13+W18,P18+W18+X18)</f>
        <v>13747015.726416066</v>
      </c>
      <c r="Z18" s="228">
        <f>VLOOKUP(B18,'ung luong'!$B$3:$D$27,3,0)</f>
        <v>4000000</v>
      </c>
      <c r="AA18" s="228"/>
      <c r="AB18" s="228">
        <v>4577000</v>
      </c>
      <c r="AC18" s="266">
        <f t="shared" si="1"/>
        <v>366160</v>
      </c>
      <c r="AD18" s="266">
        <f t="shared" si="2"/>
        <v>68655</v>
      </c>
      <c r="AE18" s="266">
        <f t="shared" si="3"/>
        <v>45770</v>
      </c>
      <c r="AF18" s="266">
        <f t="shared" si="9"/>
        <v>480585</v>
      </c>
      <c r="AG18" s="472">
        <f t="shared" ca="1" si="10"/>
        <v>9270000</v>
      </c>
      <c r="AH18" s="312">
        <v>3700000</v>
      </c>
      <c r="AI18" s="483">
        <f t="shared" ca="1" si="11"/>
        <v>5570000</v>
      </c>
      <c r="AJ18" s="371">
        <v>3700000</v>
      </c>
      <c r="AK18" s="485">
        <f t="shared" si="12"/>
        <v>0</v>
      </c>
    </row>
    <row r="19" spans="1:37" s="9" customFormat="1" x14ac:dyDescent="0.25">
      <c r="A19" s="249" t="s">
        <v>108</v>
      </c>
      <c r="B19" s="257" t="str">
        <f>VLOOKUP(A19,'Mã NV'!$A$2:$C$71,2,0)</f>
        <v>Lê Minh Nghĩa</v>
      </c>
      <c r="C19" s="257" t="str">
        <f>VLOOKUP(A19,'Mã NV'!$A$2:$C$14,3,0)</f>
        <v>Công nhân</v>
      </c>
      <c r="D19" s="264">
        <v>42522</v>
      </c>
      <c r="E19" s="228">
        <f t="shared" si="4"/>
        <v>-1417</v>
      </c>
      <c r="F19" s="265">
        <f t="shared" si="0"/>
        <v>0</v>
      </c>
      <c r="G19" s="257" t="s">
        <v>285</v>
      </c>
      <c r="H19" s="257">
        <v>1</v>
      </c>
      <c r="I19" s="228">
        <f>VLOOKUP(G19,'thang luong'!B:I,' Bang luong'!H19+1,0)</f>
        <v>4213125</v>
      </c>
      <c r="J19" s="228">
        <v>4012500</v>
      </c>
      <c r="K19" s="120">
        <f>VLOOKUP(A19,'CHẤM CÔNG TRONG THÁNG'!$A$6:$BR$69,34,0)</f>
        <v>15</v>
      </c>
      <c r="L19" s="228">
        <f>VLOOKUP(A19,'CHẤM CÔNG TRONG THÁNG'!$A$6:$BR$69,36,0)</f>
        <v>0</v>
      </c>
      <c r="M19" s="228">
        <f>VLOOKUP(A19,'CHẤM CÔNG TRONG THÁNG'!$A$6:$BR$69,37,0)</f>
        <v>0</v>
      </c>
      <c r="N19" s="228">
        <f t="shared" si="5"/>
        <v>2314903.846153846</v>
      </c>
      <c r="O19" s="228">
        <f t="shared" si="6"/>
        <v>0</v>
      </c>
      <c r="P19" s="228">
        <f t="shared" si="7"/>
        <v>2314903.846153846</v>
      </c>
      <c r="Q19" s="228">
        <f>VLOOKUP(A19,'CHẤM CÔNG TRONG THÁNG'!$A$6:$BS$22,71,0)*22000</f>
        <v>0</v>
      </c>
      <c r="R19" s="228"/>
      <c r="S19" s="228"/>
      <c r="T19" s="228"/>
      <c r="U19" s="228"/>
      <c r="V19" s="228"/>
      <c r="W19" s="228">
        <f t="shared" si="8"/>
        <v>0</v>
      </c>
      <c r="X19" s="228">
        <f ca="1">VLOOKUP(A19,'Tổng hợp trong giờ'!$A$15:$CA$37,77,0)-N19</f>
        <v>5080856.8486198718</v>
      </c>
      <c r="Y19" s="228">
        <f ca="1">IF(X19&lt;0,D9P13+W19,P19+W19+X19)</f>
        <v>7395760.6947737178</v>
      </c>
      <c r="Z19" s="228">
        <f>VLOOKUP(B19,'ung luong'!$B$3:$D$27,3,0)</f>
        <v>4000000</v>
      </c>
      <c r="AA19" s="228"/>
      <c r="AB19" s="228">
        <v>4577000</v>
      </c>
      <c r="AC19" s="266">
        <f t="shared" si="1"/>
        <v>366160</v>
      </c>
      <c r="AD19" s="266">
        <f t="shared" si="2"/>
        <v>68655</v>
      </c>
      <c r="AE19" s="266">
        <f t="shared" si="3"/>
        <v>45770</v>
      </c>
      <c r="AF19" s="266">
        <f t="shared" si="9"/>
        <v>480585</v>
      </c>
      <c r="AG19" s="472">
        <f ca="1">ROUND(Y19-Z19+AA19-AF19,-4)</f>
        <v>2920000</v>
      </c>
      <c r="AH19" s="371">
        <v>2920000</v>
      </c>
      <c r="AI19" s="312">
        <f t="shared" ca="1" si="11"/>
        <v>0</v>
      </c>
      <c r="AJ19" s="371">
        <v>2920000</v>
      </c>
      <c r="AK19" s="485">
        <f t="shared" si="12"/>
        <v>0</v>
      </c>
    </row>
    <row r="20" spans="1:37" s="9" customFormat="1" x14ac:dyDescent="0.25">
      <c r="A20" s="249" t="s">
        <v>109</v>
      </c>
      <c r="B20" s="257" t="str">
        <f>VLOOKUP(A20,'Mã NV'!$A$2:$C$71,2,0)</f>
        <v>Trần Văn Tây</v>
      </c>
      <c r="C20" s="257" t="str">
        <f>VLOOKUP(A20,'Mã NV'!$A$2:$C$14,3,0)</f>
        <v>Công nhân</v>
      </c>
      <c r="D20" s="264">
        <v>42528</v>
      </c>
      <c r="E20" s="228">
        <f t="shared" si="4"/>
        <v>-1418</v>
      </c>
      <c r="F20" s="265">
        <f t="shared" si="0"/>
        <v>0</v>
      </c>
      <c r="G20" s="257" t="s">
        <v>285</v>
      </c>
      <c r="H20" s="257">
        <v>1</v>
      </c>
      <c r="I20" s="228">
        <f>VLOOKUP(G20,'thang luong'!B:I,' Bang luong'!H20+1,0)</f>
        <v>4213125</v>
      </c>
      <c r="J20" s="228">
        <v>4012500</v>
      </c>
      <c r="K20" s="120">
        <f>VLOOKUP(A20,'CHẤM CÔNG TRONG THÁNG'!$A$6:$BR$69,34,0)</f>
        <v>25</v>
      </c>
      <c r="L20" s="228">
        <f>VLOOKUP(A20,'CHẤM CÔNG TRONG THÁNG'!$A$6:$BR$69,36,0)</f>
        <v>1</v>
      </c>
      <c r="M20" s="228">
        <f>VLOOKUP(A20,'CHẤM CÔNG TRONG THÁNG'!$A$6:$BR$69,37,0)</f>
        <v>0</v>
      </c>
      <c r="N20" s="228">
        <f t="shared" si="5"/>
        <v>3858173.0769230765</v>
      </c>
      <c r="O20" s="228">
        <f t="shared" si="6"/>
        <v>154326.92307692306</v>
      </c>
      <c r="P20" s="228">
        <f t="shared" si="7"/>
        <v>4012499.9999999995</v>
      </c>
      <c r="Q20" s="228">
        <f>VLOOKUP(A20,'CHẤM CÔNG TRONG THÁNG'!$A$6:$BS$22,71,0)*22000</f>
        <v>44000</v>
      </c>
      <c r="R20" s="228"/>
      <c r="S20" s="228"/>
      <c r="T20" s="228"/>
      <c r="U20" s="228"/>
      <c r="V20" s="228"/>
      <c r="W20" s="228">
        <f t="shared" si="8"/>
        <v>44000</v>
      </c>
      <c r="X20" s="228">
        <f ca="1">VLOOKUP(A20,'Tổng hợp trong giờ'!$A$15:$CA$37,77,0)-N20</f>
        <v>9260567.0371135939</v>
      </c>
      <c r="Y20" s="228">
        <f ca="1">IF(X20&lt;0,D9P13+W20,P20+W20+X20)</f>
        <v>13317067.037113594</v>
      </c>
      <c r="Z20" s="228">
        <f>VLOOKUP(B20,'ung luong'!$B$3:$D$27,3,0)</f>
        <v>4000000</v>
      </c>
      <c r="AA20" s="228"/>
      <c r="AB20" s="228">
        <v>4577000</v>
      </c>
      <c r="AC20" s="266">
        <f t="shared" si="1"/>
        <v>366160</v>
      </c>
      <c r="AD20" s="266">
        <f t="shared" si="2"/>
        <v>68655</v>
      </c>
      <c r="AE20" s="266">
        <f t="shared" si="3"/>
        <v>45770</v>
      </c>
      <c r="AF20" s="266">
        <f t="shared" si="9"/>
        <v>480585</v>
      </c>
      <c r="AG20" s="472">
        <f t="shared" ca="1" si="10"/>
        <v>8840000</v>
      </c>
      <c r="AH20" s="312">
        <v>2820000</v>
      </c>
      <c r="AI20" s="483">
        <f t="shared" ca="1" si="11"/>
        <v>6020000</v>
      </c>
      <c r="AJ20" s="371">
        <v>2820000</v>
      </c>
      <c r="AK20" s="485">
        <f t="shared" si="12"/>
        <v>0</v>
      </c>
    </row>
    <row r="21" spans="1:37" s="9" customFormat="1" x14ac:dyDescent="0.25">
      <c r="A21" s="249" t="s">
        <v>110</v>
      </c>
      <c r="B21" s="257" t="str">
        <f>VLOOKUP(A21,'Mã NV'!$A$2:$C$71,2,0)</f>
        <v>Huỳnh Huy Phụng</v>
      </c>
      <c r="C21" s="257" t="str">
        <f>VLOOKUP(A21,'Mã NV'!$A$2:$C$14,3,0)</f>
        <v>Công nhân</v>
      </c>
      <c r="D21" s="264">
        <v>42732</v>
      </c>
      <c r="E21" s="228">
        <f t="shared" si="4"/>
        <v>-1424</v>
      </c>
      <c r="F21" s="265">
        <f t="shared" si="0"/>
        <v>0</v>
      </c>
      <c r="G21" s="257" t="s">
        <v>285</v>
      </c>
      <c r="H21" s="257">
        <v>1</v>
      </c>
      <c r="I21" s="228">
        <f>VLOOKUP(G21,'thang luong'!B:I,' Bang luong'!H21+1,0)</f>
        <v>4213125</v>
      </c>
      <c r="J21" s="228">
        <v>4012500</v>
      </c>
      <c r="K21" s="120">
        <f>VLOOKUP(A21,'CHẤM CÔNG TRONG THÁNG'!$A$6:$BR$69,34,0)</f>
        <v>26</v>
      </c>
      <c r="L21" s="228">
        <f>VLOOKUP(A21,'CHẤM CÔNG TRONG THÁNG'!$A$6:$BR$69,36,0)</f>
        <v>0</v>
      </c>
      <c r="M21" s="228">
        <f>VLOOKUP(A21,'CHẤM CÔNG TRONG THÁNG'!$A$6:$BR$69,37,0)</f>
        <v>0</v>
      </c>
      <c r="N21" s="228">
        <f t="shared" si="5"/>
        <v>4012499.9999999995</v>
      </c>
      <c r="O21" s="228">
        <f t="shared" si="6"/>
        <v>0</v>
      </c>
      <c r="P21" s="228">
        <f t="shared" si="7"/>
        <v>4012499.9999999995</v>
      </c>
      <c r="Q21" s="228">
        <f>VLOOKUP(A21,'CHẤM CÔNG TRONG THÁNG'!$A$6:$BS$22,71,0)*22000</f>
        <v>66000</v>
      </c>
      <c r="R21" s="228"/>
      <c r="S21" s="228"/>
      <c r="T21" s="228"/>
      <c r="U21" s="228"/>
      <c r="V21" s="228"/>
      <c r="W21" s="228">
        <f t="shared" si="8"/>
        <v>66000</v>
      </c>
      <c r="X21" s="228">
        <f ca="1">VLOOKUP(A21,'Tổng hợp trong giờ'!$A$15:$CA$37,77,0)-N21</f>
        <v>10108340.628217435</v>
      </c>
      <c r="Y21" s="228">
        <f ca="1">IF(X21&lt;0,D9P13+W21,P21+W21+X21)</f>
        <v>14186840.628217435</v>
      </c>
      <c r="Z21" s="228">
        <f>VLOOKUP(B21,'ung luong'!$B$3:$D$27,3,0)</f>
        <v>4000000</v>
      </c>
      <c r="AA21" s="228"/>
      <c r="AB21" s="228">
        <v>4577000</v>
      </c>
      <c r="AC21" s="266">
        <f t="shared" si="1"/>
        <v>366160</v>
      </c>
      <c r="AD21" s="266">
        <f t="shared" si="2"/>
        <v>68655</v>
      </c>
      <c r="AE21" s="266">
        <f t="shared" si="3"/>
        <v>45770</v>
      </c>
      <c r="AF21" s="266">
        <f t="shared" si="9"/>
        <v>480585</v>
      </c>
      <c r="AG21" s="472">
        <f t="shared" ca="1" si="10"/>
        <v>9710000</v>
      </c>
      <c r="AH21" s="312">
        <v>9710000</v>
      </c>
      <c r="AI21" s="312">
        <f t="shared" ca="1" si="11"/>
        <v>0</v>
      </c>
      <c r="AJ21" s="371">
        <v>9710000</v>
      </c>
      <c r="AK21" s="485">
        <f t="shared" si="12"/>
        <v>0</v>
      </c>
    </row>
    <row r="22" spans="1:37" s="9" customFormat="1" x14ac:dyDescent="0.25">
      <c r="A22" s="249" t="s">
        <v>112</v>
      </c>
      <c r="B22" s="257" t="str">
        <f>VLOOKUP(A22,'Mã NV'!$A$2:$C$71,2,0)</f>
        <v>Lê Hiệp</v>
      </c>
      <c r="C22" s="257" t="str">
        <f>VLOOKUP(A22,'Mã NV'!$A$2:$C$14,3,0)</f>
        <v>Công nhân</v>
      </c>
      <c r="D22" s="264">
        <v>43159</v>
      </c>
      <c r="E22" s="228">
        <f t="shared" si="4"/>
        <v>-1439</v>
      </c>
      <c r="F22" s="265">
        <f t="shared" si="0"/>
        <v>0</v>
      </c>
      <c r="G22" s="257" t="s">
        <v>285</v>
      </c>
      <c r="H22" s="257">
        <v>1</v>
      </c>
      <c r="I22" s="228">
        <f>VLOOKUP(G22,'thang luong'!B:I,' Bang luong'!H22+1,0)</f>
        <v>4213125</v>
      </c>
      <c r="J22" s="228">
        <v>4012500</v>
      </c>
      <c r="K22" s="120">
        <f>VLOOKUP(A22,'CHẤM CÔNG TRONG THÁNG'!$A$6:$BR$69,34,0)</f>
        <v>26</v>
      </c>
      <c r="L22" s="228">
        <f>VLOOKUP(A22,'CHẤM CÔNG TRONG THÁNG'!$A$6:$BR$69,36,0)</f>
        <v>0</v>
      </c>
      <c r="M22" s="228">
        <f>VLOOKUP(A22,'CHẤM CÔNG TRONG THÁNG'!$A$6:$BR$69,37,0)</f>
        <v>0</v>
      </c>
      <c r="N22" s="228">
        <f t="shared" si="5"/>
        <v>4012499.9999999995</v>
      </c>
      <c r="O22" s="228">
        <f t="shared" si="6"/>
        <v>0</v>
      </c>
      <c r="P22" s="228">
        <f t="shared" si="7"/>
        <v>4012499.9999999995</v>
      </c>
      <c r="Q22" s="228">
        <f>VLOOKUP(A22,'CHẤM CÔNG TRONG THÁNG'!$A$6:$BS$22,71,0)*22000</f>
        <v>22000</v>
      </c>
      <c r="R22" s="228"/>
      <c r="S22" s="228"/>
      <c r="T22" s="228"/>
      <c r="U22" s="228"/>
      <c r="V22" s="228"/>
      <c r="W22" s="228">
        <f t="shared" si="8"/>
        <v>22000</v>
      </c>
      <c r="X22" s="228">
        <f ca="1">VLOOKUP(A22,'Tổng hợp trong giờ'!$A$15:$CA$37,77,0)-N22</f>
        <v>9497810.266623212</v>
      </c>
      <c r="Y22" s="228">
        <f ca="1">IF(X22&lt;0,D9P13+W22,P22+W22+X22)</f>
        <v>13532310.266623212</v>
      </c>
      <c r="Z22" s="228">
        <f>VLOOKUP(B22,'ung luong'!$B$3:$D$27,3,0)</f>
        <v>0</v>
      </c>
      <c r="AA22" s="228"/>
      <c r="AB22" s="228">
        <v>4577000</v>
      </c>
      <c r="AC22" s="266">
        <f t="shared" si="1"/>
        <v>366160</v>
      </c>
      <c r="AD22" s="266">
        <f t="shared" si="2"/>
        <v>68655</v>
      </c>
      <c r="AE22" s="266">
        <f t="shared" si="3"/>
        <v>45770</v>
      </c>
      <c r="AF22" s="266">
        <f t="shared" si="9"/>
        <v>480585</v>
      </c>
      <c r="AG22" s="472">
        <f t="shared" ca="1" si="10"/>
        <v>13050000</v>
      </c>
      <c r="AH22" s="312">
        <v>13050000</v>
      </c>
      <c r="AI22" s="312">
        <f t="shared" ca="1" si="11"/>
        <v>0</v>
      </c>
      <c r="AJ22" s="371">
        <v>13050000</v>
      </c>
      <c r="AK22" s="485">
        <f t="shared" si="12"/>
        <v>0</v>
      </c>
    </row>
    <row r="23" spans="1:37" s="9" customFormat="1" x14ac:dyDescent="0.25">
      <c r="A23" s="249" t="s">
        <v>113</v>
      </c>
      <c r="B23" s="257" t="str">
        <f>VLOOKUP(A23,'Mã NV'!$A$2:$C$71,2,0)</f>
        <v>Lê Văn Bi</v>
      </c>
      <c r="C23" s="257" t="str">
        <f>VLOOKUP(A23,'Mã NV'!$A$2:$C$71,3,0)</f>
        <v>Công nhân</v>
      </c>
      <c r="D23" s="264">
        <v>43159</v>
      </c>
      <c r="E23" s="228">
        <f t="shared" si="4"/>
        <v>-1439</v>
      </c>
      <c r="F23" s="265">
        <f t="shared" si="0"/>
        <v>0</v>
      </c>
      <c r="G23" s="257" t="s">
        <v>285</v>
      </c>
      <c r="H23" s="257">
        <v>1</v>
      </c>
      <c r="I23" s="228">
        <f>VLOOKUP(G23,'thang luong'!B:I,' Bang luong'!H23+1,0)</f>
        <v>4213125</v>
      </c>
      <c r="J23" s="228">
        <v>4012500</v>
      </c>
      <c r="K23" s="120">
        <f>VLOOKUP(A23,'CHẤM CÔNG TRONG THÁNG'!$A$6:$BR$69,34,0)</f>
        <v>26</v>
      </c>
      <c r="L23" s="228">
        <f>VLOOKUP(A23,'CHẤM CÔNG TRONG THÁNG'!$A$6:$BR$69,36,0)</f>
        <v>0</v>
      </c>
      <c r="M23" s="228">
        <f>VLOOKUP(A23,'CHẤM CÔNG TRONG THÁNG'!$A$6:$BR$69,37,0)</f>
        <v>0</v>
      </c>
      <c r="N23" s="228">
        <f t="shared" si="5"/>
        <v>4012499.9999999995</v>
      </c>
      <c r="O23" s="228">
        <f t="shared" si="6"/>
        <v>0</v>
      </c>
      <c r="P23" s="228">
        <f t="shared" si="7"/>
        <v>4012499.9999999995</v>
      </c>
      <c r="Q23" s="228">
        <f>VLOOKUP(A23,'CHẤM CÔNG TRONG THÁNG'!$A$6:$BS$22,71,0)*22000</f>
        <v>22000</v>
      </c>
      <c r="R23" s="228"/>
      <c r="S23" s="228"/>
      <c r="T23" s="228"/>
      <c r="U23" s="228"/>
      <c r="V23" s="228"/>
      <c r="W23" s="228">
        <f t="shared" si="8"/>
        <v>22000</v>
      </c>
      <c r="X23" s="228">
        <f ca="1">VLOOKUP(A23,'Tổng hợp trong giờ'!$A$15:$CA$37,77,0)-N23</f>
        <v>9281601.6908701696</v>
      </c>
      <c r="Y23" s="228">
        <f ca="1">IF(X23&lt;0,D9P13+W23,P23+W23+X23)</f>
        <v>13316101.69087017</v>
      </c>
      <c r="Z23" s="228">
        <f>VLOOKUP(B23,'ung luong'!$B$3:$D$27,3,0)</f>
        <v>0</v>
      </c>
      <c r="AA23" s="228"/>
      <c r="AB23" s="228">
        <v>4577000</v>
      </c>
      <c r="AC23" s="266">
        <f t="shared" si="1"/>
        <v>366160</v>
      </c>
      <c r="AD23" s="266">
        <f t="shared" si="2"/>
        <v>68655</v>
      </c>
      <c r="AE23" s="266">
        <f t="shared" si="3"/>
        <v>45770</v>
      </c>
      <c r="AF23" s="266">
        <f t="shared" si="9"/>
        <v>480585</v>
      </c>
      <c r="AG23" s="472">
        <f t="shared" ca="1" si="10"/>
        <v>12840000</v>
      </c>
      <c r="AH23" s="312">
        <v>12840000</v>
      </c>
      <c r="AI23" s="312">
        <f t="shared" ca="1" si="11"/>
        <v>0</v>
      </c>
      <c r="AJ23" s="371">
        <v>12840000</v>
      </c>
      <c r="AK23" s="485">
        <f t="shared" si="12"/>
        <v>0</v>
      </c>
    </row>
    <row r="24" spans="1:37" s="9" customFormat="1" x14ac:dyDescent="0.25">
      <c r="A24" s="249" t="s">
        <v>115</v>
      </c>
      <c r="B24" s="257" t="str">
        <f>VLOOKUP(A24,'Mã NV'!$A$2:$C$71,2,0)</f>
        <v>Trần Anh Dũ</v>
      </c>
      <c r="C24" s="257" t="str">
        <f>VLOOKUP(A24,'Mã NV'!$A$2:$C$71,3,0)</f>
        <v>Công nhân</v>
      </c>
      <c r="D24" s="264">
        <v>43230</v>
      </c>
      <c r="E24" s="228">
        <f t="shared" si="4"/>
        <v>-1441</v>
      </c>
      <c r="F24" s="265">
        <f t="shared" si="0"/>
        <v>0</v>
      </c>
      <c r="G24" s="257" t="s">
        <v>285</v>
      </c>
      <c r="H24" s="257">
        <v>1</v>
      </c>
      <c r="I24" s="228">
        <f>VLOOKUP(G24,'thang luong'!B:I,' Bang luong'!H24+1,0)</f>
        <v>4213125</v>
      </c>
      <c r="J24" s="228">
        <v>4012500</v>
      </c>
      <c r="K24" s="120">
        <f>VLOOKUP(A24,'CHẤM CÔNG TRONG THÁNG'!$A$6:$BR$69,34,0)</f>
        <v>26</v>
      </c>
      <c r="L24" s="228">
        <f>VLOOKUP(A24,'CHẤM CÔNG TRONG THÁNG'!$A$6:$BR$69,36,0)</f>
        <v>0</v>
      </c>
      <c r="M24" s="228">
        <f>VLOOKUP(A24,'CHẤM CÔNG TRONG THÁNG'!$A$6:$BR$69,37,0)</f>
        <v>0</v>
      </c>
      <c r="N24" s="228">
        <f t="shared" si="5"/>
        <v>4012499.9999999995</v>
      </c>
      <c r="O24" s="228">
        <f t="shared" si="6"/>
        <v>0</v>
      </c>
      <c r="P24" s="228">
        <f t="shared" si="7"/>
        <v>4012499.9999999995</v>
      </c>
      <c r="Q24" s="228">
        <f>VLOOKUP(A24,'CHẤM CÔNG TRONG THÁNG'!$A$6:$BS$22,71,0)*22000</f>
        <v>22000</v>
      </c>
      <c r="R24" s="228"/>
      <c r="S24" s="228"/>
      <c r="T24" s="228"/>
      <c r="U24" s="228"/>
      <c r="V24" s="228"/>
      <c r="W24" s="228">
        <f t="shared" si="8"/>
        <v>22000</v>
      </c>
      <c r="X24" s="228">
        <f ca="1">VLOOKUP(A24,'Tổng hợp trong giờ'!$A$15:$CA$37,77,0)-N24</f>
        <v>7680146.5276996624</v>
      </c>
      <c r="Y24" s="228">
        <f ca="1">IF(X24&lt;0,D9P13+W24,P24+W24+X24)</f>
        <v>11714646.527699662</v>
      </c>
      <c r="Z24" s="228">
        <f>VLOOKUP(B24,'ung luong'!$B$3:$D$27,3,0)</f>
        <v>4000000</v>
      </c>
      <c r="AA24" s="228"/>
      <c r="AB24" s="228">
        <v>4577000</v>
      </c>
      <c r="AC24" s="266">
        <f t="shared" si="1"/>
        <v>366160</v>
      </c>
      <c r="AD24" s="266">
        <f t="shared" si="2"/>
        <v>68655</v>
      </c>
      <c r="AE24" s="266">
        <f t="shared" si="3"/>
        <v>45770</v>
      </c>
      <c r="AF24" s="266">
        <f t="shared" si="9"/>
        <v>480585</v>
      </c>
      <c r="AG24" s="472">
        <f t="shared" ca="1" si="10"/>
        <v>7230000</v>
      </c>
      <c r="AH24" s="312">
        <v>2450000</v>
      </c>
      <c r="AI24" s="483">
        <f t="shared" ca="1" si="11"/>
        <v>4780000</v>
      </c>
      <c r="AJ24" s="371">
        <v>2450000</v>
      </c>
      <c r="AK24" s="485">
        <f t="shared" si="12"/>
        <v>0</v>
      </c>
    </row>
    <row r="25" spans="1:37" s="301" customFormat="1" x14ac:dyDescent="0.25">
      <c r="A25" s="249" t="s">
        <v>116</v>
      </c>
      <c r="B25" s="267" t="str">
        <f>VLOOKUP(A25,'Mã NV'!$A$2:$C$71,2,0)</f>
        <v>Thạch Ngọc Tiến</v>
      </c>
      <c r="C25" s="257" t="str">
        <f>VLOOKUP(A25,'Mã NV'!$A$2:$C$71,3,0)</f>
        <v>Công nhân</v>
      </c>
      <c r="D25" s="264">
        <v>43410</v>
      </c>
      <c r="E25" s="298">
        <f t="shared" si="4"/>
        <v>-1447</v>
      </c>
      <c r="F25" s="299">
        <f t="shared" si="0"/>
        <v>0</v>
      </c>
      <c r="G25" s="267" t="s">
        <v>285</v>
      </c>
      <c r="H25" s="267">
        <v>1</v>
      </c>
      <c r="I25" s="298">
        <f>VLOOKUP(G25,'thang luong'!B:I,' Bang luong'!H25+1,0)</f>
        <v>4213125</v>
      </c>
      <c r="J25" s="228">
        <v>4012500</v>
      </c>
      <c r="K25" s="300">
        <f>VLOOKUP(A25,'CHẤM CÔNG TRONG THÁNG'!$A$6:$BR$69,34,0)</f>
        <v>23</v>
      </c>
      <c r="L25" s="298">
        <f>VLOOKUP(A25,'CHẤM CÔNG TRONG THÁNG'!$A$6:$BR$69,36,0)</f>
        <v>3</v>
      </c>
      <c r="M25" s="298">
        <f>VLOOKUP(A25,'CHẤM CÔNG TRONG THÁNG'!$A$6:$BR$69,37,0)</f>
        <v>0</v>
      </c>
      <c r="N25" s="298">
        <f t="shared" si="5"/>
        <v>3549519.2307692305</v>
      </c>
      <c r="O25" s="228">
        <f t="shared" si="6"/>
        <v>462980.76923076925</v>
      </c>
      <c r="P25" s="228">
        <f t="shared" si="7"/>
        <v>4012500</v>
      </c>
      <c r="Q25" s="298">
        <f>VLOOKUP(A25,'CHẤM CÔNG TRONG THÁNG'!$A$6:$BS$22,71,0)*22000</f>
        <v>22000</v>
      </c>
      <c r="R25" s="298"/>
      <c r="S25" s="298"/>
      <c r="T25" s="298"/>
      <c r="U25" s="298"/>
      <c r="V25" s="298"/>
      <c r="W25" s="298">
        <f t="shared" si="8"/>
        <v>22000</v>
      </c>
      <c r="X25" s="228">
        <f ca="1">VLOOKUP(A25,'Tổng hợp trong giờ'!$A$15:$CA$37,77,0)-N25</f>
        <v>7798956.886601517</v>
      </c>
      <c r="Y25" s="228">
        <f ca="1">IF(X25&lt;0,D9P13+W25,P25+W25+X25)</f>
        <v>11833456.886601517</v>
      </c>
      <c r="Z25" s="228">
        <f>VLOOKUP(B25,'ung luong'!$B$3:$D$27,3,0)</f>
        <v>4000000</v>
      </c>
      <c r="AA25" s="228"/>
      <c r="AB25" s="228"/>
      <c r="AC25" s="266">
        <f t="shared" ref="AC25:AC34" si="13">AB25*$AC$12</f>
        <v>0</v>
      </c>
      <c r="AD25" s="266">
        <f t="shared" ref="AD25:AD34" si="14">AB25*$AD$12</f>
        <v>0</v>
      </c>
      <c r="AE25" s="266">
        <f t="shared" ref="AE25:AE34" si="15">AB25*$AE$12</f>
        <v>0</v>
      </c>
      <c r="AF25" s="266">
        <f t="shared" ref="AF25:AF34" si="16">SUM(AC25:AE25)</f>
        <v>0</v>
      </c>
      <c r="AG25" s="472">
        <f t="shared" ca="1" si="10"/>
        <v>7830000</v>
      </c>
      <c r="AH25" s="313">
        <v>2960000</v>
      </c>
      <c r="AI25" s="483">
        <f t="shared" ca="1" si="11"/>
        <v>4870000</v>
      </c>
      <c r="AJ25" s="484">
        <v>2960000</v>
      </c>
      <c r="AK25" s="485">
        <f t="shared" si="12"/>
        <v>0</v>
      </c>
    </row>
    <row r="26" spans="1:37" s="9" customFormat="1" x14ac:dyDescent="0.25">
      <c r="A26" s="249" t="s">
        <v>117</v>
      </c>
      <c r="B26" s="257" t="str">
        <f>VLOOKUP(A26,'Mã NV'!$A$2:$C$71,2,0)</f>
        <v>Nguyễn Tuấn Vinh</v>
      </c>
      <c r="C26" s="257" t="str">
        <f>VLOOKUP(A26,'Mã NV'!$A$2:$C$71,3,0)</f>
        <v>Công nhân</v>
      </c>
      <c r="D26" s="264">
        <v>43416</v>
      </c>
      <c r="E26" s="228">
        <f t="shared" si="4"/>
        <v>-1447</v>
      </c>
      <c r="F26" s="265">
        <f t="shared" si="0"/>
        <v>0</v>
      </c>
      <c r="G26" s="267" t="s">
        <v>285</v>
      </c>
      <c r="H26" s="257">
        <v>1</v>
      </c>
      <c r="I26" s="228">
        <f>VLOOKUP(G26,'thang luong'!B:I,' Bang luong'!H26+1,0)</f>
        <v>4213125</v>
      </c>
      <c r="J26" s="228">
        <v>4012500</v>
      </c>
      <c r="K26" s="120">
        <f>VLOOKUP(A26,'CHẤM CÔNG TRONG THÁNG'!$A$6:$BR$69,34,0)</f>
        <v>26</v>
      </c>
      <c r="L26" s="228">
        <f>VLOOKUP(A26,'CHẤM CÔNG TRONG THÁNG'!$A$6:$BR$69,36,0)</f>
        <v>0</v>
      </c>
      <c r="M26" s="228">
        <f>VLOOKUP(A26,'CHẤM CÔNG TRONG THÁNG'!$A$6:$BR$69,37,0)</f>
        <v>0</v>
      </c>
      <c r="N26" s="228">
        <f t="shared" si="5"/>
        <v>4012499.9999999995</v>
      </c>
      <c r="O26" s="228">
        <f t="shared" si="6"/>
        <v>0</v>
      </c>
      <c r="P26" s="228">
        <f t="shared" si="7"/>
        <v>4012499.9999999995</v>
      </c>
      <c r="Q26" s="228">
        <f>VLOOKUP(A26,'CHẤM CÔNG TRONG THÁNG'!$A$6:$BS$22,71,0)*22000</f>
        <v>22000</v>
      </c>
      <c r="R26" s="228"/>
      <c r="S26" s="228"/>
      <c r="T26" s="228"/>
      <c r="U26" s="228"/>
      <c r="V26" s="228"/>
      <c r="W26" s="228">
        <f t="shared" si="8"/>
        <v>22000</v>
      </c>
      <c r="X26" s="228">
        <f ca="1">VLOOKUP(A26,'Tổng hợp trong giờ'!$A$15:$CA$37,77,0)-N26</f>
        <v>9026524.1702357214</v>
      </c>
      <c r="Y26" s="228">
        <f ca="1">IF(X26&lt;0,D9P13+W26,P26+W26+X26)</f>
        <v>13061024.170235721</v>
      </c>
      <c r="Z26" s="228">
        <f>VLOOKUP(B26,'ung luong'!$B$3:$D$27,3,0)</f>
        <v>0</v>
      </c>
      <c r="AA26" s="228"/>
      <c r="AB26" s="228"/>
      <c r="AC26" s="266">
        <f t="shared" si="13"/>
        <v>0</v>
      </c>
      <c r="AD26" s="266">
        <f t="shared" si="14"/>
        <v>0</v>
      </c>
      <c r="AE26" s="266">
        <f t="shared" si="15"/>
        <v>0</v>
      </c>
      <c r="AF26" s="266">
        <f t="shared" si="16"/>
        <v>0</v>
      </c>
      <c r="AG26" s="472">
        <f t="shared" ca="1" si="10"/>
        <v>13060000</v>
      </c>
      <c r="AH26" s="312">
        <v>7770000</v>
      </c>
      <c r="AI26" s="483">
        <f t="shared" ca="1" si="11"/>
        <v>5290000</v>
      </c>
      <c r="AJ26" s="371">
        <v>7770000</v>
      </c>
      <c r="AK26" s="485">
        <f t="shared" si="12"/>
        <v>0</v>
      </c>
    </row>
    <row r="27" spans="1:37" s="9" customFormat="1" x14ac:dyDescent="0.25">
      <c r="A27" s="249" t="s">
        <v>118</v>
      </c>
      <c r="B27" s="257" t="str">
        <f>VLOOKUP(A27,'Mã NV'!$A$2:$C$71,2,0)</f>
        <v>Trần Thanh Nguyên</v>
      </c>
      <c r="C27" s="257" t="str">
        <f>VLOOKUP(A27,'Mã NV'!$A$2:$C$71,3,0)</f>
        <v>Công nhân</v>
      </c>
      <c r="D27" s="264">
        <v>43413</v>
      </c>
      <c r="E27" s="228">
        <f t="shared" si="4"/>
        <v>-1447</v>
      </c>
      <c r="F27" s="265">
        <f t="shared" si="0"/>
        <v>0</v>
      </c>
      <c r="G27" s="267" t="s">
        <v>285</v>
      </c>
      <c r="H27" s="257">
        <v>1</v>
      </c>
      <c r="I27" s="228">
        <f>VLOOKUP(G27,'thang luong'!B:I,' Bang luong'!H27+1,0)</f>
        <v>4213125</v>
      </c>
      <c r="J27" s="228">
        <v>4012500</v>
      </c>
      <c r="K27" s="120">
        <f>VLOOKUP(A27,'CHẤM CÔNG TRONG THÁNG'!$A$6:$BR$69,34,0)</f>
        <v>25</v>
      </c>
      <c r="L27" s="228">
        <f>VLOOKUP(A27,'CHẤM CÔNG TRONG THÁNG'!$A$6:$BR$69,36,0)</f>
        <v>1</v>
      </c>
      <c r="M27" s="228">
        <f>VLOOKUP(A27,'CHẤM CÔNG TRONG THÁNG'!$A$6:$BR$69,37,0)</f>
        <v>0</v>
      </c>
      <c r="N27" s="228">
        <f t="shared" ref="N27:N34" si="17">J27/$N$9*K27</f>
        <v>3858173.0769230765</v>
      </c>
      <c r="O27" s="228">
        <f t="shared" si="6"/>
        <v>154326.92307692306</v>
      </c>
      <c r="P27" s="228">
        <f t="shared" si="7"/>
        <v>4012499.9999999995</v>
      </c>
      <c r="Q27" s="228">
        <f>VLOOKUP(A27,'CHẤM CÔNG TRONG THÁNG'!$A$6:$BS$22,71,0)*22000</f>
        <v>44000</v>
      </c>
      <c r="R27" s="228"/>
      <c r="S27" s="228"/>
      <c r="T27" s="228"/>
      <c r="U27" s="228"/>
      <c r="V27" s="228"/>
      <c r="W27" s="228">
        <f t="shared" ref="W27:W34" si="18">SUM(Q27:V27)</f>
        <v>44000</v>
      </c>
      <c r="X27" s="228">
        <f ca="1">VLOOKUP(A27,'Tổng hợp trong giờ'!$A$15:$CA$37,77,0)-N27</f>
        <v>8952722.1016149893</v>
      </c>
      <c r="Y27" s="228">
        <f ca="1">IF(X27&lt;0,D9P13+W27,P27+W27+X27)</f>
        <v>13009222.101614989</v>
      </c>
      <c r="Z27" s="228">
        <f>VLOOKUP(B27,'ung luong'!$B$3:$D$27,3,0)</f>
        <v>0</v>
      </c>
      <c r="AA27" s="228"/>
      <c r="AB27" s="228"/>
      <c r="AC27" s="266">
        <f t="shared" si="13"/>
        <v>0</v>
      </c>
      <c r="AD27" s="266">
        <f t="shared" si="14"/>
        <v>0</v>
      </c>
      <c r="AE27" s="266">
        <f t="shared" si="15"/>
        <v>0</v>
      </c>
      <c r="AF27" s="266">
        <f t="shared" si="16"/>
        <v>0</v>
      </c>
      <c r="AG27" s="472">
        <f ca="1">ROUND(Y27-Z27+AA27-AF27,-4)</f>
        <v>13010000</v>
      </c>
      <c r="AH27" s="312">
        <v>8120000</v>
      </c>
      <c r="AI27" s="483">
        <f t="shared" ca="1" si="11"/>
        <v>4890000</v>
      </c>
      <c r="AJ27" s="371">
        <v>8120000</v>
      </c>
      <c r="AK27" s="485">
        <f t="shared" si="12"/>
        <v>0</v>
      </c>
    </row>
    <row r="28" spans="1:37" s="9" customFormat="1" x14ac:dyDescent="0.25">
      <c r="A28" s="249" t="s">
        <v>119</v>
      </c>
      <c r="B28" s="257" t="str">
        <f>VLOOKUP(A28,'Mã NV'!$A$2:$C$71,2,0)</f>
        <v>Lê Nhật Trường Giang</v>
      </c>
      <c r="C28" s="257" t="str">
        <f>VLOOKUP(A28,'Mã NV'!$A$2:$C$71,3,0)</f>
        <v>Công nhân</v>
      </c>
      <c r="D28" s="264">
        <v>43413</v>
      </c>
      <c r="E28" s="228">
        <f t="shared" si="4"/>
        <v>-1447</v>
      </c>
      <c r="F28" s="265">
        <f t="shared" si="0"/>
        <v>0</v>
      </c>
      <c r="G28" s="267" t="s">
        <v>285</v>
      </c>
      <c r="H28" s="257">
        <v>1</v>
      </c>
      <c r="I28" s="228">
        <f>VLOOKUP(G28,'thang luong'!B:I,' Bang luong'!H28+1,0)</f>
        <v>4213125</v>
      </c>
      <c r="J28" s="228">
        <v>4012500</v>
      </c>
      <c r="K28" s="120">
        <f>VLOOKUP(A28,'CHẤM CÔNG TRONG THÁNG'!$A$6:$BR$69,34,0)</f>
        <v>25</v>
      </c>
      <c r="L28" s="228">
        <f>VLOOKUP(A28,'CHẤM CÔNG TRONG THÁNG'!$A$6:$BR$69,36,0)</f>
        <v>1</v>
      </c>
      <c r="M28" s="228">
        <f>VLOOKUP(A28,'CHẤM CÔNG TRONG THÁNG'!$A$6:$BR$69,37,0)</f>
        <v>0</v>
      </c>
      <c r="N28" s="228">
        <f t="shared" si="17"/>
        <v>3858173.0769230765</v>
      </c>
      <c r="O28" s="228">
        <f t="shared" si="6"/>
        <v>154326.92307692306</v>
      </c>
      <c r="P28" s="228">
        <f t="shared" si="7"/>
        <v>4012499.9999999995</v>
      </c>
      <c r="Q28" s="228">
        <f>VLOOKUP(A28,'CHẤM CÔNG TRONG THÁNG'!$A$6:$BS$22,71,0)*22000</f>
        <v>22000</v>
      </c>
      <c r="R28" s="228"/>
      <c r="S28" s="228"/>
      <c r="T28" s="228"/>
      <c r="U28" s="228"/>
      <c r="V28" s="228"/>
      <c r="W28" s="228">
        <f t="shared" si="18"/>
        <v>22000</v>
      </c>
      <c r="X28" s="228">
        <f ca="1">VLOOKUP(A28,'Tổng hợp trong giờ'!$A$15:$CA$37,77,0)-N28</f>
        <v>9273994.1180175785</v>
      </c>
      <c r="Y28" s="228">
        <f ca="1">IF(X28&lt;0,D9P13+W28,P28+W28+X28)</f>
        <v>13308494.118017578</v>
      </c>
      <c r="Z28" s="228">
        <f>VLOOKUP(B28,'ung luong'!$B$3:$D$27,3,0)</f>
        <v>4000000</v>
      </c>
      <c r="AA28" s="228"/>
      <c r="AB28" s="228"/>
      <c r="AC28" s="266">
        <f t="shared" si="13"/>
        <v>0</v>
      </c>
      <c r="AD28" s="266">
        <f t="shared" si="14"/>
        <v>0</v>
      </c>
      <c r="AE28" s="266">
        <f t="shared" si="15"/>
        <v>0</v>
      </c>
      <c r="AF28" s="266">
        <f t="shared" si="16"/>
        <v>0</v>
      </c>
      <c r="AG28" s="472">
        <f t="shared" ca="1" si="10"/>
        <v>9310000</v>
      </c>
      <c r="AH28" s="312">
        <v>9310000</v>
      </c>
      <c r="AI28" s="312">
        <f t="shared" ca="1" si="11"/>
        <v>0</v>
      </c>
      <c r="AJ28" s="371">
        <v>9310000</v>
      </c>
      <c r="AK28" s="485">
        <f t="shared" si="12"/>
        <v>0</v>
      </c>
    </row>
    <row r="29" spans="1:37" s="9" customFormat="1" x14ac:dyDescent="0.25">
      <c r="A29" s="249" t="s">
        <v>120</v>
      </c>
      <c r="B29" s="257" t="str">
        <f>VLOOKUP(A29,'Mã NV'!$A$2:$C$71,2,0)</f>
        <v>Thạch Ngọc Thắng</v>
      </c>
      <c r="C29" s="257" t="str">
        <f>VLOOKUP(A29,'Mã NV'!$A$2:$C$71,3,0)</f>
        <v>Công nhân</v>
      </c>
      <c r="D29" s="264">
        <v>43419</v>
      </c>
      <c r="E29" s="228">
        <f t="shared" si="4"/>
        <v>-1447</v>
      </c>
      <c r="F29" s="265">
        <f t="shared" si="0"/>
        <v>0</v>
      </c>
      <c r="G29" s="267" t="s">
        <v>285</v>
      </c>
      <c r="H29" s="257">
        <v>1</v>
      </c>
      <c r="I29" s="228">
        <f>VLOOKUP(G29,'thang luong'!B:I,' Bang luong'!H29+1,0)</f>
        <v>4213125</v>
      </c>
      <c r="J29" s="228">
        <v>4012500</v>
      </c>
      <c r="K29" s="120">
        <f>VLOOKUP(A29,'CHẤM CÔNG TRONG THÁNG'!$A$6:$BR$69,34,0)</f>
        <v>23</v>
      </c>
      <c r="L29" s="228">
        <f>VLOOKUP(A29,'CHẤM CÔNG TRONG THÁNG'!$A$6:$BR$69,36,0)</f>
        <v>3</v>
      </c>
      <c r="M29" s="228">
        <f>VLOOKUP(A29,'CHẤM CÔNG TRONG THÁNG'!$A$6:$BR$69,37,0)</f>
        <v>0</v>
      </c>
      <c r="N29" s="228">
        <f t="shared" si="17"/>
        <v>3549519.2307692305</v>
      </c>
      <c r="O29" s="228">
        <f t="shared" si="6"/>
        <v>462980.76923076925</v>
      </c>
      <c r="P29" s="228">
        <f t="shared" si="7"/>
        <v>4012500</v>
      </c>
      <c r="Q29" s="228">
        <f>VLOOKUP(A29,'CHẤM CÔNG TRONG THÁNG'!$A$6:$BS$22,71,0)*22000</f>
        <v>44000</v>
      </c>
      <c r="R29" s="228"/>
      <c r="S29" s="228"/>
      <c r="T29" s="228"/>
      <c r="U29" s="228"/>
      <c r="V29" s="228"/>
      <c r="W29" s="228">
        <f t="shared" si="18"/>
        <v>44000</v>
      </c>
      <c r="X29" s="228">
        <f ca="1">VLOOKUP(A29,'Tổng hợp trong giờ'!$A$15:$CA$37,77,0)-N29</f>
        <v>8059040.4723443687</v>
      </c>
      <c r="Y29" s="228">
        <f ca="1">IF(X29&lt;0,D9P13+W29,P29+W29+X29)</f>
        <v>12115540.472344369</v>
      </c>
      <c r="Z29" s="228">
        <f>VLOOKUP(B29,'ung luong'!$B$3:$D$27,3,0)</f>
        <v>0</v>
      </c>
      <c r="AA29" s="228"/>
      <c r="AB29" s="228"/>
      <c r="AC29" s="266">
        <f t="shared" si="13"/>
        <v>0</v>
      </c>
      <c r="AD29" s="266">
        <f t="shared" si="14"/>
        <v>0</v>
      </c>
      <c r="AE29" s="266">
        <f t="shared" si="15"/>
        <v>0</v>
      </c>
      <c r="AF29" s="266">
        <f t="shared" si="16"/>
        <v>0</v>
      </c>
      <c r="AG29" s="472">
        <f t="shared" ca="1" si="10"/>
        <v>12120000</v>
      </c>
      <c r="AH29" s="312">
        <v>6840000</v>
      </c>
      <c r="AI29" s="483">
        <f t="shared" ca="1" si="11"/>
        <v>5280000</v>
      </c>
      <c r="AJ29" s="371">
        <v>6840000</v>
      </c>
      <c r="AK29" s="485">
        <f t="shared" si="12"/>
        <v>0</v>
      </c>
    </row>
    <row r="30" spans="1:37" s="9" customFormat="1" x14ac:dyDescent="0.25">
      <c r="A30" s="249" t="s">
        <v>121</v>
      </c>
      <c r="B30" s="257" t="str">
        <f>VLOOKUP(A30,'Mã NV'!$A$2:$C$71,2,0)</f>
        <v>Dương Tấn Đạt</v>
      </c>
      <c r="C30" s="257" t="str">
        <f>VLOOKUP(A30,'Mã NV'!$A$2:$C$71,3,0)</f>
        <v>Công nhân</v>
      </c>
      <c r="D30" s="264">
        <v>43441</v>
      </c>
      <c r="E30" s="228">
        <f t="shared" si="4"/>
        <v>-1448</v>
      </c>
      <c r="F30" s="265">
        <f t="shared" si="0"/>
        <v>0</v>
      </c>
      <c r="G30" s="267" t="s">
        <v>285</v>
      </c>
      <c r="H30" s="257">
        <v>1</v>
      </c>
      <c r="I30" s="228">
        <f>VLOOKUP(G30,'thang luong'!B:I,' Bang luong'!H30+1,0)</f>
        <v>4213125</v>
      </c>
      <c r="J30" s="228">
        <v>4012500</v>
      </c>
      <c r="K30" s="120">
        <f>VLOOKUP(A30,'CHẤM CÔNG TRONG THÁNG'!$A$6:$BR$69,34,0)</f>
        <v>13</v>
      </c>
      <c r="L30" s="228">
        <f>VLOOKUP(A30,'CHẤM CÔNG TRONG THÁNG'!$A$6:$BR$69,36,0)</f>
        <v>5</v>
      </c>
      <c r="M30" s="228">
        <f>VLOOKUP(A30,'CHẤM CÔNG TRONG THÁNG'!$A$6:$BR$69,37,0)</f>
        <v>0</v>
      </c>
      <c r="N30" s="228">
        <f t="shared" si="17"/>
        <v>2006249.9999999998</v>
      </c>
      <c r="O30" s="228">
        <f t="shared" si="6"/>
        <v>771634.61538461538</v>
      </c>
      <c r="P30" s="228">
        <f t="shared" si="7"/>
        <v>2777884.615384615</v>
      </c>
      <c r="Q30" s="228">
        <f>VLOOKUP(A30,'CHẤM CÔNG TRONG THÁNG'!$A$6:$BS$30,71,0)*22000</f>
        <v>0</v>
      </c>
      <c r="R30" s="228"/>
      <c r="S30" s="228"/>
      <c r="T30" s="228"/>
      <c r="U30" s="228"/>
      <c r="V30" s="228"/>
      <c r="W30" s="228">
        <f t="shared" si="18"/>
        <v>0</v>
      </c>
      <c r="X30" s="228">
        <f ca="1">VLOOKUP(A30,'Tổng hợp trong giờ'!$A$15:$CA$37,77,0)-N30</f>
        <v>3001357.6911768699</v>
      </c>
      <c r="Y30" s="228">
        <f ca="1">IF(X30&lt;0,D9P13+W30,P30+W30+X30)</f>
        <v>5779242.3065614849</v>
      </c>
      <c r="Z30" s="228">
        <f>VLOOKUP(B30,'ung luong'!$B$3:$D$27,3,0)</f>
        <v>2000000</v>
      </c>
      <c r="AA30" s="228"/>
      <c r="AB30" s="228">
        <v>4577000</v>
      </c>
      <c r="AC30" s="266">
        <f t="shared" si="13"/>
        <v>366160</v>
      </c>
      <c r="AD30" s="266">
        <f t="shared" si="14"/>
        <v>68655</v>
      </c>
      <c r="AE30" s="266">
        <f t="shared" si="15"/>
        <v>45770</v>
      </c>
      <c r="AF30" s="266">
        <f t="shared" si="16"/>
        <v>480585</v>
      </c>
      <c r="AG30" s="472">
        <f t="shared" ca="1" si="10"/>
        <v>3300000</v>
      </c>
      <c r="AH30" s="312">
        <v>3300000</v>
      </c>
      <c r="AI30" s="312">
        <f t="shared" ca="1" si="11"/>
        <v>0</v>
      </c>
      <c r="AJ30" s="371">
        <v>3300000</v>
      </c>
      <c r="AK30" s="485">
        <f t="shared" si="12"/>
        <v>0</v>
      </c>
    </row>
    <row r="31" spans="1:37" s="9" customFormat="1" x14ac:dyDescent="0.25">
      <c r="A31" s="249" t="s">
        <v>407</v>
      </c>
      <c r="B31" s="257" t="str">
        <f>VLOOKUP(A31,'Mã NV'!$A$2:$C$71,2,0)</f>
        <v>Nguyễn Thanh Hùng</v>
      </c>
      <c r="C31" s="257" t="str">
        <f>VLOOKUP(A31,'Mã NV'!$A$2:$C$71,3,0)</f>
        <v>Công nhân</v>
      </c>
      <c r="D31" s="264">
        <v>43449</v>
      </c>
      <c r="E31" s="228">
        <f t="shared" si="4"/>
        <v>-1448</v>
      </c>
      <c r="F31" s="265">
        <f t="shared" si="0"/>
        <v>0</v>
      </c>
      <c r="G31" s="267" t="s">
        <v>285</v>
      </c>
      <c r="H31" s="257">
        <v>1</v>
      </c>
      <c r="I31" s="228">
        <f>VLOOKUP(G31,'thang luong'!B:I,' Bang luong'!H31+1,0)</f>
        <v>4213125</v>
      </c>
      <c r="J31" s="228">
        <v>4012500</v>
      </c>
      <c r="K31" s="120">
        <f>VLOOKUP(A31,'CHẤM CÔNG TRONG THÁNG'!$A$6:$BR$69,34,0)</f>
        <v>26</v>
      </c>
      <c r="L31" s="228">
        <f>VLOOKUP(A31,'CHẤM CÔNG TRONG THÁNG'!$A$6:$BR$69,36,0)</f>
        <v>0</v>
      </c>
      <c r="M31" s="228">
        <f>VLOOKUP(A31,'CHẤM CÔNG TRONG THÁNG'!$A$6:$BR$69,37,0)</f>
        <v>0</v>
      </c>
      <c r="N31" s="228">
        <f t="shared" si="17"/>
        <v>4012499.9999999995</v>
      </c>
      <c r="O31" s="228">
        <f t="shared" si="6"/>
        <v>0</v>
      </c>
      <c r="P31" s="228">
        <f t="shared" si="7"/>
        <v>4012499.9999999995</v>
      </c>
      <c r="Q31" s="228">
        <f>VLOOKUP(A31,'CHẤM CÔNG TRONG THÁNG'!$A$6:$BS$30,71,0)*22000</f>
        <v>66000</v>
      </c>
      <c r="R31" s="228"/>
      <c r="S31" s="228"/>
      <c r="T31" s="228"/>
      <c r="U31" s="228"/>
      <c r="V31" s="228"/>
      <c r="W31" s="228">
        <f t="shared" si="18"/>
        <v>66000</v>
      </c>
      <c r="X31" s="228">
        <f ca="1">VLOOKUP(A31,'Tổng hợp trong giờ'!$A$15:$CA$37,77,0)-N31</f>
        <v>9026867.4810558353</v>
      </c>
      <c r="Y31" s="228">
        <f ca="1">IF(X31&lt;0,D9P13+W31,P31+W31+X31)</f>
        <v>13105367.481055835</v>
      </c>
      <c r="Z31" s="228">
        <f>VLOOKUP(B31,'ung luong'!$B$3:$D$27,3,0)</f>
        <v>4000000</v>
      </c>
      <c r="AA31" s="228"/>
      <c r="AB31" s="228"/>
      <c r="AC31" s="266">
        <f t="shared" si="13"/>
        <v>0</v>
      </c>
      <c r="AD31" s="266">
        <f t="shared" si="14"/>
        <v>0</v>
      </c>
      <c r="AE31" s="266">
        <f t="shared" si="15"/>
        <v>0</v>
      </c>
      <c r="AF31" s="266">
        <f t="shared" si="16"/>
        <v>0</v>
      </c>
      <c r="AG31" s="472">
        <f t="shared" ca="1" si="10"/>
        <v>9110000</v>
      </c>
      <c r="AH31" s="312">
        <v>4450000</v>
      </c>
      <c r="AI31" s="483">
        <f t="shared" ca="1" si="11"/>
        <v>4660000</v>
      </c>
      <c r="AJ31" s="371">
        <v>4450000</v>
      </c>
      <c r="AK31" s="485">
        <f t="shared" si="12"/>
        <v>0</v>
      </c>
    </row>
    <row r="32" spans="1:37" s="9" customFormat="1" x14ac:dyDescent="0.25">
      <c r="A32" s="249" t="s">
        <v>409</v>
      </c>
      <c r="B32" s="257" t="str">
        <f>VLOOKUP(A32,'Mã NV'!$A$2:$C$71,2,0)</f>
        <v>Đặng Văn Luân</v>
      </c>
      <c r="C32" s="257" t="str">
        <f>VLOOKUP(A32,'Mã NV'!$A$2:$C$71,3,0)</f>
        <v>Công nhân</v>
      </c>
      <c r="D32" s="264">
        <v>43522</v>
      </c>
      <c r="E32" s="228">
        <f t="shared" si="4"/>
        <v>-1451</v>
      </c>
      <c r="F32" s="265">
        <f t="shared" si="0"/>
        <v>0</v>
      </c>
      <c r="G32" s="267" t="s">
        <v>285</v>
      </c>
      <c r="H32" s="257">
        <v>1</v>
      </c>
      <c r="I32" s="228">
        <f>VLOOKUP(G32,'thang luong'!B:I,' Bang luong'!H32+1,0)</f>
        <v>4213125</v>
      </c>
      <c r="J32" s="228">
        <v>4012500</v>
      </c>
      <c r="K32" s="120">
        <f>VLOOKUP(A32,'CHẤM CÔNG TRONG THÁNG'!$A$6:$BR$69,34,0)</f>
        <v>26</v>
      </c>
      <c r="L32" s="228">
        <f>VLOOKUP(A32,'CHẤM CÔNG TRONG THÁNG'!$A$6:$BR$69,36,0)</f>
        <v>0</v>
      </c>
      <c r="M32" s="228">
        <f>VLOOKUP(A32,'CHẤM CÔNG TRONG THÁNG'!$A$6:$BR$69,37,0)</f>
        <v>0</v>
      </c>
      <c r="N32" s="228">
        <f t="shared" si="17"/>
        <v>4012499.9999999995</v>
      </c>
      <c r="O32" s="228">
        <f t="shared" si="6"/>
        <v>0</v>
      </c>
      <c r="P32" s="228">
        <f t="shared" si="7"/>
        <v>4012499.9999999995</v>
      </c>
      <c r="Q32" s="228">
        <f>VLOOKUP(A32,'CHẤM CÔNG TRONG THÁNG'!$A$6:$BS$30,71,0)*22000</f>
        <v>0</v>
      </c>
      <c r="R32" s="228"/>
      <c r="S32" s="228"/>
      <c r="T32" s="228"/>
      <c r="U32" s="228"/>
      <c r="V32" s="228"/>
      <c r="W32" s="228">
        <f t="shared" si="18"/>
        <v>0</v>
      </c>
      <c r="X32" s="228">
        <f ca="1">VLOOKUP(A32,'Tổng hợp trong giờ'!$A$15:$CA$37,77,0)-N32</f>
        <v>6421469.5214477368</v>
      </c>
      <c r="Y32" s="228">
        <f ca="1">IF(X32&lt;0,D9P13+W32,P32+W32+X32)</f>
        <v>10433969.521447737</v>
      </c>
      <c r="Z32" s="228">
        <f>VLOOKUP(B32,'ung luong'!$B$3:$D$27,3,0)</f>
        <v>4000000</v>
      </c>
      <c r="AA32" s="228"/>
      <c r="AB32" s="228"/>
      <c r="AC32" s="266">
        <f t="shared" si="13"/>
        <v>0</v>
      </c>
      <c r="AD32" s="266">
        <f t="shared" si="14"/>
        <v>0</v>
      </c>
      <c r="AE32" s="266">
        <f t="shared" si="15"/>
        <v>0</v>
      </c>
      <c r="AF32" s="266">
        <f t="shared" si="16"/>
        <v>0</v>
      </c>
      <c r="AG32" s="472">
        <f t="shared" ca="1" si="10"/>
        <v>6430000</v>
      </c>
      <c r="AH32" s="312">
        <v>6430000</v>
      </c>
      <c r="AI32" s="312">
        <f t="shared" ca="1" si="11"/>
        <v>0</v>
      </c>
      <c r="AJ32" s="371">
        <v>6430000</v>
      </c>
      <c r="AK32" s="485">
        <f t="shared" si="12"/>
        <v>0</v>
      </c>
    </row>
    <row r="33" spans="1:37" s="9" customFormat="1" x14ac:dyDescent="0.25">
      <c r="A33" s="249" t="s">
        <v>410</v>
      </c>
      <c r="B33" s="257" t="str">
        <f>VLOOKUP(A33,'Mã NV'!$A$2:$C$71,2,0)</f>
        <v>Phan Thanh Minh</v>
      </c>
      <c r="C33" s="257" t="str">
        <f>VLOOKUP(A33,'Mã NV'!$A$2:$C$71,3,0)</f>
        <v>Công nhân</v>
      </c>
      <c r="D33" s="264">
        <v>43523</v>
      </c>
      <c r="E33" s="228">
        <f>IF(ISNA(ROUND(($D$9-D33)/30,0)),0,ROUND(($D$9-D33)/30,0))</f>
        <v>-1451</v>
      </c>
      <c r="F33" s="265">
        <f>IF(E33&lt;37,0%,3%+(ROUNDDOWN((E33-37)/12,0))/100)</f>
        <v>0</v>
      </c>
      <c r="G33" s="267" t="s">
        <v>285</v>
      </c>
      <c r="H33" s="257">
        <v>1</v>
      </c>
      <c r="I33" s="228">
        <f>VLOOKUP(G33,'thang luong'!B:I,' Bang luong'!H33+1,0)</f>
        <v>4213125</v>
      </c>
      <c r="J33" s="228">
        <v>4012501</v>
      </c>
      <c r="K33" s="120">
        <f>VLOOKUP(A33,'CHẤM CÔNG TRONG THÁNG'!$A$6:$BR$69,34,0)</f>
        <v>26</v>
      </c>
      <c r="L33" s="228">
        <f>VLOOKUP(A33,'CHẤM CÔNG TRONG THÁNG'!$A$6:$BR$69,36,0)</f>
        <v>0</v>
      </c>
      <c r="M33" s="228">
        <f>VLOOKUP(A33,'CHẤM CÔNG TRONG THÁNG'!$A$6:$BR$69,37,0)</f>
        <v>0</v>
      </c>
      <c r="N33" s="228">
        <f t="shared" si="17"/>
        <v>4012501</v>
      </c>
      <c r="O33" s="228">
        <f t="shared" si="6"/>
        <v>0</v>
      </c>
      <c r="P33" s="228">
        <f t="shared" si="7"/>
        <v>4012501</v>
      </c>
      <c r="Q33" s="228">
        <f>VLOOKUP(A33,'CHẤM CÔNG TRONG THÁNG'!$A$6:$BS$30,71,0)*22000</f>
        <v>22000</v>
      </c>
      <c r="R33" s="228"/>
      <c r="S33" s="228"/>
      <c r="T33" s="228"/>
      <c r="U33" s="228"/>
      <c r="V33" s="228"/>
      <c r="W33" s="228">
        <f t="shared" si="18"/>
        <v>22000</v>
      </c>
      <c r="X33" s="228">
        <f ca="1">VLOOKUP(A33,'Tổng hợp trong giờ'!$A$15:$CA$37,77,0)-N33</f>
        <v>7914322.4049068633</v>
      </c>
      <c r="Y33" s="228">
        <f ca="1">IF(X33&lt;0,D9P13+W33,P33+W33+X33)</f>
        <v>11948823.404906863</v>
      </c>
      <c r="Z33" s="228">
        <f>VLOOKUP(B33,'ung luong'!$B$3:$D$27,3,0)</f>
        <v>4000000</v>
      </c>
      <c r="AA33" s="228"/>
      <c r="AB33" s="228"/>
      <c r="AC33" s="266">
        <f t="shared" si="13"/>
        <v>0</v>
      </c>
      <c r="AD33" s="266">
        <f t="shared" si="14"/>
        <v>0</v>
      </c>
      <c r="AE33" s="266">
        <f t="shared" si="15"/>
        <v>0</v>
      </c>
      <c r="AF33" s="266">
        <f t="shared" si="16"/>
        <v>0</v>
      </c>
      <c r="AG33" s="472">
        <f t="shared" ca="1" si="10"/>
        <v>7950000</v>
      </c>
      <c r="AH33" s="312">
        <v>3330000</v>
      </c>
      <c r="AI33" s="483">
        <f t="shared" ca="1" si="11"/>
        <v>4620000</v>
      </c>
      <c r="AJ33" s="371">
        <v>3330000</v>
      </c>
      <c r="AK33" s="485">
        <f t="shared" si="12"/>
        <v>0</v>
      </c>
    </row>
    <row r="34" spans="1:37" s="9" customFormat="1" x14ac:dyDescent="0.25">
      <c r="A34" s="249" t="s">
        <v>412</v>
      </c>
      <c r="B34" s="257" t="str">
        <f>VLOOKUP(A34,'Mã NV'!$A$2:$C$71,2,0)</f>
        <v>Danh Vươl</v>
      </c>
      <c r="C34" s="257" t="str">
        <f>VLOOKUP(A34,'Mã NV'!$A$2:$C$71,3,0)</f>
        <v>Đội trưởng</v>
      </c>
      <c r="D34" s="264">
        <v>42770</v>
      </c>
      <c r="E34" s="228">
        <f t="shared" si="4"/>
        <v>-1426</v>
      </c>
      <c r="F34" s="265">
        <f t="shared" si="0"/>
        <v>0</v>
      </c>
      <c r="G34" s="267" t="s">
        <v>285</v>
      </c>
      <c r="H34" s="257">
        <v>1</v>
      </c>
      <c r="I34" s="228">
        <f>VLOOKUP(G34,'thang luong'!B:I,' Bang luong'!H34+1,0)</f>
        <v>4213125</v>
      </c>
      <c r="J34" s="228">
        <v>4012500</v>
      </c>
      <c r="K34" s="120">
        <f>VLOOKUP(A34,'CHẤM CÔNG TRONG THÁNG'!$A$6:$BR$69,34,0)</f>
        <v>26</v>
      </c>
      <c r="L34" s="228">
        <f>VLOOKUP(A34,'CHẤM CÔNG TRONG THÁNG'!$A$6:$BR$69,36,0)</f>
        <v>0</v>
      </c>
      <c r="M34" s="228">
        <f>VLOOKUP(A34,'CHẤM CÔNG TRONG THÁNG'!$A$6:$BR$69,37,0)</f>
        <v>0</v>
      </c>
      <c r="N34" s="228">
        <f t="shared" si="17"/>
        <v>4012499.9999999995</v>
      </c>
      <c r="O34" s="228">
        <f t="shared" si="6"/>
        <v>0</v>
      </c>
      <c r="P34" s="228">
        <f t="shared" si="7"/>
        <v>4012499.9999999995</v>
      </c>
      <c r="Q34" s="228">
        <f>VLOOKUP(A34,'CHẤM CÔNG TRONG THÁNG'!$A$6:$BS$30,71,0)*22000</f>
        <v>66000</v>
      </c>
      <c r="R34" s="228"/>
      <c r="S34" s="228"/>
      <c r="T34" s="228"/>
      <c r="U34" s="228"/>
      <c r="V34" s="228"/>
      <c r="W34" s="228">
        <f t="shared" si="18"/>
        <v>66000</v>
      </c>
      <c r="X34" s="228">
        <f ca="1">VLOOKUP(A34,'Tổng hợp trong giờ'!$A$15:$CA$37,77,0)-N34</f>
        <v>10480326.126144065</v>
      </c>
      <c r="Y34" s="228">
        <f ca="1">IF(X34&lt;0,D9P13+W34,P34+W34+X34)</f>
        <v>14558826.126144065</v>
      </c>
      <c r="Z34" s="228">
        <f>VLOOKUP(B34,'ung luong'!$B$3:$D$27,3,0)</f>
        <v>3000000</v>
      </c>
      <c r="AA34" s="228"/>
      <c r="AB34" s="228">
        <v>4577000</v>
      </c>
      <c r="AC34" s="266">
        <f t="shared" si="13"/>
        <v>366160</v>
      </c>
      <c r="AD34" s="266">
        <f t="shared" si="14"/>
        <v>68655</v>
      </c>
      <c r="AE34" s="266">
        <f t="shared" si="15"/>
        <v>45770</v>
      </c>
      <c r="AF34" s="266">
        <f t="shared" si="16"/>
        <v>480585</v>
      </c>
      <c r="AG34" s="472">
        <f ca="1">ROUND(Y34-Z34+AA34-AF34,-4)</f>
        <v>11080000</v>
      </c>
      <c r="AH34" s="312">
        <v>10780000</v>
      </c>
      <c r="AI34" s="312">
        <f t="shared" ca="1" si="11"/>
        <v>300000</v>
      </c>
      <c r="AJ34" s="371">
        <v>7580000</v>
      </c>
      <c r="AK34" s="485">
        <f t="shared" si="12"/>
        <v>3200000</v>
      </c>
    </row>
    <row r="35" spans="1:37" x14ac:dyDescent="0.25">
      <c r="A35" s="280"/>
      <c r="B35" s="281"/>
      <c r="C35" s="281"/>
      <c r="D35" s="281" t="s">
        <v>414</v>
      </c>
      <c r="E35" s="281"/>
      <c r="F35" s="281"/>
      <c r="G35" s="281"/>
      <c r="H35" s="281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>
        <f ca="1">SUM(Y13:Y34)</f>
        <v>270964651.35230589</v>
      </c>
      <c r="Z35" s="10">
        <f>SUM(Z13:Z34)</f>
        <v>61000000</v>
      </c>
      <c r="AA35" s="10">
        <f t="shared" ref="AA35:AF35" si="19">SUM(AA13:AA34)</f>
        <v>0</v>
      </c>
      <c r="AB35" s="10">
        <f t="shared" si="19"/>
        <v>64078000</v>
      </c>
      <c r="AC35" s="10">
        <f t="shared" si="19"/>
        <v>5126240</v>
      </c>
      <c r="AD35" s="10">
        <f t="shared" si="19"/>
        <v>961170</v>
      </c>
      <c r="AE35" s="10">
        <f t="shared" si="19"/>
        <v>640780</v>
      </c>
      <c r="AF35" s="10">
        <f t="shared" si="19"/>
        <v>6728190</v>
      </c>
      <c r="AG35" s="10">
        <f ca="1">SUM(AG13:AG34)</f>
        <v>203260000</v>
      </c>
      <c r="AH35" s="104"/>
    </row>
    <row r="37" spans="1:37" x14ac:dyDescent="0.25">
      <c r="A37" s="282"/>
      <c r="B37" s="513" t="s">
        <v>415</v>
      </c>
      <c r="C37" s="513"/>
      <c r="D37" s="282"/>
      <c r="E37" s="283"/>
      <c r="F37" s="283"/>
      <c r="G37" s="284" t="s">
        <v>416</v>
      </c>
      <c r="H37" s="285"/>
      <c r="I37" s="286"/>
      <c r="J37" s="286"/>
      <c r="K37" s="514" t="s">
        <v>421</v>
      </c>
      <c r="L37" s="514"/>
      <c r="M37" s="286"/>
      <c r="N37" s="286"/>
      <c r="O37" s="286"/>
      <c r="P37" s="284"/>
      <c r="Q37" s="514" t="s">
        <v>417</v>
      </c>
      <c r="R37" s="514"/>
      <c r="S37" s="514"/>
      <c r="T37" s="284"/>
      <c r="U37" s="284"/>
      <c r="V37" s="286"/>
      <c r="W37" s="286"/>
      <c r="X37" s="286"/>
      <c r="Y37" s="291" t="s">
        <v>422</v>
      </c>
      <c r="Z37" s="286"/>
      <c r="AA37" s="286"/>
      <c r="AB37" s="287"/>
      <c r="AC37" s="515" t="s">
        <v>304</v>
      </c>
      <c r="AD37" s="515"/>
      <c r="AE37" s="515"/>
      <c r="AF37" s="515"/>
      <c r="AG37" s="288"/>
      <c r="AH37" s="288"/>
      <c r="AI37" s="288"/>
      <c r="AJ37" s="289"/>
    </row>
    <row r="38" spans="1:37" x14ac:dyDescent="0.25">
      <c r="A38" s="282"/>
      <c r="B38" s="290"/>
      <c r="C38" s="291"/>
      <c r="D38" s="282"/>
      <c r="E38" s="283"/>
      <c r="F38" s="283"/>
      <c r="G38" s="284"/>
      <c r="H38" s="285"/>
      <c r="I38" s="286"/>
      <c r="J38" s="286"/>
      <c r="K38" s="286"/>
      <c r="L38" s="286"/>
      <c r="M38" s="286"/>
      <c r="N38" s="286"/>
      <c r="O38" s="286"/>
      <c r="P38" s="284"/>
      <c r="Q38" s="292"/>
      <c r="R38" s="291"/>
      <c r="S38" s="291"/>
      <c r="T38" s="284"/>
      <c r="U38" s="284"/>
      <c r="V38" s="286"/>
      <c r="W38" s="286"/>
      <c r="X38" s="286"/>
      <c r="Y38" s="286"/>
      <c r="Z38" s="286"/>
      <c r="AA38" s="286"/>
      <c r="AB38" s="287"/>
      <c r="AC38" s="291"/>
      <c r="AD38" s="290"/>
      <c r="AE38" s="290"/>
      <c r="AF38" s="290"/>
      <c r="AG38" s="293"/>
      <c r="AH38" s="293"/>
      <c r="AI38" s="290"/>
      <c r="AJ38" s="289"/>
    </row>
    <row r="39" spans="1:37" x14ac:dyDescent="0.25">
      <c r="A39" s="282"/>
      <c r="B39" s="290"/>
      <c r="C39" s="291"/>
      <c r="D39" s="282"/>
      <c r="E39" s="283"/>
      <c r="F39" s="283"/>
      <c r="G39" s="284"/>
      <c r="H39" s="285"/>
      <c r="I39" s="286"/>
      <c r="J39" s="286"/>
      <c r="K39" s="286"/>
      <c r="L39" s="286"/>
      <c r="M39" s="286"/>
      <c r="N39" s="286"/>
      <c r="O39" s="286"/>
      <c r="P39" s="284"/>
      <c r="Q39" s="292"/>
      <c r="R39" s="291"/>
      <c r="S39" s="291"/>
      <c r="T39" s="284"/>
      <c r="U39" s="284"/>
      <c r="V39" s="286"/>
      <c r="W39" s="286"/>
      <c r="X39" s="286"/>
      <c r="Y39" s="286"/>
      <c r="Z39" s="286"/>
      <c r="AA39" s="286"/>
      <c r="AB39" s="287"/>
      <c r="AC39" s="291"/>
      <c r="AD39" s="290"/>
      <c r="AE39" s="290"/>
      <c r="AF39" s="290"/>
      <c r="AG39" s="293"/>
      <c r="AH39" s="293"/>
      <c r="AI39" s="290"/>
      <c r="AJ39" s="282"/>
    </row>
    <row r="40" spans="1:37" x14ac:dyDescent="0.25">
      <c r="A40" s="282"/>
      <c r="B40" s="290"/>
      <c r="C40" s="291"/>
      <c r="D40" s="282"/>
      <c r="E40" s="283"/>
      <c r="F40" s="283"/>
      <c r="G40" s="284"/>
      <c r="H40" s="285"/>
      <c r="I40" s="286"/>
      <c r="J40" s="286"/>
      <c r="K40" s="286"/>
      <c r="L40" s="286"/>
      <c r="M40" s="286"/>
      <c r="N40" s="286"/>
      <c r="O40" s="286"/>
      <c r="P40" s="284"/>
      <c r="Q40" s="292"/>
      <c r="R40" s="291"/>
      <c r="S40" s="291"/>
      <c r="T40" s="284"/>
      <c r="U40" s="284"/>
      <c r="V40" s="286"/>
      <c r="W40" s="286"/>
      <c r="X40" s="286"/>
      <c r="Y40" s="286"/>
      <c r="Z40" s="286"/>
      <c r="AA40" s="286"/>
      <c r="AB40" s="287"/>
      <c r="AC40" s="291"/>
      <c r="AD40" s="290"/>
      <c r="AE40" s="290"/>
      <c r="AF40" s="290"/>
      <c r="AG40" s="293"/>
      <c r="AH40" s="293"/>
      <c r="AI40" s="290"/>
      <c r="AJ40" s="282"/>
    </row>
    <row r="41" spans="1:37" x14ac:dyDescent="0.25">
      <c r="A41" s="282"/>
      <c r="B41" s="290"/>
      <c r="C41" s="291"/>
      <c r="D41" s="282"/>
      <c r="E41" s="283"/>
      <c r="F41" s="283"/>
      <c r="G41" s="284"/>
      <c r="H41" s="285"/>
      <c r="I41" s="286"/>
      <c r="J41" s="286"/>
      <c r="K41" s="286"/>
      <c r="L41" s="286"/>
      <c r="M41" s="286"/>
      <c r="N41" s="286"/>
      <c r="O41" s="286"/>
      <c r="P41" s="284"/>
      <c r="Q41" s="292"/>
      <c r="R41" s="291"/>
      <c r="S41" s="291"/>
      <c r="T41" s="284"/>
      <c r="U41" s="284"/>
      <c r="V41" s="286"/>
      <c r="W41" s="286"/>
      <c r="X41" s="286"/>
      <c r="Y41" s="286"/>
      <c r="Z41" s="286"/>
      <c r="AA41" s="286"/>
      <c r="AB41" s="287"/>
      <c r="AC41" s="291"/>
      <c r="AD41" s="290"/>
      <c r="AE41" s="290"/>
      <c r="AF41" s="290"/>
      <c r="AG41" s="293"/>
      <c r="AH41" s="293"/>
      <c r="AI41" s="290"/>
      <c r="AJ41" s="282"/>
    </row>
    <row r="42" spans="1:37" x14ac:dyDescent="0.25">
      <c r="A42" s="282"/>
      <c r="B42" s="290"/>
      <c r="C42" s="291"/>
      <c r="D42" s="282"/>
      <c r="E42" s="283"/>
      <c r="F42" s="283"/>
      <c r="G42" s="284"/>
      <c r="H42" s="285"/>
      <c r="I42" s="286"/>
      <c r="J42" s="286"/>
      <c r="K42" s="286"/>
      <c r="L42" s="286"/>
      <c r="M42" s="286"/>
      <c r="N42" s="286"/>
      <c r="O42" s="286"/>
      <c r="P42" s="284"/>
      <c r="Q42" s="292"/>
      <c r="R42" s="291"/>
      <c r="S42" s="291"/>
      <c r="T42" s="284"/>
      <c r="U42" s="284"/>
      <c r="V42" s="286"/>
      <c r="W42" s="286"/>
      <c r="X42" s="286"/>
      <c r="Y42" s="286"/>
      <c r="Z42" s="286"/>
      <c r="AA42" s="286"/>
      <c r="AB42" s="287"/>
      <c r="AC42" s="291"/>
      <c r="AD42" s="290"/>
      <c r="AE42" s="290"/>
      <c r="AF42" s="290"/>
      <c r="AG42" s="293"/>
      <c r="AH42" s="293"/>
      <c r="AI42" s="290"/>
      <c r="AJ42" s="282"/>
    </row>
    <row r="43" spans="1:37" x14ac:dyDescent="0.25">
      <c r="A43" s="290"/>
      <c r="B43" s="514" t="s">
        <v>418</v>
      </c>
      <c r="C43" s="514"/>
      <c r="D43" s="290"/>
      <c r="E43" s="294"/>
      <c r="F43" s="290"/>
      <c r="G43" s="295" t="s">
        <v>419</v>
      </c>
      <c r="H43" s="294"/>
      <c r="I43" s="291"/>
      <c r="J43" s="291"/>
      <c r="K43" s="291" t="s">
        <v>420</v>
      </c>
      <c r="L43" s="291"/>
      <c r="M43" s="291"/>
      <c r="N43" s="291"/>
      <c r="O43" s="291"/>
      <c r="P43" s="292"/>
      <c r="Q43" s="514" t="s">
        <v>420</v>
      </c>
      <c r="R43" s="514"/>
      <c r="S43" s="514"/>
      <c r="T43" s="292"/>
      <c r="U43" s="288"/>
      <c r="V43" s="296"/>
      <c r="W43" s="291"/>
      <c r="X43" s="514" t="s">
        <v>423</v>
      </c>
      <c r="Y43" s="514"/>
      <c r="Z43" s="514"/>
      <c r="AA43" s="291"/>
      <c r="AB43" s="297"/>
      <c r="AC43" s="515" t="s">
        <v>435</v>
      </c>
      <c r="AD43" s="515"/>
      <c r="AE43" s="515"/>
      <c r="AF43" s="515"/>
      <c r="AG43" s="288"/>
      <c r="AH43" s="288"/>
      <c r="AI43" s="288"/>
      <c r="AJ43" s="290"/>
    </row>
  </sheetData>
  <mergeCells count="40">
    <mergeCell ref="A7:AG7"/>
    <mergeCell ref="A10:A12"/>
    <mergeCell ref="B10:B12"/>
    <mergeCell ref="C10:C12"/>
    <mergeCell ref="I10:I12"/>
    <mergeCell ref="Q10:V10"/>
    <mergeCell ref="W10:W12"/>
    <mergeCell ref="AC10:AE10"/>
    <mergeCell ref="AG10:AG12"/>
    <mergeCell ref="Q11:Q12"/>
    <mergeCell ref="R11:R12"/>
    <mergeCell ref="S11:S12"/>
    <mergeCell ref="T11:T12"/>
    <mergeCell ref="U11:U12"/>
    <mergeCell ref="V11:V12"/>
    <mergeCell ref="P10:P12"/>
    <mergeCell ref="N10:N12"/>
    <mergeCell ref="AB10:AB12"/>
    <mergeCell ref="D10:D12"/>
    <mergeCell ref="E10:E12"/>
    <mergeCell ref="F10:F12"/>
    <mergeCell ref="G10:G12"/>
    <mergeCell ref="H10:H12"/>
    <mergeCell ref="K10:K12"/>
    <mergeCell ref="L10:L12"/>
    <mergeCell ref="M10:M12"/>
    <mergeCell ref="X10:X12"/>
    <mergeCell ref="O10:O12"/>
    <mergeCell ref="Y10:Y12"/>
    <mergeCell ref="Z10:Z12"/>
    <mergeCell ref="J10:J12"/>
    <mergeCell ref="AA10:AA12"/>
    <mergeCell ref="B37:C37"/>
    <mergeCell ref="Q37:S37"/>
    <mergeCell ref="AC37:AF37"/>
    <mergeCell ref="B43:C43"/>
    <mergeCell ref="Q43:S43"/>
    <mergeCell ref="AC43:AF43"/>
    <mergeCell ref="X43:Z43"/>
    <mergeCell ref="K37:L37"/>
  </mergeCells>
  <pageMargins left="0.25" right="0" top="0.75" bottom="0.75" header="0.3" footer="0.3"/>
  <pageSetup paperSize="9"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2"/>
  <sheetViews>
    <sheetView view="pageBreakPreview" topLeftCell="K4" zoomScale="106" zoomScaleNormal="106" zoomScaleSheetLayoutView="106" workbookViewId="0">
      <selection activeCell="V9" sqref="V9"/>
    </sheetView>
  </sheetViews>
  <sheetFormatPr defaultColWidth="9.28515625" defaultRowHeight="15.75" x14ac:dyDescent="0.25"/>
  <cols>
    <col min="1" max="1" width="9.7109375" style="178" customWidth="1"/>
    <col min="2" max="2" width="21.42578125" style="177" customWidth="1"/>
    <col min="3" max="3" width="10.28515625" style="177" customWidth="1"/>
    <col min="4" max="4" width="10.7109375" style="177" hidden="1" customWidth="1"/>
    <col min="5" max="5" width="13.28515625" style="177" customWidth="1"/>
    <col min="6" max="6" width="9" style="177" hidden="1" customWidth="1"/>
    <col min="7" max="7" width="13.28515625" style="177" bestFit="1" customWidth="1"/>
    <col min="8" max="8" width="9" style="177" customWidth="1"/>
    <col min="9" max="9" width="7.7109375" style="177" customWidth="1"/>
    <col min="10" max="10" width="19.7109375" style="177" customWidth="1"/>
    <col min="11" max="11" width="12.5703125" style="179" customWidth="1"/>
    <col min="12" max="12" width="1.42578125" style="179" customWidth="1"/>
    <col min="13" max="13" width="6.7109375" style="177" customWidth="1"/>
    <col min="14" max="14" width="9.28515625" style="177" hidden="1" customWidth="1"/>
    <col min="15" max="15" width="12.42578125" style="177" customWidth="1"/>
    <col min="16" max="16" width="7.5703125" style="177" customWidth="1"/>
    <col min="17" max="17" width="9.28515625" style="177" customWidth="1"/>
    <col min="18" max="18" width="16.28515625" style="177" customWidth="1"/>
    <col min="19" max="19" width="9.28515625" style="177" customWidth="1"/>
    <col min="20" max="20" width="9.42578125" style="177" customWidth="1"/>
    <col min="21" max="21" width="11.28515625" style="177" customWidth="1"/>
    <col min="22" max="22" width="21.28515625" style="177" customWidth="1"/>
    <col min="23" max="23" width="7.7109375" style="177" customWidth="1"/>
    <col min="24" max="24" width="16.5703125" style="177" bestFit="1" customWidth="1"/>
    <col min="25" max="25" width="13.28515625" style="177" customWidth="1"/>
    <col min="26" max="26" width="9.28515625" style="177"/>
    <col min="27" max="27" width="9.28515625" style="177" customWidth="1"/>
    <col min="28" max="28" width="18.7109375" style="177" customWidth="1"/>
    <col min="29" max="29" width="15.28515625" style="177" bestFit="1" customWidth="1"/>
    <col min="30" max="16384" width="9.28515625" style="177"/>
  </cols>
  <sheetData>
    <row r="1" spans="1:51" x14ac:dyDescent="0.25">
      <c r="A1" s="528" t="s">
        <v>441</v>
      </c>
      <c r="B1" s="528"/>
      <c r="C1" s="528"/>
      <c r="D1" s="529"/>
      <c r="E1" s="528"/>
      <c r="F1" s="529"/>
      <c r="G1" s="528"/>
      <c r="H1" s="176"/>
      <c r="I1" s="529" t="s">
        <v>394</v>
      </c>
      <c r="J1" s="529"/>
      <c r="K1" s="529"/>
      <c r="L1" s="529"/>
      <c r="M1" s="529"/>
      <c r="N1" s="529"/>
      <c r="O1" s="529"/>
      <c r="P1" s="176"/>
      <c r="Q1" s="176"/>
      <c r="AC1" s="176"/>
      <c r="AD1" s="176"/>
      <c r="AE1" s="176"/>
      <c r="AF1" s="176"/>
      <c r="AG1" s="176"/>
      <c r="AH1" s="176"/>
    </row>
    <row r="2" spans="1:51" ht="13.5" customHeight="1" x14ac:dyDescent="0.25">
      <c r="A2" s="229" t="s">
        <v>149</v>
      </c>
      <c r="B2" s="230" t="s">
        <v>115</v>
      </c>
      <c r="C2" s="230" t="s">
        <v>150</v>
      </c>
      <c r="D2" s="179"/>
      <c r="E2" s="230" t="str">
        <f>VLOOKUP(B2,'Mã NV'!$A$2:$C$27,2,0)</f>
        <v>Trần Anh Dũ</v>
      </c>
      <c r="G2" s="230"/>
      <c r="I2" s="178" t="s">
        <v>149</v>
      </c>
      <c r="J2" s="177" t="s">
        <v>101</v>
      </c>
      <c r="K2" s="177" t="s">
        <v>150</v>
      </c>
      <c r="M2" s="177" t="str">
        <f>VLOOKUP(J2,'Mã NV'!$A$2:$C$11,2,0)</f>
        <v>Nguyễn Văn Chiến</v>
      </c>
    </row>
    <row r="3" spans="1:51" ht="16.5" customHeight="1" x14ac:dyDescent="0.25">
      <c r="A3" s="229" t="s">
        <v>151</v>
      </c>
      <c r="B3" s="230" t="str">
        <f>VLOOKUP(B2,'Mã NV'!$A$2:$C$27,3,0)</f>
        <v>Công nhân</v>
      </c>
      <c r="C3" s="230" t="s">
        <v>346</v>
      </c>
      <c r="D3" s="179"/>
      <c r="E3" s="307">
        <f>VLOOKUP(B2,' Bang luong'!$A$13:$AG$59,11,0)</f>
        <v>26</v>
      </c>
      <c r="G3" s="230"/>
      <c r="I3" s="178" t="s">
        <v>151</v>
      </c>
      <c r="J3" s="177" t="str">
        <f>VLOOKUP(J2,'Mã NV'!$A$2:$C$11,3,0)</f>
        <v>Công nhân</v>
      </c>
      <c r="K3" s="177" t="s">
        <v>346</v>
      </c>
      <c r="M3" s="177">
        <f>VLOOKUP(J2,' Bang luong'!$A$13:$AG$59,11,0)</f>
        <v>25</v>
      </c>
    </row>
    <row r="4" spans="1:51" s="183" customFormat="1" ht="24" customHeight="1" x14ac:dyDescent="0.25">
      <c r="A4" s="231" t="s">
        <v>152</v>
      </c>
      <c r="B4" s="231" t="s">
        <v>153</v>
      </c>
      <c r="C4" s="231" t="s">
        <v>333</v>
      </c>
      <c r="D4" s="180" t="s">
        <v>154</v>
      </c>
      <c r="E4" s="231" t="s">
        <v>316</v>
      </c>
      <c r="F4" s="180" t="s">
        <v>154</v>
      </c>
      <c r="G4" s="235" t="s">
        <v>155</v>
      </c>
      <c r="H4" s="182"/>
      <c r="I4" s="180" t="s">
        <v>152</v>
      </c>
      <c r="J4" s="180" t="s">
        <v>153</v>
      </c>
      <c r="K4" s="180" t="s">
        <v>333</v>
      </c>
      <c r="L4" s="180" t="s">
        <v>154</v>
      </c>
      <c r="M4" s="180" t="s">
        <v>316</v>
      </c>
      <c r="N4" s="180" t="s">
        <v>154</v>
      </c>
      <c r="O4" s="181" t="s">
        <v>155</v>
      </c>
      <c r="Q4" s="184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</row>
    <row r="5" spans="1:51" ht="13.5" customHeight="1" x14ac:dyDescent="0.25">
      <c r="A5" s="232" t="s">
        <v>3</v>
      </c>
      <c r="B5" s="255" t="s">
        <v>51</v>
      </c>
      <c r="C5" s="234">
        <f>HLOOKUP(A5,'Tổng hợp trong giờ'!$D$12:$BB$40,VLOOKUP('Thẻ lương'!$B$2,'Tổng hợp trong giờ'!$A$15:$CR$37,95,0),0)</f>
        <v>1500</v>
      </c>
      <c r="D5" s="187">
        <f>VLOOKUP(A5,'Định mức'!$A$6:$J$57,9,0)</f>
        <v>516.26226122870423</v>
      </c>
      <c r="E5" s="234">
        <f ca="1">HLOOKUP(A5,'Tổng hợp ngoài giờ'!$D$12:$BB$47,VLOOKUP('Thẻ lương'!$B$2,'Tổng hợp ngoài giờ'!$A$15:$CM$36,90,0),0)</f>
        <v>0</v>
      </c>
      <c r="F5" s="187">
        <f>VLOOKUP(A5,'Định mức'!$A$6:$J$57,10,0)</f>
        <v>567.88848735157467</v>
      </c>
      <c r="G5" s="234">
        <f ca="1">C5*D5+E5*F5</f>
        <v>774393.39184305631</v>
      </c>
      <c r="H5" s="188"/>
      <c r="I5" s="185" t="s">
        <v>3</v>
      </c>
      <c r="J5" s="186" t="s">
        <v>51</v>
      </c>
      <c r="K5" s="187" t="e">
        <f>HLOOKUP(I5,'Tổng hợp trong giờ'!$D$12:$BB$40,VLOOKUP('Thẻ lương'!$J$2,'Tổng hợp trong giờ'!$A$15:$CR$37,90,0),0)</f>
        <v>#VALUE!</v>
      </c>
      <c r="L5" s="187">
        <f>VLOOKUP(I5,'Định mức'!$A$6:$J$57,9,0)</f>
        <v>516.26226122870423</v>
      </c>
      <c r="M5" s="187" t="e">
        <f>HLOOKUP(I5,'Tổng hợp ngoài giờ'!$D$12:$BB$47,VLOOKUP('Thẻ lương'!$B$2,'Tổng hợp ngoài giờ'!$A$15:$CL$36,89,0),0)</f>
        <v>#VALUE!</v>
      </c>
      <c r="N5" s="187">
        <f>VLOOKUP(I5,'Định mức'!$A$6:$J$57,10,0)</f>
        <v>567.88848735157467</v>
      </c>
      <c r="O5" s="187" t="e">
        <f>K5*L5+M5*N5</f>
        <v>#VALUE!</v>
      </c>
      <c r="Q5" s="189"/>
      <c r="R5" s="530" t="str">
        <f>A1</f>
        <v>THẺ LƯƠNG THÁNG 10/2019</v>
      </c>
      <c r="S5" s="530"/>
      <c r="T5" s="530"/>
      <c r="U5" s="530"/>
      <c r="V5" s="530"/>
      <c r="W5" s="176"/>
      <c r="X5" s="530" t="str">
        <f>R5</f>
        <v>THẺ LƯƠNG THÁNG 10/2019</v>
      </c>
      <c r="Y5" s="530"/>
      <c r="Z5" s="530"/>
      <c r="AA5" s="530"/>
      <c r="AB5" s="530"/>
      <c r="AC5" s="183"/>
    </row>
    <row r="6" spans="1:51" ht="13.5" customHeight="1" x14ac:dyDescent="0.25">
      <c r="A6" s="232" t="s">
        <v>4</v>
      </c>
      <c r="B6" s="255" t="s">
        <v>52</v>
      </c>
      <c r="C6" s="234">
        <f>HLOOKUP(A6,'Tổng hợp trong giờ'!$D$12:$BB$40,VLOOKUP('Thẻ lương'!$B$2,'Tổng hợp trong giờ'!$A$15:$CR$37,95,0),0)</f>
        <v>4350</v>
      </c>
      <c r="D6" s="187">
        <f>VLOOKUP(A6,'Định mức'!$A$6:$J$57,9,0)</f>
        <v>571.79732235482481</v>
      </c>
      <c r="E6" s="234">
        <f ca="1">HLOOKUP(A6,'Tổng hợp ngoài giờ'!$D$12:$BB$47,VLOOKUP('Thẻ lương'!$B$2,'Tổng hợp ngoài giờ'!$A$15:$CM$36,90,0),0)</f>
        <v>0</v>
      </c>
      <c r="F6" s="187">
        <f>VLOOKUP(A6,'Định mức'!$A$6:$J$57,10,0)</f>
        <v>628.97705459030738</v>
      </c>
      <c r="G6" s="234">
        <f ca="1">C6*D6+E6*F6</f>
        <v>2487318.3522434877</v>
      </c>
      <c r="H6" s="188"/>
      <c r="I6" s="185" t="s">
        <v>4</v>
      </c>
      <c r="J6" s="186" t="s">
        <v>52</v>
      </c>
      <c r="K6" s="187" t="e">
        <f>HLOOKUP(I6,'Tổng hợp trong giờ'!$D$12:$BB$40,VLOOKUP('Thẻ lương'!$J$2,'Tổng hợp trong giờ'!$A$15:$CR$37,90,0),0)</f>
        <v>#VALUE!</v>
      </c>
      <c r="L6" s="187">
        <f>VLOOKUP(I6,'Định mức'!$A$6:$J$57,9,0)</f>
        <v>571.79732235482481</v>
      </c>
      <c r="M6" s="187" t="e">
        <f>HLOOKUP(I6,'Tổng hợp ngoài giờ'!$D$12:$BB$47,VLOOKUP('Thẻ lương'!$B$2,'Tổng hợp ngoài giờ'!$A$15:$CL$36,89,0),0)</f>
        <v>#VALUE!</v>
      </c>
      <c r="N6" s="187">
        <f>VLOOKUP(I6,'Định mức'!$A$6:$J$57,10,0)</f>
        <v>628.97705459030738</v>
      </c>
      <c r="O6" s="187" t="e">
        <f t="shared" ref="O6:O57" si="0">K6*L6+M6*N6</f>
        <v>#VALUE!</v>
      </c>
      <c r="Q6" s="189"/>
      <c r="R6" s="190" t="s">
        <v>149</v>
      </c>
      <c r="S6" s="190" t="s">
        <v>412</v>
      </c>
      <c r="T6" s="190"/>
      <c r="U6" s="190" t="s">
        <v>150</v>
      </c>
      <c r="V6" s="190" t="str">
        <f>VLOOKUP(S6,'Mã NV'!$A$2:$C$27,2,0)</f>
        <v>Danh Vươl</v>
      </c>
      <c r="W6" s="179"/>
      <c r="X6" s="190" t="s">
        <v>149</v>
      </c>
      <c r="Y6" s="190" t="str">
        <f>S6</f>
        <v>NV36</v>
      </c>
      <c r="Z6" s="190"/>
      <c r="AA6" s="190" t="s">
        <v>150</v>
      </c>
      <c r="AB6" s="190" t="e">
        <f>VLOOKUP(Y6,'Mã NV'!$A$2:$C$14,2,0)</f>
        <v>#N/A</v>
      </c>
      <c r="AC6" s="188"/>
    </row>
    <row r="7" spans="1:51" ht="13.5" customHeight="1" x14ac:dyDescent="0.25">
      <c r="A7" s="232" t="s">
        <v>5</v>
      </c>
      <c r="B7" s="255" t="s">
        <v>53</v>
      </c>
      <c r="C7" s="234">
        <f>HLOOKUP(A7,'Tổng hợp trong giờ'!$D$12:$BB$40,VLOOKUP('Thẻ lương'!$B$2,'Tổng hợp trong giờ'!$A$15:$CR$37,95,0),0)</f>
        <v>3403.336666666667</v>
      </c>
      <c r="D7" s="187">
        <f>VLOOKUP(A7,'Định mức'!$A$6:$J$57,9,0)</f>
        <v>1229.3642430628731</v>
      </c>
      <c r="E7" s="234">
        <f ca="1">HLOOKUP(A7,'Tổng hợp ngoài giờ'!$D$12:$BB$47,VLOOKUP('Thẻ lương'!$B$2,'Tổng hợp ngoài giờ'!$A$15:$CM$36,90,0),0)</f>
        <v>0</v>
      </c>
      <c r="F7" s="187">
        <f>VLOOKUP(A7,'Định mức'!$A$6:$J$57,10,0)</f>
        <v>1352.3006673691605</v>
      </c>
      <c r="G7" s="234">
        <f ca="1">C7*D7+E7*F7</f>
        <v>4183940.405104789</v>
      </c>
      <c r="H7" s="188"/>
      <c r="I7" s="185" t="s">
        <v>5</v>
      </c>
      <c r="J7" s="186" t="s">
        <v>53</v>
      </c>
      <c r="K7" s="187" t="e">
        <f>HLOOKUP(I7,'Tổng hợp trong giờ'!$D$12:$BB$40,VLOOKUP('Thẻ lương'!$J$2,'Tổng hợp trong giờ'!$A$15:$CR$37,90,0),0)</f>
        <v>#VALUE!</v>
      </c>
      <c r="L7" s="187">
        <f>VLOOKUP(I7,'Định mức'!$A$6:$J$57,9,0)</f>
        <v>1229.3642430628731</v>
      </c>
      <c r="M7" s="187" t="e">
        <f>HLOOKUP(I7,'Tổng hợp ngoài giờ'!$D$12:$BB$47,VLOOKUP('Thẻ lương'!$B$2,'Tổng hợp ngoài giờ'!$A$15:$CL$36,89,0),0)</f>
        <v>#VALUE!</v>
      </c>
      <c r="N7" s="187">
        <f>VLOOKUP(I7,'Định mức'!$A$6:$J$57,10,0)</f>
        <v>1352.3006673691605</v>
      </c>
      <c r="O7" s="187" t="e">
        <f t="shared" si="0"/>
        <v>#VALUE!</v>
      </c>
      <c r="Q7" s="189"/>
      <c r="R7" s="190" t="s">
        <v>151</v>
      </c>
      <c r="S7" s="190" t="str">
        <f>VLOOKUP(S6,'Mã NV'!$A$2:$C$67,3,0)</f>
        <v>Đội trưởng</v>
      </c>
      <c r="T7" s="190"/>
      <c r="U7" s="190" t="s">
        <v>346</v>
      </c>
      <c r="V7" s="190">
        <f>VLOOKUP(S6,' Bang luong'!$A$13:$AG$59,11,0)</f>
        <v>26</v>
      </c>
      <c r="W7" s="179"/>
      <c r="X7" s="190" t="s">
        <v>151</v>
      </c>
      <c r="Y7" s="190" t="str">
        <f>VLOOKUP(Y6,'Mã NV'!$A$2:$C$67,3,0)</f>
        <v>Đội trưởng</v>
      </c>
      <c r="Z7" s="190"/>
      <c r="AA7" s="190" t="s">
        <v>346</v>
      </c>
      <c r="AB7" s="190">
        <f>VLOOKUP(Y6,' Bang luong'!$A$13:$AG$59,11,0)</f>
        <v>26</v>
      </c>
      <c r="AC7" s="179"/>
    </row>
    <row r="8" spans="1:51" ht="15.75" customHeight="1" x14ac:dyDescent="0.25">
      <c r="A8" s="185" t="s">
        <v>6</v>
      </c>
      <c r="B8" s="186" t="s">
        <v>54</v>
      </c>
      <c r="C8" s="234">
        <f>HLOOKUP(A8,'Tổng hợp trong giờ'!$D$12:$BB$40,VLOOKUP('Thẻ lương'!$B$2,'Tổng hợp trong giờ'!$A$15:$CR$37,95,0),0)</f>
        <v>0</v>
      </c>
      <c r="D8" s="187">
        <f>VLOOKUP(A8,'Định mức'!$A$6:$J$57,9,0)</f>
        <v>1229.3642430628731</v>
      </c>
      <c r="E8" s="234">
        <f ca="1">HLOOKUP(A8,'Tổng hợp ngoài giờ'!$D$12:$BB$47,VLOOKUP('Thẻ lương'!$B$2,'Tổng hợp ngoài giờ'!$A$15:$CM$36,90,0),0)</f>
        <v>0</v>
      </c>
      <c r="F8" s="187">
        <f>VLOOKUP(A8,'Định mức'!$A$6:$J$57,10,0)</f>
        <v>1352.3006673691605</v>
      </c>
      <c r="G8" s="228">
        <f t="shared" ref="G8:G31" ca="1" si="1">C8*D8+E8*F8</f>
        <v>0</v>
      </c>
      <c r="H8" s="188"/>
      <c r="I8" s="185" t="s">
        <v>6</v>
      </c>
      <c r="J8" s="186" t="s">
        <v>54</v>
      </c>
      <c r="K8" s="187" t="e">
        <f>HLOOKUP(I8,'Tổng hợp trong giờ'!$D$12:$BB$40,VLOOKUP('Thẻ lương'!$J$2,'Tổng hợp trong giờ'!$A$15:$CR$37,90,0),0)</f>
        <v>#VALUE!</v>
      </c>
      <c r="L8" s="187">
        <f>VLOOKUP(I8,'Định mức'!$A$6:$J$57,9,0)</f>
        <v>1229.3642430628731</v>
      </c>
      <c r="M8" s="187" t="e">
        <f>HLOOKUP(I8,'Tổng hợp ngoài giờ'!$D$12:$BB$47,VLOOKUP('Thẻ lương'!$B$2,'Tổng hợp ngoài giờ'!$A$15:$CL$36,89,0),0)</f>
        <v>#VALUE!</v>
      </c>
      <c r="N8" s="187">
        <f>VLOOKUP(I8,'Định mức'!$A$6:$J$57,10,0)</f>
        <v>1352.3006673691605</v>
      </c>
      <c r="O8" s="187" t="e">
        <f t="shared" si="0"/>
        <v>#VALUE!</v>
      </c>
      <c r="R8" s="180"/>
      <c r="S8" s="180"/>
      <c r="T8" s="180"/>
      <c r="U8" s="180"/>
      <c r="V8" s="180"/>
      <c r="W8" s="183"/>
      <c r="X8" s="180"/>
      <c r="Y8" s="180"/>
      <c r="Z8" s="180"/>
      <c r="AA8" s="180"/>
      <c r="AB8" s="180"/>
      <c r="AC8" s="179"/>
    </row>
    <row r="9" spans="1:51" ht="13.5" customHeight="1" x14ac:dyDescent="0.25">
      <c r="A9" s="232" t="s">
        <v>7</v>
      </c>
      <c r="B9" s="246" t="s">
        <v>55</v>
      </c>
      <c r="C9" s="234">
        <f>HLOOKUP(A9,'Tổng hợp trong giờ'!$D$12:$BB$40,VLOOKUP('Thẻ lương'!$B$2,'Tổng hợp trong giờ'!$A$15:$CR$37,95,0),0)</f>
        <v>0</v>
      </c>
      <c r="D9" s="187">
        <f>VLOOKUP(A9,'Định mức'!$A$6:$J$57,9,0)</f>
        <v>633.48416289592762</v>
      </c>
      <c r="E9" s="234">
        <f ca="1">HLOOKUP(A9,'Tổng hợp ngoài giờ'!$D$12:$BB$47,VLOOKUP('Thẻ lương'!$B$2,'Tổng hợp ngoài giờ'!$A$15:$CM$36,90,0),0)</f>
        <v>0</v>
      </c>
      <c r="F9" s="187">
        <f>VLOOKUP(A9,'Định mức'!$A$6:$J$57,10,0)</f>
        <v>696.83257918552044</v>
      </c>
      <c r="G9" s="234">
        <f t="shared" ca="1" si="1"/>
        <v>0</v>
      </c>
      <c r="H9" s="188"/>
      <c r="I9" s="185" t="s">
        <v>7</v>
      </c>
      <c r="J9" s="186" t="s">
        <v>55</v>
      </c>
      <c r="K9" s="187" t="e">
        <f>HLOOKUP(I9,'Tổng hợp trong giờ'!$D$12:$BB$40,VLOOKUP('Thẻ lương'!$J$2,'Tổng hợp trong giờ'!$A$15:$CR$37,90,0),0)</f>
        <v>#VALUE!</v>
      </c>
      <c r="L9" s="187">
        <f>VLOOKUP(I9,'Định mức'!$A$6:$J$57,9,0)</f>
        <v>633.48416289592762</v>
      </c>
      <c r="M9" s="187" t="e">
        <f>HLOOKUP(I9,'Tổng hợp ngoài giờ'!$D$12:$BB$47,VLOOKUP('Thẻ lương'!$B$2,'Tổng hợp ngoài giờ'!$A$15:$CL$36,89,0),0)</f>
        <v>#VALUE!</v>
      </c>
      <c r="N9" s="187">
        <f>VLOOKUP(I9,'Định mức'!$A$6:$J$57,10,0)</f>
        <v>696.83257918552044</v>
      </c>
      <c r="O9" s="187" t="e">
        <f t="shared" si="0"/>
        <v>#VALUE!</v>
      </c>
      <c r="P9" s="191"/>
      <c r="R9" s="531" t="s">
        <v>337</v>
      </c>
      <c r="S9" s="532"/>
      <c r="T9" s="180"/>
      <c r="U9" s="180"/>
      <c r="V9" s="181">
        <f ca="1">VLOOKUP($S$6,'Tổng hợp trong giờ'!$A$15:$CB$40,77,0)</f>
        <v>14492826.126144065</v>
      </c>
      <c r="W9" s="183"/>
      <c r="X9" s="180" t="s">
        <v>337</v>
      </c>
      <c r="Y9" s="180"/>
      <c r="Z9" s="180"/>
      <c r="AA9" s="180"/>
      <c r="AB9" s="181">
        <f ca="1">VLOOKUP($S$6,'Tổng hợp trong giờ'!$A$15:$CB$40,76,0)</f>
        <v>973656.48050579568</v>
      </c>
      <c r="AC9" s="192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</row>
    <row r="10" spans="1:51" ht="31.5" customHeight="1" x14ac:dyDescent="0.25">
      <c r="A10" s="185" t="s">
        <v>8</v>
      </c>
      <c r="B10" s="186" t="s">
        <v>56</v>
      </c>
      <c r="C10" s="234">
        <f>HLOOKUP(A10,'Tổng hợp trong giờ'!$D$12:$BB$40,VLOOKUP('Thẻ lương'!$B$2,'Tổng hợp trong giờ'!$A$15:$CR$37,95,0),0)</f>
        <v>0</v>
      </c>
      <c r="D10" s="187">
        <f>VLOOKUP(A10,'Định mức'!$A$6:$J$57,9,0)</f>
        <v>1229.3642430628731</v>
      </c>
      <c r="E10" s="234">
        <f ca="1">HLOOKUP(A10,'Tổng hợp ngoài giờ'!$D$12:$BB$47,VLOOKUP('Thẻ lương'!$B$2,'Tổng hợp ngoài giờ'!$A$15:$CM$36,90,0),0)</f>
        <v>0</v>
      </c>
      <c r="F10" s="187">
        <f>VLOOKUP(A10,'Định mức'!$A$6:$J$57,10,0)</f>
        <v>1352.3006673691605</v>
      </c>
      <c r="G10" s="228">
        <f t="shared" ca="1" si="1"/>
        <v>0</v>
      </c>
      <c r="H10" s="188"/>
      <c r="I10" s="185" t="s">
        <v>8</v>
      </c>
      <c r="J10" s="186" t="s">
        <v>56</v>
      </c>
      <c r="K10" s="187" t="e">
        <f>HLOOKUP(I10,'Tổng hợp trong giờ'!$D$12:$BB$40,VLOOKUP('Thẻ lương'!$J$2,'Tổng hợp trong giờ'!$A$15:$CR$37,90,0),0)</f>
        <v>#VALUE!</v>
      </c>
      <c r="L10" s="187">
        <f>VLOOKUP(I10,'Định mức'!$A$6:$J$57,9,0)</f>
        <v>1229.3642430628731</v>
      </c>
      <c r="M10" s="187" t="e">
        <f>HLOOKUP(I10,'Tổng hợp ngoài giờ'!$D$12:$BB$47,VLOOKUP('Thẻ lương'!$B$2,'Tổng hợp ngoài giờ'!$A$15:$CL$36,89,0),0)</f>
        <v>#VALUE!</v>
      </c>
      <c r="N10" s="187">
        <f>VLOOKUP(I10,'Định mức'!$A$6:$J$57,10,0)</f>
        <v>1352.3006673691605</v>
      </c>
      <c r="O10" s="187" t="e">
        <f t="shared" si="0"/>
        <v>#VALUE!</v>
      </c>
      <c r="P10" s="193"/>
      <c r="R10" s="194" t="s">
        <v>380</v>
      </c>
      <c r="S10" s="195"/>
      <c r="T10" s="187"/>
      <c r="U10" s="187"/>
      <c r="V10" s="187">
        <f>VLOOKUP($S$6,' Bang luong'!$A$13:$AG$59,15,0)</f>
        <v>0</v>
      </c>
      <c r="W10" s="188"/>
      <c r="X10" s="196" t="s">
        <v>380</v>
      </c>
      <c r="Y10" s="187"/>
      <c r="Z10" s="187"/>
      <c r="AA10" s="187"/>
      <c r="AB10" s="187">
        <f>VLOOKUP($S$6,' Bang luong'!$A$13:$AG$59,15,0)</f>
        <v>0</v>
      </c>
      <c r="AD10" s="193"/>
      <c r="AE10" s="193"/>
      <c r="AF10" s="193"/>
      <c r="AG10" s="193"/>
      <c r="AH10" s="193"/>
      <c r="AI10" s="193"/>
      <c r="AJ10" s="193"/>
      <c r="AK10" s="193"/>
      <c r="AL10" s="193"/>
      <c r="AM10" s="193"/>
      <c r="AN10" s="193"/>
      <c r="AO10" s="193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</row>
    <row r="11" spans="1:51" ht="13.5" customHeight="1" x14ac:dyDescent="0.25">
      <c r="A11" s="232" t="s">
        <v>9</v>
      </c>
      <c r="B11" s="255" t="s">
        <v>57</v>
      </c>
      <c r="C11" s="234">
        <f>HLOOKUP(A11,'Tổng hợp trong giờ'!$D$12:$BB$40,VLOOKUP('Thẻ lương'!$B$2,'Tổng hợp trong giờ'!$A$15:$CR$37,95,0),0)</f>
        <v>325</v>
      </c>
      <c r="D11" s="187">
        <f>VLOOKUP(A11,'Định mức'!$A$6:$J$57,9,0)</f>
        <v>633.48416289592762</v>
      </c>
      <c r="E11" s="234">
        <f ca="1">HLOOKUP(A11,'Tổng hợp ngoài giờ'!$D$12:$BB$47,VLOOKUP('Thẻ lương'!$B$2,'Tổng hợp ngoài giờ'!$A$15:$CM$36,90,0),0)</f>
        <v>0</v>
      </c>
      <c r="F11" s="187">
        <f>VLOOKUP(A11,'Định mức'!$A$6:$J$57,10,0)</f>
        <v>696.83257918552044</v>
      </c>
      <c r="G11" s="234">
        <f ca="1">C11*D11+E11*F11</f>
        <v>205882.35294117648</v>
      </c>
      <c r="H11" s="188"/>
      <c r="I11" s="185" t="s">
        <v>9</v>
      </c>
      <c r="J11" s="186" t="s">
        <v>57</v>
      </c>
      <c r="K11" s="187" t="e">
        <f>HLOOKUP(I11,'Tổng hợp trong giờ'!$D$12:$BB$40,VLOOKUP('Thẻ lương'!$J$2,'Tổng hợp trong giờ'!$A$15:$CR$37,90,0),0)</f>
        <v>#VALUE!</v>
      </c>
      <c r="L11" s="187">
        <f>VLOOKUP(I11,'Định mức'!$A$6:$J$57,9,0)</f>
        <v>633.48416289592762</v>
      </c>
      <c r="M11" s="187" t="e">
        <f>HLOOKUP(I11,'Tổng hợp ngoài giờ'!$D$12:$BB$47,VLOOKUP('Thẻ lương'!$B$2,'Tổng hợp ngoài giờ'!$A$15:$CL$36,89,0),0)</f>
        <v>#VALUE!</v>
      </c>
      <c r="N11" s="187">
        <f>VLOOKUP(I11,'Định mức'!$A$6:$J$57,10,0)</f>
        <v>696.83257918552044</v>
      </c>
      <c r="O11" s="187" t="e">
        <f t="shared" si="0"/>
        <v>#VALUE!</v>
      </c>
      <c r="R11" s="194" t="s">
        <v>347</v>
      </c>
      <c r="S11" s="195"/>
      <c r="T11" s="187"/>
      <c r="U11" s="187"/>
      <c r="V11" s="187">
        <f>VLOOKUP($S$6,' Bang luong'!$A$10:$AG$60,17,0)</f>
        <v>66000</v>
      </c>
      <c r="W11" s="179"/>
      <c r="X11" s="196" t="s">
        <v>347</v>
      </c>
      <c r="Y11" s="187"/>
      <c r="Z11" s="187"/>
      <c r="AA11" s="187"/>
      <c r="AB11" s="187">
        <f>VLOOKUP($S$6,' Bang luong'!$A$10:$AG$60,17,0)</f>
        <v>66000</v>
      </c>
    </row>
    <row r="12" spans="1:51" s="197" customFormat="1" ht="16.5" customHeight="1" x14ac:dyDescent="0.25">
      <c r="A12" s="232" t="s">
        <v>10</v>
      </c>
      <c r="B12" s="233" t="s">
        <v>58</v>
      </c>
      <c r="C12" s="234">
        <f>HLOOKUP(A12,'Tổng hợp trong giờ'!$D$12:$BB$40,VLOOKUP('Thẻ lương'!$B$2,'Tổng hợp trong giờ'!$A$15:$CR$37,95,0),0)</f>
        <v>0</v>
      </c>
      <c r="D12" s="187">
        <f>VLOOKUP(A12,'Định mức'!$A$6:$J$57,9,0)</f>
        <v>516.26226122870423</v>
      </c>
      <c r="E12" s="234">
        <f ca="1">HLOOKUP(A12,'Tổng hợp ngoài giờ'!$D$12:$BB$47,VLOOKUP('Thẻ lương'!$B$2,'Tổng hợp ngoài giờ'!$A$15:$CM$36,90,0),0)</f>
        <v>0</v>
      </c>
      <c r="F12" s="187">
        <f>VLOOKUP(A12,'Định mức'!$A$6:$J$57,10,0)</f>
        <v>567.88848735157467</v>
      </c>
      <c r="G12" s="234">
        <f t="shared" ca="1" si="1"/>
        <v>0</v>
      </c>
      <c r="H12" s="188"/>
      <c r="I12" s="185" t="s">
        <v>10</v>
      </c>
      <c r="J12" s="186" t="s">
        <v>58</v>
      </c>
      <c r="K12" s="187" t="e">
        <f>HLOOKUP(I12,'Tổng hợp trong giờ'!$D$12:$BB$40,VLOOKUP('Thẻ lương'!$J$2,'Tổng hợp trong giờ'!$A$15:$CR$37,90,0),0)</f>
        <v>#VALUE!</v>
      </c>
      <c r="L12" s="187">
        <f>VLOOKUP(I12,'Định mức'!$A$6:$J$57,9,0)</f>
        <v>516.26226122870423</v>
      </c>
      <c r="M12" s="187" t="e">
        <f>HLOOKUP(I12,'Tổng hợp ngoài giờ'!$D$12:$BB$47,VLOOKUP('Thẻ lương'!$B$2,'Tổng hợp ngoài giờ'!$A$15:$CL$36,89,0),0)</f>
        <v>#VALUE!</v>
      </c>
      <c r="N12" s="187">
        <f>VLOOKUP(I12,'Định mức'!$A$6:$J$57,10,0)</f>
        <v>567.88848735157467</v>
      </c>
      <c r="O12" s="187" t="e">
        <f t="shared" si="0"/>
        <v>#VALUE!</v>
      </c>
      <c r="Q12" s="177"/>
      <c r="R12" s="194" t="s">
        <v>157</v>
      </c>
      <c r="S12" s="195"/>
      <c r="T12" s="187"/>
      <c r="U12" s="187"/>
      <c r="V12" s="187">
        <f>VLOOKUP($S$6,' Bang luong'!$A$13:$AG$59,32,0)</f>
        <v>480585</v>
      </c>
      <c r="W12" s="179"/>
      <c r="X12" s="198" t="s">
        <v>157</v>
      </c>
      <c r="Y12" s="187"/>
      <c r="Z12" s="187"/>
      <c r="AA12" s="187"/>
      <c r="AB12" s="187">
        <f>VLOOKUP($S$6,' Bang luong'!$A$13:$AG$59,32,0)</f>
        <v>480585</v>
      </c>
      <c r="AC12" s="177"/>
    </row>
    <row r="13" spans="1:51" s="197" customFormat="1" ht="17.25" customHeight="1" x14ac:dyDescent="0.25">
      <c r="A13" s="232" t="s">
        <v>11</v>
      </c>
      <c r="B13" s="279" t="s">
        <v>59</v>
      </c>
      <c r="C13" s="234">
        <f>HLOOKUP(A13,'Tổng hợp trong giờ'!$D$12:$BB$40,VLOOKUP('Thẻ lương'!$B$2,'Tổng hợp trong giờ'!$A$15:$CR$37,95,0),0)</f>
        <v>50</v>
      </c>
      <c r="D13" s="187">
        <f>VLOOKUP(A13,'Định mức'!$A$6:$J$57,9,0)</f>
        <v>642.81122776944505</v>
      </c>
      <c r="E13" s="234">
        <f ca="1">HLOOKUP(A13,'Tổng hợp ngoài giờ'!$D$12:$BB$47,VLOOKUP('Thẻ lương'!$B$2,'Tổng hợp ngoài giờ'!$A$15:$CM$36,90,0),0)</f>
        <v>0</v>
      </c>
      <c r="F13" s="187">
        <f>VLOOKUP(A13,'Định mức'!$A$6:$J$57,10,0)</f>
        <v>707.09235054638964</v>
      </c>
      <c r="G13" s="234">
        <f t="shared" ca="1" si="1"/>
        <v>32140.561388472252</v>
      </c>
      <c r="H13" s="188"/>
      <c r="I13" s="185" t="s">
        <v>11</v>
      </c>
      <c r="J13" s="186" t="s">
        <v>59</v>
      </c>
      <c r="K13" s="187" t="e">
        <f>HLOOKUP(I13,'Tổng hợp trong giờ'!$D$12:$BB$40,VLOOKUP('Thẻ lương'!$J$2,'Tổng hợp trong giờ'!$A$15:$CR$37,90,0),0)</f>
        <v>#VALUE!</v>
      </c>
      <c r="L13" s="187">
        <f>VLOOKUP(I13,'Định mức'!$A$6:$J$57,9,0)</f>
        <v>642.81122776944505</v>
      </c>
      <c r="M13" s="187" t="e">
        <f>HLOOKUP(I13,'Tổng hợp ngoài giờ'!$D$12:$BB$47,VLOOKUP('Thẻ lương'!$B$2,'Tổng hợp ngoài giờ'!$A$15:$CL$36,89,0),0)</f>
        <v>#VALUE!</v>
      </c>
      <c r="N13" s="187">
        <f>VLOOKUP(I13,'Định mức'!$A$6:$J$57,10,0)</f>
        <v>707.09235054638964</v>
      </c>
      <c r="O13" s="187" t="e">
        <f t="shared" si="0"/>
        <v>#VALUE!</v>
      </c>
      <c r="Q13" s="177"/>
      <c r="R13" s="531" t="s">
        <v>319</v>
      </c>
      <c r="S13" s="535"/>
      <c r="T13" s="187"/>
      <c r="U13" s="187"/>
      <c r="V13" s="187">
        <f>VLOOKUP($S$6,' Bang luong'!$A$13:$AG$59,26,0)</f>
        <v>3000000</v>
      </c>
      <c r="W13" s="192"/>
      <c r="X13" s="196" t="s">
        <v>319</v>
      </c>
      <c r="Y13" s="187"/>
      <c r="Z13" s="187"/>
      <c r="AA13" s="187"/>
      <c r="AB13" s="187">
        <f>VLOOKUP($S$6,' Bang luong'!$A$13:$AG$59,26,0)</f>
        <v>3000000</v>
      </c>
      <c r="AC13" s="177"/>
    </row>
    <row r="14" spans="1:51" ht="13.5" customHeight="1" x14ac:dyDescent="0.25">
      <c r="A14" s="232" t="s">
        <v>12</v>
      </c>
      <c r="B14" s="246" t="s">
        <v>60</v>
      </c>
      <c r="C14" s="234">
        <f>HLOOKUP(A14,'Tổng hợp trong giờ'!$D$12:$BB$40,VLOOKUP('Thẻ lương'!$B$2,'Tổng hợp trong giờ'!$A$15:$CR$37,95,0),0)</f>
        <v>0</v>
      </c>
      <c r="D14" s="187">
        <f>VLOOKUP(A14,'Định mức'!$A$6:$J$57,9,0)</f>
        <v>633.48416289592762</v>
      </c>
      <c r="E14" s="234">
        <f ca="1">HLOOKUP(A14,'Tổng hợp ngoài giờ'!$D$12:$BB$47,VLOOKUP('Thẻ lương'!$B$2,'Tổng hợp ngoài giờ'!$A$15:$CM$36,90,0),0)</f>
        <v>0</v>
      </c>
      <c r="F14" s="187">
        <f>VLOOKUP(A14,'Định mức'!$A$6:$J$57,10,0)</f>
        <v>696.83257918552044</v>
      </c>
      <c r="G14" s="234">
        <f t="shared" ca="1" si="1"/>
        <v>0</v>
      </c>
      <c r="H14" s="188"/>
      <c r="I14" s="185" t="s">
        <v>12</v>
      </c>
      <c r="J14" s="186" t="s">
        <v>60</v>
      </c>
      <c r="K14" s="187" t="e">
        <f>HLOOKUP(I14,'Tổng hợp trong giờ'!$D$12:$BB$40,VLOOKUP('Thẻ lương'!$J$2,'Tổng hợp trong giờ'!$A$15:$CR$37,90,0),0)</f>
        <v>#VALUE!</v>
      </c>
      <c r="L14" s="187">
        <f>VLOOKUP(I14,'Định mức'!$A$6:$J$57,9,0)</f>
        <v>633.48416289592762</v>
      </c>
      <c r="M14" s="187" t="e">
        <f>HLOOKUP(I14,'Tổng hợp ngoài giờ'!$D$12:$BB$47,VLOOKUP('Thẻ lương'!$B$2,'Tổng hợp ngoài giờ'!$A$15:$CL$36,89,0),0)</f>
        <v>#VALUE!</v>
      </c>
      <c r="N14" s="187">
        <f>VLOOKUP(I14,'Định mức'!$A$6:$J$57,10,0)</f>
        <v>696.83257918552044</v>
      </c>
      <c r="O14" s="187" t="e">
        <f t="shared" si="0"/>
        <v>#VALUE!</v>
      </c>
      <c r="R14" s="308" t="s">
        <v>386</v>
      </c>
      <c r="S14" s="195"/>
      <c r="T14" s="187"/>
      <c r="U14" s="187"/>
      <c r="V14" s="187">
        <f>VLOOKUP($S$6,' Bang luong'!$A$13:$AG$59,27,0)</f>
        <v>0</v>
      </c>
      <c r="W14" s="192"/>
      <c r="X14" s="196"/>
      <c r="Y14" s="187"/>
      <c r="Z14" s="187"/>
      <c r="AA14" s="187"/>
      <c r="AB14" s="187">
        <f>VLOOKUP($S$6,' Bang luong'!$A$13:$AG$59,27,0)</f>
        <v>0</v>
      </c>
    </row>
    <row r="15" spans="1:51" s="197" customFormat="1" ht="15.75" customHeight="1" x14ac:dyDescent="0.25">
      <c r="A15" s="185" t="s">
        <v>13</v>
      </c>
      <c r="B15" s="186" t="s">
        <v>61</v>
      </c>
      <c r="C15" s="234">
        <f>HLOOKUP(A15,'Tổng hợp trong giờ'!$D$12:$BB$40,VLOOKUP('Thẻ lương'!$B$2,'Tổng hợp trong giờ'!$A$15:$CR$37,95,0),0)</f>
        <v>0</v>
      </c>
      <c r="D15" s="187">
        <f>VLOOKUP(A15,'Định mức'!$A$6:$J$57,9,0)</f>
        <v>1362.4248434885019</v>
      </c>
      <c r="E15" s="234">
        <f ca="1">HLOOKUP(A15,'Tổng hợp ngoài giờ'!$D$12:$BB$47,VLOOKUP('Thẻ lương'!$B$2,'Tổng hợp ngoài giờ'!$A$15:$CM$36,90,0),0)</f>
        <v>0</v>
      </c>
      <c r="F15" s="187">
        <f>VLOOKUP(A15,'Định mức'!$A$6:$J$57,10,0)</f>
        <v>1498.6673278373521</v>
      </c>
      <c r="G15" s="228">
        <f t="shared" ca="1" si="1"/>
        <v>0</v>
      </c>
      <c r="H15" s="188"/>
      <c r="I15" s="185" t="s">
        <v>13</v>
      </c>
      <c r="J15" s="186" t="s">
        <v>61</v>
      </c>
      <c r="K15" s="187" t="e">
        <f>HLOOKUP(I15,'Tổng hợp trong giờ'!$D$12:$BB$40,VLOOKUP('Thẻ lương'!$J$2,'Tổng hợp trong giờ'!$A$15:$CR$37,90,0),0)</f>
        <v>#VALUE!</v>
      </c>
      <c r="L15" s="187">
        <f>VLOOKUP(I15,'Định mức'!$A$6:$J$57,9,0)</f>
        <v>1362.4248434885019</v>
      </c>
      <c r="M15" s="187" t="e">
        <f>HLOOKUP(I15,'Tổng hợp ngoài giờ'!$D$12:$BB$47,VLOOKUP('Thẻ lương'!$B$2,'Tổng hợp ngoài giờ'!$A$15:$CL$36,89,0),0)</f>
        <v>#VALUE!</v>
      </c>
      <c r="N15" s="187">
        <f>VLOOKUP(I15,'Định mức'!$A$6:$J$57,10,0)</f>
        <v>1498.6673278373521</v>
      </c>
      <c r="O15" s="187" t="e">
        <f t="shared" si="0"/>
        <v>#VALUE!</v>
      </c>
      <c r="Q15" s="177"/>
      <c r="R15" s="533" t="s">
        <v>159</v>
      </c>
      <c r="S15" s="534"/>
      <c r="T15" s="199"/>
      <c r="U15" s="199"/>
      <c r="V15" s="199">
        <f ca="1">ROUND(V9+V10+V11-V12-V13+V14,-4)</f>
        <v>11080000</v>
      </c>
      <c r="W15" s="177"/>
      <c r="X15" s="200" t="s">
        <v>159</v>
      </c>
      <c r="Y15" s="199"/>
      <c r="Z15" s="199"/>
      <c r="AA15" s="199"/>
      <c r="AB15" s="199">
        <f ca="1">ROUND(AB9+AB10+AB11-AB12-AB13+AB14,-4)</f>
        <v>-2440000</v>
      </c>
    </row>
    <row r="16" spans="1:51" s="197" customFormat="1" ht="15.75" customHeight="1" x14ac:dyDescent="0.25">
      <c r="A16" s="232" t="s">
        <v>14</v>
      </c>
      <c r="B16" s="255" t="s">
        <v>320</v>
      </c>
      <c r="C16" s="234">
        <f>HLOOKUP(A16,'Tổng hợp trong giờ'!$D$12:$BB$40,VLOOKUP('Thẻ lương'!$B$2,'Tổng hợp trong giờ'!$A$15:$CR$37,95,0),0)</f>
        <v>0</v>
      </c>
      <c r="D16" s="187">
        <f>VLOOKUP(A16,'Định mức'!$A$6:$J$57,9,0)</f>
        <v>1229.3642430628731</v>
      </c>
      <c r="E16" s="234">
        <f ca="1">HLOOKUP(A16,'Tổng hợp ngoài giờ'!$D$12:$BB$47,VLOOKUP('Thẻ lương'!$B$2,'Tổng hợp ngoài giờ'!$A$15:$CM$36,90,0),0)</f>
        <v>0</v>
      </c>
      <c r="F16" s="187">
        <f>VLOOKUP(A16,'Định mức'!$A$6:$J$57,10,0)</f>
        <v>1352.3006673691605</v>
      </c>
      <c r="G16" s="228">
        <f t="shared" ca="1" si="1"/>
        <v>0</v>
      </c>
      <c r="H16" s="188"/>
      <c r="I16" s="185" t="s">
        <v>14</v>
      </c>
      <c r="J16" s="186" t="s">
        <v>320</v>
      </c>
      <c r="K16" s="187" t="e">
        <f>HLOOKUP(I16,'Tổng hợp trong giờ'!$D$12:$BB$40,VLOOKUP('Thẻ lương'!$J$2,'Tổng hợp trong giờ'!$A$15:$CR$37,90,0),0)</f>
        <v>#VALUE!</v>
      </c>
      <c r="L16" s="187">
        <f>VLOOKUP(I16,'Định mức'!$A$6:$J$57,9,0)</f>
        <v>1229.3642430628731</v>
      </c>
      <c r="M16" s="187" t="e">
        <f>HLOOKUP(I16,'Tổng hợp ngoài giờ'!$D$12:$BB$47,VLOOKUP('Thẻ lương'!$B$2,'Tổng hợp ngoài giờ'!$A$15:$CL$36,89,0),0)</f>
        <v>#VALUE!</v>
      </c>
      <c r="N16" s="187">
        <f>VLOOKUP(I16,'Định mức'!$A$6:$J$57,10,0)</f>
        <v>1352.3006673691605</v>
      </c>
      <c r="O16" s="187" t="e">
        <f t="shared" si="0"/>
        <v>#VALUE!</v>
      </c>
      <c r="Q16" s="177"/>
      <c r="R16" s="177"/>
      <c r="S16" s="177"/>
      <c r="U16" s="177"/>
      <c r="V16" s="177"/>
      <c r="W16" s="177"/>
      <c r="X16" s="177"/>
      <c r="Y16" s="177"/>
      <c r="AA16" s="177"/>
      <c r="AB16" s="177"/>
    </row>
    <row r="17" spans="1:29" s="197" customFormat="1" ht="13.5" customHeight="1" x14ac:dyDescent="0.25">
      <c r="A17" s="232" t="s">
        <v>15</v>
      </c>
      <c r="B17" s="255" t="s">
        <v>63</v>
      </c>
      <c r="C17" s="234">
        <f>HLOOKUP(A17,'Tổng hợp trong giờ'!$D$12:$BB$40,VLOOKUP('Thẻ lương'!$B$2,'Tổng hợp trong giờ'!$A$15:$CR$37,95,0),0)</f>
        <v>0</v>
      </c>
      <c r="D17" s="187">
        <f>VLOOKUP(A17,'Định mức'!$A$6:$J$57,9,0)</f>
        <v>571.79732235482481</v>
      </c>
      <c r="E17" s="234">
        <f ca="1">HLOOKUP(A17,'Tổng hợp ngoài giờ'!$D$12:$BB$47,VLOOKUP('Thẻ lương'!$B$2,'Tổng hợp ngoài giờ'!$A$15:$CM$36,90,0),0)</f>
        <v>0</v>
      </c>
      <c r="F17" s="187">
        <f>VLOOKUP(A17,'Định mức'!$A$6:$J$57,10,0)</f>
        <v>628.97705459030738</v>
      </c>
      <c r="G17" s="234">
        <f t="shared" ca="1" si="1"/>
        <v>0</v>
      </c>
      <c r="H17" s="188"/>
      <c r="I17" s="185" t="s">
        <v>15</v>
      </c>
      <c r="J17" s="186" t="s">
        <v>63</v>
      </c>
      <c r="K17" s="187" t="e">
        <f>HLOOKUP(I17,'Tổng hợp trong giờ'!$D$12:$BB$40,VLOOKUP('Thẻ lương'!$J$2,'Tổng hợp trong giờ'!$A$15:$CR$37,90,0),0)</f>
        <v>#VALUE!</v>
      </c>
      <c r="L17" s="187">
        <f>VLOOKUP(I17,'Định mức'!$A$6:$J$57,9,0)</f>
        <v>571.79732235482481</v>
      </c>
      <c r="M17" s="187" t="e">
        <f>HLOOKUP(I17,'Tổng hợp ngoài giờ'!$D$12:$BB$47,VLOOKUP('Thẻ lương'!$B$2,'Tổng hợp ngoài giờ'!$A$15:$CL$36,89,0),0)</f>
        <v>#VALUE!</v>
      </c>
      <c r="N17" s="187">
        <f>VLOOKUP(I17,'Định mức'!$A$6:$J$57,10,0)</f>
        <v>628.97705459030738</v>
      </c>
      <c r="O17" s="187" t="e">
        <f t="shared" si="0"/>
        <v>#VALUE!</v>
      </c>
      <c r="Q17" s="177"/>
      <c r="R17" s="177"/>
      <c r="S17" s="177"/>
      <c r="T17" s="179"/>
      <c r="U17" s="177"/>
      <c r="V17" s="179" t="s">
        <v>334</v>
      </c>
      <c r="W17" s="177"/>
      <c r="X17" s="177"/>
      <c r="Y17" s="177"/>
      <c r="Z17" s="179"/>
      <c r="AA17" s="177"/>
      <c r="AB17" s="179" t="s">
        <v>334</v>
      </c>
      <c r="AC17" s="201"/>
    </row>
    <row r="18" spans="1:29" s="197" customFormat="1" ht="15.75" customHeight="1" x14ac:dyDescent="0.25">
      <c r="A18" s="232" t="s">
        <v>16</v>
      </c>
      <c r="B18" s="255" t="s">
        <v>64</v>
      </c>
      <c r="C18" s="234">
        <f>HLOOKUP(A18,'Tổng hợp trong giờ'!$D$12:$BB$40,VLOOKUP('Thẻ lương'!$B$2,'Tổng hợp trong giờ'!$A$15:$CR$37,95,0),0)</f>
        <v>325</v>
      </c>
      <c r="D18" s="187">
        <f>VLOOKUP(A18,'Định mức'!$A$6:$J$57,9,0)</f>
        <v>653.47274085138167</v>
      </c>
      <c r="E18" s="234">
        <f ca="1">HLOOKUP(A18,'Tổng hợp ngoài giờ'!$D$12:$BB$47,VLOOKUP('Thẻ lương'!$B$2,'Tổng hợp ngoài giờ'!$A$15:$CM$36,90,0),0)</f>
        <v>0</v>
      </c>
      <c r="F18" s="187">
        <f>VLOOKUP(A18,'Định mức'!$A$6:$J$57,10,0)</f>
        <v>718.8200149365199</v>
      </c>
      <c r="G18" s="234">
        <f t="shared" ca="1" si="1"/>
        <v>212378.64077669903</v>
      </c>
      <c r="H18" s="188"/>
      <c r="I18" s="185" t="s">
        <v>16</v>
      </c>
      <c r="J18" s="186" t="s">
        <v>64</v>
      </c>
      <c r="K18" s="187" t="e">
        <f>HLOOKUP(I18,'Tổng hợp trong giờ'!$D$12:$BB$40,VLOOKUP('Thẻ lương'!$J$2,'Tổng hợp trong giờ'!$A$15:$CR$37,90,0),0)</f>
        <v>#VALUE!</v>
      </c>
      <c r="L18" s="187">
        <f>VLOOKUP(I18,'Định mức'!$A$6:$J$57,9,0)</f>
        <v>653.47274085138167</v>
      </c>
      <c r="M18" s="187" t="e">
        <f>HLOOKUP(I18,'Tổng hợp ngoài giờ'!$D$12:$BB$47,VLOOKUP('Thẻ lương'!$B$2,'Tổng hợp ngoài giờ'!$A$15:$CL$36,89,0),0)</f>
        <v>#VALUE!</v>
      </c>
      <c r="N18" s="187">
        <f>VLOOKUP(I18,'Định mức'!$A$6:$J$57,10,0)</f>
        <v>718.8200149365199</v>
      </c>
      <c r="O18" s="187" t="e">
        <f t="shared" si="0"/>
        <v>#VALUE!</v>
      </c>
      <c r="Q18" s="177"/>
      <c r="R18" s="177"/>
      <c r="S18" s="177"/>
      <c r="T18" s="179"/>
      <c r="U18" s="177"/>
      <c r="V18" s="202"/>
      <c r="W18" s="177"/>
      <c r="X18" s="177"/>
      <c r="Y18" s="177"/>
      <c r="Z18" s="179"/>
      <c r="AA18" s="177"/>
      <c r="AB18" s="177"/>
      <c r="AC18" s="202"/>
    </row>
    <row r="19" spans="1:29" ht="13.5" customHeight="1" x14ac:dyDescent="0.25">
      <c r="A19" s="232" t="s">
        <v>17</v>
      </c>
      <c r="B19" s="255" t="s">
        <v>65</v>
      </c>
      <c r="C19" s="234">
        <f>HLOOKUP(A19,'Tổng hợp trong giờ'!$D$12:$BB$40,VLOOKUP('Thẻ lương'!$B$2,'Tổng hợp trong giờ'!$A$15:$CR$37,95,0),0)</f>
        <v>350</v>
      </c>
      <c r="D19" s="187">
        <f>VLOOKUP(A19,'Định mức'!$A$6:$J$57,9,0)</f>
        <v>1432.0785597381343</v>
      </c>
      <c r="E19" s="234">
        <f ca="1">HLOOKUP(A19,'Tổng hợp ngoài giờ'!$D$12:$BB$47,VLOOKUP('Thẻ lương'!$B$2,'Tổng hợp ngoài giờ'!$A$15:$CM$36,90,0),0)</f>
        <v>0</v>
      </c>
      <c r="F19" s="187">
        <f>VLOOKUP(A19,'Định mức'!$A$6:$J$57,10,0)</f>
        <v>1575.2864157119479</v>
      </c>
      <c r="G19" s="234">
        <f t="shared" ca="1" si="1"/>
        <v>501227.49590834702</v>
      </c>
      <c r="H19" s="188"/>
      <c r="I19" s="185" t="s">
        <v>18</v>
      </c>
      <c r="J19" s="186" t="s">
        <v>66</v>
      </c>
      <c r="K19" s="187" t="e">
        <f>HLOOKUP(I19,'Tổng hợp trong giờ'!$D$12:$BB$40,VLOOKUP('Thẻ lương'!$J$2,'Tổng hợp trong giờ'!$A$15:$CR$37,90,0),0)</f>
        <v>#VALUE!</v>
      </c>
      <c r="L19" s="187">
        <f>VLOOKUP(I19,'Định mức'!$A$6:$J$57,9,0)</f>
        <v>633.48416289592762</v>
      </c>
      <c r="M19" s="187" t="e">
        <f>HLOOKUP(I19,'Tổng hợp ngoài giờ'!$D$12:$BB$47,VLOOKUP('Thẻ lương'!$B$2,'Tổng hợp ngoài giờ'!$A$15:$CL$36,89,0),0)</f>
        <v>#VALUE!</v>
      </c>
      <c r="N19" s="187">
        <f>VLOOKUP(I19,'Định mức'!$A$6:$J$57,10,0)</f>
        <v>696.83257918552044</v>
      </c>
      <c r="O19" s="187" t="e">
        <f t="shared" si="0"/>
        <v>#VALUE!</v>
      </c>
      <c r="V19" s="492"/>
      <c r="AC19" s="183"/>
    </row>
    <row r="20" spans="1:29" ht="17.25" customHeight="1" x14ac:dyDescent="0.25">
      <c r="A20" s="232" t="s">
        <v>18</v>
      </c>
      <c r="B20" s="247" t="s">
        <v>66</v>
      </c>
      <c r="C20" s="234">
        <f>HLOOKUP(A20,'Tổng hợp trong giờ'!$D$12:$BB$40,VLOOKUP('Thẻ lương'!$B$2,'Tổng hợp trong giờ'!$A$15:$CR$37,95,0),0)</f>
        <v>0</v>
      </c>
      <c r="D20" s="187">
        <f>VLOOKUP(A20,'Định mức'!$A$6:$J$57,9,0)</f>
        <v>633.48416289592762</v>
      </c>
      <c r="E20" s="234">
        <f ca="1">HLOOKUP(A20,'Tổng hợp ngoài giờ'!$D$12:$BB$47,VLOOKUP('Thẻ lương'!$B$2,'Tổng hợp ngoài giờ'!$A$15:$CM$36,90,0),0)</f>
        <v>0</v>
      </c>
      <c r="F20" s="187">
        <f>VLOOKUP(A20,'Định mức'!$A$6:$J$57,10,0)</f>
        <v>696.83257918552044</v>
      </c>
      <c r="G20" s="248">
        <f t="shared" ca="1" si="1"/>
        <v>0</v>
      </c>
      <c r="H20" s="188"/>
      <c r="I20" s="185" t="s">
        <v>19</v>
      </c>
      <c r="J20" s="186" t="s">
        <v>321</v>
      </c>
      <c r="K20" s="187" t="e">
        <f>HLOOKUP(I20,'Tổng hợp trong giờ'!$D$12:$BB$40,VLOOKUP('Thẻ lương'!$J$2,'Tổng hợp trong giờ'!$A$15:$CR$37,90,0),0)</f>
        <v>#VALUE!</v>
      </c>
      <c r="L20" s="187">
        <f>VLOOKUP(I20,'Định mức'!$A$6:$J$57,9,0)</f>
        <v>633.48416289592762</v>
      </c>
      <c r="M20" s="187" t="e">
        <f>HLOOKUP(I20,'Tổng hợp ngoài giờ'!$D$12:$BB$47,VLOOKUP('Thẻ lương'!$B$2,'Tổng hợp ngoài giờ'!$A$15:$CL$36,89,0),0)</f>
        <v>#VALUE!</v>
      </c>
      <c r="N20" s="187">
        <f>VLOOKUP(I20,'Định mức'!$A$6:$J$57,10,0)</f>
        <v>696.83257918552044</v>
      </c>
      <c r="O20" s="187" t="e">
        <f t="shared" si="0"/>
        <v>#VALUE!</v>
      </c>
      <c r="X20" s="197"/>
      <c r="Y20" s="197"/>
      <c r="Z20" s="197"/>
      <c r="AA20" s="197"/>
      <c r="AB20" s="197"/>
      <c r="AC20" s="183"/>
    </row>
    <row r="21" spans="1:29" ht="31.5" x14ac:dyDescent="0.25">
      <c r="A21" s="185" t="s">
        <v>19</v>
      </c>
      <c r="B21" s="186" t="s">
        <v>321</v>
      </c>
      <c r="C21" s="234">
        <f>HLOOKUP(A21,'Tổng hợp trong giờ'!$D$12:$BB$40,VLOOKUP('Thẻ lương'!$B$2,'Tổng hợp trong giờ'!$A$15:$CR$37,95,0),0)</f>
        <v>0</v>
      </c>
      <c r="D21" s="187">
        <f>VLOOKUP(A21,'Định mức'!$A$6:$J$57,9,0)</f>
        <v>633.48416289592762</v>
      </c>
      <c r="E21" s="234">
        <f ca="1">HLOOKUP(A21,'Tổng hợp ngoài giờ'!$D$12:$BB$47,VLOOKUP('Thẻ lương'!$B$2,'Tổng hợp ngoài giờ'!$A$15:$CM$36,90,0),0)</f>
        <v>0</v>
      </c>
      <c r="F21" s="187">
        <f>VLOOKUP(A21,'Định mức'!$A$6:$J$57,10,0)</f>
        <v>696.83257918552044</v>
      </c>
      <c r="G21" s="228">
        <f t="shared" ca="1" si="1"/>
        <v>0</v>
      </c>
      <c r="H21" s="188"/>
      <c r="I21" s="185" t="s">
        <v>20</v>
      </c>
      <c r="J21" s="186" t="s">
        <v>322</v>
      </c>
      <c r="K21" s="187" t="e">
        <f>HLOOKUP(I21,'Tổng hợp trong giờ'!$D$12:$BB$40,VLOOKUP('Thẻ lương'!$J$2,'Tổng hợp trong giờ'!$A$15:$CR$37,90,0),0)</f>
        <v>#VALUE!</v>
      </c>
      <c r="L21" s="187">
        <f>VLOOKUP(I21,'Định mức'!$A$6:$J$57,9,0)</f>
        <v>633.48416289592797</v>
      </c>
      <c r="M21" s="187" t="e">
        <f>HLOOKUP(I21,'Tổng hợp ngoài giờ'!$D$12:$BB$47,VLOOKUP('Thẻ lương'!$B$2,'Tổng hợp ngoài giờ'!$A$15:$CL$36,89,0),0)</f>
        <v>#VALUE!</v>
      </c>
      <c r="N21" s="187">
        <f>VLOOKUP(I21,'Định mức'!$A$6:$J$57,10,0)</f>
        <v>696.83257918552079</v>
      </c>
      <c r="O21" s="187" t="e">
        <f t="shared" si="0"/>
        <v>#VALUE!</v>
      </c>
      <c r="X21" s="197"/>
      <c r="Y21" s="197"/>
      <c r="Z21" s="197"/>
      <c r="AA21" s="197"/>
      <c r="AB21" s="197"/>
      <c r="AC21" s="188"/>
    </row>
    <row r="22" spans="1:29" x14ac:dyDescent="0.25">
      <c r="A22" s="232" t="s">
        <v>20</v>
      </c>
      <c r="B22" s="255" t="s">
        <v>322</v>
      </c>
      <c r="C22" s="234">
        <f>HLOOKUP(A22,'Tổng hợp trong giờ'!$D$12:$BB$40,VLOOKUP('Thẻ lương'!$B$2,'Tổng hợp trong giờ'!$A$15:$CR$37,95,0),0)</f>
        <v>0</v>
      </c>
      <c r="D22" s="187">
        <f>VLOOKUP(A22,'Định mức'!$A$6:$J$57,9,0)</f>
        <v>633.48416289592797</v>
      </c>
      <c r="E22" s="234">
        <f ca="1">HLOOKUP(A22,'Tổng hợp ngoài giờ'!$D$12:$BB$47,VLOOKUP('Thẻ lương'!$B$2,'Tổng hợp ngoài giờ'!$A$15:$CM$36,90,0),0)</f>
        <v>0</v>
      </c>
      <c r="F22" s="187">
        <f>VLOOKUP(A22,'Định mức'!$A$6:$J$57,10,0)</f>
        <v>696.83257918552079</v>
      </c>
      <c r="G22" s="234">
        <f t="shared" ca="1" si="1"/>
        <v>0</v>
      </c>
      <c r="H22" s="188"/>
      <c r="I22" s="185" t="s">
        <v>21</v>
      </c>
      <c r="J22" s="186" t="s">
        <v>69</v>
      </c>
      <c r="K22" s="187" t="e">
        <f>HLOOKUP(I22,'Tổng hợp trong giờ'!$D$12:$BB$40,VLOOKUP('Thẻ lương'!$J$2,'Tổng hợp trong giờ'!$A$15:$CR$37,90,0),0)</f>
        <v>#VALUE!</v>
      </c>
      <c r="L22" s="187">
        <f>VLOOKUP(I22,'Định mức'!$A$6:$J$57,9,0)</f>
        <v>1432.0785597381343</v>
      </c>
      <c r="M22" s="187" t="e">
        <f>HLOOKUP(I22,'Tổng hợp ngoài giờ'!$D$12:$BB$47,VLOOKUP('Thẻ lương'!$B$2,'Tổng hợp ngoài giờ'!$A$15:$CL$36,89,0),0)</f>
        <v>#VALUE!</v>
      </c>
      <c r="N22" s="187">
        <f>VLOOKUP(I22,'Định mức'!$A$6:$J$57,10,0)</f>
        <v>1575.2864157119479</v>
      </c>
      <c r="O22" s="187" t="e">
        <f t="shared" si="0"/>
        <v>#VALUE!</v>
      </c>
      <c r="R22" s="530" t="str">
        <f>R5</f>
        <v>THẺ LƯƠNG THÁNG 10/2019</v>
      </c>
      <c r="S22" s="530"/>
      <c r="T22" s="530"/>
      <c r="U22" s="530"/>
      <c r="V22" s="530"/>
      <c r="X22" s="530" t="str">
        <f>R22</f>
        <v>THẺ LƯƠNG THÁNG 10/2019</v>
      </c>
      <c r="Y22" s="530"/>
      <c r="Z22" s="530"/>
      <c r="AA22" s="530"/>
      <c r="AB22" s="530"/>
      <c r="AC22" s="179"/>
    </row>
    <row r="23" spans="1:29" ht="31.5" x14ac:dyDescent="0.25">
      <c r="A23" s="185" t="s">
        <v>21</v>
      </c>
      <c r="B23" s="186" t="s">
        <v>69</v>
      </c>
      <c r="C23" s="234">
        <f>HLOOKUP(A23,'Tổng hợp trong giờ'!$D$12:$BB$40,VLOOKUP('Thẻ lương'!$B$2,'Tổng hợp trong giờ'!$A$15:$CR$37,95,0),0)</f>
        <v>0</v>
      </c>
      <c r="D23" s="187">
        <f>VLOOKUP(A23,'Định mức'!$A$6:$J$57,9,0)</f>
        <v>1432.0785597381343</v>
      </c>
      <c r="E23" s="234">
        <f ca="1">HLOOKUP(A23,'Tổng hợp ngoài giờ'!$D$12:$BB$47,VLOOKUP('Thẻ lương'!$B$2,'Tổng hợp ngoài giờ'!$A$15:$CM$36,90,0),0)</f>
        <v>0</v>
      </c>
      <c r="F23" s="187">
        <f>VLOOKUP(A23,'Định mức'!$A$6:$J$57,10,0)</f>
        <v>1575.2864157119479</v>
      </c>
      <c r="G23" s="228">
        <f t="shared" ca="1" si="1"/>
        <v>0</v>
      </c>
      <c r="H23" s="188"/>
      <c r="I23" s="185" t="s">
        <v>22</v>
      </c>
      <c r="J23" s="186" t="s">
        <v>323</v>
      </c>
      <c r="K23" s="187" t="e">
        <f>HLOOKUP(I23,'Tổng hợp trong giờ'!$D$12:$BB$40,VLOOKUP('Thẻ lương'!$J$2,'Tổng hợp trong giờ'!$A$15:$CR$37,90,0),0)</f>
        <v>#VALUE!</v>
      </c>
      <c r="L23" s="187">
        <f>VLOOKUP(I23,'Định mức'!$A$6:$J$57,9,0)</f>
        <v>633.48416289592762</v>
      </c>
      <c r="M23" s="187" t="e">
        <f>HLOOKUP(I23,'Tổng hợp ngoài giờ'!$D$12:$BB$47,VLOOKUP('Thẻ lương'!$B$2,'Tổng hợp ngoài giờ'!$A$15:$CL$36,89,0),0)</f>
        <v>#VALUE!</v>
      </c>
      <c r="N23" s="187">
        <f>VLOOKUP(I23,'Định mức'!$A$6:$J$57,10,0)</f>
        <v>696.83257918552044</v>
      </c>
      <c r="O23" s="187" t="e">
        <f t="shared" si="0"/>
        <v>#VALUE!</v>
      </c>
      <c r="R23" s="190" t="s">
        <v>149</v>
      </c>
      <c r="S23" s="190" t="s">
        <v>389</v>
      </c>
      <c r="T23" s="190"/>
      <c r="U23" s="190" t="s">
        <v>150</v>
      </c>
      <c r="V23" s="190" t="e">
        <f>VLOOKUP(S23,'Mã NV'!$A$2:$C$67,2,0)</f>
        <v>#N/A</v>
      </c>
      <c r="X23" s="190" t="s">
        <v>149</v>
      </c>
      <c r="Y23" s="190" t="str">
        <f>S23</f>
        <v>NV32</v>
      </c>
      <c r="Z23" s="190"/>
      <c r="AA23" s="190" t="s">
        <v>150</v>
      </c>
      <c r="AB23" s="190" t="e">
        <f>VLOOKUP(Y23,'Mã NV'!$A$2:$C$67,2,0)</f>
        <v>#N/A</v>
      </c>
      <c r="AC23" s="179"/>
    </row>
    <row r="24" spans="1:29" ht="31.5" x14ac:dyDescent="0.25">
      <c r="A24" s="185" t="s">
        <v>22</v>
      </c>
      <c r="B24" s="186" t="s">
        <v>323</v>
      </c>
      <c r="C24" s="234">
        <f>HLOOKUP(A24,'Tổng hợp trong giờ'!$D$12:$BB$40,VLOOKUP('Thẻ lương'!$B$2,'Tổng hợp trong giờ'!$A$15:$CR$37,95,0),0)</f>
        <v>0</v>
      </c>
      <c r="D24" s="187">
        <f>VLOOKUP(A24,'Định mức'!$A$6:$J$57,9,0)</f>
        <v>633.48416289592762</v>
      </c>
      <c r="E24" s="234">
        <f ca="1">HLOOKUP(A24,'Tổng hợp ngoài giờ'!$D$12:$BB$47,VLOOKUP('Thẻ lương'!$B$2,'Tổng hợp ngoài giờ'!$A$15:$CM$36,90,0),0)</f>
        <v>0</v>
      </c>
      <c r="F24" s="187">
        <f>VLOOKUP(A24,'Định mức'!$A$6:$J$57,10,0)</f>
        <v>696.83257918552044</v>
      </c>
      <c r="G24" s="228">
        <f t="shared" ca="1" si="1"/>
        <v>0</v>
      </c>
      <c r="H24" s="188"/>
      <c r="I24" s="185" t="s">
        <v>23</v>
      </c>
      <c r="J24" s="186" t="s">
        <v>71</v>
      </c>
      <c r="K24" s="187" t="e">
        <f>HLOOKUP(I24,'Tổng hợp trong giờ'!$D$12:$BB$40,VLOOKUP('Thẻ lương'!$J$2,'Tổng hợp trong giờ'!$A$15:$CR$37,90,0),0)</f>
        <v>#VALUE!</v>
      </c>
      <c r="L24" s="187">
        <f>VLOOKUP(I24,'Định mức'!$A$6:$J$57,9,0)</f>
        <v>1346.1538461538462</v>
      </c>
      <c r="M24" s="187" t="e">
        <f>HLOOKUP(I24,'Tổng hợp ngoài giờ'!$D$12:$BB$47,VLOOKUP('Thẻ lương'!$B$2,'Tổng hợp ngoài giờ'!$A$15:$CL$36,89,0),0)</f>
        <v>#VALUE!</v>
      </c>
      <c r="N24" s="187">
        <f>VLOOKUP(I24,'Định mức'!$A$6:$J$57,10,0)</f>
        <v>1480.7692307692309</v>
      </c>
      <c r="O24" s="187" t="e">
        <f t="shared" si="0"/>
        <v>#VALUE!</v>
      </c>
      <c r="R24" s="190" t="s">
        <v>151</v>
      </c>
      <c r="S24" s="190" t="e">
        <f>VLOOKUP(S23,'Mã NV'!$A$2:$C$67,3,0)</f>
        <v>#N/A</v>
      </c>
      <c r="T24" s="190"/>
      <c r="U24" s="190" t="s">
        <v>346</v>
      </c>
      <c r="V24" s="190" t="e">
        <f>VLOOKUP(S23,' Bang luong'!$A$13:$AG$59,11,0)</f>
        <v>#N/A</v>
      </c>
      <c r="X24" s="190" t="s">
        <v>151</v>
      </c>
      <c r="Y24" s="190" t="e">
        <f>VLOOKUP(Y23,'Mã NV'!$A$2:$C$67,3,0)</f>
        <v>#N/A</v>
      </c>
      <c r="Z24" s="190"/>
      <c r="AA24" s="190" t="s">
        <v>346</v>
      </c>
      <c r="AB24" s="190" t="e">
        <f>VLOOKUP(Y23,' Bang luong'!$A$13:$AG$59,11,0)</f>
        <v>#N/A</v>
      </c>
      <c r="AC24" s="179"/>
    </row>
    <row r="25" spans="1:29" ht="31.5" x14ac:dyDescent="0.25">
      <c r="A25" s="185" t="s">
        <v>23</v>
      </c>
      <c r="B25" s="186" t="s">
        <v>71</v>
      </c>
      <c r="C25" s="234">
        <f>HLOOKUP(A25,'Tổng hợp trong giờ'!$D$12:$BB$40,VLOOKUP('Thẻ lương'!$B$2,'Tổng hợp trong giờ'!$A$15:$CR$37,95,0),0)</f>
        <v>0</v>
      </c>
      <c r="D25" s="187">
        <f>VLOOKUP(A25,'Định mức'!$A$6:$J$57,9,0)</f>
        <v>1346.1538461538462</v>
      </c>
      <c r="E25" s="234">
        <f ca="1">HLOOKUP(A25,'Tổng hợp ngoài giờ'!$D$12:$BB$47,VLOOKUP('Thẻ lương'!$B$2,'Tổng hợp ngoài giờ'!$A$15:$CM$36,90,0),0)</f>
        <v>0</v>
      </c>
      <c r="F25" s="187">
        <f>VLOOKUP(A25,'Định mức'!$A$6:$J$57,10,0)</f>
        <v>1480.7692307692309</v>
      </c>
      <c r="G25" s="228">
        <f t="shared" ca="1" si="1"/>
        <v>0</v>
      </c>
      <c r="H25" s="188"/>
      <c r="I25" s="185" t="s">
        <v>24</v>
      </c>
      <c r="J25" s="186" t="s">
        <v>72</v>
      </c>
      <c r="K25" s="187" t="e">
        <f>HLOOKUP(I25,'Tổng hợp trong giờ'!$D$12:$BB$40,VLOOKUP('Thẻ lương'!$J$2,'Tổng hợp trong giờ'!$A$15:$CR$37,90,0),0)</f>
        <v>#VALUE!</v>
      </c>
      <c r="L25" s="187">
        <f>VLOOKUP(I25,'Định mức'!$A$6:$J$57,9,0)</f>
        <v>1346.1538461538462</v>
      </c>
      <c r="M25" s="187" t="e">
        <f>HLOOKUP(I25,'Tổng hợp ngoài giờ'!$D$12:$BB$47,VLOOKUP('Thẻ lương'!$B$2,'Tổng hợp ngoài giờ'!$A$15:$CL$36,89,0),0)</f>
        <v>#VALUE!</v>
      </c>
      <c r="N25" s="187">
        <f>VLOOKUP(I25,'Định mức'!$A$6:$J$57,10,0)</f>
        <v>1480.7692307692309</v>
      </c>
      <c r="O25" s="187" t="e">
        <f t="shared" si="0"/>
        <v>#VALUE!</v>
      </c>
      <c r="R25" s="180"/>
      <c r="S25" s="180"/>
      <c r="T25" s="180"/>
      <c r="U25" s="180"/>
      <c r="V25" s="180"/>
      <c r="X25" s="180"/>
      <c r="Y25" s="180"/>
      <c r="Z25" s="180"/>
      <c r="AA25" s="180"/>
      <c r="AB25" s="180"/>
      <c r="AC25" s="192"/>
    </row>
    <row r="26" spans="1:29" ht="31.5" customHeight="1" x14ac:dyDescent="0.25">
      <c r="A26" s="185" t="s">
        <v>24</v>
      </c>
      <c r="B26" s="186" t="s">
        <v>72</v>
      </c>
      <c r="C26" s="234">
        <f>HLOOKUP(A26,'Tổng hợp trong giờ'!$D$12:$BB$40,VLOOKUP('Thẻ lương'!$B$2,'Tổng hợp trong giờ'!$A$15:$CR$37,95,0),0)</f>
        <v>0</v>
      </c>
      <c r="D26" s="187">
        <f>VLOOKUP(A26,'Định mức'!$A$6:$J$57,9,0)</f>
        <v>1346.1538461538462</v>
      </c>
      <c r="E26" s="234">
        <f ca="1">HLOOKUP(A26,'Tổng hợp ngoài giờ'!$D$12:$BB$47,VLOOKUP('Thẻ lương'!$B$2,'Tổng hợp ngoài giờ'!$A$15:$CM$36,90,0),0)</f>
        <v>0</v>
      </c>
      <c r="F26" s="187">
        <f>VLOOKUP(A26,'Định mức'!$A$6:$J$57,10,0)</f>
        <v>1480.7692307692309</v>
      </c>
      <c r="G26" s="228">
        <f t="shared" ca="1" si="1"/>
        <v>0</v>
      </c>
      <c r="H26" s="188"/>
      <c r="I26" s="185" t="s">
        <v>27</v>
      </c>
      <c r="J26" s="186" t="s">
        <v>75</v>
      </c>
      <c r="K26" s="187" t="e">
        <f>HLOOKUP(I26,'Tổng hợp trong giờ'!$D$12:$BB$40,VLOOKUP('Thẻ lương'!$J$2,'Tổng hợp trong giờ'!$A$15:$CR$37,90,0),0)</f>
        <v>#VALUE!</v>
      </c>
      <c r="L26" s="187">
        <f>VLOOKUP(I26,'Định mức'!$A$6:$J$57,9,0)</f>
        <v>1196.5811965811965</v>
      </c>
      <c r="M26" s="187" t="e">
        <f>HLOOKUP(I26,'Tổng hợp ngoài giờ'!$D$12:$BB$47,VLOOKUP('Thẻ lương'!$B$2,'Tổng hợp ngoài giờ'!$A$15:$CL$36,89,0),0)</f>
        <v>#VALUE!</v>
      </c>
      <c r="N26" s="187">
        <f>VLOOKUP(I26,'Định mức'!$A$6:$J$57,10,0)</f>
        <v>1316.2393162393164</v>
      </c>
      <c r="O26" s="187" t="e">
        <f t="shared" si="0"/>
        <v>#VALUE!</v>
      </c>
      <c r="R26" s="196" t="s">
        <v>347</v>
      </c>
      <c r="S26" s="187"/>
      <c r="T26" s="187"/>
      <c r="U26" s="187"/>
      <c r="V26" s="187" t="e">
        <f>VLOOKUP(S23,' Bang luong'!$A$10:$AG$60,17,0)</f>
        <v>#N/A</v>
      </c>
      <c r="X26" s="196" t="s">
        <v>347</v>
      </c>
      <c r="Y26" s="187"/>
      <c r="Z26" s="187"/>
      <c r="AA26" s="187"/>
      <c r="AB26" s="187" t="e">
        <f>VLOOKUP(S23,' Bang luong'!$A$10:$AG$60,17,0)</f>
        <v>#N/A</v>
      </c>
    </row>
    <row r="27" spans="1:29" ht="18" customHeight="1" x14ac:dyDescent="0.25">
      <c r="A27" s="232" t="s">
        <v>25</v>
      </c>
      <c r="B27" s="255" t="s">
        <v>392</v>
      </c>
      <c r="C27" s="234">
        <f>HLOOKUP(A27,'Tổng hợp trong giờ'!$D$12:$BB$40,VLOOKUP('Thẻ lương'!$B$2,'Tổng hợp trong giờ'!$A$15:$CR$37,95,0),0)</f>
        <v>0</v>
      </c>
      <c r="D27" s="187">
        <f>VLOOKUP(A27,'Định mức'!$A$6:$J$57,9,0)</f>
        <v>1170.5685618729099</v>
      </c>
      <c r="E27" s="234">
        <f ca="1">HLOOKUP(A27,'Tổng hợp ngoài giờ'!$D$12:$BB$47,VLOOKUP('Thẻ lương'!$B$2,'Tổng hợp ngoài giờ'!$A$15:$CM$36,90,0),0)</f>
        <v>0</v>
      </c>
      <c r="F27" s="187">
        <f>VLOOKUP(A27,'Định mức'!$A$6:$J$57,10,0)</f>
        <v>1287.6254180602009</v>
      </c>
      <c r="G27" s="234">
        <f t="shared" ca="1" si="1"/>
        <v>0</v>
      </c>
      <c r="H27" s="188"/>
      <c r="I27" s="185" t="s">
        <v>30</v>
      </c>
      <c r="J27" s="186" t="s">
        <v>78</v>
      </c>
      <c r="K27" s="187" t="e">
        <f>HLOOKUP(I27,'Tổng hợp trong giờ'!$D$12:$BB$40,VLOOKUP('Thẻ lương'!$J$2,'Tổng hợp trong giờ'!$A$15:$CR$37,90,0),0)</f>
        <v>#VALUE!</v>
      </c>
      <c r="L27" s="187">
        <f>VLOOKUP(I27,'Định mức'!$A$6:$J$57,9,0)</f>
        <v>979.02097902097898</v>
      </c>
      <c r="M27" s="187" t="e">
        <f>HLOOKUP(I27,'Tổng hợp ngoài giờ'!$D$12:$BB$47,VLOOKUP('Thẻ lương'!$B$2,'Tổng hợp ngoài giờ'!$A$15:$CL$36,89,0),0)</f>
        <v>#VALUE!</v>
      </c>
      <c r="N27" s="187">
        <f>VLOOKUP(I27,'Định mức'!$A$6:$J$57,10,0)</f>
        <v>1076.9230769230769</v>
      </c>
      <c r="O27" s="187" t="e">
        <f t="shared" si="0"/>
        <v>#VALUE!</v>
      </c>
      <c r="R27" s="194" t="s">
        <v>386</v>
      </c>
      <c r="S27" s="187"/>
      <c r="T27" s="187"/>
      <c r="U27" s="187"/>
      <c r="V27" s="187" t="e">
        <f>VLOOKUP($S$23,' Bang luong'!$A$13:$AG$59,27,0)</f>
        <v>#N/A</v>
      </c>
      <c r="X27" s="194" t="s">
        <v>386</v>
      </c>
      <c r="Y27" s="187"/>
      <c r="Z27" s="187"/>
      <c r="AA27" s="187"/>
      <c r="AB27" s="187" t="e">
        <f>VLOOKUP($S$23,' Bang luong'!$A$13:$AG$59,27,0)</f>
        <v>#N/A</v>
      </c>
    </row>
    <row r="28" spans="1:29" x14ac:dyDescent="0.25">
      <c r="A28" s="232" t="s">
        <v>26</v>
      </c>
      <c r="B28" s="275" t="s">
        <v>74</v>
      </c>
      <c r="C28" s="234">
        <f>HLOOKUP(A28,'Tổng hợp trong giờ'!$D$12:$BB$40,VLOOKUP('Thẻ lương'!$B$2,'Tổng hợp trong giờ'!$A$15:$CR$37,95,0),0)</f>
        <v>216.66666666666669</v>
      </c>
      <c r="D28" s="187">
        <f>VLOOKUP(A28,'Định mức'!$A$6:$J$57,9,0)</f>
        <v>2019</v>
      </c>
      <c r="E28" s="234">
        <f ca="1">HLOOKUP(A28,'Tổng hợp ngoài giờ'!$D$12:$BB$47,VLOOKUP('Thẻ lương'!$B$2,'Tổng hợp ngoài giờ'!$A$15:$CM$36,90,0),0)</f>
        <v>0</v>
      </c>
      <c r="F28" s="187">
        <f>VLOOKUP(A28,'Định mức'!$A$6:$J$57,10,0)</f>
        <v>2220.9</v>
      </c>
      <c r="G28" s="234">
        <f ca="1">C28*D28+E28*F28</f>
        <v>437450.00000000006</v>
      </c>
      <c r="H28" s="188"/>
      <c r="I28" s="185" t="s">
        <v>31</v>
      </c>
      <c r="J28" s="186" t="s">
        <v>79</v>
      </c>
      <c r="K28" s="187" t="e">
        <f>HLOOKUP(I28,'Tổng hợp trong giờ'!$D$12:$BB$40,VLOOKUP('Thẻ lương'!$J$2,'Tổng hợp trong giờ'!$A$15:$CR$37,90,0),0)</f>
        <v>#VALUE!</v>
      </c>
      <c r="L28" s="187">
        <f>VLOOKUP(I28,'Định mức'!$A$6:$J$57,9,0)</f>
        <v>936.46821215314367</v>
      </c>
      <c r="M28" s="187" t="e">
        <f>HLOOKUP(I28,'Tổng hợp ngoài giờ'!$D$12:$BB$47,VLOOKUP('Thẻ lương'!$B$2,'Tổng hợp ngoài giờ'!$A$15:$CL$36,89,0),0)</f>
        <v>#VALUE!</v>
      </c>
      <c r="N28" s="187">
        <f>VLOOKUP(I28,'Định mức'!$A$6:$J$57,10,0)</f>
        <v>1030.1150333684582</v>
      </c>
      <c r="O28" s="187" t="e">
        <f t="shared" si="0"/>
        <v>#VALUE!</v>
      </c>
      <c r="R28" s="200" t="s">
        <v>159</v>
      </c>
      <c r="S28" s="199"/>
      <c r="T28" s="199"/>
      <c r="U28" s="199"/>
      <c r="V28" s="199" t="e">
        <f>ROUND(#REF!+#REF!+V26-#REF!-#REF!+V27,-4)</f>
        <v>#REF!</v>
      </c>
      <c r="X28" s="200" t="s">
        <v>159</v>
      </c>
      <c r="Y28" s="199"/>
      <c r="Z28" s="199"/>
      <c r="AA28" s="199"/>
      <c r="AB28" s="199" t="e">
        <f>ROUND(#REF!+#REF!+AB26-#REF!-#REF!+AB27,-4)</f>
        <v>#REF!</v>
      </c>
    </row>
    <row r="29" spans="1:29" ht="18" customHeight="1" x14ac:dyDescent="0.25">
      <c r="A29" s="232" t="s">
        <v>27</v>
      </c>
      <c r="B29" s="263" t="s">
        <v>75</v>
      </c>
      <c r="C29" s="234">
        <f>HLOOKUP(A29,'Tổng hợp trong giờ'!$D$12:$BB$40,VLOOKUP('Thẻ lương'!$B$2,'Tổng hợp trong giờ'!$A$15:$CR$37,95,0),0)</f>
        <v>0</v>
      </c>
      <c r="D29" s="187">
        <f>VLOOKUP(A29,'Định mức'!$A$6:$J$57,9,0)</f>
        <v>1196.5811965811965</v>
      </c>
      <c r="E29" s="234">
        <f ca="1">HLOOKUP(A29,'Tổng hợp ngoài giờ'!$D$12:$BB$47,VLOOKUP('Thẻ lương'!$B$2,'Tổng hợp ngoài giờ'!$A$15:$CM$36,90,0),0)</f>
        <v>0</v>
      </c>
      <c r="F29" s="187">
        <f>VLOOKUP(A29,'Định mức'!$A$6:$J$57,10,0)</f>
        <v>1316.2393162393164</v>
      </c>
      <c r="G29" s="234">
        <f t="shared" ca="1" si="1"/>
        <v>0</v>
      </c>
      <c r="H29" s="188"/>
      <c r="I29" s="185" t="s">
        <v>32</v>
      </c>
      <c r="J29" s="186" t="s">
        <v>332</v>
      </c>
      <c r="K29" s="187" t="e">
        <f>HLOOKUP(I29,'Tổng hợp trong giờ'!$D$12:$BB$40,VLOOKUP('Thẻ lương'!$J$2,'Tổng hợp trong giờ'!$A$15:$CR$37,90,0),0)</f>
        <v>#VALUE!</v>
      </c>
      <c r="L29" s="187">
        <f>VLOOKUP(I29,'Định mức'!$A$6:$J$57,9,0)</f>
        <v>979.02097902097728</v>
      </c>
      <c r="M29" s="187" t="e">
        <f>HLOOKUP(I29,'Tổng hợp ngoài giờ'!$D$12:$BB$47,VLOOKUP('Thẻ lương'!$B$2,'Tổng hợp ngoài giờ'!$A$15:$CL$36,89,0),0)</f>
        <v>#VALUE!</v>
      </c>
      <c r="N29" s="187">
        <f>VLOOKUP(I29,'Định mức'!$A$6:$J$57,10,0)</f>
        <v>1076.9230769230751</v>
      </c>
      <c r="O29" s="187" t="e">
        <f t="shared" si="0"/>
        <v>#VALUE!</v>
      </c>
    </row>
    <row r="30" spans="1:29" x14ac:dyDescent="0.25">
      <c r="A30" s="232" t="s">
        <v>28</v>
      </c>
      <c r="B30" s="255" t="s">
        <v>76</v>
      </c>
      <c r="C30" s="234">
        <f>HLOOKUP(A30,'Tổng hợp trong giờ'!$D$12:$BB$40,VLOOKUP('Thẻ lương'!$B$2,'Tổng hợp trong giờ'!$A$15:$CR$37,95,0),0)</f>
        <v>0</v>
      </c>
      <c r="D30" s="187">
        <f>VLOOKUP(A30,'Định mức'!$A$6:$J$57,9,0)</f>
        <v>351.78236397748594</v>
      </c>
      <c r="E30" s="234">
        <f ca="1">HLOOKUP(A30,'Tổng hợp ngoài giờ'!$D$12:$BB$47,VLOOKUP('Thẻ lương'!$B$2,'Tổng hợp ngoài giờ'!$A$15:$CM$36,90,0),0)</f>
        <v>0</v>
      </c>
      <c r="F30" s="187">
        <f>VLOOKUP(A30,'Định mức'!$A$6:$J$57,10,0)</f>
        <v>386.96060037523455</v>
      </c>
      <c r="G30" s="234">
        <f t="shared" ca="1" si="1"/>
        <v>0</v>
      </c>
      <c r="H30" s="188"/>
      <c r="I30" s="185"/>
      <c r="J30" s="227"/>
      <c r="K30" s="187" t="e">
        <f>HLOOKUP(I30,'Tổng hợp trong giờ'!$D$12:$BB$40,VLOOKUP('Thẻ lương'!$J$2,'Tổng hợp trong giờ'!$A$15:$CR$37,90,0),0)</f>
        <v>#N/A</v>
      </c>
      <c r="L30" s="187"/>
      <c r="M30" s="187"/>
      <c r="N30" s="187"/>
      <c r="O30" s="187"/>
    </row>
    <row r="31" spans="1:29" ht="13.5" customHeight="1" x14ac:dyDescent="0.25">
      <c r="A31" s="232" t="s">
        <v>29</v>
      </c>
      <c r="B31" s="255" t="s">
        <v>77</v>
      </c>
      <c r="C31" s="234">
        <f>HLOOKUP(A31,'Tổng hợp trong giờ'!$D$12:$BB$40,VLOOKUP('Thẻ lương'!$B$2,'Tổng hợp trong giờ'!$A$15:$CR$37,95,0),0)</f>
        <v>322.5</v>
      </c>
      <c r="D31" s="187">
        <f>VLOOKUP(A31,'Định mức'!$A$6:$J$57,9,0)</f>
        <v>642.81122776944505</v>
      </c>
      <c r="E31" s="234">
        <f ca="1">HLOOKUP(A31,'Tổng hợp ngoài giờ'!$D$12:$BB$47,VLOOKUP('Thẻ lương'!$B$2,'Tổng hợp ngoài giờ'!$A$15:$CM$36,90,0),0)</f>
        <v>0</v>
      </c>
      <c r="F31" s="187">
        <f>VLOOKUP(A31,'Định mức'!$A$6:$J$57,10,0)</f>
        <v>707.09235054638964</v>
      </c>
      <c r="G31" s="234">
        <f t="shared" ca="1" si="1"/>
        <v>207306.62095564604</v>
      </c>
      <c r="H31" s="188"/>
      <c r="I31" s="185"/>
      <c r="J31" s="227"/>
      <c r="K31" s="187" t="e">
        <f>HLOOKUP(I31,'Tổng hợp trong giờ'!$D$12:$BB$40,VLOOKUP('Thẻ lương'!$J$2,'Tổng hợp trong giờ'!$A$15:$CR$37,90,0),0)</f>
        <v>#N/A</v>
      </c>
      <c r="L31" s="187"/>
      <c r="M31" s="187"/>
      <c r="N31" s="187"/>
      <c r="O31" s="187"/>
    </row>
    <row r="32" spans="1:29" ht="13.5" customHeight="1" x14ac:dyDescent="0.25">
      <c r="A32" s="232" t="s">
        <v>30</v>
      </c>
      <c r="B32" s="246" t="s">
        <v>78</v>
      </c>
      <c r="C32" s="234">
        <f>HLOOKUP(A32,'Tổng hợp trong giờ'!$D$12:$BB$40,VLOOKUP('Thẻ lương'!$B$2,'Tổng hợp trong giờ'!$A$15:$CR$37,95,0),0)</f>
        <v>0</v>
      </c>
      <c r="D32" s="187">
        <f>VLOOKUP(A32,'Định mức'!$A$6:$J$57,9,0)</f>
        <v>979.02097902097898</v>
      </c>
      <c r="E32" s="234">
        <f ca="1">HLOOKUP(A32,'Tổng hợp ngoài giờ'!$D$12:$BB$47,VLOOKUP('Thẻ lương'!$B$2,'Tổng hợp ngoài giờ'!$A$15:$CM$36,90,0),0)</f>
        <v>0</v>
      </c>
      <c r="F32" s="187">
        <f>VLOOKUP(A32,'Định mức'!$A$6:$J$57,10,0)</f>
        <v>1076.9230769230769</v>
      </c>
      <c r="G32" s="234">
        <f t="shared" ref="G32:G55" ca="1" si="2">C32*D32+E32*F32</f>
        <v>0</v>
      </c>
      <c r="H32" s="188"/>
      <c r="I32" s="185"/>
      <c r="J32" s="227"/>
      <c r="K32" s="187" t="e">
        <f>HLOOKUP(I32,'Tổng hợp trong giờ'!$D$12:$BB$40,VLOOKUP('Thẻ lương'!$J$2,'Tổng hợp trong giờ'!$A$15:$CR$37,90,0),0)</f>
        <v>#N/A</v>
      </c>
      <c r="L32" s="187"/>
      <c r="M32" s="187"/>
      <c r="N32" s="187"/>
      <c r="O32" s="187"/>
    </row>
    <row r="33" spans="1:29" x14ac:dyDescent="0.25">
      <c r="A33" s="185" t="s">
        <v>31</v>
      </c>
      <c r="B33" s="227" t="s">
        <v>79</v>
      </c>
      <c r="C33" s="234">
        <f>HLOOKUP(A33,'Tổng hợp trong giờ'!$D$12:$BB$40,VLOOKUP('Thẻ lương'!$B$2,'Tổng hợp trong giờ'!$A$15:$CR$37,95,0),0)</f>
        <v>0</v>
      </c>
      <c r="D33" s="187">
        <f>VLOOKUP(A33,'Định mức'!$A$6:$J$57,9,0)</f>
        <v>936.46821215314367</v>
      </c>
      <c r="E33" s="234">
        <f ca="1">HLOOKUP(A33,'Tổng hợp ngoài giờ'!$D$12:$BB$47,VLOOKUP('Thẻ lương'!$B$2,'Tổng hợp ngoài giờ'!$A$15:$CM$36,90,0),0)</f>
        <v>0</v>
      </c>
      <c r="F33" s="187">
        <f>VLOOKUP(A33,'Định mức'!$A$6:$J$57,10,0)</f>
        <v>1030.1150333684582</v>
      </c>
      <c r="G33" s="228">
        <f t="shared" ca="1" si="2"/>
        <v>0</v>
      </c>
      <c r="H33" s="188"/>
      <c r="I33" s="185"/>
      <c r="J33" s="227"/>
      <c r="K33" s="187" t="e">
        <f>HLOOKUP(I33,'Tổng hợp trong giờ'!$D$12:$BB$40,VLOOKUP('Thẻ lương'!$J$2,'Tổng hợp trong giờ'!$A$15:$CR$37,90,0),0)</f>
        <v>#N/A</v>
      </c>
      <c r="L33" s="187"/>
      <c r="M33" s="187"/>
      <c r="N33" s="187"/>
      <c r="O33" s="187"/>
    </row>
    <row r="34" spans="1:29" x14ac:dyDescent="0.25">
      <c r="A34" s="185" t="s">
        <v>32</v>
      </c>
      <c r="B34" s="227" t="s">
        <v>332</v>
      </c>
      <c r="C34" s="234">
        <f>HLOOKUP(A34,'Tổng hợp trong giờ'!$D$12:$BB$40,VLOOKUP('Thẻ lương'!$B$2,'Tổng hợp trong giờ'!$A$15:$CR$37,95,0),0)</f>
        <v>0</v>
      </c>
      <c r="D34" s="187">
        <f>VLOOKUP(A34,'Định mức'!$A$6:$J$57,9,0)</f>
        <v>979.02097902097728</v>
      </c>
      <c r="E34" s="234">
        <f ca="1">HLOOKUP(A34,'Tổng hợp ngoài giờ'!$D$12:$BB$47,VLOOKUP('Thẻ lương'!$B$2,'Tổng hợp ngoài giờ'!$A$15:$CM$36,90,0),0)</f>
        <v>0</v>
      </c>
      <c r="F34" s="187">
        <f>VLOOKUP(A34,'Định mức'!$A$6:$J$57,10,0)</f>
        <v>1076.9230769230751</v>
      </c>
      <c r="G34" s="228">
        <f t="shared" ca="1" si="2"/>
        <v>0</v>
      </c>
      <c r="H34" s="188"/>
      <c r="I34" s="185"/>
      <c r="J34" s="227"/>
      <c r="K34" s="187" t="e">
        <f>HLOOKUP(I34,'Tổng hợp trong giờ'!$D$12:$BB$40,VLOOKUP('Thẻ lương'!$J$2,'Tổng hợp trong giờ'!$A$15:$CR$37,90,0),0)</f>
        <v>#N/A</v>
      </c>
      <c r="L34" s="187"/>
      <c r="M34" s="187"/>
      <c r="N34" s="187"/>
      <c r="O34" s="187"/>
    </row>
    <row r="35" spans="1:29" x14ac:dyDescent="0.25">
      <c r="A35" s="185" t="s">
        <v>33</v>
      </c>
      <c r="B35" s="186" t="s">
        <v>331</v>
      </c>
      <c r="C35" s="234">
        <f>HLOOKUP(A35,'Tổng hợp trong giờ'!$D$12:$BB$40,VLOOKUP('Thẻ lương'!$B$2,'Tổng hợp trong giờ'!$A$15:$CR$37,95,0),0)</f>
        <v>0</v>
      </c>
      <c r="D35" s="187">
        <f>VLOOKUP(A35,'Định mức'!$A$6:$J$57,9,0)</f>
        <v>364.2191142191142</v>
      </c>
      <c r="E35" s="234">
        <f ca="1">HLOOKUP(A35,'Tổng hợp ngoài giờ'!$D$12:$BB$47,VLOOKUP('Thẻ lương'!$B$2,'Tổng hợp ngoài giờ'!$A$15:$CM$36,90,0),0)</f>
        <v>0</v>
      </c>
      <c r="F35" s="187">
        <f>VLOOKUP(A35,'Định mức'!$A$6:$J$57,10,0)</f>
        <v>400.64102564102564</v>
      </c>
      <c r="G35" s="228">
        <f t="shared" ca="1" si="2"/>
        <v>0</v>
      </c>
      <c r="H35" s="188"/>
      <c r="I35" s="185" t="s">
        <v>33</v>
      </c>
      <c r="J35" s="186" t="s">
        <v>331</v>
      </c>
      <c r="K35" s="187" t="e">
        <f>HLOOKUP(I35,'Tổng hợp trong giờ'!$D$12:$BB$40,VLOOKUP('Thẻ lương'!$J$2,'Tổng hợp trong giờ'!$A$15:$CR$37,90,0),0)</f>
        <v>#VALUE!</v>
      </c>
      <c r="L35" s="187">
        <f>VLOOKUP(I35,'Định mức'!$A$6:$J$57,9,0)</f>
        <v>364.2191142191142</v>
      </c>
      <c r="M35" s="187" t="e">
        <f>HLOOKUP(I35,'Tổng hợp ngoài giờ'!$D$12:$BB$47,VLOOKUP('Thẻ lương'!$B$2,'Tổng hợp ngoài giờ'!$A$15:$CL$36,89,0),0)</f>
        <v>#VALUE!</v>
      </c>
      <c r="N35" s="187">
        <f>VLOOKUP(I35,'Định mức'!$A$6:$J$57,10,0)</f>
        <v>400.64102564102564</v>
      </c>
      <c r="O35" s="187" t="e">
        <f t="shared" si="0"/>
        <v>#VALUE!</v>
      </c>
      <c r="V35" s="179" t="s">
        <v>334</v>
      </c>
      <c r="AB35" s="179" t="s">
        <v>334</v>
      </c>
      <c r="AC35" s="202"/>
    </row>
    <row r="36" spans="1:29" x14ac:dyDescent="0.25">
      <c r="A36" s="185" t="s">
        <v>34</v>
      </c>
      <c r="B36" s="186" t="s">
        <v>330</v>
      </c>
      <c r="C36" s="234">
        <f>HLOOKUP(A36,'Tổng hợp trong giờ'!$D$12:$BB$40,VLOOKUP('Thẻ lương'!$B$2,'Tổng hợp trong giờ'!$A$15:$CR$37,95,0),0)</f>
        <v>0</v>
      </c>
      <c r="D36" s="187">
        <f>VLOOKUP(A36,'Định mức'!$A$6:$J$57,9,0)</f>
        <v>506.07287449392715</v>
      </c>
      <c r="E36" s="234">
        <f ca="1">HLOOKUP(A36,'Tổng hợp ngoài giờ'!$D$12:$BB$47,VLOOKUP('Thẻ lương'!$B$2,'Tổng hợp ngoài giờ'!$A$15:$CM$36,90,0),0)</f>
        <v>0</v>
      </c>
      <c r="F36" s="187">
        <f>VLOOKUP(A36,'Định mức'!$A$6:$J$57,10,0)</f>
        <v>556.68016194331994</v>
      </c>
      <c r="G36" s="228">
        <f t="shared" ca="1" si="2"/>
        <v>0</v>
      </c>
      <c r="H36" s="188"/>
      <c r="I36" s="185" t="s">
        <v>34</v>
      </c>
      <c r="J36" s="186" t="s">
        <v>330</v>
      </c>
      <c r="K36" s="187" t="e">
        <f>HLOOKUP(I36,'Tổng hợp trong giờ'!$D$12:$BB$40,VLOOKUP('Thẻ lương'!$J$2,'Tổng hợp trong giờ'!$A$15:$CR$37,90,0),0)</f>
        <v>#VALUE!</v>
      </c>
      <c r="L36" s="187">
        <f>VLOOKUP(I36,'Định mức'!$A$6:$J$57,9,0)</f>
        <v>506.07287449392715</v>
      </c>
      <c r="M36" s="187" t="e">
        <f>HLOOKUP(I36,'Tổng hợp ngoài giờ'!$D$12:$BB$47,VLOOKUP('Thẻ lương'!$B$2,'Tổng hợp ngoài giờ'!$A$15:$CL$36,89,0),0)</f>
        <v>#VALUE!</v>
      </c>
      <c r="N36" s="187">
        <f>VLOOKUP(I36,'Định mức'!$A$6:$J$57,10,0)</f>
        <v>556.68016194331994</v>
      </c>
      <c r="O36" s="187" t="e">
        <f t="shared" si="0"/>
        <v>#VALUE!</v>
      </c>
    </row>
    <row r="37" spans="1:29" ht="13.5" customHeight="1" x14ac:dyDescent="0.25">
      <c r="A37" s="232" t="s">
        <v>35</v>
      </c>
      <c r="B37" s="246" t="s">
        <v>328</v>
      </c>
      <c r="C37" s="234">
        <f>HLOOKUP(A37,'Tổng hợp trong giờ'!$D$12:$BB$40,VLOOKUP('Thẻ lương'!$B$2,'Tổng hợp trong giờ'!$A$15:$CR$37,95,0),0)</f>
        <v>0</v>
      </c>
      <c r="D37" s="187">
        <f>VLOOKUP(A37,'Định mức'!$A$6:$J$57,9,0)</f>
        <v>251.79403248143021</v>
      </c>
      <c r="E37" s="234">
        <f ca="1">HLOOKUP(A37,'Tổng hợp ngoài giờ'!$D$12:$BB$47,VLOOKUP('Thẻ lương'!$B$2,'Tổng hợp ngoài giờ'!$A$15:$CM$36,90,0),0)</f>
        <v>105</v>
      </c>
      <c r="F37" s="187">
        <f>VLOOKUP(A37,'Định mức'!$A$6:$J$57,10,0)</f>
        <v>276.97343572957323</v>
      </c>
      <c r="G37" s="234">
        <f t="shared" ca="1" si="2"/>
        <v>29082.210751605187</v>
      </c>
      <c r="H37" s="188"/>
      <c r="I37" s="185" t="s">
        <v>35</v>
      </c>
      <c r="J37" s="186" t="s">
        <v>328</v>
      </c>
      <c r="K37" s="187" t="e">
        <f>HLOOKUP(I37,'Tổng hợp trong giờ'!$D$12:$BB$40,VLOOKUP('Thẻ lương'!$J$2,'Tổng hợp trong giờ'!$A$15:$CR$37,90,0),0)</f>
        <v>#VALUE!</v>
      </c>
      <c r="L37" s="187">
        <f>VLOOKUP(I37,'Định mức'!$A$6:$J$57,9,0)</f>
        <v>251.79403248143021</v>
      </c>
      <c r="M37" s="187" t="e">
        <f>HLOOKUP(I37,'Tổng hợp ngoài giờ'!$D$12:$BB$47,VLOOKUP('Thẻ lương'!$B$2,'Tổng hợp ngoài giờ'!$A$15:$CL$36,89,0),0)</f>
        <v>#VALUE!</v>
      </c>
      <c r="N37" s="187">
        <f>VLOOKUP(I37,'Định mức'!$A$6:$J$57,10,0)</f>
        <v>276.97343572957323</v>
      </c>
      <c r="O37" s="187" t="e">
        <f t="shared" si="0"/>
        <v>#VALUE!</v>
      </c>
    </row>
    <row r="38" spans="1:29" ht="14.25" customHeight="1" x14ac:dyDescent="0.25">
      <c r="A38" s="232" t="s">
        <v>36</v>
      </c>
      <c r="B38" s="233" t="s">
        <v>329</v>
      </c>
      <c r="C38" s="234">
        <f>HLOOKUP(A38,'Tổng hợp trong giờ'!$D$12:$BB$40,VLOOKUP('Thẻ lương'!$B$2,'Tổng hợp trong giờ'!$A$15:$CR$37,95,0),0)</f>
        <v>0</v>
      </c>
      <c r="D38" s="187">
        <f>VLOOKUP(A38,'Định mức'!$A$6:$J$57,9,0)</f>
        <v>335.42039355992847</v>
      </c>
      <c r="E38" s="234">
        <f ca="1">HLOOKUP(A38,'Tổng hợp ngoài giờ'!$D$12:$BB$47,VLOOKUP('Thẻ lương'!$B$2,'Tổng hợp ngoài giờ'!$A$15:$CM$36,90,0),0)</f>
        <v>0</v>
      </c>
      <c r="F38" s="187">
        <f>VLOOKUP(A38,'Định mức'!$A$6:$J$57,10,0)</f>
        <v>368.96243291592134</v>
      </c>
      <c r="G38" s="234">
        <f t="shared" ca="1" si="2"/>
        <v>0</v>
      </c>
      <c r="H38" s="188"/>
      <c r="I38" s="185" t="s">
        <v>36</v>
      </c>
      <c r="J38" s="186" t="s">
        <v>329</v>
      </c>
      <c r="K38" s="187" t="e">
        <f>HLOOKUP(I38,'Tổng hợp trong giờ'!$D$12:$BB$40,VLOOKUP('Thẻ lương'!$J$2,'Tổng hợp trong giờ'!$A$15:$CR$37,90,0),0)</f>
        <v>#VALUE!</v>
      </c>
      <c r="L38" s="187">
        <f>VLOOKUP(I38,'Định mức'!$A$6:$J$57,9,0)</f>
        <v>335.42039355992847</v>
      </c>
      <c r="M38" s="187" t="e">
        <f>HLOOKUP(I38,'Tổng hợp ngoài giờ'!$D$12:$BB$47,VLOOKUP('Thẻ lương'!$B$2,'Tổng hợp ngoài giờ'!$A$15:$CL$36,89,0),0)</f>
        <v>#VALUE!</v>
      </c>
      <c r="N38" s="187">
        <f>VLOOKUP(I38,'Định mức'!$A$6:$J$57,10,0)</f>
        <v>368.96243291592134</v>
      </c>
      <c r="O38" s="187" t="e">
        <f t="shared" si="0"/>
        <v>#VALUE!</v>
      </c>
    </row>
    <row r="39" spans="1:29" ht="13.5" customHeight="1" x14ac:dyDescent="0.25">
      <c r="A39" s="185" t="s">
        <v>37</v>
      </c>
      <c r="B39" s="186" t="s">
        <v>327</v>
      </c>
      <c r="C39" s="234">
        <f>HLOOKUP(A39,'Tổng hợp trong giờ'!$D$12:$BB$40,VLOOKUP('Thẻ lương'!$B$2,'Tổng hợp trong giờ'!$A$15:$CR$37,95,0),0)</f>
        <v>0</v>
      </c>
      <c r="D39" s="187">
        <f>VLOOKUP(A39,'Định mức'!$A$6:$J$57,9,0)</f>
        <v>1468.5314685314684</v>
      </c>
      <c r="E39" s="234">
        <f ca="1">HLOOKUP(A39,'Tổng hợp ngoài giờ'!$D$12:$BB$47,VLOOKUP('Thẻ lương'!$B$2,'Tổng hợp ngoài giờ'!$A$15:$CM$36,90,0),0)</f>
        <v>0</v>
      </c>
      <c r="F39" s="187">
        <f>VLOOKUP(A39,'Định mức'!$A$6:$J$57,10,0)</f>
        <v>1615.3846153846152</v>
      </c>
      <c r="G39" s="228">
        <f t="shared" ca="1" si="2"/>
        <v>0</v>
      </c>
      <c r="H39" s="188"/>
      <c r="I39" s="185" t="s">
        <v>37</v>
      </c>
      <c r="J39" s="186" t="s">
        <v>327</v>
      </c>
      <c r="K39" s="187" t="e">
        <f>HLOOKUP(I39,'Tổng hợp trong giờ'!$D$12:$BB$40,VLOOKUP('Thẻ lương'!$J$2,'Tổng hợp trong giờ'!$A$15:$CR$37,90,0),0)</f>
        <v>#VALUE!</v>
      </c>
      <c r="L39" s="187">
        <f>VLOOKUP(I39,'Định mức'!$A$6:$J$57,9,0)</f>
        <v>1468.5314685314684</v>
      </c>
      <c r="M39" s="187" t="e">
        <f>HLOOKUP(I39,'Tổng hợp ngoài giờ'!$D$12:$BB$47,VLOOKUP('Thẻ lương'!$B$2,'Tổng hợp ngoài giờ'!$A$15:$CL$36,89,0),0)</f>
        <v>#VALUE!</v>
      </c>
      <c r="N39" s="187">
        <f>VLOOKUP(I39,'Định mức'!$A$6:$J$57,10,0)</f>
        <v>1615.3846153846152</v>
      </c>
      <c r="O39" s="187" t="e">
        <f t="shared" si="0"/>
        <v>#VALUE!</v>
      </c>
    </row>
    <row r="40" spans="1:29" ht="12.75" customHeight="1" x14ac:dyDescent="0.25">
      <c r="A40" s="232" t="s">
        <v>38</v>
      </c>
      <c r="B40" s="255" t="s">
        <v>86</v>
      </c>
      <c r="C40" s="234">
        <f>HLOOKUP(A40,'Tổng hợp trong giờ'!$D$12:$BB$40,VLOOKUP('Thẻ lương'!$B$2,'Tổng hợp trong giờ'!$A$15:$CR$37,95,0),0)</f>
        <v>83.333333333333343</v>
      </c>
      <c r="D40" s="187">
        <f>VLOOKUP(A40,'Định mức'!$A$6:$J$57,9,0)</f>
        <v>1377.1394845563643</v>
      </c>
      <c r="E40" s="234">
        <f ca="1">HLOOKUP(A40,'Tổng hợp ngoài giờ'!$D$12:$BB$47,VLOOKUP('Thẻ lương'!$B$2,'Tổng hợp ngoài giờ'!$A$15:$CM$36,90,0),0)</f>
        <v>33.333333333333336</v>
      </c>
      <c r="F40" s="187">
        <f>VLOOKUP(A40,'Định mức'!$A$6:$J$57,10,0)</f>
        <v>1514.8534330120008</v>
      </c>
      <c r="G40" s="228">
        <f t="shared" ca="1" si="2"/>
        <v>165256.73814676373</v>
      </c>
      <c r="H40" s="188"/>
      <c r="I40" s="185" t="s">
        <v>38</v>
      </c>
      <c r="J40" s="186" t="s">
        <v>86</v>
      </c>
      <c r="K40" s="187" t="e">
        <f>HLOOKUP(I40,'Tổng hợp trong giờ'!$D$12:$BB$40,VLOOKUP('Thẻ lương'!$J$2,'Tổng hợp trong giờ'!$A$15:$CR$37,90,0),0)</f>
        <v>#VALUE!</v>
      </c>
      <c r="L40" s="187">
        <f>VLOOKUP(I40,'Định mức'!$A$6:$J$57,9,0)</f>
        <v>1377.1394845563643</v>
      </c>
      <c r="M40" s="187" t="e">
        <f>HLOOKUP(I40,'Tổng hợp ngoài giờ'!$D$12:$BB$47,VLOOKUP('Thẻ lương'!$B$2,'Tổng hợp ngoài giờ'!$A$15:$CL$36,89,0),0)</f>
        <v>#VALUE!</v>
      </c>
      <c r="N40" s="187">
        <f>VLOOKUP(I40,'Định mức'!$A$6:$J$57,10,0)</f>
        <v>1514.8534330120008</v>
      </c>
      <c r="O40" s="187" t="e">
        <f t="shared" si="0"/>
        <v>#VALUE!</v>
      </c>
    </row>
    <row r="41" spans="1:29" ht="13.5" customHeight="1" x14ac:dyDescent="0.25">
      <c r="A41" s="232" t="s">
        <v>39</v>
      </c>
      <c r="B41" s="246" t="s">
        <v>87</v>
      </c>
      <c r="C41" s="234">
        <f>HLOOKUP(A41,'Tổng hợp trong giờ'!$D$12:$BB$40,VLOOKUP('Thẻ lương'!$B$2,'Tổng hợp trong giờ'!$A$15:$CR$37,95,0),0)</f>
        <v>0</v>
      </c>
      <c r="D41" s="187">
        <f>VLOOKUP(A41,'Định mức'!$A$6:$J$57,9,0)</f>
        <v>2043</v>
      </c>
      <c r="E41" s="234">
        <f ca="1">HLOOKUP(A41,'Tổng hợp ngoài giờ'!$D$12:$BB$47,VLOOKUP('Thẻ lương'!$B$2,'Tổng hợp ngoài giờ'!$A$15:$CM$36,90,0),0)</f>
        <v>0</v>
      </c>
      <c r="F41" s="187">
        <f>VLOOKUP(A41,'Định mức'!$A$6:$J$57,10,0)</f>
        <v>2247.3000000000002</v>
      </c>
      <c r="G41" s="234">
        <f ca="1">C41*D41+E41*F41</f>
        <v>0</v>
      </c>
      <c r="H41" s="188"/>
      <c r="I41" s="185" t="s">
        <v>39</v>
      </c>
      <c r="J41" s="186" t="s">
        <v>87</v>
      </c>
      <c r="K41" s="187" t="e">
        <f>HLOOKUP(I41,'Tổng hợp trong giờ'!$D$12:$BB$40,VLOOKUP('Thẻ lương'!$J$2,'Tổng hợp trong giờ'!$A$15:$CR$37,90,0),0)</f>
        <v>#VALUE!</v>
      </c>
      <c r="L41" s="187">
        <f>VLOOKUP(I41,'Định mức'!$A$6:$J$57,9,0)</f>
        <v>2043</v>
      </c>
      <c r="M41" s="187" t="e">
        <f>HLOOKUP(I41,'Tổng hợp ngoài giờ'!$D$12:$BB$47,VLOOKUP('Thẻ lương'!$B$2,'Tổng hợp ngoài giờ'!$A$15:$CL$36,89,0),0)</f>
        <v>#VALUE!</v>
      </c>
      <c r="N41" s="187">
        <f>VLOOKUP(I41,'Định mức'!$A$6:$J$57,10,0)</f>
        <v>2247.3000000000002</v>
      </c>
      <c r="O41" s="187" t="e">
        <f t="shared" si="0"/>
        <v>#VALUE!</v>
      </c>
    </row>
    <row r="42" spans="1:29" ht="17.25" customHeight="1" x14ac:dyDescent="0.25">
      <c r="A42" s="185" t="s">
        <v>40</v>
      </c>
      <c r="B42" s="186" t="s">
        <v>88</v>
      </c>
      <c r="C42" s="234">
        <f>HLOOKUP(A42,'Tổng hợp trong giờ'!$D$12:$BB$40,VLOOKUP('Thẻ lương'!$B$2,'Tổng hợp trong giờ'!$A$15:$CR$37,95,0),0)</f>
        <v>0</v>
      </c>
      <c r="D42" s="187">
        <f>VLOOKUP(A42,'Định mức'!$A$6:$J$57,9,0)</f>
        <v>2043</v>
      </c>
      <c r="E42" s="234">
        <f ca="1">HLOOKUP(A42,'Tổng hợp ngoài giờ'!$D$12:$BB$47,VLOOKUP('Thẻ lương'!$B$2,'Tổng hợp ngoài giờ'!$A$15:$CM$36,90,0),0)</f>
        <v>0</v>
      </c>
      <c r="F42" s="187">
        <f>VLOOKUP(A42,'Định mức'!$A$6:$J$57,10,0)</f>
        <v>2247.3000000000002</v>
      </c>
      <c r="G42" s="228">
        <f t="shared" ca="1" si="2"/>
        <v>0</v>
      </c>
      <c r="H42" s="188"/>
      <c r="I42" s="185" t="s">
        <v>40</v>
      </c>
      <c r="J42" s="186" t="s">
        <v>88</v>
      </c>
      <c r="K42" s="187" t="e">
        <f>HLOOKUP(I42,'Tổng hợp trong giờ'!$D$12:$BB$40,VLOOKUP('Thẻ lương'!$J$2,'Tổng hợp trong giờ'!$A$15:$CR$37,90,0),0)</f>
        <v>#VALUE!</v>
      </c>
      <c r="L42" s="187">
        <f>VLOOKUP(I42,'Định mức'!$A$6:$J$57,9,0)</f>
        <v>2043</v>
      </c>
      <c r="M42" s="187" t="e">
        <f>HLOOKUP(I42,'Tổng hợp ngoài giờ'!$D$12:$BB$47,VLOOKUP('Thẻ lương'!$B$2,'Tổng hợp ngoài giờ'!$A$15:$CL$36,89,0),0)</f>
        <v>#VALUE!</v>
      </c>
      <c r="N42" s="187">
        <f>VLOOKUP(I42,'Định mức'!$A$6:$J$57,10,0)</f>
        <v>2247.3000000000002</v>
      </c>
      <c r="O42" s="187" t="e">
        <f t="shared" si="0"/>
        <v>#VALUE!</v>
      </c>
    </row>
    <row r="43" spans="1:29" x14ac:dyDescent="0.25">
      <c r="A43" s="232" t="s">
        <v>41</v>
      </c>
      <c r="B43" s="279" t="s">
        <v>89</v>
      </c>
      <c r="C43" s="234">
        <f>HLOOKUP(A43,'Tổng hợp trong giờ'!$D$12:$BB$40,VLOOKUP('Thẻ lương'!$B$2,'Tổng hợp trong giờ'!$A$15:$CR$37,95,0),0)</f>
        <v>0</v>
      </c>
      <c r="D43" s="187">
        <f>VLOOKUP(A43,'Định mức'!$A$6:$J$57,9,0)</f>
        <v>2043</v>
      </c>
      <c r="E43" s="234">
        <f ca="1">HLOOKUP(A43,'Tổng hợp ngoài giờ'!$D$12:$BB$47,VLOOKUP('Thẻ lương'!$B$2,'Tổng hợp ngoài giờ'!$A$15:$CM$36,90,0),0)</f>
        <v>0</v>
      </c>
      <c r="F43" s="187">
        <f>VLOOKUP(A43,'Định mức'!$A$6:$J$57,10,0)</f>
        <v>2247.3000000000002</v>
      </c>
      <c r="G43" s="234">
        <f ca="1">C43*D43+E43*F43</f>
        <v>0</v>
      </c>
      <c r="H43" s="188"/>
      <c r="I43" s="185" t="s">
        <v>41</v>
      </c>
      <c r="J43" s="186" t="s">
        <v>89</v>
      </c>
      <c r="K43" s="187" t="e">
        <f>HLOOKUP(I43,'Tổng hợp trong giờ'!$D$12:$BB$40,VLOOKUP('Thẻ lương'!$J$2,'Tổng hợp trong giờ'!$A$15:$CR$37,90,0),0)</f>
        <v>#VALUE!</v>
      </c>
      <c r="L43" s="187">
        <f>VLOOKUP(I43,'Định mức'!$A$6:$J$57,9,0)</f>
        <v>2043</v>
      </c>
      <c r="M43" s="187" t="e">
        <f>HLOOKUP(I43,'Tổng hợp ngoài giờ'!$D$12:$BB$47,VLOOKUP('Thẻ lương'!$B$2,'Tổng hợp ngoài giờ'!$A$15:$CL$36,89,0),0)</f>
        <v>#VALUE!</v>
      </c>
      <c r="N43" s="187">
        <f>VLOOKUP(I43,'Định mức'!$A$6:$J$57,10,0)</f>
        <v>2247.3000000000002</v>
      </c>
      <c r="O43" s="187" t="e">
        <f t="shared" si="0"/>
        <v>#VALUE!</v>
      </c>
    </row>
    <row r="44" spans="1:29" ht="18.75" customHeight="1" x14ac:dyDescent="0.25">
      <c r="A44" s="232" t="s">
        <v>42</v>
      </c>
      <c r="B44" s="279" t="s">
        <v>90</v>
      </c>
      <c r="C44" s="234">
        <f>HLOOKUP(A44,'Tổng hợp trong giờ'!$D$12:$BB$40,VLOOKUP('Thẻ lương'!$B$2,'Tổng hợp trong giờ'!$A$15:$CR$37,95,0),0)</f>
        <v>0</v>
      </c>
      <c r="D44" s="187">
        <f>VLOOKUP(A44,'Định mức'!$A$6:$J$57,9,0)</f>
        <v>2043</v>
      </c>
      <c r="E44" s="234">
        <f ca="1">HLOOKUP(A44,'Tổng hợp ngoài giờ'!$D$12:$BB$47,VLOOKUP('Thẻ lương'!$B$2,'Tổng hợp ngoài giờ'!$A$15:$CM$36,90,0),0)</f>
        <v>0</v>
      </c>
      <c r="F44" s="187">
        <f>VLOOKUP(A44,'Định mức'!$A$6:$J$57,10,0)</f>
        <v>2247.3000000000002</v>
      </c>
      <c r="G44" s="234">
        <f t="shared" ca="1" si="2"/>
        <v>0</v>
      </c>
      <c r="H44" s="188"/>
      <c r="I44" s="185" t="s">
        <v>42</v>
      </c>
      <c r="J44" s="186" t="s">
        <v>90</v>
      </c>
      <c r="K44" s="187" t="e">
        <f>HLOOKUP(I44,'Tổng hợp trong giờ'!$D$12:$BB$40,VLOOKUP('Thẻ lương'!$J$2,'Tổng hợp trong giờ'!$A$15:$CR$37,90,0),0)</f>
        <v>#VALUE!</v>
      </c>
      <c r="L44" s="187">
        <f>VLOOKUP(I44,'Định mức'!$A$6:$J$57,9,0)</f>
        <v>2043</v>
      </c>
      <c r="M44" s="187" t="e">
        <f>HLOOKUP(I44,'Tổng hợp ngoài giờ'!$D$12:$BB$47,VLOOKUP('Thẻ lương'!$B$2,'Tổng hợp ngoài giờ'!$A$15:$CL$36,89,0),0)</f>
        <v>#VALUE!</v>
      </c>
      <c r="N44" s="187">
        <f>VLOOKUP(I44,'Định mức'!$A$6:$J$57,10,0)</f>
        <v>2247.3000000000002</v>
      </c>
      <c r="O44" s="187" t="e">
        <f t="shared" si="0"/>
        <v>#VALUE!</v>
      </c>
    </row>
    <row r="45" spans="1:29" ht="20.25" customHeight="1" x14ac:dyDescent="0.25">
      <c r="A45" s="185" t="s">
        <v>43</v>
      </c>
      <c r="B45" s="186" t="s">
        <v>91</v>
      </c>
      <c r="C45" s="234">
        <f>HLOOKUP(A45,'Tổng hợp trong giờ'!$D$12:$BB$40,VLOOKUP('Thẻ lương'!$B$2,'Tổng hợp trong giờ'!$A$15:$CR$37,95,0),0)</f>
        <v>0</v>
      </c>
      <c r="D45" s="187">
        <f>VLOOKUP(A45,'Định mức'!$A$6:$J$57,9,0)</f>
        <v>2043</v>
      </c>
      <c r="E45" s="234">
        <f ca="1">HLOOKUP(A45,'Tổng hợp ngoài giờ'!$D$12:$BB$47,VLOOKUP('Thẻ lương'!$B$2,'Tổng hợp ngoài giờ'!$A$15:$CM$36,90,0),0)</f>
        <v>0</v>
      </c>
      <c r="F45" s="187">
        <f>VLOOKUP(A45,'Định mức'!$A$6:$J$57,10,0)</f>
        <v>2247.3000000000002</v>
      </c>
      <c r="G45" s="228">
        <f t="shared" ca="1" si="2"/>
        <v>0</v>
      </c>
      <c r="H45" s="188"/>
      <c r="I45" s="185" t="s">
        <v>43</v>
      </c>
      <c r="J45" s="186" t="s">
        <v>91</v>
      </c>
      <c r="K45" s="187" t="e">
        <f>HLOOKUP(I45,'Tổng hợp trong giờ'!$D$12:$BB$40,VLOOKUP('Thẻ lương'!$J$2,'Tổng hợp trong giờ'!$A$15:$CR$37,90,0),0)</f>
        <v>#VALUE!</v>
      </c>
      <c r="L45" s="187">
        <f>VLOOKUP(I45,'Định mức'!$A$6:$J$57,9,0)</f>
        <v>2043</v>
      </c>
      <c r="M45" s="187" t="e">
        <f>HLOOKUP(I45,'Tổng hợp ngoài giờ'!$D$12:$BB$47,VLOOKUP('Thẻ lương'!$B$2,'Tổng hợp ngoài giờ'!$A$15:$CL$36,89,0),0)</f>
        <v>#VALUE!</v>
      </c>
      <c r="N45" s="187">
        <f>VLOOKUP(I45,'Định mức'!$A$6:$J$57,10,0)</f>
        <v>2247.3000000000002</v>
      </c>
      <c r="O45" s="187" t="e">
        <f t="shared" si="0"/>
        <v>#VALUE!</v>
      </c>
    </row>
    <row r="46" spans="1:29" ht="18" customHeight="1" x14ac:dyDescent="0.25">
      <c r="A46" s="185" t="s">
        <v>44</v>
      </c>
      <c r="B46" s="186" t="s">
        <v>92</v>
      </c>
      <c r="C46" s="234">
        <f>HLOOKUP(A46,'Tổng hợp trong giờ'!$D$12:$BB$40,VLOOKUP('Thẻ lương'!$B$2,'Tổng hợp trong giờ'!$A$15:$CR$37,95,0),0)</f>
        <v>0</v>
      </c>
      <c r="D46" s="187">
        <f>VLOOKUP(A46,'Định mức'!$A$6:$J$57,9,0)</f>
        <v>2043</v>
      </c>
      <c r="E46" s="234">
        <f ca="1">HLOOKUP(A46,'Tổng hợp ngoài giờ'!$D$12:$BB$47,VLOOKUP('Thẻ lương'!$B$2,'Tổng hợp ngoài giờ'!$A$15:$CM$36,90,0),0)</f>
        <v>0</v>
      </c>
      <c r="F46" s="187">
        <f>VLOOKUP(A46,'Định mức'!$A$6:$J$57,10,0)</f>
        <v>2247.3000000000002</v>
      </c>
      <c r="G46" s="228">
        <f t="shared" ca="1" si="2"/>
        <v>0</v>
      </c>
      <c r="H46" s="188"/>
      <c r="I46" s="185" t="s">
        <v>44</v>
      </c>
      <c r="J46" s="186" t="s">
        <v>92</v>
      </c>
      <c r="K46" s="187" t="e">
        <f>HLOOKUP(I46,'Tổng hợp trong giờ'!$D$12:$BB$40,VLOOKUP('Thẻ lương'!$J$2,'Tổng hợp trong giờ'!$A$15:$CR$37,90,0),0)</f>
        <v>#VALUE!</v>
      </c>
      <c r="L46" s="187">
        <f>VLOOKUP(I46,'Định mức'!$A$6:$J$57,9,0)</f>
        <v>2043</v>
      </c>
      <c r="M46" s="187" t="e">
        <f>HLOOKUP(I46,'Tổng hợp ngoài giờ'!$D$12:$BB$47,VLOOKUP('Thẻ lương'!$B$2,'Tổng hợp ngoài giờ'!$A$15:$CL$36,89,0),0)</f>
        <v>#VALUE!</v>
      </c>
      <c r="N46" s="187">
        <f>VLOOKUP(I46,'Định mức'!$A$6:$J$57,10,0)</f>
        <v>2247.3000000000002</v>
      </c>
      <c r="O46" s="187" t="e">
        <f t="shared" si="0"/>
        <v>#VALUE!</v>
      </c>
    </row>
    <row r="47" spans="1:29" s="197" customFormat="1" ht="16.5" customHeight="1" x14ac:dyDescent="0.25">
      <c r="A47" s="185" t="s">
        <v>45</v>
      </c>
      <c r="B47" s="186" t="s">
        <v>326</v>
      </c>
      <c r="C47" s="234">
        <f>HLOOKUP(A47,'Tổng hợp trong giờ'!$D$12:$BB$40,VLOOKUP('Thẻ lương'!$B$2,'Tổng hợp trong giờ'!$A$15:$CR$37,95,0),0)</f>
        <v>0</v>
      </c>
      <c r="D47" s="187">
        <f>VLOOKUP(A47,'Định mức'!$A$6:$J$57,9,0)</f>
        <v>0</v>
      </c>
      <c r="E47" s="234">
        <f ca="1">HLOOKUP(A47,'Tổng hợp ngoài giờ'!$D$12:$BB$47,VLOOKUP('Thẻ lương'!$B$2,'Tổng hợp ngoài giờ'!$A$15:$CM$36,90,0),0)</f>
        <v>0</v>
      </c>
      <c r="F47" s="187">
        <f>VLOOKUP(A47,'Định mức'!$A$6:$J$57,10,0)</f>
        <v>0</v>
      </c>
      <c r="G47" s="228">
        <f t="shared" ca="1" si="2"/>
        <v>0</v>
      </c>
      <c r="H47" s="188"/>
      <c r="I47" s="185" t="s">
        <v>45</v>
      </c>
      <c r="J47" s="186" t="s">
        <v>326</v>
      </c>
      <c r="K47" s="187" t="e">
        <f>HLOOKUP(I47,'Tổng hợp trong giờ'!$D$12:$BB$40,VLOOKUP('Thẻ lương'!$J$2,'Tổng hợp trong giờ'!$A$15:$CR$37,90,0),0)</f>
        <v>#VALUE!</v>
      </c>
      <c r="L47" s="187">
        <f>VLOOKUP(I47,'Định mức'!$A$6:$J$57,9,0)</f>
        <v>0</v>
      </c>
      <c r="M47" s="187" t="e">
        <f>HLOOKUP(I47,'Tổng hợp ngoài giờ'!$D$12:$BB$47,VLOOKUP('Thẻ lương'!$B$2,'Tổng hợp ngoài giờ'!$A$15:$CL$36,89,0),0)</f>
        <v>#VALUE!</v>
      </c>
      <c r="N47" s="187">
        <f>VLOOKUP(I47,'Định mức'!$A$6:$J$57,10,0)</f>
        <v>0</v>
      </c>
      <c r="O47" s="187" t="e">
        <f t="shared" si="0"/>
        <v>#VALUE!</v>
      </c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</row>
    <row r="48" spans="1:29" ht="32.25" customHeight="1" x14ac:dyDescent="0.25">
      <c r="A48" s="185" t="s">
        <v>46</v>
      </c>
      <c r="B48" s="186" t="s">
        <v>94</v>
      </c>
      <c r="C48" s="234">
        <f>HLOOKUP(A48,'Tổng hợp trong giờ'!$D$12:$BB$40,VLOOKUP('Thẻ lương'!$B$2,'Tổng hợp trong giờ'!$A$15:$CR$37,95,0),0)</f>
        <v>0</v>
      </c>
      <c r="D48" s="187">
        <f>VLOOKUP(A48,'Định mức'!$A$6:$J$57,9,0)</f>
        <v>1229.3642430628731</v>
      </c>
      <c r="E48" s="234">
        <f ca="1">HLOOKUP(A48,'Tổng hợp ngoài giờ'!$D$12:$BB$47,VLOOKUP('Thẻ lương'!$B$2,'Tổng hợp ngoài giờ'!$A$15:$CM$36,90,0),0)</f>
        <v>0</v>
      </c>
      <c r="F48" s="187">
        <f>VLOOKUP(A48,'Định mức'!$A$6:$J$57,10,0)</f>
        <v>1352.3006673691605</v>
      </c>
      <c r="G48" s="228">
        <f t="shared" ca="1" si="2"/>
        <v>0</v>
      </c>
      <c r="H48" s="188"/>
      <c r="I48" s="185" t="s">
        <v>46</v>
      </c>
      <c r="J48" s="186" t="s">
        <v>94</v>
      </c>
      <c r="K48" s="187" t="e">
        <f>HLOOKUP(I48,'Tổng hợp trong giờ'!$D$12:$BB$40,VLOOKUP('Thẻ lương'!$J$2,'Tổng hợp trong giờ'!$A$15:$CR$37,90,0),0)</f>
        <v>#VALUE!</v>
      </c>
      <c r="L48" s="187">
        <f>VLOOKUP(I48,'Định mức'!$A$6:$J$57,9,0)</f>
        <v>1229.3642430628731</v>
      </c>
      <c r="M48" s="187" t="e">
        <f>HLOOKUP(I48,'Tổng hợp ngoài giờ'!$D$12:$BB$47,VLOOKUP('Thẻ lương'!$B$2,'Tổng hợp ngoài giờ'!$A$15:$CL$36,89,0),0)</f>
        <v>#VALUE!</v>
      </c>
      <c r="N48" s="187">
        <f>VLOOKUP(I48,'Định mức'!$A$6:$J$57,10,0)</f>
        <v>1352.3006673691605</v>
      </c>
      <c r="O48" s="187" t="e">
        <f t="shared" si="0"/>
        <v>#VALUE!</v>
      </c>
    </row>
    <row r="49" spans="1:29" ht="13.5" customHeight="1" x14ac:dyDescent="0.25">
      <c r="A49" s="232" t="s">
        <v>47</v>
      </c>
      <c r="B49" s="279" t="s">
        <v>95</v>
      </c>
      <c r="C49" s="234">
        <f>HLOOKUP(A49,'Tổng hợp trong giờ'!$D$12:$BB$40,VLOOKUP('Thẻ lương'!$B$2,'Tổng hợp trong giờ'!$A$15:$CR$37,95,0),0)</f>
        <v>0</v>
      </c>
      <c r="D49" s="187">
        <f>VLOOKUP(A49,'Định mức'!$A$6:$J$57,9,0)</f>
        <v>383.08305240576158</v>
      </c>
      <c r="E49" s="234">
        <f ca="1">HLOOKUP(A49,'Tổng hợp ngoài giờ'!$D$12:$BB$47,VLOOKUP('Thẻ lương'!$B$2,'Tổng hợp ngoài giờ'!$A$15:$CM$36,90,0),0)</f>
        <v>0</v>
      </c>
      <c r="F49" s="187">
        <f>VLOOKUP(A49,'Định mức'!$A$6:$J$57,10,0)</f>
        <v>421.39135764633778</v>
      </c>
      <c r="G49" s="234">
        <f t="shared" ca="1" si="2"/>
        <v>0</v>
      </c>
      <c r="H49" s="188"/>
      <c r="I49" s="185" t="s">
        <v>47</v>
      </c>
      <c r="J49" s="186" t="s">
        <v>95</v>
      </c>
      <c r="K49" s="187" t="e">
        <f>HLOOKUP(I49,'Tổng hợp trong giờ'!$D$12:$BB$40,VLOOKUP('Thẻ lương'!$J$2,'Tổng hợp trong giờ'!$A$15:$CR$37,90,0),0)</f>
        <v>#VALUE!</v>
      </c>
      <c r="L49" s="187">
        <f>VLOOKUP(I49,'Định mức'!$A$6:$J$57,9,0)</f>
        <v>383.08305240576158</v>
      </c>
      <c r="M49" s="187" t="e">
        <f>HLOOKUP(I49,'Tổng hợp ngoài giờ'!$D$12:$BB$47,VLOOKUP('Thẻ lương'!$B$2,'Tổng hợp ngoài giờ'!$A$15:$CL$36,89,0),0)</f>
        <v>#VALUE!</v>
      </c>
      <c r="N49" s="187">
        <f>VLOOKUP(I49,'Định mức'!$A$6:$J$57,10,0)</f>
        <v>421.39135764633778</v>
      </c>
      <c r="O49" s="187" t="e">
        <f t="shared" si="0"/>
        <v>#VALUE!</v>
      </c>
    </row>
    <row r="50" spans="1:29" x14ac:dyDescent="0.25">
      <c r="A50" s="232" t="s">
        <v>48</v>
      </c>
      <c r="B50" s="255" t="s">
        <v>96</v>
      </c>
      <c r="C50" s="234">
        <f>HLOOKUP(A50,'Tổng hợp trong giờ'!$D$12:$BB$40,VLOOKUP('Thẻ lương'!$B$2,'Tổng hợp trong giờ'!$A$15:$CR$37,95,0),0)</f>
        <v>0</v>
      </c>
      <c r="D50" s="187">
        <f>VLOOKUP(A50,'Định mức'!$A$6:$J$57,9,0)</f>
        <v>316.74208144796381</v>
      </c>
      <c r="E50" s="234">
        <f ca="1">HLOOKUP(A50,'Tổng hợp ngoài giờ'!$D$12:$BB$47,VLOOKUP('Thẻ lương'!$B$2,'Tổng hợp ngoài giờ'!$A$15:$CM$36,90,0),0)</f>
        <v>0</v>
      </c>
      <c r="F50" s="187">
        <f>VLOOKUP(A50,'Định mức'!$A$6:$J$57,10,0)</f>
        <v>348.41628959276022</v>
      </c>
      <c r="G50" s="234">
        <f t="shared" ca="1" si="2"/>
        <v>0</v>
      </c>
      <c r="H50" s="188"/>
      <c r="I50" s="185" t="s">
        <v>48</v>
      </c>
      <c r="J50" s="186" t="s">
        <v>96</v>
      </c>
      <c r="K50" s="187" t="e">
        <f>HLOOKUP(I50,'Tổng hợp trong giờ'!$D$12:$BB$40,VLOOKUP('Thẻ lương'!$J$2,'Tổng hợp trong giờ'!$A$15:$CR$37,90,0),0)</f>
        <v>#VALUE!</v>
      </c>
      <c r="L50" s="187">
        <f>VLOOKUP(I50,'Định mức'!$A$6:$J$57,9,0)</f>
        <v>316.74208144796381</v>
      </c>
      <c r="M50" s="187" t="e">
        <f>HLOOKUP(I50,'Tổng hợp ngoài giờ'!$D$12:$BB$47,VLOOKUP('Thẻ lương'!$B$2,'Tổng hợp ngoài giờ'!$A$15:$CL$36,89,0),0)</f>
        <v>#VALUE!</v>
      </c>
      <c r="N50" s="187">
        <f>VLOOKUP(I50,'Định mức'!$A$6:$J$57,10,0)</f>
        <v>348.41628959276022</v>
      </c>
      <c r="O50" s="187" t="e">
        <f t="shared" si="0"/>
        <v>#VALUE!</v>
      </c>
    </row>
    <row r="51" spans="1:29" x14ac:dyDescent="0.25">
      <c r="A51" s="232" t="s">
        <v>398</v>
      </c>
      <c r="B51" s="263" t="s">
        <v>401</v>
      </c>
      <c r="C51" s="234">
        <f>HLOOKUP(A51,'Tổng hợp trong giờ'!$D$12:$BB$40,VLOOKUP('Thẻ lương'!$B$2,'Tổng hợp trong giờ'!$A$15:$CR$37,95,0),0)</f>
        <v>0</v>
      </c>
      <c r="D51" s="187">
        <f>VLOOKUP(A51,'Định mức'!$A$6:$J$57,9,0)</f>
        <v>1229.3642430628731</v>
      </c>
      <c r="E51" s="234">
        <f ca="1">HLOOKUP(A51,'Tổng hợp ngoài giờ'!$D$12:$BB$47,VLOOKUP('Thẻ lương'!$B$2,'Tổng hợp ngoài giờ'!$A$15:$CM$36,90,0),0)</f>
        <v>0</v>
      </c>
      <c r="F51" s="187">
        <f>VLOOKUP(A51,'Định mức'!$A$6:$J$57,10,0)</f>
        <v>1352.3006673691605</v>
      </c>
      <c r="G51" s="234">
        <f ca="1">C51*D51+E51*F51</f>
        <v>0</v>
      </c>
      <c r="H51" s="188"/>
      <c r="I51" s="185"/>
      <c r="J51" s="262"/>
      <c r="K51" s="187" t="e">
        <f>HLOOKUP(I51,'Tổng hợp trong giờ'!$D$12:$BB$40,VLOOKUP('Thẻ lương'!$J$2,'Tổng hợp trong giờ'!$A$15:$CR$37,90,0),0)</f>
        <v>#N/A</v>
      </c>
      <c r="L51" s="187"/>
      <c r="M51" s="187"/>
      <c r="N51" s="187"/>
      <c r="O51" s="187"/>
    </row>
    <row r="52" spans="1:29" s="197" customFormat="1" x14ac:dyDescent="0.25">
      <c r="A52" s="185" t="s">
        <v>49</v>
      </c>
      <c r="B52" s="186" t="s">
        <v>324</v>
      </c>
      <c r="C52" s="234">
        <f>HLOOKUP(A52,'Tổng hợp trong giờ'!$D$12:$BB$40,VLOOKUP('Thẻ lương'!$B$2,'Tổng hợp trong giờ'!$A$15:$CR$37,95,0),0)</f>
        <v>0</v>
      </c>
      <c r="D52" s="187">
        <f>VLOOKUP(A52,'Định mức'!$A$6:$J$57,9,0)</f>
        <v>0</v>
      </c>
      <c r="E52" s="234">
        <f ca="1">HLOOKUP(A52,'Tổng hợp ngoài giờ'!$D$12:$BB$47,VLOOKUP('Thẻ lương'!$B$2,'Tổng hợp ngoài giờ'!$A$15:$CM$36,90,0),0)</f>
        <v>0</v>
      </c>
      <c r="F52" s="187">
        <f>VLOOKUP(A52,'Định mức'!$A$6:$J$57,10,0)</f>
        <v>0</v>
      </c>
      <c r="G52" s="228">
        <f t="shared" ca="1" si="2"/>
        <v>0</v>
      </c>
      <c r="H52" s="188"/>
      <c r="I52" s="185" t="s">
        <v>49</v>
      </c>
      <c r="J52" s="186" t="s">
        <v>324</v>
      </c>
      <c r="K52" s="187" t="e">
        <f>HLOOKUP(I52,'Tổng hợp trong giờ'!$D$12:$BB$40,VLOOKUP('Thẻ lương'!$J$2,'Tổng hợp trong giờ'!$A$15:$CR$37,90,0),0)</f>
        <v>#VALUE!</v>
      </c>
      <c r="L52" s="187">
        <f>VLOOKUP(I52,'Định mức'!$A$6:$J$57,9,0)</f>
        <v>0</v>
      </c>
      <c r="M52" s="187" t="e">
        <f>HLOOKUP(I52,'Tổng hợp ngoài giờ'!$D$12:$BB$47,VLOOKUP('Thẻ lương'!$B$2,'Tổng hợp ngoài giờ'!$A$15:$CL$36,89,0),0)</f>
        <v>#VALUE!</v>
      </c>
      <c r="N52" s="187">
        <f>VLOOKUP(I52,'Định mức'!$A$6:$J$57,10,0)</f>
        <v>0</v>
      </c>
      <c r="O52" s="187" t="e">
        <f t="shared" si="0"/>
        <v>#VALUE!</v>
      </c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</row>
    <row r="53" spans="1:29" s="197" customFormat="1" x14ac:dyDescent="0.25">
      <c r="A53" s="185" t="s">
        <v>50</v>
      </c>
      <c r="B53" s="186" t="s">
        <v>325</v>
      </c>
      <c r="C53" s="234">
        <f>HLOOKUP(A53,'Tổng hợp trong giờ'!$D$12:$BB$40,VLOOKUP('Thẻ lương'!$B$2,'Tổng hợp trong giờ'!$A$15:$CR$37,95,0),0)</f>
        <v>0</v>
      </c>
      <c r="D53" s="187">
        <f>VLOOKUP(A53,'Định mức'!$A$6:$J$57,9,0)</f>
        <v>0</v>
      </c>
      <c r="E53" s="234">
        <f ca="1">HLOOKUP(A53,'Tổng hợp ngoài giờ'!$D$12:$BB$47,VLOOKUP('Thẻ lương'!$B$2,'Tổng hợp ngoài giờ'!$A$15:$CM$36,90,0),0)</f>
        <v>0</v>
      </c>
      <c r="F53" s="187">
        <f>VLOOKUP(A53,'Định mức'!$A$6:$J$57,10,0)</f>
        <v>0</v>
      </c>
      <c r="G53" s="228">
        <f t="shared" ca="1" si="2"/>
        <v>0</v>
      </c>
      <c r="H53" s="188"/>
      <c r="I53" s="185" t="s">
        <v>50</v>
      </c>
      <c r="J53" s="186" t="s">
        <v>325</v>
      </c>
      <c r="K53" s="187" t="e">
        <f>HLOOKUP(I53,'Tổng hợp trong giờ'!$D$12:$BB$40,VLOOKUP('Thẻ lương'!$J$2,'Tổng hợp trong giờ'!$A$15:$CR$37,90,0),0)</f>
        <v>#VALUE!</v>
      </c>
      <c r="L53" s="187">
        <f>VLOOKUP(I53,'Định mức'!$A$6:$J$57,9,0)</f>
        <v>0</v>
      </c>
      <c r="M53" s="187" t="e">
        <f>HLOOKUP(I53,'Tổng hợp ngoài giờ'!$D$12:$BB$47,VLOOKUP('Thẻ lương'!$B$2,'Tổng hợp ngoài giờ'!$A$15:$CL$36,89,0),0)</f>
        <v>#VALUE!</v>
      </c>
      <c r="N53" s="187">
        <f>VLOOKUP(I53,'Định mức'!$A$6:$J$57,10,0)</f>
        <v>0</v>
      </c>
      <c r="O53" s="187" t="e">
        <f t="shared" si="0"/>
        <v>#VALUE!</v>
      </c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</row>
    <row r="54" spans="1:29" x14ac:dyDescent="0.25">
      <c r="A54" s="185" t="s">
        <v>339</v>
      </c>
      <c r="B54" s="186" t="s">
        <v>99</v>
      </c>
      <c r="C54" s="234">
        <f>HLOOKUP(A54,'Tổng hợp trong giờ'!$D$12:$BB$40,VLOOKUP('Thẻ lương'!$B$2,'Tổng hợp trong giờ'!$A$15:$CR$37,95,0),0)</f>
        <v>0</v>
      </c>
      <c r="D54" s="187">
        <f>VLOOKUP(A54,'Định mức'!$A$6:$J$57,9,0)</f>
        <v>1229.3642430628731</v>
      </c>
      <c r="E54" s="234">
        <f ca="1">HLOOKUP(A54,'Tổng hợp ngoài giờ'!$D$12:$BB$47,VLOOKUP('Thẻ lương'!$B$2,'Tổng hợp ngoài giờ'!$A$15:$CM$36,90,0),0)</f>
        <v>0</v>
      </c>
      <c r="F54" s="187">
        <f>VLOOKUP(A54,'Định mức'!$A$6:$J$57,10,0)</f>
        <v>1352.3006673691605</v>
      </c>
      <c r="G54" s="228">
        <f t="shared" ca="1" si="2"/>
        <v>0</v>
      </c>
      <c r="H54" s="188"/>
      <c r="I54" s="185" t="s">
        <v>339</v>
      </c>
      <c r="J54" s="186" t="s">
        <v>99</v>
      </c>
      <c r="K54" s="187" t="e">
        <f>HLOOKUP(I54,'Tổng hợp trong giờ'!$D$12:$BB$40,VLOOKUP('Thẻ lương'!$J$2,'Tổng hợp trong giờ'!$A$15:$CR$37,90,0),0)</f>
        <v>#VALUE!</v>
      </c>
      <c r="L54" s="187">
        <f>VLOOKUP(I54,'Định mức'!$A$6:$J$57,9,0)</f>
        <v>1229.3642430628731</v>
      </c>
      <c r="M54" s="187" t="e">
        <f>HLOOKUP(I54,'Tổng hợp ngoài giờ'!$D$12:$BB$47,VLOOKUP('Thẻ lương'!$B$2,'Tổng hợp ngoài giờ'!$A$15:$CL$36,89,0),0)</f>
        <v>#VALUE!</v>
      </c>
      <c r="N54" s="187">
        <f>VLOOKUP(I54,'Định mức'!$A$6:$J$57,10,0)</f>
        <v>1352.3006673691605</v>
      </c>
      <c r="O54" s="187" t="e">
        <f t="shared" si="0"/>
        <v>#VALUE!</v>
      </c>
    </row>
    <row r="55" spans="1:29" x14ac:dyDescent="0.25">
      <c r="A55" s="185" t="s">
        <v>340</v>
      </c>
      <c r="B55" s="186" t="s">
        <v>100</v>
      </c>
      <c r="C55" s="234">
        <f>HLOOKUP(A55,'Tổng hợp trong giờ'!$D$12:$BB$40,VLOOKUP('Thẻ lương'!$B$2,'Tổng hợp trong giờ'!$A$15:$CR$37,95,0),0)</f>
        <v>0</v>
      </c>
      <c r="D55" s="187">
        <f>VLOOKUP(A55,'Định mức'!$A$6:$J$57,9,0)</f>
        <v>1593.0814747382797</v>
      </c>
      <c r="E55" s="234">
        <f ca="1">HLOOKUP(A55,'Tổng hợp ngoài giờ'!$D$12:$BB$47,VLOOKUP('Thẻ lương'!$B$2,'Tổng hợp ngoài giờ'!$A$15:$CM$36,90,0),0)</f>
        <v>0</v>
      </c>
      <c r="F55" s="187">
        <f>VLOOKUP(A55,'Định mức'!$A$6:$J$57,10,0)</f>
        <v>1752.3896222121077</v>
      </c>
      <c r="G55" s="228">
        <f t="shared" ca="1" si="2"/>
        <v>0</v>
      </c>
      <c r="H55" s="188"/>
      <c r="I55" s="185" t="s">
        <v>340</v>
      </c>
      <c r="J55" s="186" t="s">
        <v>100</v>
      </c>
      <c r="K55" s="187" t="e">
        <f>HLOOKUP(I55,'Tổng hợp trong giờ'!$D$12:$BB$40,VLOOKUP('Thẻ lương'!$J$2,'Tổng hợp trong giờ'!$A$15:$CR$37,90,0),0)</f>
        <v>#VALUE!</v>
      </c>
      <c r="L55" s="187">
        <f>VLOOKUP(I55,'Định mức'!$A$6:$J$57,9,0)</f>
        <v>1593.0814747382797</v>
      </c>
      <c r="M55" s="187" t="e">
        <f>HLOOKUP(I55,'Tổng hợp ngoài giờ'!$D$12:$BB$47,VLOOKUP('Thẻ lương'!$B$2,'Tổng hợp ngoài giờ'!$A$15:$CL$36,89,0),0)</f>
        <v>#VALUE!</v>
      </c>
      <c r="N55" s="187">
        <f>VLOOKUP(I55,'Định mức'!$A$6:$J$57,10,0)</f>
        <v>1752.3896222121077</v>
      </c>
      <c r="O55" s="187" t="e">
        <f t="shared" si="0"/>
        <v>#VALUE!</v>
      </c>
    </row>
    <row r="56" spans="1:29" ht="13.5" customHeight="1" x14ac:dyDescent="0.25">
      <c r="A56" s="539" t="s">
        <v>377</v>
      </c>
      <c r="B56" s="539"/>
      <c r="C56" s="234">
        <f>VLOOKUP(B2,'Tổng hợp trong giờ'!$A$15:$BD$40,56,0)</f>
        <v>0</v>
      </c>
      <c r="D56" s="187">
        <v>11200</v>
      </c>
      <c r="E56" s="238">
        <f>VLOOKUP(B2,'Tổng hợp ngoài giờ'!$A$15:$BD$36,56,0)</f>
        <v>0</v>
      </c>
      <c r="F56" s="187">
        <f>D56*1.1</f>
        <v>12320.000000000002</v>
      </c>
      <c r="G56" s="234">
        <f>C56*D56+E56*F56</f>
        <v>0</v>
      </c>
      <c r="H56" s="188"/>
      <c r="I56" s="537" t="s">
        <v>377</v>
      </c>
      <c r="J56" s="537"/>
      <c r="K56" s="187" t="e">
        <f>HLOOKUP(I56,'Tổng hợp trong giờ'!$D$12:$BB$40,VLOOKUP('Thẻ lương'!$J$2,'Tổng hợp trong giờ'!$A$15:$CR$37,90,0),0)</f>
        <v>#N/A</v>
      </c>
      <c r="L56" s="187">
        <v>11200</v>
      </c>
      <c r="M56" s="187">
        <f>VLOOKUP(B2,'Tổng hợp ngoài giờ'!$A$15:$BD$36,55,0)</f>
        <v>0</v>
      </c>
      <c r="N56" s="187">
        <f>L56*1.1</f>
        <v>12320.000000000002</v>
      </c>
      <c r="O56" s="187" t="e">
        <f t="shared" si="0"/>
        <v>#N/A</v>
      </c>
      <c r="AC56" s="197"/>
    </row>
    <row r="57" spans="1:29" ht="13.5" customHeight="1" x14ac:dyDescent="0.25">
      <c r="A57" s="539" t="s">
        <v>317</v>
      </c>
      <c r="B57" s="539"/>
      <c r="C57" s="234">
        <f>VLOOKUP(B2,'Tổng hợp trong giờ'!$A$15:$BV$40,73,0)</f>
        <v>60</v>
      </c>
      <c r="D57" s="187">
        <f>7000000/26/7.3</f>
        <v>36880.927291886197</v>
      </c>
      <c r="E57" s="234">
        <f ca="1">VLOOKUP(B2,'Tổng hợp ngoài giờ'!$A$15:$BV$36,73,0)</f>
        <v>6</v>
      </c>
      <c r="F57" s="187">
        <f>D57*1.1</f>
        <v>40569.020021074823</v>
      </c>
      <c r="G57" s="234">
        <f ca="1">C57*D57+E57*F57</f>
        <v>2456269.7576396209</v>
      </c>
      <c r="H57" s="188"/>
      <c r="I57" s="537" t="s">
        <v>317</v>
      </c>
      <c r="J57" s="537"/>
      <c r="K57" s="187">
        <f>VLOOKUP(B2,'Tổng hợp trong giờ'!$A$15:$BV$34,72,0)</f>
        <v>0</v>
      </c>
      <c r="L57" s="187">
        <f>7000000/26/7.3</f>
        <v>36880.927291886197</v>
      </c>
      <c r="M57" s="187">
        <f ca="1">VLOOKUP(B2,'Tổng hợp ngoài giờ'!$A$15:$BV$36,72,0)</f>
        <v>0</v>
      </c>
      <c r="N57" s="187">
        <f>L57*1.1</f>
        <v>40569.020021074823</v>
      </c>
      <c r="O57" s="187">
        <f t="shared" ca="1" si="0"/>
        <v>0</v>
      </c>
      <c r="AC57" s="197"/>
    </row>
    <row r="58" spans="1:29" ht="13.5" customHeight="1" x14ac:dyDescent="0.25">
      <c r="A58" s="536" t="s">
        <v>156</v>
      </c>
      <c r="B58" s="536"/>
      <c r="C58" s="234"/>
      <c r="D58" s="187"/>
      <c r="E58" s="234"/>
      <c r="F58" s="187"/>
      <c r="G58" s="239">
        <f ca="1">SUBTOTAL(9,G5:G57)</f>
        <v>11692646.527699662</v>
      </c>
      <c r="H58" s="203"/>
      <c r="I58" s="538" t="s">
        <v>156</v>
      </c>
      <c r="J58" s="538"/>
      <c r="K58" s="187"/>
      <c r="L58" s="187"/>
      <c r="M58" s="187"/>
      <c r="N58" s="187"/>
      <c r="O58" s="199" t="e">
        <f>SUBTOTAL(9,O5:O57)</f>
        <v>#VALUE!</v>
      </c>
      <c r="R58" s="177">
        <f>45*22000</f>
        <v>990000</v>
      </c>
      <c r="AC58" s="197"/>
    </row>
    <row r="59" spans="1:29" ht="14.25" customHeight="1" x14ac:dyDescent="0.25">
      <c r="A59" s="236" t="s">
        <v>380</v>
      </c>
      <c r="B59" s="237"/>
      <c r="C59" s="230"/>
      <c r="D59" s="188"/>
      <c r="E59" s="237"/>
      <c r="F59" s="188"/>
      <c r="G59" s="237">
        <f>VLOOKUP($B$2,' Bang luong'!$A$10:$AG$60,15,0)</f>
        <v>0</v>
      </c>
      <c r="H59" s="188"/>
      <c r="I59" s="204" t="s">
        <v>380</v>
      </c>
      <c r="J59" s="188"/>
      <c r="K59" s="188"/>
      <c r="O59" s="188">
        <f>VLOOKUP($B$2,' Bang luong'!$A$10:$AG$60,15,0)</f>
        <v>0</v>
      </c>
      <c r="X59" s="197"/>
      <c r="Y59" s="197"/>
      <c r="Z59" s="197"/>
      <c r="AA59" s="197"/>
      <c r="AB59" s="197"/>
    </row>
    <row r="60" spans="1:29" ht="12" customHeight="1" x14ac:dyDescent="0.25">
      <c r="A60" s="236" t="s">
        <v>347</v>
      </c>
      <c r="B60" s="237"/>
      <c r="C60" s="230"/>
      <c r="D60" s="188"/>
      <c r="E60" s="237"/>
      <c r="F60" s="188"/>
      <c r="G60" s="237">
        <f>VLOOKUP($B$2,' Bang luong'!$A$10:$AG$60,17,0)</f>
        <v>22000</v>
      </c>
      <c r="H60" s="188"/>
      <c r="I60" s="204" t="s">
        <v>347</v>
      </c>
      <c r="J60" s="188"/>
      <c r="K60" s="188"/>
      <c r="O60" s="188">
        <f>VLOOKUP($B$2,' Bang luong'!$A$10:$AG$60,17,0)</f>
        <v>22000</v>
      </c>
    </row>
    <row r="61" spans="1:29" ht="14.25" customHeight="1" x14ac:dyDescent="0.25">
      <c r="A61" s="240" t="s">
        <v>157</v>
      </c>
      <c r="B61" s="241"/>
      <c r="C61" s="230"/>
      <c r="D61" s="179"/>
      <c r="E61" s="241"/>
      <c r="F61" s="179"/>
      <c r="G61" s="237">
        <f>VLOOKUP($B$2,' Bang luong'!$A$10:$AG$60,32,0)</f>
        <v>480585</v>
      </c>
      <c r="H61" s="179"/>
      <c r="I61" s="205" t="s">
        <v>157</v>
      </c>
      <c r="J61" s="179"/>
      <c r="O61" s="188">
        <f>VLOOKUP($B$2,' Bang luong'!$A$10:$AG$60,32,0)</f>
        <v>480585</v>
      </c>
      <c r="R61" s="177">
        <f>900000+510000</f>
        <v>1410000</v>
      </c>
    </row>
    <row r="62" spans="1:29" ht="14.25" customHeight="1" x14ac:dyDescent="0.25">
      <c r="A62" s="236" t="s">
        <v>319</v>
      </c>
      <c r="B62" s="241"/>
      <c r="C62" s="230"/>
      <c r="D62" s="179"/>
      <c r="E62" s="241"/>
      <c r="F62" s="179"/>
      <c r="G62" s="237">
        <f>VLOOKUP(B2,' Bang luong'!$A$13:$AG$36,26,0)</f>
        <v>4000000</v>
      </c>
      <c r="H62" s="179"/>
      <c r="I62" s="204" t="s">
        <v>319</v>
      </c>
      <c r="J62" s="179"/>
      <c r="O62" s="188">
        <f>VLOOKUP($B$2,' Bang luong'!$A$10:$AG$60,26,0)</f>
        <v>4000000</v>
      </c>
    </row>
    <row r="63" spans="1:29" ht="19.5" customHeight="1" x14ac:dyDescent="0.25">
      <c r="A63" s="236" t="s">
        <v>430</v>
      </c>
      <c r="B63" s="241"/>
      <c r="C63" s="230"/>
      <c r="D63" s="179"/>
      <c r="E63" s="241"/>
      <c r="F63" s="179"/>
      <c r="G63" s="237">
        <f>VLOOKUP(B2,' Bang luong'!$A$13:$AG$36,27,0)</f>
        <v>0</v>
      </c>
      <c r="H63" s="179"/>
      <c r="I63" s="204" t="s">
        <v>386</v>
      </c>
      <c r="J63" s="179"/>
      <c r="O63" s="188">
        <f>VLOOKUP($B$2,' Bang luong'!$A$10:$AG$60,27,0)</f>
        <v>0</v>
      </c>
      <c r="X63" s="197"/>
      <c r="Y63" s="197"/>
      <c r="Z63" s="197"/>
      <c r="AA63" s="197"/>
      <c r="AB63" s="197"/>
    </row>
    <row r="64" spans="1:29" ht="14.25" customHeight="1" x14ac:dyDescent="0.25">
      <c r="A64" s="242" t="s">
        <v>159</v>
      </c>
      <c r="B64" s="243"/>
      <c r="C64" s="243"/>
      <c r="D64" s="179"/>
      <c r="E64" s="230"/>
      <c r="G64" s="243">
        <f ca="1">ROUND(G58+G59+G60-G61-G62+G63,-4)</f>
        <v>7230000</v>
      </c>
      <c r="H64" s="192"/>
      <c r="I64" s="206" t="s">
        <v>159</v>
      </c>
      <c r="J64" s="192"/>
      <c r="K64" s="192"/>
      <c r="O64" s="192" t="e">
        <f>ROUND(O58+O59+O60-O61-O62+O63,-4)</f>
        <v>#VALUE!</v>
      </c>
      <c r="R64" s="177">
        <f>+R61-R58</f>
        <v>420000</v>
      </c>
      <c r="X64" s="197"/>
      <c r="Y64" s="197"/>
      <c r="Z64" s="197"/>
      <c r="AA64" s="197"/>
      <c r="AB64" s="197"/>
    </row>
    <row r="65" spans="1:28" ht="14.25" customHeight="1" x14ac:dyDescent="0.25">
      <c r="A65" s="229"/>
      <c r="B65" s="230"/>
      <c r="C65" s="241"/>
      <c r="D65" s="179"/>
      <c r="E65" s="241" t="s">
        <v>334</v>
      </c>
      <c r="F65" s="179"/>
      <c r="G65" s="241"/>
      <c r="H65" s="179"/>
      <c r="J65" s="179"/>
      <c r="N65" s="179" t="s">
        <v>334</v>
      </c>
      <c r="X65" s="197"/>
      <c r="Y65" s="197"/>
      <c r="Z65" s="197"/>
      <c r="AA65" s="197"/>
      <c r="AB65" s="197"/>
    </row>
    <row r="66" spans="1:28" x14ac:dyDescent="0.25">
      <c r="X66" s="197"/>
      <c r="Y66" s="197"/>
      <c r="Z66" s="197"/>
      <c r="AA66" s="197"/>
      <c r="AB66" s="197"/>
    </row>
    <row r="72" spans="1:28" x14ac:dyDescent="0.25">
      <c r="G72" s="202"/>
    </row>
  </sheetData>
  <autoFilter ref="G1:G72"/>
  <mergeCells count="15">
    <mergeCell ref="A58:B58"/>
    <mergeCell ref="I57:J57"/>
    <mergeCell ref="I58:J58"/>
    <mergeCell ref="A56:B56"/>
    <mergeCell ref="I56:J56"/>
    <mergeCell ref="A57:B57"/>
    <mergeCell ref="A1:G1"/>
    <mergeCell ref="I1:O1"/>
    <mergeCell ref="R5:V5"/>
    <mergeCell ref="X5:AB5"/>
    <mergeCell ref="X22:AB22"/>
    <mergeCell ref="R22:V22"/>
    <mergeCell ref="R9:S9"/>
    <mergeCell ref="R15:S15"/>
    <mergeCell ref="R13:S13"/>
  </mergeCells>
  <pageMargins left="0.98425196850393704" right="0.59055118110236204" top="0" bottom="0" header="0.31496062992126" footer="0.31496062992126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'Mã NV'!$A$2:$A$11</xm:f>
          </x14:formula1>
          <xm:sqref>J2</xm:sqref>
        </x14:dataValidation>
        <x14:dataValidation type="list" allowBlank="1" showInputMessage="1" showErrorMessage="1">
          <x14:formula1>
            <xm:f>'Mã NV'!$A$2:$A$67</xm:f>
          </x14:formula1>
          <xm:sqref>B2</xm:sqref>
        </x14:dataValidation>
        <x14:dataValidation type="list" allowBlank="1" showInputMessage="1" showErrorMessage="1">
          <x14:formula1>
            <xm:f>'Mã NV'!$A$2:$A$67</xm:f>
          </x14:formula1>
          <xm:sqref>S6</xm:sqref>
        </x14:dataValidation>
        <x14:dataValidation type="list" allowBlank="1" showInputMessage="1" showErrorMessage="1">
          <x14:formula1>
            <xm:f>'Mã NV'!$A$2:$A$67</xm:f>
          </x14:formula1>
          <xm:sqref>S23</xm:sqref>
        </x14:dataValidation>
        <x14:dataValidation type="list" allowBlank="1" showInputMessage="1" showErrorMessage="1">
          <x14:formula1>
            <xm:f>'Mã NV'!$A$2:$A$67</xm:f>
          </x14:formula1>
          <xm:sqref>Y6</xm:sqref>
        </x14:dataValidation>
        <x14:dataValidation type="list" allowBlank="1" showInputMessage="1" showErrorMessage="1">
          <x14:formula1>
            <xm:f>'Mã NV'!$A$2:$A$67</xm:f>
          </x14:formula1>
          <xm:sqref>Y23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6"/>
  <sheetViews>
    <sheetView zoomScale="85" zoomScaleNormal="85" workbookViewId="0">
      <pane xSplit="2" ySplit="4" topLeftCell="AM8" activePane="bottomRight" state="frozen"/>
      <selection pane="topRight" activeCell="E1" sqref="E1"/>
      <selection pane="bottomLeft" activeCell="A5" sqref="A5"/>
      <selection pane="bottomRight" activeCell="BE12" sqref="BE12:BP12"/>
    </sheetView>
  </sheetViews>
  <sheetFormatPr defaultColWidth="9.28515625" defaultRowHeight="15.75" x14ac:dyDescent="0.25"/>
  <cols>
    <col min="1" max="1" width="7.28515625" style="105" customWidth="1"/>
    <col min="2" max="2" width="20.140625" style="105" customWidth="1"/>
    <col min="3" max="3" width="5.140625" style="450" customWidth="1"/>
    <col min="4" max="4" width="5.140625" style="457" customWidth="1"/>
    <col min="5" max="7" width="5.140625" style="450" customWidth="1"/>
    <col min="8" max="8" width="5.140625" style="450" hidden="1" customWidth="1"/>
    <col min="9" max="26" width="5.140625" style="450" customWidth="1"/>
    <col min="27" max="28" width="5.140625" style="457" customWidth="1"/>
    <col min="29" max="33" width="5.140625" style="450" customWidth="1"/>
    <col min="34" max="34" width="8.42578125" style="130" customWidth="1"/>
    <col min="35" max="35" width="7" style="130" customWidth="1"/>
    <col min="36" max="36" width="5.5703125" style="130" customWidth="1"/>
    <col min="37" max="37" width="7.28515625" style="130" customWidth="1"/>
    <col min="38" max="42" width="5.140625" style="92" customWidth="1"/>
    <col min="43" max="43" width="5.140625" style="92" hidden="1" customWidth="1"/>
    <col min="44" max="45" width="5.140625" style="92" customWidth="1"/>
    <col min="46" max="52" width="5.140625" style="94" customWidth="1"/>
    <col min="53" max="53" width="8.140625" style="94" customWidth="1"/>
    <col min="54" max="54" width="5.140625" style="92" customWidth="1"/>
    <col min="55" max="57" width="5.140625" style="94" customWidth="1"/>
    <col min="58" max="58" width="5.140625" style="92" customWidth="1"/>
    <col min="59" max="59" width="5.140625" style="94" customWidth="1"/>
    <col min="60" max="68" width="5.140625" style="92" customWidth="1"/>
    <col min="69" max="69" width="9.28515625" style="92" customWidth="1"/>
    <col min="70" max="70" width="7.5703125" style="102" customWidth="1"/>
    <col min="71" max="71" width="8.28515625" style="92" customWidth="1"/>
    <col min="72" max="16384" width="9.28515625" style="92"/>
  </cols>
  <sheetData>
    <row r="1" spans="1:74" ht="24.75" customHeight="1" x14ac:dyDescent="0.25">
      <c r="B1" s="543" t="s">
        <v>433</v>
      </c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4" t="s">
        <v>431</v>
      </c>
      <c r="AL1" s="545"/>
      <c r="AM1" s="545"/>
      <c r="AN1" s="545"/>
      <c r="AO1" s="545"/>
      <c r="AP1" s="545"/>
      <c r="AQ1" s="545"/>
      <c r="AR1" s="545"/>
      <c r="AS1" s="545"/>
      <c r="AT1" s="545"/>
      <c r="AU1" s="545"/>
      <c r="AV1" s="545"/>
      <c r="AW1" s="545"/>
      <c r="AX1" s="545"/>
      <c r="AY1" s="545"/>
      <c r="AZ1" s="545"/>
      <c r="BA1" s="545"/>
      <c r="BB1" s="545"/>
      <c r="BC1" s="545"/>
      <c r="BD1" s="545"/>
      <c r="BE1" s="545"/>
      <c r="BF1" s="545"/>
      <c r="BG1" s="545"/>
      <c r="BH1" s="545"/>
      <c r="BI1" s="545"/>
      <c r="BJ1" s="545"/>
      <c r="BK1" s="545"/>
      <c r="BL1" s="545"/>
      <c r="BM1" s="545"/>
      <c r="BN1" s="545"/>
      <c r="BO1" s="545"/>
      <c r="BP1" s="545"/>
      <c r="BQ1" s="546"/>
    </row>
    <row r="2" spans="1:74" ht="24" customHeight="1" x14ac:dyDescent="0.25">
      <c r="C2" s="450">
        <v>26</v>
      </c>
      <c r="D2" s="450">
        <v>27</v>
      </c>
      <c r="E2" s="450">
        <v>28</v>
      </c>
      <c r="F2" s="450">
        <v>29</v>
      </c>
      <c r="G2" s="450">
        <v>30</v>
      </c>
      <c r="H2" s="450">
        <v>31</v>
      </c>
      <c r="I2" s="450">
        <v>1</v>
      </c>
      <c r="J2" s="450">
        <v>2</v>
      </c>
      <c r="K2" s="450">
        <v>3</v>
      </c>
      <c r="L2" s="450">
        <v>4</v>
      </c>
      <c r="M2" s="450">
        <v>5</v>
      </c>
      <c r="N2" s="450">
        <v>6</v>
      </c>
      <c r="O2" s="450">
        <v>7</v>
      </c>
      <c r="P2" s="450">
        <v>8</v>
      </c>
      <c r="Q2" s="450">
        <v>9</v>
      </c>
      <c r="R2" s="450">
        <v>10</v>
      </c>
      <c r="S2" s="450">
        <v>11</v>
      </c>
      <c r="T2" s="450">
        <v>12</v>
      </c>
      <c r="U2" s="450">
        <v>13</v>
      </c>
      <c r="V2" s="450">
        <v>14</v>
      </c>
      <c r="W2" s="450">
        <v>15</v>
      </c>
      <c r="X2" s="450">
        <v>16</v>
      </c>
      <c r="Y2" s="450">
        <v>17</v>
      </c>
      <c r="Z2" s="450">
        <v>18</v>
      </c>
      <c r="AA2" s="450">
        <v>19</v>
      </c>
      <c r="AB2" s="450">
        <v>20</v>
      </c>
      <c r="AC2" s="450">
        <v>21</v>
      </c>
      <c r="AD2" s="450">
        <v>22</v>
      </c>
      <c r="AE2" s="450">
        <v>23</v>
      </c>
      <c r="AF2" s="450">
        <v>24</v>
      </c>
      <c r="AG2" s="450">
        <v>25</v>
      </c>
      <c r="AL2" s="92">
        <f t="shared" ref="AL2:BP2" si="0">C2</f>
        <v>26</v>
      </c>
      <c r="AM2" s="92">
        <f t="shared" si="0"/>
        <v>27</v>
      </c>
      <c r="AN2" s="92">
        <f t="shared" si="0"/>
        <v>28</v>
      </c>
      <c r="AO2" s="92">
        <f t="shared" si="0"/>
        <v>29</v>
      </c>
      <c r="AP2" s="92">
        <f t="shared" si="0"/>
        <v>30</v>
      </c>
      <c r="AQ2" s="92">
        <f t="shared" si="0"/>
        <v>31</v>
      </c>
      <c r="AR2" s="92">
        <f t="shared" si="0"/>
        <v>1</v>
      </c>
      <c r="AS2" s="92">
        <f t="shared" si="0"/>
        <v>2</v>
      </c>
      <c r="AT2" s="92">
        <f t="shared" si="0"/>
        <v>3</v>
      </c>
      <c r="AU2" s="92">
        <f t="shared" si="0"/>
        <v>4</v>
      </c>
      <c r="AV2" s="92">
        <f t="shared" si="0"/>
        <v>5</v>
      </c>
      <c r="AW2" s="92">
        <f t="shared" si="0"/>
        <v>6</v>
      </c>
      <c r="AX2" s="92">
        <f t="shared" si="0"/>
        <v>7</v>
      </c>
      <c r="AY2" s="92">
        <f t="shared" si="0"/>
        <v>8</v>
      </c>
      <c r="AZ2" s="92">
        <f t="shared" si="0"/>
        <v>9</v>
      </c>
      <c r="BA2" s="92">
        <f t="shared" si="0"/>
        <v>10</v>
      </c>
      <c r="BB2" s="92">
        <f t="shared" si="0"/>
        <v>11</v>
      </c>
      <c r="BC2" s="92">
        <f t="shared" si="0"/>
        <v>12</v>
      </c>
      <c r="BD2" s="92">
        <f t="shared" si="0"/>
        <v>13</v>
      </c>
      <c r="BE2" s="92">
        <f t="shared" si="0"/>
        <v>14</v>
      </c>
      <c r="BF2" s="92">
        <f t="shared" si="0"/>
        <v>15</v>
      </c>
      <c r="BG2" s="92">
        <f t="shared" si="0"/>
        <v>16</v>
      </c>
      <c r="BH2" s="92">
        <f t="shared" si="0"/>
        <v>17</v>
      </c>
      <c r="BI2" s="92">
        <f t="shared" si="0"/>
        <v>18</v>
      </c>
      <c r="BJ2" s="92">
        <f t="shared" si="0"/>
        <v>19</v>
      </c>
      <c r="BK2" s="92">
        <f t="shared" si="0"/>
        <v>20</v>
      </c>
      <c r="BL2" s="92">
        <f t="shared" si="0"/>
        <v>21</v>
      </c>
      <c r="BM2" s="92">
        <f t="shared" si="0"/>
        <v>22</v>
      </c>
      <c r="BN2" s="92">
        <f t="shared" si="0"/>
        <v>23</v>
      </c>
      <c r="BO2" s="92">
        <f t="shared" si="0"/>
        <v>24</v>
      </c>
      <c r="BP2" s="92">
        <f t="shared" si="0"/>
        <v>25</v>
      </c>
      <c r="BR2" s="92"/>
      <c r="BS2" s="92">
        <v>3</v>
      </c>
    </row>
    <row r="3" spans="1:74" ht="15" customHeight="1" x14ac:dyDescent="0.25">
      <c r="A3" s="464"/>
      <c r="B3" s="459"/>
      <c r="C3" s="550" t="s">
        <v>291</v>
      </c>
      <c r="D3" s="551"/>
      <c r="E3" s="551"/>
      <c r="F3" s="551"/>
      <c r="G3" s="551"/>
      <c r="H3" s="551"/>
      <c r="I3" s="551"/>
      <c r="J3" s="551"/>
      <c r="K3" s="551"/>
      <c r="L3" s="551"/>
      <c r="M3" s="551"/>
      <c r="N3" s="551"/>
      <c r="O3" s="551"/>
      <c r="P3" s="551"/>
      <c r="Q3" s="551"/>
      <c r="R3" s="551"/>
      <c r="S3" s="551"/>
      <c r="T3" s="551"/>
      <c r="U3" s="551"/>
      <c r="V3" s="551"/>
      <c r="W3" s="551"/>
      <c r="X3" s="551"/>
      <c r="Y3" s="551"/>
      <c r="Z3" s="551"/>
      <c r="AA3" s="551"/>
      <c r="AB3" s="551"/>
      <c r="AC3" s="551"/>
      <c r="AD3" s="551"/>
      <c r="AE3" s="551"/>
      <c r="AF3" s="551"/>
      <c r="AG3" s="552"/>
      <c r="AH3" s="172" t="s">
        <v>292</v>
      </c>
      <c r="AI3" s="173"/>
      <c r="AJ3" s="170" t="s">
        <v>293</v>
      </c>
      <c r="AK3" s="171"/>
      <c r="AL3" s="555" t="s">
        <v>294</v>
      </c>
      <c r="AM3" s="556"/>
      <c r="AN3" s="556"/>
      <c r="AO3" s="556"/>
      <c r="AP3" s="556"/>
      <c r="AQ3" s="556"/>
      <c r="AR3" s="556"/>
      <c r="AS3" s="556"/>
      <c r="AT3" s="556"/>
      <c r="AU3" s="556"/>
      <c r="AV3" s="556"/>
      <c r="AW3" s="556"/>
      <c r="AX3" s="556"/>
      <c r="AY3" s="556"/>
      <c r="AZ3" s="556"/>
      <c r="BA3" s="556"/>
      <c r="BB3" s="556"/>
      <c r="BC3" s="556"/>
      <c r="BD3" s="556"/>
      <c r="BE3" s="556"/>
      <c r="BF3" s="556"/>
      <c r="BG3" s="556"/>
      <c r="BH3" s="556"/>
      <c r="BI3" s="556"/>
      <c r="BJ3" s="556"/>
      <c r="BK3" s="556"/>
      <c r="BL3" s="556"/>
      <c r="BM3" s="556"/>
      <c r="BN3" s="556"/>
      <c r="BO3" s="556"/>
      <c r="BP3" s="557"/>
      <c r="BQ3" s="553" t="s">
        <v>295</v>
      </c>
      <c r="BR3" s="554"/>
      <c r="BS3" s="541" t="s">
        <v>348</v>
      </c>
    </row>
    <row r="4" spans="1:74" s="102" customFormat="1" ht="30" customHeight="1" x14ac:dyDescent="0.25">
      <c r="A4" s="465"/>
      <c r="B4" s="460" t="s">
        <v>296</v>
      </c>
      <c r="C4" s="451">
        <v>5</v>
      </c>
      <c r="D4" s="451">
        <v>6</v>
      </c>
      <c r="E4" s="451">
        <v>7</v>
      </c>
      <c r="F4" s="451" t="s">
        <v>297</v>
      </c>
      <c r="G4" s="451">
        <v>2</v>
      </c>
      <c r="H4" s="451"/>
      <c r="I4" s="451">
        <v>3</v>
      </c>
      <c r="J4" s="451">
        <v>4</v>
      </c>
      <c r="K4" s="451">
        <v>5</v>
      </c>
      <c r="L4" s="451">
        <v>6</v>
      </c>
      <c r="M4" s="451">
        <v>7</v>
      </c>
      <c r="N4" s="451" t="s">
        <v>297</v>
      </c>
      <c r="O4" s="451">
        <v>2</v>
      </c>
      <c r="P4" s="451">
        <v>3</v>
      </c>
      <c r="Q4" s="451">
        <v>4</v>
      </c>
      <c r="R4" s="451">
        <v>5</v>
      </c>
      <c r="S4" s="451">
        <v>6</v>
      </c>
      <c r="T4" s="451">
        <v>7</v>
      </c>
      <c r="U4" s="451" t="s">
        <v>297</v>
      </c>
      <c r="V4" s="451">
        <v>2</v>
      </c>
      <c r="W4" s="451">
        <v>3</v>
      </c>
      <c r="X4" s="451">
        <v>4</v>
      </c>
      <c r="Y4" s="451">
        <v>5</v>
      </c>
      <c r="Z4" s="451">
        <v>6</v>
      </c>
      <c r="AA4" s="451">
        <v>7</v>
      </c>
      <c r="AB4" s="451" t="s">
        <v>297</v>
      </c>
      <c r="AC4" s="451">
        <v>2</v>
      </c>
      <c r="AD4" s="451">
        <v>3</v>
      </c>
      <c r="AE4" s="451">
        <v>4</v>
      </c>
      <c r="AF4" s="451">
        <v>5</v>
      </c>
      <c r="AG4" s="451">
        <v>6</v>
      </c>
      <c r="AH4" s="320" t="s">
        <v>298</v>
      </c>
      <c r="AI4" s="321" t="s">
        <v>299</v>
      </c>
      <c r="AJ4" s="321" t="s">
        <v>300</v>
      </c>
      <c r="AK4" s="321" t="s">
        <v>299</v>
      </c>
      <c r="AL4" s="322">
        <f t="shared" ref="AL4:BP4" si="1">C4</f>
        <v>5</v>
      </c>
      <c r="AM4" s="322">
        <f t="shared" si="1"/>
        <v>6</v>
      </c>
      <c r="AN4" s="322">
        <f t="shared" si="1"/>
        <v>7</v>
      </c>
      <c r="AO4" s="322" t="str">
        <f t="shared" si="1"/>
        <v>CN</v>
      </c>
      <c r="AP4" s="322">
        <f t="shared" si="1"/>
        <v>2</v>
      </c>
      <c r="AQ4" s="322">
        <f t="shared" si="1"/>
        <v>0</v>
      </c>
      <c r="AR4" s="322">
        <f t="shared" si="1"/>
        <v>3</v>
      </c>
      <c r="AS4" s="322">
        <f t="shared" si="1"/>
        <v>4</v>
      </c>
      <c r="AT4" s="322">
        <f t="shared" si="1"/>
        <v>5</v>
      </c>
      <c r="AU4" s="322">
        <f t="shared" si="1"/>
        <v>6</v>
      </c>
      <c r="AV4" s="322">
        <f t="shared" si="1"/>
        <v>7</v>
      </c>
      <c r="AW4" s="322" t="str">
        <f t="shared" si="1"/>
        <v>CN</v>
      </c>
      <c r="AX4" s="322">
        <f t="shared" si="1"/>
        <v>2</v>
      </c>
      <c r="AY4" s="322">
        <f t="shared" si="1"/>
        <v>3</v>
      </c>
      <c r="AZ4" s="322">
        <f t="shared" si="1"/>
        <v>4</v>
      </c>
      <c r="BA4" s="322">
        <f t="shared" si="1"/>
        <v>5</v>
      </c>
      <c r="BB4" s="322">
        <f t="shared" si="1"/>
        <v>6</v>
      </c>
      <c r="BC4" s="322">
        <f t="shared" si="1"/>
        <v>7</v>
      </c>
      <c r="BD4" s="322" t="str">
        <f t="shared" si="1"/>
        <v>CN</v>
      </c>
      <c r="BE4" s="322">
        <f t="shared" si="1"/>
        <v>2</v>
      </c>
      <c r="BF4" s="322">
        <f t="shared" si="1"/>
        <v>3</v>
      </c>
      <c r="BG4" s="322">
        <f t="shared" si="1"/>
        <v>4</v>
      </c>
      <c r="BH4" s="322">
        <f t="shared" si="1"/>
        <v>5</v>
      </c>
      <c r="BI4" s="322">
        <f t="shared" si="1"/>
        <v>6</v>
      </c>
      <c r="BJ4" s="322">
        <f t="shared" si="1"/>
        <v>7</v>
      </c>
      <c r="BK4" s="322" t="str">
        <f t="shared" si="1"/>
        <v>CN</v>
      </c>
      <c r="BL4" s="322">
        <f t="shared" si="1"/>
        <v>2</v>
      </c>
      <c r="BM4" s="322">
        <f t="shared" si="1"/>
        <v>3</v>
      </c>
      <c r="BN4" s="322">
        <f t="shared" si="1"/>
        <v>4</v>
      </c>
      <c r="BO4" s="322">
        <f t="shared" si="1"/>
        <v>5</v>
      </c>
      <c r="BP4" s="322">
        <f t="shared" si="1"/>
        <v>6</v>
      </c>
      <c r="BQ4" s="310" t="s">
        <v>301</v>
      </c>
      <c r="BR4" s="317" t="s">
        <v>297</v>
      </c>
      <c r="BS4" s="542"/>
      <c r="BT4" s="323"/>
      <c r="BU4" s="323"/>
      <c r="BV4" s="323"/>
    </row>
    <row r="5" spans="1:74" s="130" customFormat="1" ht="24.75" customHeight="1" x14ac:dyDescent="0.25">
      <c r="A5" s="466" t="s">
        <v>349</v>
      </c>
      <c r="B5" s="461" t="s">
        <v>302</v>
      </c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2"/>
      <c r="O5" s="452"/>
      <c r="P5" s="452"/>
      <c r="Q5" s="452"/>
      <c r="R5" s="452"/>
      <c r="S5" s="452"/>
      <c r="T5" s="452"/>
      <c r="U5" s="452"/>
      <c r="V5" s="452"/>
      <c r="W5" s="452"/>
      <c r="X5" s="452"/>
      <c r="Y5" s="452"/>
      <c r="Z5" s="452"/>
      <c r="AA5" s="452"/>
      <c r="AB5" s="452"/>
      <c r="AC5" s="452"/>
      <c r="AD5" s="452"/>
      <c r="AE5" s="452"/>
      <c r="AF5" s="452"/>
      <c r="AG5" s="452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271"/>
      <c r="BQ5" s="128"/>
      <c r="BR5" s="128"/>
      <c r="BS5" s="129"/>
    </row>
    <row r="6" spans="1:74" ht="21" customHeight="1" x14ac:dyDescent="0.25">
      <c r="A6" s="224" t="s">
        <v>101</v>
      </c>
      <c r="B6" s="123" t="str">
        <f>VLOOKUP(A6,'Mã NV'!$A$1:$C$27,2,0)</f>
        <v>Nguyễn Văn Chiến</v>
      </c>
      <c r="C6" s="453">
        <v>1</v>
      </c>
      <c r="D6" s="453">
        <v>1</v>
      </c>
      <c r="E6" s="453">
        <v>1</v>
      </c>
      <c r="F6" s="452"/>
      <c r="G6" s="453">
        <v>1</v>
      </c>
      <c r="H6" s="453"/>
      <c r="I6" s="453">
        <v>1</v>
      </c>
      <c r="J6" s="453">
        <v>1</v>
      </c>
      <c r="K6" s="453">
        <v>1</v>
      </c>
      <c r="L6" s="453">
        <v>1</v>
      </c>
      <c r="M6" s="453">
        <v>1</v>
      </c>
      <c r="N6" s="452"/>
      <c r="O6" s="453">
        <v>1</v>
      </c>
      <c r="P6" s="453">
        <v>1</v>
      </c>
      <c r="Q6" s="453">
        <v>1</v>
      </c>
      <c r="R6" s="453">
        <v>1</v>
      </c>
      <c r="S6" s="453">
        <v>1</v>
      </c>
      <c r="T6" s="453">
        <v>1</v>
      </c>
      <c r="U6" s="452"/>
      <c r="V6" s="453">
        <v>1</v>
      </c>
      <c r="W6" s="453">
        <v>1</v>
      </c>
      <c r="X6" s="453">
        <v>1</v>
      </c>
      <c r="Y6" s="453">
        <v>1</v>
      </c>
      <c r="Z6" s="453">
        <v>1</v>
      </c>
      <c r="AA6" s="453">
        <v>1</v>
      </c>
      <c r="AB6" s="452"/>
      <c r="AC6" s="453">
        <v>1</v>
      </c>
      <c r="AD6" s="453">
        <v>1</v>
      </c>
      <c r="AE6" s="453" t="s">
        <v>439</v>
      </c>
      <c r="AF6" s="453">
        <v>1</v>
      </c>
      <c r="AG6" s="453">
        <v>1</v>
      </c>
      <c r="AH6" s="128">
        <f>SUM(C6:AG6)-AI6</f>
        <v>25</v>
      </c>
      <c r="AI6" s="128">
        <f>SUMIF($C$4:$AG$4,"LT",C6:AG6)</f>
        <v>0</v>
      </c>
      <c r="AJ6" s="128">
        <f>COUNTIF(C6:AG6,"P")</f>
        <v>1</v>
      </c>
      <c r="AK6" s="128">
        <f>COUNTIF(C6:AG6,"LT")</f>
        <v>0</v>
      </c>
      <c r="AL6" s="468"/>
      <c r="AM6" s="469">
        <v>1.5</v>
      </c>
      <c r="AN6" s="468"/>
      <c r="AO6" s="470"/>
      <c r="AP6" s="468"/>
      <c r="AQ6" s="469"/>
      <c r="AR6" s="468"/>
      <c r="AS6" s="469"/>
      <c r="AT6" s="468"/>
      <c r="AU6" s="469"/>
      <c r="AV6" s="468"/>
      <c r="AW6" s="470"/>
      <c r="AX6" s="468"/>
      <c r="AY6" s="469">
        <v>2</v>
      </c>
      <c r="AZ6" s="468"/>
      <c r="BA6" s="469">
        <v>1.5</v>
      </c>
      <c r="BB6" s="468"/>
      <c r="BC6" s="469"/>
      <c r="BD6" s="470"/>
      <c r="BE6" s="469"/>
      <c r="BF6" s="468"/>
      <c r="BG6" s="469"/>
      <c r="BH6" s="468">
        <v>3</v>
      </c>
      <c r="BI6" s="469"/>
      <c r="BJ6" s="468"/>
      <c r="BK6" s="470"/>
      <c r="BL6" s="468"/>
      <c r="BM6" s="469"/>
      <c r="BN6" s="468"/>
      <c r="BO6" s="469"/>
      <c r="BP6" s="468">
        <v>2.5</v>
      </c>
      <c r="BQ6" s="245">
        <f>SUM(AL6:BP6)-BR6</f>
        <v>10.5</v>
      </c>
      <c r="BR6" s="245">
        <f>SUMIF($AL$4:$BP$4,"CN",AL6:BP6)</f>
        <v>0</v>
      </c>
      <c r="BS6" s="103">
        <f>COUNTIFS(AL6:BP6,"&gt;="&amp;$BS$2,$AL$4:$BP$4,"&lt;&gt;CN")</f>
        <v>1</v>
      </c>
    </row>
    <row r="7" spans="1:74" ht="21" customHeight="1" x14ac:dyDescent="0.25">
      <c r="A7" s="224" t="s">
        <v>102</v>
      </c>
      <c r="B7" s="123" t="str">
        <f>VLOOKUP(A7,'Mã NV'!$A$1:$C$27,2,0)</f>
        <v>Ngô Văn Thanh</v>
      </c>
      <c r="C7" s="453">
        <v>1</v>
      </c>
      <c r="D7" s="453">
        <v>1</v>
      </c>
      <c r="E7" s="453">
        <v>1</v>
      </c>
      <c r="F7" s="452"/>
      <c r="G7" s="453">
        <v>1</v>
      </c>
      <c r="H7" s="453"/>
      <c r="I7" s="453">
        <v>1</v>
      </c>
      <c r="J7" s="453">
        <v>1</v>
      </c>
      <c r="K7" s="453">
        <v>1</v>
      </c>
      <c r="L7" s="453">
        <v>1</v>
      </c>
      <c r="M7" s="453">
        <v>1</v>
      </c>
      <c r="N7" s="452"/>
      <c r="O7" s="453">
        <v>1</v>
      </c>
      <c r="P7" s="453">
        <v>1</v>
      </c>
      <c r="Q7" s="453">
        <v>1</v>
      </c>
      <c r="R7" s="453">
        <v>1</v>
      </c>
      <c r="S7" s="453">
        <v>1</v>
      </c>
      <c r="T7" s="453">
        <v>1</v>
      </c>
      <c r="U7" s="452"/>
      <c r="V7" s="453">
        <v>1</v>
      </c>
      <c r="W7" s="453">
        <v>1</v>
      </c>
      <c r="X7" s="453">
        <v>1</v>
      </c>
      <c r="Y7" s="453">
        <v>1</v>
      </c>
      <c r="Z7" s="453">
        <v>1</v>
      </c>
      <c r="AA7" s="453">
        <v>1</v>
      </c>
      <c r="AB7" s="452"/>
      <c r="AC7" s="453">
        <v>1</v>
      </c>
      <c r="AD7" s="453">
        <v>1</v>
      </c>
      <c r="AE7" s="453">
        <v>1</v>
      </c>
      <c r="AF7" s="453">
        <v>1</v>
      </c>
      <c r="AG7" s="453">
        <v>1</v>
      </c>
      <c r="AH7" s="128">
        <f t="shared" ref="AH7:AH17" si="2">SUM(C7:AG7)-AI7</f>
        <v>26</v>
      </c>
      <c r="AI7" s="128">
        <f t="shared" ref="AI7:AI17" si="3">SUMIF($C$4:$AG$4,"LT",C7:AG7)</f>
        <v>0</v>
      </c>
      <c r="AJ7" s="128">
        <f t="shared" ref="AJ7:AJ17" si="4">COUNTIF(C7:AG7,"P")</f>
        <v>0</v>
      </c>
      <c r="AK7" s="128">
        <f t="shared" ref="AK7:AK17" si="5">COUNTIF(C7:AG7,"LT")</f>
        <v>0</v>
      </c>
      <c r="AL7" s="468"/>
      <c r="AM7" s="469">
        <v>1.5</v>
      </c>
      <c r="AN7" s="468"/>
      <c r="AO7" s="470"/>
      <c r="AP7" s="468"/>
      <c r="AQ7" s="469"/>
      <c r="AR7" s="468"/>
      <c r="AS7" s="469"/>
      <c r="AT7" s="468"/>
      <c r="AU7" s="469"/>
      <c r="AV7" s="468"/>
      <c r="AW7" s="470"/>
      <c r="AX7" s="468"/>
      <c r="AY7" s="469"/>
      <c r="AZ7" s="468"/>
      <c r="BA7" s="469">
        <v>1</v>
      </c>
      <c r="BB7" s="468"/>
      <c r="BC7" s="469"/>
      <c r="BD7" s="470"/>
      <c r="BE7" s="469"/>
      <c r="BF7" s="468"/>
      <c r="BG7" s="469"/>
      <c r="BH7" s="468"/>
      <c r="BI7" s="469">
        <v>3</v>
      </c>
      <c r="BJ7" s="468"/>
      <c r="BK7" s="470">
        <v>8</v>
      </c>
      <c r="BL7" s="468"/>
      <c r="BM7" s="469"/>
      <c r="BN7" s="468"/>
      <c r="BO7" s="469">
        <v>3</v>
      </c>
      <c r="BP7" s="468"/>
      <c r="BQ7" s="245">
        <f t="shared" ref="BQ7:BQ17" si="6">SUM(AL7:BP7)-BR7</f>
        <v>8.5</v>
      </c>
      <c r="BR7" s="245">
        <f t="shared" ref="BR7:BR17" si="7">SUMIF($AL$4:$BP$4,"CN",AL7:BP7)</f>
        <v>8</v>
      </c>
      <c r="BS7" s="103">
        <f>COUNTIFS(AL7:BP7,"&gt;="&amp;$BS$2,$AL$4:$BP$4,"&lt;&gt;CN")</f>
        <v>2</v>
      </c>
    </row>
    <row r="8" spans="1:74" ht="21" customHeight="1" x14ac:dyDescent="0.25">
      <c r="A8" s="224" t="s">
        <v>103</v>
      </c>
      <c r="B8" s="123" t="str">
        <f>VLOOKUP(A8,'Mã NV'!$A$1:$C$27,2,0)</f>
        <v>Võ Văn Giàu</v>
      </c>
      <c r="C8" s="453">
        <v>1</v>
      </c>
      <c r="D8" s="453">
        <v>1</v>
      </c>
      <c r="E8" s="453">
        <v>1</v>
      </c>
      <c r="F8" s="452"/>
      <c r="G8" s="453">
        <v>1</v>
      </c>
      <c r="H8" s="453"/>
      <c r="I8" s="453">
        <v>1</v>
      </c>
      <c r="J8" s="453">
        <v>1</v>
      </c>
      <c r="K8" s="453">
        <v>1</v>
      </c>
      <c r="L8" s="453">
        <v>1</v>
      </c>
      <c r="M8" s="453">
        <v>1</v>
      </c>
      <c r="N8" s="452"/>
      <c r="O8" s="453">
        <v>1</v>
      </c>
      <c r="P8" s="453">
        <v>1</v>
      </c>
      <c r="Q8" s="453">
        <v>1</v>
      </c>
      <c r="R8" s="453">
        <v>1</v>
      </c>
      <c r="S8" s="453">
        <v>1</v>
      </c>
      <c r="T8" s="453">
        <v>1</v>
      </c>
      <c r="U8" s="452"/>
      <c r="V8" s="453">
        <v>1</v>
      </c>
      <c r="W8" s="453">
        <v>1</v>
      </c>
      <c r="X8" s="453">
        <v>1</v>
      </c>
      <c r="Y8" s="453">
        <v>1</v>
      </c>
      <c r="Z8" s="453">
        <v>1</v>
      </c>
      <c r="AA8" s="453">
        <v>1</v>
      </c>
      <c r="AB8" s="452"/>
      <c r="AC8" s="453">
        <v>1</v>
      </c>
      <c r="AD8" s="453">
        <v>1</v>
      </c>
      <c r="AE8" s="453">
        <v>1</v>
      </c>
      <c r="AF8" s="453">
        <v>1</v>
      </c>
      <c r="AG8" s="453">
        <v>1</v>
      </c>
      <c r="AH8" s="128">
        <f t="shared" si="2"/>
        <v>26</v>
      </c>
      <c r="AI8" s="128">
        <f t="shared" si="3"/>
        <v>0</v>
      </c>
      <c r="AJ8" s="128">
        <f t="shared" si="4"/>
        <v>0</v>
      </c>
      <c r="AK8" s="128">
        <f t="shared" si="5"/>
        <v>0</v>
      </c>
      <c r="AL8" s="468"/>
      <c r="AM8" s="469">
        <v>1.5</v>
      </c>
      <c r="AN8" s="468">
        <v>2</v>
      </c>
      <c r="AO8" s="470"/>
      <c r="AP8" s="468"/>
      <c r="AQ8" s="469"/>
      <c r="AR8" s="468"/>
      <c r="AS8" s="469"/>
      <c r="AT8" s="468"/>
      <c r="AU8" s="469"/>
      <c r="AV8" s="468"/>
      <c r="AW8" s="470">
        <v>8</v>
      </c>
      <c r="AX8" s="468"/>
      <c r="AY8" s="469"/>
      <c r="AZ8" s="468"/>
      <c r="BA8" s="469"/>
      <c r="BB8" s="468"/>
      <c r="BC8" s="469"/>
      <c r="BD8" s="470"/>
      <c r="BE8" s="469"/>
      <c r="BF8" s="468"/>
      <c r="BG8" s="469"/>
      <c r="BH8" s="468">
        <v>3</v>
      </c>
      <c r="BI8" s="469"/>
      <c r="BJ8" s="468"/>
      <c r="BK8" s="470">
        <v>8</v>
      </c>
      <c r="BL8" s="468">
        <v>1</v>
      </c>
      <c r="BM8" s="469"/>
      <c r="BN8" s="468"/>
      <c r="BO8" s="469">
        <v>1</v>
      </c>
      <c r="BP8" s="468">
        <v>2.5</v>
      </c>
      <c r="BQ8" s="245">
        <f t="shared" si="6"/>
        <v>11</v>
      </c>
      <c r="BR8" s="245">
        <f t="shared" si="7"/>
        <v>16</v>
      </c>
      <c r="BS8" s="103">
        <f t="shared" ref="BS8:BS17" si="8">COUNTIFS(AL8:BP8,"&gt;="&amp;$BS$2,$AL$4:$BP$4,"&lt;&gt;CN")</f>
        <v>1</v>
      </c>
    </row>
    <row r="9" spans="1:74" ht="21" customHeight="1" x14ac:dyDescent="0.25">
      <c r="A9" s="224" t="s">
        <v>105</v>
      </c>
      <c r="B9" s="123" t="str">
        <f>VLOOKUP(A9,'Mã NV'!$A$1:$C$27,2,0)</f>
        <v>Lê Phi Trung</v>
      </c>
      <c r="C9" s="453">
        <v>1</v>
      </c>
      <c r="D9" s="453">
        <v>1</v>
      </c>
      <c r="E9" s="453">
        <v>1</v>
      </c>
      <c r="F9" s="452"/>
      <c r="G9" s="453">
        <v>1</v>
      </c>
      <c r="H9" s="453"/>
      <c r="I9" s="453">
        <v>1</v>
      </c>
      <c r="J9" s="453">
        <v>1</v>
      </c>
      <c r="K9" s="453">
        <v>1</v>
      </c>
      <c r="L9" s="453" t="s">
        <v>439</v>
      </c>
      <c r="M9" s="453">
        <v>1</v>
      </c>
      <c r="N9" s="452"/>
      <c r="O9" s="453">
        <v>1</v>
      </c>
      <c r="P9" s="453">
        <v>1</v>
      </c>
      <c r="Q9" s="453">
        <v>1</v>
      </c>
      <c r="R9" s="453">
        <v>1</v>
      </c>
      <c r="S9" s="453">
        <v>1</v>
      </c>
      <c r="T9" s="453">
        <v>1</v>
      </c>
      <c r="U9" s="452"/>
      <c r="V9" s="453">
        <v>1</v>
      </c>
      <c r="W9" s="453">
        <v>1</v>
      </c>
      <c r="X9" s="453">
        <v>1</v>
      </c>
      <c r="Y9" s="453">
        <v>1</v>
      </c>
      <c r="Z9" s="453">
        <v>1</v>
      </c>
      <c r="AA9" s="453">
        <v>1</v>
      </c>
      <c r="AB9" s="452"/>
      <c r="AC9" s="453">
        <v>1</v>
      </c>
      <c r="AD9" s="453">
        <v>1</v>
      </c>
      <c r="AE9" s="453">
        <v>1</v>
      </c>
      <c r="AF9" s="453">
        <v>1</v>
      </c>
      <c r="AG9" s="453">
        <v>1</v>
      </c>
      <c r="AH9" s="128">
        <f t="shared" si="2"/>
        <v>25</v>
      </c>
      <c r="AI9" s="128">
        <f t="shared" si="3"/>
        <v>0</v>
      </c>
      <c r="AJ9" s="128">
        <f t="shared" si="4"/>
        <v>1</v>
      </c>
      <c r="AK9" s="128">
        <f t="shared" si="5"/>
        <v>0</v>
      </c>
      <c r="AL9" s="468"/>
      <c r="AM9" s="469">
        <v>1.5</v>
      </c>
      <c r="AN9" s="468">
        <v>1.5</v>
      </c>
      <c r="AO9" s="470">
        <v>8</v>
      </c>
      <c r="AP9" s="468"/>
      <c r="AQ9" s="469"/>
      <c r="AR9" s="468"/>
      <c r="AS9" s="469"/>
      <c r="AT9" s="468"/>
      <c r="AU9" s="469"/>
      <c r="AV9" s="468"/>
      <c r="AW9" s="470">
        <v>8</v>
      </c>
      <c r="AX9" s="468"/>
      <c r="AY9" s="469"/>
      <c r="AZ9" s="468"/>
      <c r="BA9" s="469">
        <v>1</v>
      </c>
      <c r="BB9" s="468"/>
      <c r="BC9" s="469"/>
      <c r="BD9" s="470"/>
      <c r="BE9" s="469">
        <v>4</v>
      </c>
      <c r="BF9" s="468"/>
      <c r="BG9" s="469">
        <v>14.5</v>
      </c>
      <c r="BH9" s="468"/>
      <c r="BI9" s="469">
        <v>2.5</v>
      </c>
      <c r="BJ9" s="468"/>
      <c r="BK9" s="470">
        <v>8</v>
      </c>
      <c r="BL9" s="468"/>
      <c r="BM9" s="469"/>
      <c r="BN9" s="468"/>
      <c r="BO9" s="469">
        <v>3</v>
      </c>
      <c r="BP9" s="468"/>
      <c r="BQ9" s="245">
        <f t="shared" si="6"/>
        <v>28</v>
      </c>
      <c r="BR9" s="245">
        <f t="shared" si="7"/>
        <v>24</v>
      </c>
      <c r="BS9" s="103">
        <f t="shared" si="8"/>
        <v>3</v>
      </c>
    </row>
    <row r="10" spans="1:74" ht="21" customHeight="1" x14ac:dyDescent="0.25">
      <c r="A10" s="224" t="s">
        <v>106</v>
      </c>
      <c r="B10" s="123" t="str">
        <f>VLOOKUP(A10,'Mã NV'!$A$1:$C$27,2,0)</f>
        <v>Lâm Văn Thương</v>
      </c>
      <c r="C10" s="453">
        <v>1</v>
      </c>
      <c r="D10" s="453">
        <v>1</v>
      </c>
      <c r="E10" s="453">
        <v>1</v>
      </c>
      <c r="F10" s="452"/>
      <c r="G10" s="453">
        <v>1</v>
      </c>
      <c r="H10" s="453"/>
      <c r="I10" s="453">
        <v>1</v>
      </c>
      <c r="J10" s="453">
        <v>1</v>
      </c>
      <c r="K10" s="453">
        <v>1</v>
      </c>
      <c r="L10" s="453">
        <v>1</v>
      </c>
      <c r="M10" s="453">
        <v>1</v>
      </c>
      <c r="N10" s="452"/>
      <c r="O10" s="453">
        <v>1</v>
      </c>
      <c r="P10" s="453">
        <v>1</v>
      </c>
      <c r="Q10" s="453">
        <v>1</v>
      </c>
      <c r="R10" s="453">
        <v>1</v>
      </c>
      <c r="S10" s="453">
        <v>1</v>
      </c>
      <c r="T10" s="453">
        <v>1</v>
      </c>
      <c r="U10" s="452"/>
      <c r="V10" s="453">
        <v>1</v>
      </c>
      <c r="W10" s="453">
        <v>1</v>
      </c>
      <c r="X10" s="453">
        <v>1</v>
      </c>
      <c r="Y10" s="453">
        <v>1</v>
      </c>
      <c r="Z10" s="453">
        <v>1</v>
      </c>
      <c r="AA10" s="453">
        <v>1</v>
      </c>
      <c r="AB10" s="452"/>
      <c r="AC10" s="453">
        <v>1</v>
      </c>
      <c r="AD10" s="453">
        <v>1</v>
      </c>
      <c r="AE10" s="453">
        <v>1</v>
      </c>
      <c r="AF10" s="453">
        <v>1</v>
      </c>
      <c r="AG10" s="453">
        <v>1</v>
      </c>
      <c r="AH10" s="128">
        <f t="shared" si="2"/>
        <v>26</v>
      </c>
      <c r="AI10" s="128">
        <f t="shared" si="3"/>
        <v>0</v>
      </c>
      <c r="AJ10" s="128">
        <f t="shared" si="4"/>
        <v>0</v>
      </c>
      <c r="AK10" s="128">
        <f t="shared" si="5"/>
        <v>0</v>
      </c>
      <c r="AL10" s="468"/>
      <c r="AM10" s="469"/>
      <c r="AN10" s="468"/>
      <c r="AO10" s="470"/>
      <c r="AP10" s="468"/>
      <c r="AQ10" s="469"/>
      <c r="AR10" s="468"/>
      <c r="AS10" s="469"/>
      <c r="AT10" s="468"/>
      <c r="AU10" s="469"/>
      <c r="AV10" s="468"/>
      <c r="AW10" s="470"/>
      <c r="AX10" s="468"/>
      <c r="AY10" s="469"/>
      <c r="AZ10" s="468"/>
      <c r="BA10" s="469">
        <v>1</v>
      </c>
      <c r="BB10" s="468"/>
      <c r="BC10" s="469"/>
      <c r="BD10" s="470"/>
      <c r="BE10" s="469"/>
      <c r="BF10" s="468"/>
      <c r="BG10" s="469"/>
      <c r="BH10" s="468"/>
      <c r="BI10" s="469">
        <v>2.5</v>
      </c>
      <c r="BJ10" s="468"/>
      <c r="BK10" s="470">
        <v>8</v>
      </c>
      <c r="BL10" s="468"/>
      <c r="BM10" s="469"/>
      <c r="BN10" s="468"/>
      <c r="BO10" s="469">
        <v>3</v>
      </c>
      <c r="BP10" s="468"/>
      <c r="BQ10" s="245">
        <f t="shared" si="6"/>
        <v>6.5</v>
      </c>
      <c r="BR10" s="245">
        <f t="shared" si="7"/>
        <v>8</v>
      </c>
      <c r="BS10" s="103">
        <f t="shared" si="8"/>
        <v>1</v>
      </c>
    </row>
    <row r="11" spans="1:74" ht="21" customHeight="1" x14ac:dyDescent="0.25">
      <c r="A11" s="224" t="s">
        <v>107</v>
      </c>
      <c r="B11" s="123" t="str">
        <f>VLOOKUP(A11,'Mã NV'!$A$1:$C$27,2,0)</f>
        <v>Võ Văn Có</v>
      </c>
      <c r="C11" s="453">
        <v>1</v>
      </c>
      <c r="D11" s="453">
        <v>1</v>
      </c>
      <c r="E11" s="453">
        <v>1</v>
      </c>
      <c r="F11" s="452"/>
      <c r="G11" s="453">
        <v>1</v>
      </c>
      <c r="H11" s="453"/>
      <c r="I11" s="453">
        <v>1</v>
      </c>
      <c r="J11" s="453">
        <v>1</v>
      </c>
      <c r="K11" s="453">
        <v>1</v>
      </c>
      <c r="L11" s="453">
        <v>1</v>
      </c>
      <c r="M11" s="453">
        <v>1</v>
      </c>
      <c r="N11" s="452"/>
      <c r="O11" s="453">
        <v>1</v>
      </c>
      <c r="P11" s="453">
        <v>1</v>
      </c>
      <c r="Q11" s="453">
        <v>1</v>
      </c>
      <c r="R11" s="453">
        <v>1</v>
      </c>
      <c r="S11" s="453">
        <v>1</v>
      </c>
      <c r="T11" s="453">
        <v>1</v>
      </c>
      <c r="U11" s="452"/>
      <c r="V11" s="453">
        <v>1</v>
      </c>
      <c r="W11" s="453">
        <v>1</v>
      </c>
      <c r="X11" s="453">
        <v>1</v>
      </c>
      <c r="Y11" s="453">
        <v>1</v>
      </c>
      <c r="Z11" s="453">
        <v>1</v>
      </c>
      <c r="AA11" s="453">
        <v>1</v>
      </c>
      <c r="AB11" s="452"/>
      <c r="AC11" s="453">
        <v>1</v>
      </c>
      <c r="AD11" s="453">
        <v>1</v>
      </c>
      <c r="AE11" s="453">
        <v>1</v>
      </c>
      <c r="AF11" s="453">
        <v>1</v>
      </c>
      <c r="AG11" s="453">
        <v>1</v>
      </c>
      <c r="AH11" s="128">
        <f t="shared" si="2"/>
        <v>26</v>
      </c>
      <c r="AI11" s="128">
        <f t="shared" si="3"/>
        <v>0</v>
      </c>
      <c r="AJ11" s="128">
        <f>COUNTIF(C11:AG11,"P")</f>
        <v>0</v>
      </c>
      <c r="AK11" s="128">
        <f t="shared" si="5"/>
        <v>0</v>
      </c>
      <c r="AL11" s="468"/>
      <c r="AM11" s="469">
        <v>1.5</v>
      </c>
      <c r="AN11" s="468">
        <v>2</v>
      </c>
      <c r="AO11" s="470"/>
      <c r="AP11" s="468"/>
      <c r="AQ11" s="469"/>
      <c r="AR11" s="468"/>
      <c r="AS11" s="469"/>
      <c r="AT11" s="468"/>
      <c r="AU11" s="469"/>
      <c r="AV11" s="468"/>
      <c r="AW11" s="470">
        <v>8</v>
      </c>
      <c r="AX11" s="468"/>
      <c r="AY11" s="469">
        <v>2</v>
      </c>
      <c r="AZ11" s="468"/>
      <c r="BA11" s="469"/>
      <c r="BB11" s="468"/>
      <c r="BC11" s="469"/>
      <c r="BD11" s="470"/>
      <c r="BE11" s="469"/>
      <c r="BF11" s="468"/>
      <c r="BG11" s="469"/>
      <c r="BH11" s="468">
        <v>3</v>
      </c>
      <c r="BI11" s="469"/>
      <c r="BJ11" s="468"/>
      <c r="BK11" s="470">
        <v>8</v>
      </c>
      <c r="BL11" s="468">
        <v>1</v>
      </c>
      <c r="BM11" s="469"/>
      <c r="BN11" s="468"/>
      <c r="BO11" s="469">
        <v>1</v>
      </c>
      <c r="BP11" s="468">
        <v>2.5</v>
      </c>
      <c r="BQ11" s="245">
        <f t="shared" si="6"/>
        <v>13</v>
      </c>
      <c r="BR11" s="245">
        <f t="shared" si="7"/>
        <v>16</v>
      </c>
      <c r="BS11" s="103">
        <f t="shared" si="8"/>
        <v>1</v>
      </c>
    </row>
    <row r="12" spans="1:74" ht="21" customHeight="1" x14ac:dyDescent="0.25">
      <c r="A12" s="224" t="s">
        <v>108</v>
      </c>
      <c r="B12" s="462" t="str">
        <f>VLOOKUP(A12,'Mã NV'!$A$1:$C$27,2,0)</f>
        <v>Lê Minh Nghĩa</v>
      </c>
      <c r="C12" s="453">
        <v>1</v>
      </c>
      <c r="D12" s="453">
        <v>1</v>
      </c>
      <c r="E12" s="453">
        <v>1</v>
      </c>
      <c r="F12" s="452"/>
      <c r="G12" s="453">
        <v>1</v>
      </c>
      <c r="H12" s="453"/>
      <c r="I12" s="453">
        <v>1</v>
      </c>
      <c r="J12" s="453">
        <v>1</v>
      </c>
      <c r="K12" s="453">
        <v>1</v>
      </c>
      <c r="L12" s="453">
        <v>1</v>
      </c>
      <c r="M12" s="453">
        <v>1</v>
      </c>
      <c r="N12" s="452"/>
      <c r="O12" s="453">
        <v>1</v>
      </c>
      <c r="P12" s="453">
        <v>1</v>
      </c>
      <c r="Q12" s="453">
        <v>1</v>
      </c>
      <c r="R12" s="453">
        <v>1</v>
      </c>
      <c r="S12" s="453">
        <v>1</v>
      </c>
      <c r="T12" s="453">
        <v>1</v>
      </c>
      <c r="U12" s="452"/>
      <c r="V12" s="494"/>
      <c r="W12" s="494"/>
      <c r="X12" s="494"/>
      <c r="Y12" s="494"/>
      <c r="Z12" s="494"/>
      <c r="AA12" s="494"/>
      <c r="AB12" s="494"/>
      <c r="AC12" s="494"/>
      <c r="AD12" s="494"/>
      <c r="AE12" s="494"/>
      <c r="AF12" s="494"/>
      <c r="AG12" s="494"/>
      <c r="AH12" s="128">
        <f t="shared" si="2"/>
        <v>15</v>
      </c>
      <c r="AI12" s="128">
        <f t="shared" si="3"/>
        <v>0</v>
      </c>
      <c r="AJ12" s="128">
        <f t="shared" si="4"/>
        <v>0</v>
      </c>
      <c r="AK12" s="128">
        <f t="shared" si="5"/>
        <v>0</v>
      </c>
      <c r="AL12" s="468"/>
      <c r="AM12" s="469">
        <v>1.5</v>
      </c>
      <c r="AN12" s="468"/>
      <c r="AO12" s="470"/>
      <c r="AP12" s="468"/>
      <c r="AQ12" s="469"/>
      <c r="AR12" s="468"/>
      <c r="AS12" s="469"/>
      <c r="AT12" s="468"/>
      <c r="AU12" s="469"/>
      <c r="AV12" s="468"/>
      <c r="AW12" s="470">
        <v>8</v>
      </c>
      <c r="AX12" s="468"/>
      <c r="AY12" s="469"/>
      <c r="AZ12" s="468"/>
      <c r="BA12" s="469">
        <v>1.5</v>
      </c>
      <c r="BB12" s="468"/>
      <c r="BC12" s="469"/>
      <c r="BD12" s="470"/>
      <c r="BE12" s="469"/>
      <c r="BF12" s="468"/>
      <c r="BG12" s="469"/>
      <c r="BH12" s="468"/>
      <c r="BI12" s="469"/>
      <c r="BJ12" s="468"/>
      <c r="BK12" s="470"/>
      <c r="BL12" s="468"/>
      <c r="BM12" s="469"/>
      <c r="BN12" s="468"/>
      <c r="BO12" s="469"/>
      <c r="BP12" s="468"/>
      <c r="BQ12" s="245">
        <f t="shared" si="6"/>
        <v>3</v>
      </c>
      <c r="BR12" s="245">
        <f t="shared" si="7"/>
        <v>8</v>
      </c>
      <c r="BS12" s="103">
        <f t="shared" si="8"/>
        <v>0</v>
      </c>
    </row>
    <row r="13" spans="1:74" ht="21" customHeight="1" x14ac:dyDescent="0.25">
      <c r="A13" s="224" t="s">
        <v>109</v>
      </c>
      <c r="B13" s="123" t="str">
        <f>VLOOKUP(A13,'Mã NV'!$A$1:$C$27,2,0)</f>
        <v>Trần Văn Tây</v>
      </c>
      <c r="C13" s="453">
        <v>1</v>
      </c>
      <c r="D13" s="453">
        <v>1</v>
      </c>
      <c r="E13" s="453">
        <v>1</v>
      </c>
      <c r="F13" s="452"/>
      <c r="G13" s="453">
        <v>1</v>
      </c>
      <c r="H13" s="453"/>
      <c r="I13" s="453">
        <v>1</v>
      </c>
      <c r="J13" s="453">
        <v>1</v>
      </c>
      <c r="K13" s="453">
        <v>1</v>
      </c>
      <c r="L13" s="453">
        <v>1</v>
      </c>
      <c r="M13" s="453">
        <v>1</v>
      </c>
      <c r="N13" s="452"/>
      <c r="O13" s="453">
        <v>1</v>
      </c>
      <c r="P13" s="453">
        <v>1</v>
      </c>
      <c r="Q13" s="453">
        <v>1</v>
      </c>
      <c r="R13" s="453">
        <v>1</v>
      </c>
      <c r="S13" s="453">
        <v>1</v>
      </c>
      <c r="T13" s="453">
        <v>1</v>
      </c>
      <c r="U13" s="452"/>
      <c r="V13" s="453" t="s">
        <v>439</v>
      </c>
      <c r="W13" s="453">
        <v>1</v>
      </c>
      <c r="X13" s="453">
        <v>1</v>
      </c>
      <c r="Y13" s="453">
        <v>1</v>
      </c>
      <c r="Z13" s="453">
        <v>1</v>
      </c>
      <c r="AA13" s="453">
        <v>1</v>
      </c>
      <c r="AB13" s="452"/>
      <c r="AC13" s="453">
        <v>1</v>
      </c>
      <c r="AD13" s="453">
        <v>1</v>
      </c>
      <c r="AE13" s="453">
        <v>1</v>
      </c>
      <c r="AF13" s="453">
        <v>1</v>
      </c>
      <c r="AG13" s="453">
        <v>1</v>
      </c>
      <c r="AH13" s="128">
        <f t="shared" si="2"/>
        <v>25</v>
      </c>
      <c r="AI13" s="128">
        <f t="shared" si="3"/>
        <v>0</v>
      </c>
      <c r="AJ13" s="128">
        <f t="shared" si="4"/>
        <v>1</v>
      </c>
      <c r="AK13" s="128">
        <f t="shared" si="5"/>
        <v>0</v>
      </c>
      <c r="AL13" s="468"/>
      <c r="AM13" s="469">
        <v>1.5</v>
      </c>
      <c r="AN13" s="468">
        <v>2</v>
      </c>
      <c r="AO13" s="470"/>
      <c r="AP13" s="468"/>
      <c r="AQ13" s="469"/>
      <c r="AR13" s="468"/>
      <c r="AS13" s="469"/>
      <c r="AT13" s="468"/>
      <c r="AU13" s="469"/>
      <c r="AV13" s="468"/>
      <c r="AW13" s="470">
        <v>8</v>
      </c>
      <c r="AX13" s="468"/>
      <c r="AY13" s="469"/>
      <c r="AZ13" s="468"/>
      <c r="BA13" s="469"/>
      <c r="BB13" s="468"/>
      <c r="BC13" s="469"/>
      <c r="BD13" s="470"/>
      <c r="BE13" s="469"/>
      <c r="BF13" s="468"/>
      <c r="BG13" s="469"/>
      <c r="BH13" s="468">
        <v>3</v>
      </c>
      <c r="BI13" s="469"/>
      <c r="BJ13" s="468"/>
      <c r="BK13" s="470">
        <v>8</v>
      </c>
      <c r="BL13" s="468">
        <v>1</v>
      </c>
      <c r="BM13" s="469">
        <v>4</v>
      </c>
      <c r="BN13" s="468"/>
      <c r="BO13" s="469"/>
      <c r="BP13" s="468">
        <v>2.5</v>
      </c>
      <c r="BQ13" s="245">
        <f t="shared" si="6"/>
        <v>14</v>
      </c>
      <c r="BR13" s="245">
        <f t="shared" si="7"/>
        <v>16</v>
      </c>
      <c r="BS13" s="103">
        <f t="shared" si="8"/>
        <v>2</v>
      </c>
    </row>
    <row r="14" spans="1:74" ht="21" customHeight="1" x14ac:dyDescent="0.25">
      <c r="A14" s="224" t="s">
        <v>110</v>
      </c>
      <c r="B14" s="123" t="str">
        <f>VLOOKUP(A14,'Mã NV'!$A$1:$C$27,2,0)</f>
        <v>Huỳnh Huy Phụng</v>
      </c>
      <c r="C14" s="453">
        <v>1</v>
      </c>
      <c r="D14" s="453">
        <v>1</v>
      </c>
      <c r="E14" s="453">
        <v>1</v>
      </c>
      <c r="F14" s="452"/>
      <c r="G14" s="453">
        <v>1</v>
      </c>
      <c r="H14" s="453"/>
      <c r="I14" s="453">
        <v>1</v>
      </c>
      <c r="J14" s="453">
        <v>1</v>
      </c>
      <c r="K14" s="453">
        <v>1</v>
      </c>
      <c r="L14" s="453">
        <v>1</v>
      </c>
      <c r="M14" s="453">
        <v>1</v>
      </c>
      <c r="N14" s="452"/>
      <c r="O14" s="453">
        <v>1</v>
      </c>
      <c r="P14" s="453">
        <v>1</v>
      </c>
      <c r="Q14" s="453">
        <v>1</v>
      </c>
      <c r="R14" s="453">
        <v>1</v>
      </c>
      <c r="S14" s="453">
        <v>1</v>
      </c>
      <c r="T14" s="453">
        <v>1</v>
      </c>
      <c r="U14" s="452"/>
      <c r="V14" s="453">
        <v>1</v>
      </c>
      <c r="W14" s="453">
        <v>1</v>
      </c>
      <c r="X14" s="453">
        <v>1</v>
      </c>
      <c r="Y14" s="453">
        <v>1</v>
      </c>
      <c r="Z14" s="453">
        <v>1</v>
      </c>
      <c r="AA14" s="453">
        <v>1</v>
      </c>
      <c r="AB14" s="452"/>
      <c r="AC14" s="453">
        <v>1</v>
      </c>
      <c r="AD14" s="453">
        <v>1</v>
      </c>
      <c r="AE14" s="453">
        <v>1</v>
      </c>
      <c r="AF14" s="453">
        <v>1</v>
      </c>
      <c r="AG14" s="453">
        <v>1</v>
      </c>
      <c r="AH14" s="128">
        <f t="shared" si="2"/>
        <v>26</v>
      </c>
      <c r="AI14" s="128">
        <f t="shared" si="3"/>
        <v>0</v>
      </c>
      <c r="AJ14" s="128">
        <f t="shared" si="4"/>
        <v>0</v>
      </c>
      <c r="AK14" s="128">
        <f t="shared" si="5"/>
        <v>0</v>
      </c>
      <c r="AL14" s="468"/>
      <c r="AM14" s="469">
        <v>1.5</v>
      </c>
      <c r="AN14" s="468">
        <v>2</v>
      </c>
      <c r="AO14" s="470">
        <v>8</v>
      </c>
      <c r="AP14" s="468"/>
      <c r="AQ14" s="469"/>
      <c r="AR14" s="468"/>
      <c r="AS14" s="469"/>
      <c r="AT14" s="468"/>
      <c r="AU14" s="469"/>
      <c r="AV14" s="468"/>
      <c r="AW14" s="470"/>
      <c r="AX14" s="468"/>
      <c r="AY14" s="469">
        <v>2</v>
      </c>
      <c r="AZ14" s="468"/>
      <c r="BA14" s="469">
        <v>1.5</v>
      </c>
      <c r="BB14" s="468"/>
      <c r="BC14" s="469"/>
      <c r="BD14" s="470"/>
      <c r="BE14" s="469"/>
      <c r="BF14" s="468"/>
      <c r="BG14" s="469"/>
      <c r="BH14" s="468">
        <v>3</v>
      </c>
      <c r="BI14" s="469"/>
      <c r="BJ14" s="468"/>
      <c r="BK14" s="470">
        <v>8</v>
      </c>
      <c r="BL14" s="468">
        <v>1</v>
      </c>
      <c r="BM14" s="469">
        <v>4</v>
      </c>
      <c r="BN14" s="468"/>
      <c r="BO14" s="469">
        <v>3</v>
      </c>
      <c r="BP14" s="468">
        <v>2.5</v>
      </c>
      <c r="BQ14" s="245">
        <f t="shared" si="6"/>
        <v>20.5</v>
      </c>
      <c r="BR14" s="245">
        <f t="shared" si="7"/>
        <v>16</v>
      </c>
      <c r="BS14" s="103">
        <f t="shared" si="8"/>
        <v>3</v>
      </c>
    </row>
    <row r="15" spans="1:74" ht="21" customHeight="1" x14ac:dyDescent="0.25">
      <c r="A15" s="224" t="s">
        <v>112</v>
      </c>
      <c r="B15" s="123" t="str">
        <f>VLOOKUP(A15,'Mã NV'!$A$1:$C$27,2,0)</f>
        <v>Lê Hiệp</v>
      </c>
      <c r="C15" s="453">
        <v>1</v>
      </c>
      <c r="D15" s="453">
        <v>1</v>
      </c>
      <c r="E15" s="453">
        <v>1</v>
      </c>
      <c r="F15" s="452"/>
      <c r="G15" s="453">
        <v>1</v>
      </c>
      <c r="H15" s="453"/>
      <c r="I15" s="453">
        <v>1</v>
      </c>
      <c r="J15" s="453">
        <v>1</v>
      </c>
      <c r="K15" s="453">
        <v>1</v>
      </c>
      <c r="L15" s="453">
        <v>1</v>
      </c>
      <c r="M15" s="453">
        <v>1</v>
      </c>
      <c r="N15" s="452"/>
      <c r="O15" s="453">
        <v>1</v>
      </c>
      <c r="P15" s="453">
        <v>1</v>
      </c>
      <c r="Q15" s="453">
        <v>1</v>
      </c>
      <c r="R15" s="453">
        <v>1</v>
      </c>
      <c r="S15" s="453">
        <v>1</v>
      </c>
      <c r="T15" s="453">
        <v>1</v>
      </c>
      <c r="U15" s="452"/>
      <c r="V15" s="453">
        <v>1</v>
      </c>
      <c r="W15" s="453">
        <v>1</v>
      </c>
      <c r="X15" s="453">
        <v>1</v>
      </c>
      <c r="Y15" s="453">
        <v>1</v>
      </c>
      <c r="Z15" s="453">
        <v>1</v>
      </c>
      <c r="AA15" s="453">
        <v>1</v>
      </c>
      <c r="AB15" s="452"/>
      <c r="AC15" s="453">
        <v>1</v>
      </c>
      <c r="AD15" s="453">
        <v>1</v>
      </c>
      <c r="AE15" s="453">
        <v>1</v>
      </c>
      <c r="AF15" s="453">
        <v>1</v>
      </c>
      <c r="AG15" s="453">
        <v>1</v>
      </c>
      <c r="AH15" s="128">
        <f t="shared" si="2"/>
        <v>26</v>
      </c>
      <c r="AI15" s="128">
        <f t="shared" si="3"/>
        <v>0</v>
      </c>
      <c r="AJ15" s="128">
        <f t="shared" si="4"/>
        <v>0</v>
      </c>
      <c r="AK15" s="128">
        <f t="shared" si="5"/>
        <v>0</v>
      </c>
      <c r="AL15" s="468"/>
      <c r="AM15" s="469">
        <v>1.5</v>
      </c>
      <c r="AN15" s="468">
        <v>1.5</v>
      </c>
      <c r="AO15" s="470"/>
      <c r="AP15" s="468"/>
      <c r="AQ15" s="469"/>
      <c r="AR15" s="468"/>
      <c r="AS15" s="469"/>
      <c r="AT15" s="468"/>
      <c r="AU15" s="469"/>
      <c r="AV15" s="468"/>
      <c r="AW15" s="470">
        <v>8</v>
      </c>
      <c r="AX15" s="468"/>
      <c r="AY15" s="469"/>
      <c r="AZ15" s="468"/>
      <c r="BA15" s="469"/>
      <c r="BB15" s="468"/>
      <c r="BC15" s="469"/>
      <c r="BD15" s="470">
        <v>8</v>
      </c>
      <c r="BE15" s="469"/>
      <c r="BF15" s="468"/>
      <c r="BG15" s="469">
        <v>2.08</v>
      </c>
      <c r="BH15" s="468"/>
      <c r="BI15" s="469"/>
      <c r="BJ15" s="468"/>
      <c r="BK15" s="470">
        <v>8</v>
      </c>
      <c r="BL15" s="468"/>
      <c r="BM15" s="469"/>
      <c r="BN15" s="468"/>
      <c r="BO15" s="469">
        <v>3</v>
      </c>
      <c r="BP15" s="468"/>
      <c r="BQ15" s="245">
        <f t="shared" si="6"/>
        <v>8.0799999999999983</v>
      </c>
      <c r="BR15" s="245">
        <f t="shared" si="7"/>
        <v>24</v>
      </c>
      <c r="BS15" s="103">
        <f t="shared" si="8"/>
        <v>1</v>
      </c>
    </row>
    <row r="16" spans="1:74" ht="21" customHeight="1" x14ac:dyDescent="0.25">
      <c r="A16" s="224" t="s">
        <v>113</v>
      </c>
      <c r="B16" s="123" t="str">
        <f>VLOOKUP(A16,'Mã NV'!$A$1:$C$27,2,0)</f>
        <v>Lê Văn Bi</v>
      </c>
      <c r="C16" s="453">
        <v>1</v>
      </c>
      <c r="D16" s="453">
        <v>1</v>
      </c>
      <c r="E16" s="453">
        <v>1</v>
      </c>
      <c r="F16" s="452"/>
      <c r="G16" s="453">
        <v>1</v>
      </c>
      <c r="H16" s="453"/>
      <c r="I16" s="453">
        <v>1</v>
      </c>
      <c r="J16" s="453">
        <v>1</v>
      </c>
      <c r="K16" s="453">
        <v>1</v>
      </c>
      <c r="L16" s="453">
        <v>1</v>
      </c>
      <c r="M16" s="453">
        <v>1</v>
      </c>
      <c r="N16" s="452"/>
      <c r="O16" s="453">
        <v>1</v>
      </c>
      <c r="P16" s="453">
        <v>1</v>
      </c>
      <c r="Q16" s="453">
        <v>1</v>
      </c>
      <c r="R16" s="453">
        <v>1</v>
      </c>
      <c r="S16" s="453">
        <v>1</v>
      </c>
      <c r="T16" s="453">
        <v>1</v>
      </c>
      <c r="U16" s="452"/>
      <c r="V16" s="453">
        <v>1</v>
      </c>
      <c r="W16" s="453">
        <v>1</v>
      </c>
      <c r="X16" s="453">
        <v>1</v>
      </c>
      <c r="Y16" s="453">
        <v>1</v>
      </c>
      <c r="Z16" s="453">
        <v>1</v>
      </c>
      <c r="AA16" s="453">
        <v>1</v>
      </c>
      <c r="AB16" s="452"/>
      <c r="AC16" s="453">
        <v>1</v>
      </c>
      <c r="AD16" s="453">
        <v>1</v>
      </c>
      <c r="AE16" s="453">
        <v>1</v>
      </c>
      <c r="AF16" s="453">
        <v>1</v>
      </c>
      <c r="AG16" s="453">
        <v>1</v>
      </c>
      <c r="AH16" s="128">
        <f t="shared" si="2"/>
        <v>26</v>
      </c>
      <c r="AI16" s="128">
        <f t="shared" si="3"/>
        <v>0</v>
      </c>
      <c r="AJ16" s="128">
        <f t="shared" si="4"/>
        <v>0</v>
      </c>
      <c r="AK16" s="128">
        <f t="shared" si="5"/>
        <v>0</v>
      </c>
      <c r="AL16" s="468"/>
      <c r="AM16" s="469">
        <v>1.5</v>
      </c>
      <c r="AN16" s="468"/>
      <c r="AO16" s="470"/>
      <c r="AP16" s="468"/>
      <c r="AQ16" s="469"/>
      <c r="AR16" s="468"/>
      <c r="AS16" s="469"/>
      <c r="AT16" s="468"/>
      <c r="AU16" s="469"/>
      <c r="AV16" s="468"/>
      <c r="AW16" s="470"/>
      <c r="AX16" s="468"/>
      <c r="AY16" s="469"/>
      <c r="AZ16" s="468"/>
      <c r="BA16" s="469">
        <v>1</v>
      </c>
      <c r="BB16" s="468"/>
      <c r="BC16" s="469"/>
      <c r="BD16" s="470"/>
      <c r="BE16" s="469"/>
      <c r="BF16" s="468"/>
      <c r="BG16" s="469">
        <v>2.5</v>
      </c>
      <c r="BH16" s="468"/>
      <c r="BI16" s="469">
        <v>2.5</v>
      </c>
      <c r="BJ16" s="468"/>
      <c r="BK16" s="470">
        <v>8</v>
      </c>
      <c r="BL16" s="468"/>
      <c r="BM16" s="469"/>
      <c r="BN16" s="468"/>
      <c r="BO16" s="469">
        <v>3</v>
      </c>
      <c r="BP16" s="468"/>
      <c r="BQ16" s="245">
        <f t="shared" si="6"/>
        <v>10.5</v>
      </c>
      <c r="BR16" s="245">
        <f t="shared" si="7"/>
        <v>8</v>
      </c>
      <c r="BS16" s="103">
        <f t="shared" si="8"/>
        <v>1</v>
      </c>
    </row>
    <row r="17" spans="1:71" ht="21" customHeight="1" x14ac:dyDescent="0.25">
      <c r="A17" s="224" t="s">
        <v>115</v>
      </c>
      <c r="B17" s="123" t="str">
        <f>VLOOKUP(A17,'Mã NV'!$A$1:$C$27,2,0)</f>
        <v>Trần Anh Dũ</v>
      </c>
      <c r="C17" s="453">
        <v>1</v>
      </c>
      <c r="D17" s="453">
        <v>1</v>
      </c>
      <c r="E17" s="453">
        <v>1</v>
      </c>
      <c r="F17" s="452"/>
      <c r="G17" s="453">
        <v>1</v>
      </c>
      <c r="H17" s="453"/>
      <c r="I17" s="453">
        <v>1</v>
      </c>
      <c r="J17" s="453">
        <v>1</v>
      </c>
      <c r="K17" s="453">
        <v>1</v>
      </c>
      <c r="L17" s="453">
        <v>1</v>
      </c>
      <c r="M17" s="453">
        <v>1</v>
      </c>
      <c r="N17" s="452"/>
      <c r="O17" s="453">
        <v>1</v>
      </c>
      <c r="P17" s="453">
        <v>1</v>
      </c>
      <c r="Q17" s="453">
        <v>1</v>
      </c>
      <c r="R17" s="453">
        <v>1</v>
      </c>
      <c r="S17" s="453">
        <v>1</v>
      </c>
      <c r="T17" s="453">
        <v>1</v>
      </c>
      <c r="U17" s="452"/>
      <c r="V17" s="453">
        <v>1</v>
      </c>
      <c r="W17" s="453">
        <v>1</v>
      </c>
      <c r="X17" s="453">
        <v>1</v>
      </c>
      <c r="Y17" s="453">
        <v>1</v>
      </c>
      <c r="Z17" s="453">
        <v>1</v>
      </c>
      <c r="AA17" s="453">
        <v>1</v>
      </c>
      <c r="AB17" s="452"/>
      <c r="AC17" s="453">
        <v>1</v>
      </c>
      <c r="AD17" s="453">
        <v>1</v>
      </c>
      <c r="AE17" s="453">
        <v>1</v>
      </c>
      <c r="AF17" s="453">
        <v>1</v>
      </c>
      <c r="AG17" s="453">
        <v>1</v>
      </c>
      <c r="AH17" s="128">
        <f t="shared" si="2"/>
        <v>26</v>
      </c>
      <c r="AI17" s="128">
        <f t="shared" si="3"/>
        <v>0</v>
      </c>
      <c r="AJ17" s="128">
        <f t="shared" si="4"/>
        <v>0</v>
      </c>
      <c r="AK17" s="128">
        <f t="shared" si="5"/>
        <v>0</v>
      </c>
      <c r="AL17" s="468"/>
      <c r="AM17" s="469">
        <v>1.5</v>
      </c>
      <c r="AN17" s="468"/>
      <c r="AO17" s="470"/>
      <c r="AP17" s="468"/>
      <c r="AQ17" s="469"/>
      <c r="AR17" s="468"/>
      <c r="AS17" s="469"/>
      <c r="AT17" s="468"/>
      <c r="AU17" s="469"/>
      <c r="AV17" s="468"/>
      <c r="AW17" s="470"/>
      <c r="AX17" s="468"/>
      <c r="AY17" s="469">
        <v>2</v>
      </c>
      <c r="AZ17" s="468"/>
      <c r="BA17" s="469">
        <v>1.5</v>
      </c>
      <c r="BB17" s="468"/>
      <c r="BC17" s="469"/>
      <c r="BD17" s="470"/>
      <c r="BE17" s="469"/>
      <c r="BF17" s="468"/>
      <c r="BG17" s="469">
        <v>2</v>
      </c>
      <c r="BH17" s="468"/>
      <c r="BI17" s="469"/>
      <c r="BJ17" s="468"/>
      <c r="BK17" s="470"/>
      <c r="BL17" s="468"/>
      <c r="BM17" s="469"/>
      <c r="BN17" s="468"/>
      <c r="BO17" s="469">
        <v>3</v>
      </c>
      <c r="BP17" s="468"/>
      <c r="BQ17" s="245">
        <f t="shared" si="6"/>
        <v>10</v>
      </c>
      <c r="BR17" s="245">
        <f t="shared" si="7"/>
        <v>0</v>
      </c>
      <c r="BS17" s="103">
        <f t="shared" si="8"/>
        <v>1</v>
      </c>
    </row>
    <row r="18" spans="1:71" ht="21" customHeight="1" x14ac:dyDescent="0.25">
      <c r="A18" s="224" t="s">
        <v>116</v>
      </c>
      <c r="B18" s="123" t="str">
        <f>VLOOKUP(A18,'Mã NV'!$A$1:$C$27,2,0)</f>
        <v>Thạch Ngọc Tiến</v>
      </c>
      <c r="C18" s="453">
        <v>1</v>
      </c>
      <c r="D18" s="453" t="s">
        <v>439</v>
      </c>
      <c r="E18" s="453" t="s">
        <v>439</v>
      </c>
      <c r="F18" s="452"/>
      <c r="G18" s="453" t="s">
        <v>439</v>
      </c>
      <c r="H18" s="453"/>
      <c r="I18" s="453">
        <v>1</v>
      </c>
      <c r="J18" s="453">
        <v>1</v>
      </c>
      <c r="K18" s="453">
        <v>1</v>
      </c>
      <c r="L18" s="453">
        <v>1</v>
      </c>
      <c r="M18" s="453">
        <v>1</v>
      </c>
      <c r="N18" s="452"/>
      <c r="O18" s="453">
        <v>1</v>
      </c>
      <c r="P18" s="453">
        <v>1</v>
      </c>
      <c r="Q18" s="453">
        <v>1</v>
      </c>
      <c r="R18" s="453">
        <v>1</v>
      </c>
      <c r="S18" s="453">
        <v>1</v>
      </c>
      <c r="T18" s="453">
        <v>1</v>
      </c>
      <c r="U18" s="452"/>
      <c r="V18" s="453">
        <v>1</v>
      </c>
      <c r="W18" s="453">
        <v>1</v>
      </c>
      <c r="X18" s="453">
        <v>1</v>
      </c>
      <c r="Y18" s="453">
        <v>1</v>
      </c>
      <c r="Z18" s="453">
        <v>1</v>
      </c>
      <c r="AA18" s="453">
        <v>1</v>
      </c>
      <c r="AB18" s="452"/>
      <c r="AC18" s="453">
        <v>1</v>
      </c>
      <c r="AD18" s="453">
        <v>1</v>
      </c>
      <c r="AE18" s="453">
        <v>1</v>
      </c>
      <c r="AF18" s="453">
        <v>1</v>
      </c>
      <c r="AG18" s="453">
        <v>1</v>
      </c>
      <c r="AH18" s="128">
        <f t="shared" ref="AH18:AH24" si="9">SUM(C18:AG18)-AI18</f>
        <v>23</v>
      </c>
      <c r="AI18" s="128">
        <f t="shared" ref="AI18:AI24" si="10">SUMIF($C$4:$AG$4,"LT",C18:AG18)</f>
        <v>0</v>
      </c>
      <c r="AJ18" s="128">
        <f t="shared" ref="AJ18:AJ24" si="11">COUNTIF(C18:AG18,"P")</f>
        <v>3</v>
      </c>
      <c r="AK18" s="128">
        <f t="shared" ref="AK18:AK24" si="12">COUNTIF(C18:AG18,"LT")</f>
        <v>0</v>
      </c>
      <c r="AL18" s="468"/>
      <c r="AM18" s="469"/>
      <c r="AN18" s="468"/>
      <c r="AO18" s="470"/>
      <c r="AP18" s="468"/>
      <c r="AQ18" s="469"/>
      <c r="AR18" s="468"/>
      <c r="AS18" s="469"/>
      <c r="AT18" s="468"/>
      <c r="AU18" s="469"/>
      <c r="AV18" s="468"/>
      <c r="AW18" s="470"/>
      <c r="AX18" s="468"/>
      <c r="AY18" s="469">
        <v>2</v>
      </c>
      <c r="AZ18" s="468"/>
      <c r="BA18" s="469"/>
      <c r="BB18" s="468"/>
      <c r="BC18" s="469"/>
      <c r="BD18" s="470">
        <v>8</v>
      </c>
      <c r="BE18" s="469"/>
      <c r="BF18" s="468"/>
      <c r="BG18" s="469">
        <v>2</v>
      </c>
      <c r="BH18" s="468"/>
      <c r="BI18" s="469"/>
      <c r="BJ18" s="468"/>
      <c r="BK18" s="470"/>
      <c r="BL18" s="468"/>
      <c r="BM18" s="469"/>
      <c r="BN18" s="468"/>
      <c r="BO18" s="469">
        <v>3</v>
      </c>
      <c r="BP18" s="468"/>
      <c r="BQ18" s="245">
        <f t="shared" ref="BQ18:BQ24" si="13">SUM(AL18:BP18)-BR18</f>
        <v>7</v>
      </c>
      <c r="BR18" s="245">
        <f t="shared" ref="BR18:BR24" si="14">SUMIF($AL$4:$BP$4,"CN",AL18:BP18)</f>
        <v>8</v>
      </c>
      <c r="BS18" s="103">
        <f t="shared" ref="BS18:BS24" si="15">COUNTIFS(AL18:BP18,"&gt;="&amp;$BS$2,$AL$4:$BP$4,"&lt;&gt;CN")</f>
        <v>1</v>
      </c>
    </row>
    <row r="19" spans="1:71" ht="21" customHeight="1" x14ac:dyDescent="0.25">
      <c r="A19" s="224" t="s">
        <v>117</v>
      </c>
      <c r="B19" s="123" t="str">
        <f>VLOOKUP(A19,'Mã NV'!$A$1:$C$27,2,0)</f>
        <v>Nguyễn Tuấn Vinh</v>
      </c>
      <c r="C19" s="453">
        <v>1</v>
      </c>
      <c r="D19" s="453">
        <v>1</v>
      </c>
      <c r="E19" s="453">
        <v>1</v>
      </c>
      <c r="F19" s="452"/>
      <c r="G19" s="453">
        <v>1</v>
      </c>
      <c r="H19" s="453"/>
      <c r="I19" s="453">
        <v>1</v>
      </c>
      <c r="J19" s="453">
        <v>1</v>
      </c>
      <c r="K19" s="453">
        <v>1</v>
      </c>
      <c r="L19" s="453">
        <v>1</v>
      </c>
      <c r="M19" s="453">
        <v>1</v>
      </c>
      <c r="N19" s="452"/>
      <c r="O19" s="453">
        <v>1</v>
      </c>
      <c r="P19" s="453">
        <v>1</v>
      </c>
      <c r="Q19" s="453">
        <v>1</v>
      </c>
      <c r="R19" s="453">
        <v>1</v>
      </c>
      <c r="S19" s="453">
        <v>1</v>
      </c>
      <c r="T19" s="453">
        <v>1</v>
      </c>
      <c r="U19" s="452"/>
      <c r="V19" s="453">
        <v>1</v>
      </c>
      <c r="W19" s="453">
        <v>1</v>
      </c>
      <c r="X19" s="453">
        <v>1</v>
      </c>
      <c r="Y19" s="453">
        <v>1</v>
      </c>
      <c r="Z19" s="453">
        <v>1</v>
      </c>
      <c r="AA19" s="453">
        <v>1</v>
      </c>
      <c r="AB19" s="452"/>
      <c r="AC19" s="453">
        <v>1</v>
      </c>
      <c r="AD19" s="453">
        <v>1</v>
      </c>
      <c r="AE19" s="453">
        <v>1</v>
      </c>
      <c r="AF19" s="453">
        <v>1</v>
      </c>
      <c r="AG19" s="453">
        <v>1</v>
      </c>
      <c r="AH19" s="128">
        <f t="shared" si="9"/>
        <v>26</v>
      </c>
      <c r="AI19" s="128">
        <f t="shared" si="10"/>
        <v>0</v>
      </c>
      <c r="AJ19" s="128">
        <f t="shared" si="11"/>
        <v>0</v>
      </c>
      <c r="AK19" s="128">
        <f t="shared" si="12"/>
        <v>0</v>
      </c>
      <c r="AL19" s="468"/>
      <c r="AM19" s="469">
        <v>1.5</v>
      </c>
      <c r="AN19" s="468">
        <v>1.5</v>
      </c>
      <c r="AO19" s="470"/>
      <c r="AP19" s="468"/>
      <c r="AQ19" s="469"/>
      <c r="AR19" s="468"/>
      <c r="AS19" s="469"/>
      <c r="AT19" s="468"/>
      <c r="AU19" s="469"/>
      <c r="AV19" s="468"/>
      <c r="AW19" s="470"/>
      <c r="AX19" s="468"/>
      <c r="AY19" s="469"/>
      <c r="AZ19" s="468"/>
      <c r="BA19" s="469">
        <v>1</v>
      </c>
      <c r="BB19" s="468"/>
      <c r="BC19" s="469"/>
      <c r="BD19" s="470">
        <v>8</v>
      </c>
      <c r="BE19" s="469"/>
      <c r="BF19" s="468"/>
      <c r="BG19" s="469"/>
      <c r="BH19" s="468"/>
      <c r="BI19" s="469">
        <v>2.1</v>
      </c>
      <c r="BJ19" s="468"/>
      <c r="BK19" s="470"/>
      <c r="BL19" s="468"/>
      <c r="BM19" s="469"/>
      <c r="BN19" s="468"/>
      <c r="BO19" s="469">
        <v>3</v>
      </c>
      <c r="BP19" s="468"/>
      <c r="BQ19" s="245">
        <f t="shared" si="13"/>
        <v>9.1000000000000014</v>
      </c>
      <c r="BR19" s="245">
        <f t="shared" si="14"/>
        <v>8</v>
      </c>
      <c r="BS19" s="103">
        <f t="shared" si="15"/>
        <v>1</v>
      </c>
    </row>
    <row r="20" spans="1:71" ht="21" customHeight="1" x14ac:dyDescent="0.25">
      <c r="A20" s="224" t="s">
        <v>118</v>
      </c>
      <c r="B20" s="123" t="str">
        <f>VLOOKUP(A20,'Mã NV'!$A$1:$C$27,2,0)</f>
        <v>Trần Thanh Nguyên</v>
      </c>
      <c r="C20" s="453">
        <v>1</v>
      </c>
      <c r="D20" s="453">
        <v>1</v>
      </c>
      <c r="E20" s="453">
        <v>1</v>
      </c>
      <c r="F20" s="452"/>
      <c r="G20" s="453" t="s">
        <v>439</v>
      </c>
      <c r="H20" s="453"/>
      <c r="I20" s="453">
        <v>1</v>
      </c>
      <c r="J20" s="453">
        <v>1</v>
      </c>
      <c r="K20" s="453">
        <v>1</v>
      </c>
      <c r="L20" s="453">
        <v>1</v>
      </c>
      <c r="M20" s="453">
        <v>1</v>
      </c>
      <c r="N20" s="452"/>
      <c r="O20" s="453">
        <v>1</v>
      </c>
      <c r="P20" s="453">
        <v>1</v>
      </c>
      <c r="Q20" s="453">
        <v>1</v>
      </c>
      <c r="R20" s="453">
        <v>1</v>
      </c>
      <c r="S20" s="453">
        <v>1</v>
      </c>
      <c r="T20" s="453">
        <v>1</v>
      </c>
      <c r="U20" s="452"/>
      <c r="V20" s="453">
        <v>1</v>
      </c>
      <c r="W20" s="453">
        <v>1</v>
      </c>
      <c r="X20" s="453">
        <v>1</v>
      </c>
      <c r="Y20" s="453">
        <v>1</v>
      </c>
      <c r="Z20" s="453">
        <v>1</v>
      </c>
      <c r="AA20" s="453">
        <v>1</v>
      </c>
      <c r="AB20" s="452"/>
      <c r="AC20" s="453">
        <v>1</v>
      </c>
      <c r="AD20" s="453">
        <v>1</v>
      </c>
      <c r="AE20" s="453">
        <v>1</v>
      </c>
      <c r="AF20" s="453">
        <v>1</v>
      </c>
      <c r="AG20" s="453">
        <v>1</v>
      </c>
      <c r="AH20" s="128">
        <f t="shared" si="9"/>
        <v>25</v>
      </c>
      <c r="AI20" s="128">
        <f t="shared" si="10"/>
        <v>0</v>
      </c>
      <c r="AJ20" s="128">
        <f t="shared" si="11"/>
        <v>1</v>
      </c>
      <c r="AK20" s="128">
        <f t="shared" si="12"/>
        <v>0</v>
      </c>
      <c r="AL20" s="468"/>
      <c r="AM20" s="469"/>
      <c r="AN20" s="468">
        <v>2</v>
      </c>
      <c r="AO20" s="470">
        <v>8</v>
      </c>
      <c r="AP20" s="468"/>
      <c r="AQ20" s="469"/>
      <c r="AR20" s="468"/>
      <c r="AS20" s="469"/>
      <c r="AT20" s="468"/>
      <c r="AU20" s="469"/>
      <c r="AV20" s="468"/>
      <c r="AW20" s="470">
        <v>8</v>
      </c>
      <c r="AX20" s="468"/>
      <c r="AY20" s="469"/>
      <c r="AZ20" s="468"/>
      <c r="BA20" s="469"/>
      <c r="BB20" s="468"/>
      <c r="BC20" s="469"/>
      <c r="BD20" s="470">
        <v>8</v>
      </c>
      <c r="BE20" s="469"/>
      <c r="BF20" s="468"/>
      <c r="BG20" s="469">
        <v>2</v>
      </c>
      <c r="BH20" s="468"/>
      <c r="BI20" s="469"/>
      <c r="BJ20" s="468"/>
      <c r="BK20" s="470"/>
      <c r="BL20" s="468"/>
      <c r="BM20" s="469">
        <v>4</v>
      </c>
      <c r="BN20" s="468"/>
      <c r="BO20" s="469">
        <v>3</v>
      </c>
      <c r="BP20" s="468"/>
      <c r="BQ20" s="245">
        <f t="shared" si="13"/>
        <v>11</v>
      </c>
      <c r="BR20" s="245">
        <f t="shared" si="14"/>
        <v>24</v>
      </c>
      <c r="BS20" s="103">
        <f t="shared" si="15"/>
        <v>2</v>
      </c>
    </row>
    <row r="21" spans="1:71" s="93" customFormat="1" ht="21" customHeight="1" x14ac:dyDescent="0.25">
      <c r="A21" s="224" t="s">
        <v>119</v>
      </c>
      <c r="B21" s="123" t="str">
        <f>VLOOKUP(A21,'Mã NV'!$A$1:$C$27,2,0)</f>
        <v>Lê Nhật Trường Giang</v>
      </c>
      <c r="C21" s="453">
        <v>1</v>
      </c>
      <c r="D21" s="453">
        <v>1</v>
      </c>
      <c r="E21" s="453">
        <v>1</v>
      </c>
      <c r="F21" s="452"/>
      <c r="G21" s="453">
        <v>1</v>
      </c>
      <c r="H21" s="453"/>
      <c r="I21" s="453">
        <v>1</v>
      </c>
      <c r="J21" s="453">
        <v>1</v>
      </c>
      <c r="K21" s="453">
        <v>1</v>
      </c>
      <c r="L21" s="453" t="s">
        <v>439</v>
      </c>
      <c r="M21" s="453">
        <v>1</v>
      </c>
      <c r="N21" s="452"/>
      <c r="O21" s="453">
        <v>1</v>
      </c>
      <c r="P21" s="453">
        <v>1</v>
      </c>
      <c r="Q21" s="453">
        <v>1</v>
      </c>
      <c r="R21" s="453">
        <v>1</v>
      </c>
      <c r="S21" s="453">
        <v>1</v>
      </c>
      <c r="T21" s="453">
        <v>1</v>
      </c>
      <c r="U21" s="452"/>
      <c r="V21" s="453">
        <v>1</v>
      </c>
      <c r="W21" s="453">
        <v>1</v>
      </c>
      <c r="X21" s="453">
        <v>1</v>
      </c>
      <c r="Y21" s="453">
        <v>1</v>
      </c>
      <c r="Z21" s="453">
        <v>1</v>
      </c>
      <c r="AA21" s="453">
        <v>1</v>
      </c>
      <c r="AB21" s="452"/>
      <c r="AC21" s="453">
        <v>1</v>
      </c>
      <c r="AD21" s="453">
        <v>1</v>
      </c>
      <c r="AE21" s="453">
        <v>1</v>
      </c>
      <c r="AF21" s="453">
        <v>1</v>
      </c>
      <c r="AG21" s="453">
        <v>1</v>
      </c>
      <c r="AH21" s="128">
        <f t="shared" si="9"/>
        <v>25</v>
      </c>
      <c r="AI21" s="128">
        <f t="shared" si="10"/>
        <v>0</v>
      </c>
      <c r="AJ21" s="128">
        <f t="shared" si="11"/>
        <v>1</v>
      </c>
      <c r="AK21" s="128">
        <f t="shared" si="12"/>
        <v>0</v>
      </c>
      <c r="AL21" s="468"/>
      <c r="AM21" s="469">
        <v>1.5</v>
      </c>
      <c r="AN21" s="468">
        <v>1.5</v>
      </c>
      <c r="AO21" s="470"/>
      <c r="AP21" s="468"/>
      <c r="AQ21" s="469"/>
      <c r="AR21" s="468"/>
      <c r="AS21" s="469"/>
      <c r="AT21" s="468"/>
      <c r="AU21" s="469"/>
      <c r="AV21" s="468"/>
      <c r="AW21" s="470"/>
      <c r="AX21" s="468"/>
      <c r="AY21" s="469">
        <v>2</v>
      </c>
      <c r="AZ21" s="468"/>
      <c r="BA21" s="469">
        <v>1</v>
      </c>
      <c r="BB21" s="468"/>
      <c r="BC21" s="469"/>
      <c r="BD21" s="470">
        <v>8</v>
      </c>
      <c r="BE21" s="469"/>
      <c r="BF21" s="468"/>
      <c r="BG21" s="469"/>
      <c r="BH21" s="468"/>
      <c r="BI21" s="469"/>
      <c r="BJ21" s="468">
        <v>0.5</v>
      </c>
      <c r="BK21" s="470">
        <v>8</v>
      </c>
      <c r="BL21" s="468">
        <v>1</v>
      </c>
      <c r="BM21" s="469"/>
      <c r="BN21" s="468"/>
      <c r="BO21" s="469">
        <v>3</v>
      </c>
      <c r="BP21" s="468">
        <v>2.5</v>
      </c>
      <c r="BQ21" s="245">
        <f t="shared" si="13"/>
        <v>13</v>
      </c>
      <c r="BR21" s="245">
        <f t="shared" si="14"/>
        <v>16</v>
      </c>
      <c r="BS21" s="103">
        <f t="shared" si="15"/>
        <v>1</v>
      </c>
    </row>
    <row r="22" spans="1:71" s="93" customFormat="1" ht="21" customHeight="1" x14ac:dyDescent="0.25">
      <c r="A22" s="224" t="s">
        <v>120</v>
      </c>
      <c r="B22" s="123" t="str">
        <f>VLOOKUP(A22,'Mã NV'!$A$1:$C$27,2,0)</f>
        <v>Thạch Ngọc Thắng</v>
      </c>
      <c r="C22" s="453">
        <v>1</v>
      </c>
      <c r="D22" s="453" t="s">
        <v>439</v>
      </c>
      <c r="E22" s="453" t="s">
        <v>439</v>
      </c>
      <c r="F22" s="452"/>
      <c r="G22" s="453" t="s">
        <v>439</v>
      </c>
      <c r="H22" s="453"/>
      <c r="I22" s="453">
        <v>1</v>
      </c>
      <c r="J22" s="453">
        <v>1</v>
      </c>
      <c r="K22" s="453">
        <v>1</v>
      </c>
      <c r="L22" s="453">
        <v>1</v>
      </c>
      <c r="M22" s="453">
        <v>1</v>
      </c>
      <c r="N22" s="452"/>
      <c r="O22" s="453">
        <v>1</v>
      </c>
      <c r="P22" s="453">
        <v>1</v>
      </c>
      <c r="Q22" s="453">
        <v>1</v>
      </c>
      <c r="R22" s="453">
        <v>1</v>
      </c>
      <c r="S22" s="453">
        <v>1</v>
      </c>
      <c r="T22" s="453">
        <v>1</v>
      </c>
      <c r="U22" s="452"/>
      <c r="V22" s="453">
        <v>1</v>
      </c>
      <c r="W22" s="453">
        <v>1</v>
      </c>
      <c r="X22" s="453">
        <v>1</v>
      </c>
      <c r="Y22" s="453">
        <v>1</v>
      </c>
      <c r="Z22" s="453">
        <v>1</v>
      </c>
      <c r="AA22" s="453">
        <v>1</v>
      </c>
      <c r="AB22" s="452"/>
      <c r="AC22" s="453">
        <v>1</v>
      </c>
      <c r="AD22" s="453">
        <v>1</v>
      </c>
      <c r="AE22" s="453">
        <v>1</v>
      </c>
      <c r="AF22" s="453">
        <v>1</v>
      </c>
      <c r="AG22" s="453">
        <v>1</v>
      </c>
      <c r="AH22" s="128">
        <f t="shared" si="9"/>
        <v>23</v>
      </c>
      <c r="AI22" s="128">
        <f t="shared" si="10"/>
        <v>0</v>
      </c>
      <c r="AJ22" s="128">
        <f t="shared" si="11"/>
        <v>3</v>
      </c>
      <c r="AK22" s="128">
        <f t="shared" si="12"/>
        <v>0</v>
      </c>
      <c r="AL22" s="468"/>
      <c r="AM22" s="469"/>
      <c r="AN22" s="468"/>
      <c r="AO22" s="470"/>
      <c r="AP22" s="468"/>
      <c r="AQ22" s="469"/>
      <c r="AR22" s="468"/>
      <c r="AS22" s="469"/>
      <c r="AT22" s="468"/>
      <c r="AU22" s="469"/>
      <c r="AV22" s="468"/>
      <c r="AW22" s="470"/>
      <c r="AX22" s="468"/>
      <c r="AY22" s="469"/>
      <c r="AZ22" s="468"/>
      <c r="BA22" s="469">
        <v>1.5</v>
      </c>
      <c r="BB22" s="468"/>
      <c r="BC22" s="469"/>
      <c r="BD22" s="470">
        <v>8</v>
      </c>
      <c r="BE22" s="469"/>
      <c r="BF22" s="468"/>
      <c r="BG22" s="469"/>
      <c r="BH22" s="468">
        <v>3</v>
      </c>
      <c r="BI22" s="469"/>
      <c r="BJ22" s="468"/>
      <c r="BK22" s="470"/>
      <c r="BL22" s="468">
        <v>1</v>
      </c>
      <c r="BM22" s="469"/>
      <c r="BN22" s="468"/>
      <c r="BO22" s="469">
        <v>3</v>
      </c>
      <c r="BP22" s="468"/>
      <c r="BQ22" s="245">
        <f t="shared" si="13"/>
        <v>8.5</v>
      </c>
      <c r="BR22" s="245">
        <f t="shared" si="14"/>
        <v>8</v>
      </c>
      <c r="BS22" s="103">
        <f t="shared" si="15"/>
        <v>2</v>
      </c>
    </row>
    <row r="23" spans="1:71" s="93" customFormat="1" ht="21" customHeight="1" x14ac:dyDescent="0.25">
      <c r="A23" s="224" t="s">
        <v>121</v>
      </c>
      <c r="B23" s="123" t="str">
        <f>VLOOKUP(A23,'Mã NV'!$A$1:$C$27,2,0)</f>
        <v>Dương Tấn Đạt</v>
      </c>
      <c r="C23" s="453" t="s">
        <v>439</v>
      </c>
      <c r="D23" s="453" t="s">
        <v>439</v>
      </c>
      <c r="E23" s="453" t="s">
        <v>439</v>
      </c>
      <c r="F23" s="452"/>
      <c r="G23" s="453">
        <v>1</v>
      </c>
      <c r="H23" s="453"/>
      <c r="I23" s="453">
        <v>1</v>
      </c>
      <c r="J23" s="453">
        <v>1</v>
      </c>
      <c r="K23" s="453">
        <v>1</v>
      </c>
      <c r="L23" s="453">
        <v>1</v>
      </c>
      <c r="M23" s="453">
        <v>1</v>
      </c>
      <c r="N23" s="452"/>
      <c r="O23" s="453">
        <v>1</v>
      </c>
      <c r="P23" s="453">
        <v>1</v>
      </c>
      <c r="Q23" s="453" t="s">
        <v>439</v>
      </c>
      <c r="R23" s="453" t="s">
        <v>439</v>
      </c>
      <c r="S23" s="453">
        <v>0</v>
      </c>
      <c r="T23" s="453">
        <v>0</v>
      </c>
      <c r="U23" s="452"/>
      <c r="V23" s="453">
        <v>0</v>
      </c>
      <c r="W23" s="453">
        <v>0</v>
      </c>
      <c r="X23" s="453">
        <v>0</v>
      </c>
      <c r="Y23" s="453">
        <v>0</v>
      </c>
      <c r="Z23" s="453">
        <v>0</v>
      </c>
      <c r="AA23" s="453">
        <v>0</v>
      </c>
      <c r="AB23" s="452"/>
      <c r="AC23" s="453">
        <v>1</v>
      </c>
      <c r="AD23" s="453">
        <v>1</v>
      </c>
      <c r="AE23" s="453">
        <v>1</v>
      </c>
      <c r="AF23" s="453">
        <v>1</v>
      </c>
      <c r="AG23" s="453">
        <v>1</v>
      </c>
      <c r="AH23" s="128">
        <f t="shared" si="9"/>
        <v>13</v>
      </c>
      <c r="AI23" s="128">
        <f t="shared" si="10"/>
        <v>0</v>
      </c>
      <c r="AJ23" s="128">
        <f t="shared" si="11"/>
        <v>5</v>
      </c>
      <c r="AK23" s="128">
        <f t="shared" si="12"/>
        <v>0</v>
      </c>
      <c r="AL23" s="468"/>
      <c r="AM23" s="469"/>
      <c r="AN23" s="468"/>
      <c r="AO23" s="470"/>
      <c r="AP23" s="468"/>
      <c r="AQ23" s="469"/>
      <c r="AR23" s="468"/>
      <c r="AS23" s="469"/>
      <c r="AT23" s="468"/>
      <c r="AU23" s="469"/>
      <c r="AV23" s="468"/>
      <c r="AW23" s="470">
        <v>8</v>
      </c>
      <c r="AX23" s="468"/>
      <c r="AY23" s="469"/>
      <c r="AZ23" s="468"/>
      <c r="BA23" s="469"/>
      <c r="BB23" s="468"/>
      <c r="BC23" s="469"/>
      <c r="BD23" s="470"/>
      <c r="BE23" s="469"/>
      <c r="BF23" s="468"/>
      <c r="BG23" s="469"/>
      <c r="BH23" s="468"/>
      <c r="BI23" s="469"/>
      <c r="BJ23" s="468"/>
      <c r="BK23" s="470"/>
      <c r="BL23" s="468"/>
      <c r="BM23" s="469"/>
      <c r="BN23" s="468"/>
      <c r="BO23" s="469"/>
      <c r="BP23" s="468"/>
      <c r="BQ23" s="245">
        <f t="shared" si="13"/>
        <v>0</v>
      </c>
      <c r="BR23" s="245">
        <f t="shared" si="14"/>
        <v>8</v>
      </c>
      <c r="BS23" s="103">
        <f t="shared" si="15"/>
        <v>0</v>
      </c>
    </row>
    <row r="24" spans="1:71" s="93" customFormat="1" ht="21" customHeight="1" x14ac:dyDescent="0.25">
      <c r="A24" s="224" t="s">
        <v>407</v>
      </c>
      <c r="B24" s="123" t="str">
        <f>VLOOKUP(A24,'Mã NV'!$A$1:$C$27,2,0)</f>
        <v>Nguyễn Thanh Hùng</v>
      </c>
      <c r="C24" s="453">
        <v>1</v>
      </c>
      <c r="D24" s="453">
        <v>1</v>
      </c>
      <c r="E24" s="453">
        <v>1</v>
      </c>
      <c r="F24" s="452"/>
      <c r="G24" s="453">
        <v>1</v>
      </c>
      <c r="H24" s="453"/>
      <c r="I24" s="453">
        <v>1</v>
      </c>
      <c r="J24" s="453">
        <v>1</v>
      </c>
      <c r="K24" s="453">
        <v>1</v>
      </c>
      <c r="L24" s="453">
        <v>1</v>
      </c>
      <c r="M24" s="453">
        <v>1</v>
      </c>
      <c r="N24" s="452"/>
      <c r="O24" s="453">
        <v>1</v>
      </c>
      <c r="P24" s="453">
        <v>1</v>
      </c>
      <c r="Q24" s="453">
        <v>1</v>
      </c>
      <c r="R24" s="453">
        <v>1</v>
      </c>
      <c r="S24" s="453">
        <v>1</v>
      </c>
      <c r="T24" s="453">
        <v>1</v>
      </c>
      <c r="U24" s="452"/>
      <c r="V24" s="453">
        <v>1</v>
      </c>
      <c r="W24" s="453">
        <v>1</v>
      </c>
      <c r="X24" s="453">
        <v>1</v>
      </c>
      <c r="Y24" s="453">
        <v>1</v>
      </c>
      <c r="Z24" s="453">
        <v>1</v>
      </c>
      <c r="AA24" s="453">
        <v>1</v>
      </c>
      <c r="AB24" s="452"/>
      <c r="AC24" s="453">
        <v>1</v>
      </c>
      <c r="AD24" s="453">
        <v>1</v>
      </c>
      <c r="AE24" s="453">
        <v>1</v>
      </c>
      <c r="AF24" s="453">
        <v>1</v>
      </c>
      <c r="AG24" s="453">
        <v>1</v>
      </c>
      <c r="AH24" s="128">
        <f t="shared" si="9"/>
        <v>26</v>
      </c>
      <c r="AI24" s="128">
        <f t="shared" si="10"/>
        <v>0</v>
      </c>
      <c r="AJ24" s="128">
        <f t="shared" si="11"/>
        <v>0</v>
      </c>
      <c r="AK24" s="128">
        <f t="shared" si="12"/>
        <v>0</v>
      </c>
      <c r="AL24" s="468"/>
      <c r="AM24" s="469">
        <v>1.5</v>
      </c>
      <c r="AN24" s="468"/>
      <c r="AO24" s="470">
        <v>8</v>
      </c>
      <c r="AP24" s="468"/>
      <c r="AQ24" s="469"/>
      <c r="AR24" s="468"/>
      <c r="AS24" s="469"/>
      <c r="AT24" s="468"/>
      <c r="AU24" s="469"/>
      <c r="AV24" s="468"/>
      <c r="AW24" s="470"/>
      <c r="AX24" s="468"/>
      <c r="AY24" s="469"/>
      <c r="AZ24" s="468"/>
      <c r="BA24" s="469">
        <v>1.5</v>
      </c>
      <c r="BB24" s="468"/>
      <c r="BC24" s="469"/>
      <c r="BD24" s="470">
        <v>8</v>
      </c>
      <c r="BE24" s="469">
        <v>4</v>
      </c>
      <c r="BF24" s="468"/>
      <c r="BG24" s="469">
        <v>14.5</v>
      </c>
      <c r="BH24" s="468"/>
      <c r="BI24" s="469">
        <v>3</v>
      </c>
      <c r="BJ24" s="468">
        <v>0.5</v>
      </c>
      <c r="BK24" s="470"/>
      <c r="BL24" s="468"/>
      <c r="BM24" s="469"/>
      <c r="BN24" s="468"/>
      <c r="BO24" s="469">
        <v>1</v>
      </c>
      <c r="BP24" s="468">
        <v>2.5</v>
      </c>
      <c r="BQ24" s="245">
        <f t="shared" si="13"/>
        <v>28.5</v>
      </c>
      <c r="BR24" s="245">
        <f t="shared" si="14"/>
        <v>16</v>
      </c>
      <c r="BS24" s="103">
        <f t="shared" si="15"/>
        <v>3</v>
      </c>
    </row>
    <row r="25" spans="1:71" s="93" customFormat="1" ht="21" customHeight="1" x14ac:dyDescent="0.25">
      <c r="A25" s="224" t="s">
        <v>409</v>
      </c>
      <c r="B25" s="123" t="str">
        <f>VLOOKUP(A25,'Mã NV'!$A$1:$C$27,2,0)</f>
        <v>Đặng Văn Luân</v>
      </c>
      <c r="C25" s="453">
        <v>1</v>
      </c>
      <c r="D25" s="453">
        <v>1</v>
      </c>
      <c r="E25" s="453">
        <v>1</v>
      </c>
      <c r="F25" s="452"/>
      <c r="G25" s="453">
        <v>1</v>
      </c>
      <c r="H25" s="453"/>
      <c r="I25" s="453">
        <v>1</v>
      </c>
      <c r="J25" s="453">
        <v>1</v>
      </c>
      <c r="K25" s="453">
        <v>1</v>
      </c>
      <c r="L25" s="453">
        <v>1</v>
      </c>
      <c r="M25" s="453">
        <v>1</v>
      </c>
      <c r="N25" s="452"/>
      <c r="O25" s="453">
        <v>1</v>
      </c>
      <c r="P25" s="453">
        <v>1</v>
      </c>
      <c r="Q25" s="453">
        <v>1</v>
      </c>
      <c r="R25" s="453">
        <v>1</v>
      </c>
      <c r="S25" s="453">
        <v>1</v>
      </c>
      <c r="T25" s="453">
        <v>1</v>
      </c>
      <c r="U25" s="452"/>
      <c r="V25" s="453">
        <v>1</v>
      </c>
      <c r="W25" s="453">
        <v>1</v>
      </c>
      <c r="X25" s="453">
        <v>1</v>
      </c>
      <c r="Y25" s="453">
        <v>1</v>
      </c>
      <c r="Z25" s="453">
        <v>1</v>
      </c>
      <c r="AA25" s="453">
        <v>1</v>
      </c>
      <c r="AB25" s="452"/>
      <c r="AC25" s="453">
        <v>1</v>
      </c>
      <c r="AD25" s="453">
        <v>1</v>
      </c>
      <c r="AE25" s="453">
        <v>1</v>
      </c>
      <c r="AF25" s="453">
        <v>1</v>
      </c>
      <c r="AG25" s="453">
        <v>1</v>
      </c>
      <c r="AH25" s="128">
        <f>SUM(C25:AG25)-AI25</f>
        <v>26</v>
      </c>
      <c r="AI25" s="128">
        <f>SUMIF($C$4:$AG$4,"LT",C25:AG25)</f>
        <v>0</v>
      </c>
      <c r="AJ25" s="128">
        <f>COUNTIF(C25:AG25,"P")</f>
        <v>0</v>
      </c>
      <c r="AK25" s="128">
        <f>COUNTIF(C25:AG25,"LT")</f>
        <v>0</v>
      </c>
      <c r="AL25" s="468"/>
      <c r="AM25" s="469">
        <v>1.5</v>
      </c>
      <c r="AN25" s="468"/>
      <c r="AO25" s="470"/>
      <c r="AP25" s="468"/>
      <c r="AQ25" s="469"/>
      <c r="AR25" s="468"/>
      <c r="AS25" s="469"/>
      <c r="AT25" s="468"/>
      <c r="AU25" s="469"/>
      <c r="AV25" s="468"/>
      <c r="AW25" s="470"/>
      <c r="AX25" s="468"/>
      <c r="AY25" s="469"/>
      <c r="AZ25" s="468"/>
      <c r="BA25" s="469"/>
      <c r="BB25" s="468"/>
      <c r="BC25" s="469"/>
      <c r="BD25" s="470"/>
      <c r="BE25" s="469"/>
      <c r="BF25" s="468"/>
      <c r="BG25" s="469">
        <v>2</v>
      </c>
      <c r="BH25" s="468"/>
      <c r="BI25" s="469"/>
      <c r="BJ25" s="468"/>
      <c r="BK25" s="470"/>
      <c r="BL25" s="468"/>
      <c r="BM25" s="469"/>
      <c r="BN25" s="468"/>
      <c r="BO25" s="469"/>
      <c r="BP25" s="468">
        <v>2.5</v>
      </c>
      <c r="BQ25" s="245">
        <f>SUM(AL25:BP25)-BR25</f>
        <v>6</v>
      </c>
      <c r="BR25" s="245">
        <f>SUMIF($AL$4:$BP$4,"CN",AL25:BP25)</f>
        <v>0</v>
      </c>
      <c r="BS25" s="103">
        <f>COUNTIFS(AL25:BP25,"&gt;="&amp;$BS$2,$AL$4:$BP$4,"&lt;&gt;CN")</f>
        <v>0</v>
      </c>
    </row>
    <row r="26" spans="1:71" s="93" customFormat="1" ht="21" customHeight="1" x14ac:dyDescent="0.25">
      <c r="A26" s="224" t="s">
        <v>410</v>
      </c>
      <c r="B26" s="123" t="str">
        <f>VLOOKUP(A26,'Mã NV'!$A$1:$C$27,2,0)</f>
        <v>Phan Thanh Minh</v>
      </c>
      <c r="C26" s="453">
        <v>1</v>
      </c>
      <c r="D26" s="453">
        <v>1</v>
      </c>
      <c r="E26" s="453">
        <v>1</v>
      </c>
      <c r="F26" s="452"/>
      <c r="G26" s="453">
        <v>1</v>
      </c>
      <c r="H26" s="453"/>
      <c r="I26" s="453">
        <v>1</v>
      </c>
      <c r="J26" s="453">
        <v>1</v>
      </c>
      <c r="K26" s="453">
        <v>1</v>
      </c>
      <c r="L26" s="453">
        <v>1</v>
      </c>
      <c r="M26" s="453">
        <v>1</v>
      </c>
      <c r="N26" s="452"/>
      <c r="O26" s="453">
        <v>1</v>
      </c>
      <c r="P26" s="453">
        <v>1</v>
      </c>
      <c r="Q26" s="453">
        <v>1</v>
      </c>
      <c r="R26" s="453">
        <v>1</v>
      </c>
      <c r="S26" s="453">
        <v>1</v>
      </c>
      <c r="T26" s="453">
        <v>1</v>
      </c>
      <c r="U26" s="452"/>
      <c r="V26" s="453">
        <v>1</v>
      </c>
      <c r="W26" s="453">
        <v>1</v>
      </c>
      <c r="X26" s="453">
        <v>1</v>
      </c>
      <c r="Y26" s="453">
        <v>1</v>
      </c>
      <c r="Z26" s="453">
        <v>1</v>
      </c>
      <c r="AA26" s="453">
        <v>1</v>
      </c>
      <c r="AB26" s="452"/>
      <c r="AC26" s="453">
        <v>1</v>
      </c>
      <c r="AD26" s="453">
        <v>1</v>
      </c>
      <c r="AE26" s="453">
        <v>1</v>
      </c>
      <c r="AF26" s="453">
        <v>1</v>
      </c>
      <c r="AG26" s="453">
        <v>1</v>
      </c>
      <c r="AH26" s="128">
        <f>SUM(C26:AG26)-AI26</f>
        <v>26</v>
      </c>
      <c r="AI26" s="128">
        <f>SUMIF($C$4:$AG$4,"LT",C26:AG26)</f>
        <v>0</v>
      </c>
      <c r="AJ26" s="128">
        <f>COUNTIF(C26:AG26,"P")</f>
        <v>0</v>
      </c>
      <c r="AK26" s="128">
        <f>COUNTIF(C26:AG26,"LT")</f>
        <v>0</v>
      </c>
      <c r="AL26" s="468"/>
      <c r="AM26" s="469">
        <v>1.5</v>
      </c>
      <c r="AN26" s="468">
        <v>2</v>
      </c>
      <c r="AO26" s="470"/>
      <c r="AP26" s="468"/>
      <c r="AQ26" s="469"/>
      <c r="AR26" s="468"/>
      <c r="AS26" s="469"/>
      <c r="AT26" s="468"/>
      <c r="AU26" s="469"/>
      <c r="AV26" s="468"/>
      <c r="AW26" s="470">
        <v>8</v>
      </c>
      <c r="AX26" s="468"/>
      <c r="AY26" s="469"/>
      <c r="AZ26" s="468"/>
      <c r="BA26" s="469"/>
      <c r="BB26" s="468"/>
      <c r="BC26" s="469"/>
      <c r="BD26" s="470">
        <v>8</v>
      </c>
      <c r="BE26" s="469"/>
      <c r="BF26" s="468"/>
      <c r="BG26" s="469">
        <v>2</v>
      </c>
      <c r="BH26" s="468"/>
      <c r="BI26" s="469"/>
      <c r="BJ26" s="468"/>
      <c r="BK26" s="470"/>
      <c r="BL26" s="468"/>
      <c r="BM26" s="469"/>
      <c r="BN26" s="468"/>
      <c r="BO26" s="469">
        <v>3</v>
      </c>
      <c r="BP26" s="468"/>
      <c r="BQ26" s="245">
        <f>SUM(AL26:BP26)-BR26</f>
        <v>8.5</v>
      </c>
      <c r="BR26" s="245">
        <f>SUMIF($AL$4:$BP$4,"CN",AL26:BP26)</f>
        <v>16</v>
      </c>
      <c r="BS26" s="103">
        <f>COUNTIFS(AL26:BP26,"&gt;="&amp;$BS$2,$AL$4:$BP$4,"&lt;&gt;CN")</f>
        <v>1</v>
      </c>
    </row>
    <row r="27" spans="1:71" s="93" customFormat="1" ht="21" customHeight="1" x14ac:dyDescent="0.25">
      <c r="A27" s="224" t="s">
        <v>412</v>
      </c>
      <c r="B27" s="123" t="str">
        <f>VLOOKUP(A27,'Mã NV'!$A$1:$C$27,2,0)</f>
        <v>Danh Vươl</v>
      </c>
      <c r="C27" s="453">
        <v>1</v>
      </c>
      <c r="D27" s="453">
        <v>1</v>
      </c>
      <c r="E27" s="453">
        <v>1</v>
      </c>
      <c r="F27" s="452"/>
      <c r="G27" s="453">
        <v>1</v>
      </c>
      <c r="H27" s="453"/>
      <c r="I27" s="453">
        <v>1</v>
      </c>
      <c r="J27" s="453">
        <v>1</v>
      </c>
      <c r="K27" s="453">
        <v>1</v>
      </c>
      <c r="L27" s="453">
        <v>1</v>
      </c>
      <c r="M27" s="453">
        <v>1</v>
      </c>
      <c r="N27" s="452"/>
      <c r="O27" s="453">
        <v>1</v>
      </c>
      <c r="P27" s="453">
        <v>1</v>
      </c>
      <c r="Q27" s="453">
        <v>1</v>
      </c>
      <c r="R27" s="453">
        <v>1</v>
      </c>
      <c r="S27" s="453">
        <v>1</v>
      </c>
      <c r="T27" s="453">
        <v>1</v>
      </c>
      <c r="U27" s="452"/>
      <c r="V27" s="453">
        <v>1</v>
      </c>
      <c r="W27" s="453">
        <v>1</v>
      </c>
      <c r="X27" s="453">
        <v>1</v>
      </c>
      <c r="Y27" s="453">
        <v>1</v>
      </c>
      <c r="Z27" s="453">
        <v>1</v>
      </c>
      <c r="AA27" s="453">
        <v>1</v>
      </c>
      <c r="AB27" s="452"/>
      <c r="AC27" s="453">
        <v>1</v>
      </c>
      <c r="AD27" s="453">
        <v>1</v>
      </c>
      <c r="AE27" s="453">
        <v>1</v>
      </c>
      <c r="AF27" s="453">
        <v>1</v>
      </c>
      <c r="AG27" s="453">
        <v>1</v>
      </c>
      <c r="AH27" s="128">
        <f>SUM(C27:AG27)-AI27</f>
        <v>26</v>
      </c>
      <c r="AI27" s="128">
        <f>SUMIF($C$4:$AG$4,"LT",C27:AG27)</f>
        <v>0</v>
      </c>
      <c r="AJ27" s="128">
        <f>COUNTIF(C27:AG27,"P")</f>
        <v>0</v>
      </c>
      <c r="AK27" s="128">
        <f>COUNTIF(C27:AG27,"LT")</f>
        <v>0</v>
      </c>
      <c r="AL27" s="468"/>
      <c r="AM27" s="469"/>
      <c r="AN27" s="468"/>
      <c r="AO27" s="470"/>
      <c r="AP27" s="468"/>
      <c r="AQ27" s="469"/>
      <c r="AR27" s="468"/>
      <c r="AS27" s="469"/>
      <c r="AT27" s="468"/>
      <c r="AU27" s="469"/>
      <c r="AV27" s="468"/>
      <c r="AW27" s="470">
        <v>8</v>
      </c>
      <c r="AX27" s="468"/>
      <c r="AY27" s="469">
        <v>2</v>
      </c>
      <c r="AZ27" s="468"/>
      <c r="BA27" s="469">
        <v>2.5</v>
      </c>
      <c r="BB27" s="468"/>
      <c r="BC27" s="469"/>
      <c r="BD27" s="470">
        <v>8</v>
      </c>
      <c r="BE27" s="469"/>
      <c r="BF27" s="468"/>
      <c r="BG27" s="469">
        <v>3</v>
      </c>
      <c r="BH27" s="468">
        <v>3.5</v>
      </c>
      <c r="BI27" s="469">
        <v>2.5</v>
      </c>
      <c r="BJ27" s="468"/>
      <c r="BK27" s="470">
        <v>8</v>
      </c>
      <c r="BL27" s="468"/>
      <c r="BM27" s="469"/>
      <c r="BN27" s="468"/>
      <c r="BO27" s="469">
        <v>1.5</v>
      </c>
      <c r="BP27" s="468">
        <v>3</v>
      </c>
      <c r="BQ27" s="245">
        <f>SUM(AL27:BP27)-BR27</f>
        <v>18</v>
      </c>
      <c r="BR27" s="245">
        <f>SUMIF($AL$4:$BP$4,"CN",AL27:BP27)</f>
        <v>24</v>
      </c>
      <c r="BS27" s="103">
        <f>COUNTIFS(AL27:BP27,"&gt;="&amp;$BS$2,$AL$4:$BP$4,"&lt;&gt;CN")</f>
        <v>3</v>
      </c>
    </row>
    <row r="28" spans="1:71" s="93" customFormat="1" ht="21" customHeight="1" x14ac:dyDescent="0.25">
      <c r="A28" s="467"/>
      <c r="B28" s="463"/>
      <c r="C28" s="454"/>
      <c r="D28" s="455"/>
      <c r="E28" s="454"/>
      <c r="F28" s="454"/>
      <c r="G28" s="454"/>
      <c r="H28" s="454"/>
      <c r="I28" s="454"/>
      <c r="J28" s="454"/>
      <c r="K28" s="456"/>
      <c r="L28" s="454"/>
      <c r="M28" s="454"/>
      <c r="N28" s="454"/>
      <c r="O28" s="454"/>
      <c r="P28" s="454"/>
      <c r="Q28" s="454"/>
      <c r="R28" s="456"/>
      <c r="S28" s="454"/>
      <c r="T28" s="454"/>
      <c r="U28" s="454"/>
      <c r="V28" s="454"/>
      <c r="W28" s="454"/>
      <c r="X28" s="454"/>
      <c r="Y28" s="456"/>
      <c r="Z28" s="454"/>
      <c r="AA28" s="454"/>
      <c r="AB28" s="454"/>
      <c r="AC28" s="454"/>
      <c r="AD28" s="454"/>
      <c r="AE28" s="454"/>
      <c r="AF28" s="456"/>
      <c r="AG28" s="454"/>
      <c r="AH28" s="303"/>
      <c r="AI28" s="303"/>
      <c r="AJ28" s="303"/>
      <c r="AK28" s="303"/>
      <c r="AL28" s="302"/>
      <c r="AM28" s="302"/>
      <c r="AN28" s="302"/>
      <c r="AO28" s="302"/>
      <c r="AP28" s="302"/>
      <c r="AQ28" s="302"/>
      <c r="AR28" s="302"/>
      <c r="AS28" s="302"/>
      <c r="AT28" s="302"/>
      <c r="AU28" s="302"/>
      <c r="AV28" s="302"/>
      <c r="AW28" s="302"/>
      <c r="AX28" s="302"/>
      <c r="AY28" s="302"/>
      <c r="AZ28" s="302"/>
      <c r="BA28" s="302"/>
      <c r="BB28" s="302"/>
      <c r="BC28" s="302"/>
      <c r="BD28" s="302"/>
      <c r="BE28" s="302"/>
      <c r="BF28" s="302"/>
      <c r="BG28" s="302"/>
      <c r="BH28" s="302"/>
      <c r="BI28" s="302"/>
      <c r="BJ28" s="302"/>
      <c r="BK28" s="302"/>
      <c r="BL28" s="302"/>
      <c r="BM28" s="302"/>
      <c r="BN28" s="302"/>
      <c r="BO28" s="302"/>
      <c r="BP28" s="302"/>
      <c r="BQ28" s="304"/>
      <c r="BR28" s="304"/>
      <c r="BS28" s="305"/>
    </row>
    <row r="29" spans="1:71" ht="12.75" customHeight="1" x14ac:dyDescent="0.25">
      <c r="Y29" s="547"/>
      <c r="Z29" s="547"/>
      <c r="AA29" s="547"/>
      <c r="AB29" s="547"/>
      <c r="AC29" s="547"/>
      <c r="AD29" s="547"/>
      <c r="AE29" s="547"/>
      <c r="AF29" s="547"/>
      <c r="AG29" s="458"/>
      <c r="AL29" s="94"/>
      <c r="AM29" s="94"/>
      <c r="AN29" s="94"/>
      <c r="AO29" s="548"/>
      <c r="AP29" s="548"/>
      <c r="AQ29" s="548"/>
      <c r="AR29" s="94"/>
      <c r="AS29" s="94"/>
      <c r="BB29" s="94"/>
      <c r="BF29" s="94"/>
      <c r="BH29" s="94"/>
      <c r="BI29" s="94"/>
      <c r="BJ29" s="94"/>
      <c r="BK29" s="549"/>
      <c r="BL29" s="549"/>
      <c r="BM29" s="549"/>
      <c r="BN29" s="549"/>
      <c r="BO29" s="549"/>
      <c r="BP29" s="549"/>
      <c r="BQ29" s="549"/>
      <c r="BR29" s="549"/>
      <c r="BS29" s="102"/>
    </row>
    <row r="30" spans="1:71" x14ac:dyDescent="0.25">
      <c r="C30" s="540" t="s">
        <v>303</v>
      </c>
      <c r="D30" s="540"/>
      <c r="E30" s="540"/>
      <c r="F30" s="540"/>
      <c r="G30" s="540"/>
      <c r="AA30" s="540" t="s">
        <v>304</v>
      </c>
      <c r="AB30" s="540"/>
      <c r="AC30" s="540"/>
      <c r="AD30" s="540"/>
      <c r="AE30" s="540"/>
      <c r="AF30" s="540"/>
      <c r="AG30" s="447"/>
      <c r="AN30" s="504" t="s">
        <v>303</v>
      </c>
      <c r="AO30" s="504"/>
      <c r="AP30" s="504"/>
      <c r="AQ30" s="504"/>
      <c r="AR30" s="504"/>
      <c r="AT30" s="92"/>
      <c r="BB30" s="94"/>
      <c r="BC30" s="92"/>
      <c r="BF30" s="94"/>
      <c r="BG30" s="92"/>
      <c r="BH30" s="94"/>
      <c r="BL30" s="504" t="s">
        <v>304</v>
      </c>
      <c r="BM30" s="504"/>
      <c r="BN30" s="504"/>
      <c r="BO30" s="504"/>
      <c r="BP30" s="504"/>
      <c r="BQ30" s="504"/>
      <c r="BR30" s="504"/>
      <c r="BS30" s="102"/>
    </row>
    <row r="31" spans="1:71" ht="61.5" customHeight="1" x14ac:dyDescent="0.25">
      <c r="D31" s="448"/>
      <c r="E31" s="449"/>
      <c r="F31" s="449"/>
      <c r="Y31" s="449"/>
      <c r="Z31" s="449"/>
      <c r="AA31" s="540"/>
      <c r="AB31" s="540"/>
      <c r="AC31" s="540"/>
      <c r="AD31" s="540"/>
      <c r="AE31" s="540"/>
      <c r="AF31" s="540"/>
      <c r="AG31" s="447"/>
      <c r="AO31" s="95"/>
      <c r="AP31" s="95"/>
      <c r="AQ31" s="95"/>
      <c r="AT31" s="92"/>
      <c r="BB31" s="94"/>
      <c r="BC31" s="92"/>
      <c r="BF31" s="94"/>
      <c r="BG31" s="92"/>
      <c r="BH31" s="94"/>
      <c r="BJ31" s="95"/>
      <c r="BK31" s="95"/>
      <c r="BL31" s="504"/>
      <c r="BM31" s="504"/>
      <c r="BN31" s="504"/>
      <c r="BO31" s="504"/>
      <c r="BP31" s="504"/>
      <c r="BQ31" s="504"/>
      <c r="BR31" s="504"/>
      <c r="BS31" s="102"/>
    </row>
    <row r="32" spans="1:71" x14ac:dyDescent="0.25">
      <c r="D32" s="448"/>
      <c r="E32" s="449"/>
      <c r="F32" s="449"/>
      <c r="Y32" s="449"/>
      <c r="Z32" s="449"/>
      <c r="AA32" s="448"/>
      <c r="AB32" s="448"/>
      <c r="AC32" s="449"/>
      <c r="AD32" s="449"/>
      <c r="AE32" s="449"/>
      <c r="AF32" s="449"/>
      <c r="AG32" s="449"/>
      <c r="AO32" s="95"/>
      <c r="AP32" s="95"/>
      <c r="AQ32" s="95"/>
      <c r="AT32" s="92"/>
      <c r="BB32" s="94"/>
      <c r="BC32" s="92"/>
      <c r="BF32" s="94"/>
      <c r="BG32" s="92"/>
      <c r="BH32" s="94"/>
      <c r="BJ32" s="95"/>
      <c r="BK32" s="95"/>
      <c r="BL32" s="95"/>
      <c r="BM32" s="95"/>
      <c r="BN32" s="95"/>
      <c r="BO32" s="95"/>
      <c r="BP32" s="95"/>
      <c r="BQ32" s="95"/>
      <c r="BR32" s="95"/>
      <c r="BS32" s="102"/>
    </row>
    <row r="33" spans="3:71" x14ac:dyDescent="0.25">
      <c r="C33" s="540" t="s">
        <v>381</v>
      </c>
      <c r="D33" s="540"/>
      <c r="E33" s="540"/>
      <c r="F33" s="540"/>
      <c r="G33" s="540"/>
      <c r="Y33" s="449"/>
      <c r="Z33" s="449"/>
      <c r="AA33" s="540" t="s">
        <v>382</v>
      </c>
      <c r="AB33" s="540"/>
      <c r="AC33" s="540"/>
      <c r="AD33" s="540"/>
      <c r="AE33" s="540"/>
      <c r="AF33" s="540"/>
      <c r="AG33" s="447"/>
      <c r="AN33" s="504" t="s">
        <v>381</v>
      </c>
      <c r="AO33" s="504"/>
      <c r="AP33" s="504"/>
      <c r="AQ33" s="504"/>
      <c r="AR33" s="504"/>
      <c r="AT33" s="92"/>
      <c r="BB33" s="94"/>
      <c r="BC33" s="92"/>
      <c r="BF33" s="94"/>
      <c r="BG33" s="92"/>
      <c r="BH33" s="94"/>
      <c r="BJ33" s="95"/>
      <c r="BK33" s="95"/>
      <c r="BL33" s="504" t="s">
        <v>382</v>
      </c>
      <c r="BM33" s="504"/>
      <c r="BN33" s="504"/>
      <c r="BO33" s="504"/>
      <c r="BP33" s="504"/>
      <c r="BQ33" s="504"/>
      <c r="BR33" s="504"/>
      <c r="BS33" s="102"/>
    </row>
    <row r="34" spans="3:71" x14ac:dyDescent="0.25">
      <c r="X34" s="540"/>
      <c r="Y34" s="540"/>
      <c r="Z34" s="540"/>
      <c r="AA34" s="540"/>
      <c r="AB34" s="540"/>
      <c r="AC34" s="540"/>
      <c r="AD34" s="540"/>
      <c r="AE34" s="449"/>
      <c r="AF34" s="449"/>
      <c r="BI34" s="504"/>
      <c r="BJ34" s="504"/>
      <c r="BK34" s="504"/>
      <c r="BL34" s="504"/>
      <c r="BM34" s="504"/>
      <c r="BN34" s="504"/>
      <c r="BO34" s="504"/>
      <c r="BP34" s="95"/>
      <c r="BQ34" s="95"/>
    </row>
    <row r="35" spans="3:71" x14ac:dyDescent="0.25">
      <c r="X35" s="449"/>
      <c r="Y35" s="449"/>
      <c r="Z35" s="449"/>
      <c r="AA35" s="448"/>
      <c r="AB35" s="448"/>
      <c r="AC35" s="449"/>
      <c r="AD35" s="449"/>
      <c r="AE35" s="449"/>
      <c r="AF35" s="449"/>
      <c r="BI35" s="95"/>
      <c r="BJ35" s="95"/>
      <c r="BK35" s="95"/>
      <c r="BL35" s="95"/>
      <c r="BM35" s="95"/>
      <c r="BN35" s="95"/>
      <c r="BO35" s="95"/>
      <c r="BP35" s="95"/>
      <c r="BQ35" s="95"/>
    </row>
    <row r="36" spans="3:71" x14ac:dyDescent="0.25">
      <c r="X36" s="449"/>
      <c r="Y36" s="449"/>
      <c r="Z36" s="540"/>
      <c r="AA36" s="540"/>
      <c r="AB36" s="540"/>
      <c r="AC36" s="540"/>
      <c r="AD36" s="540"/>
      <c r="AE36" s="540"/>
      <c r="AF36" s="540"/>
      <c r="BI36" s="95"/>
      <c r="BJ36" s="95"/>
      <c r="BK36" s="504"/>
      <c r="BL36" s="504"/>
      <c r="BM36" s="504"/>
      <c r="BN36" s="504"/>
      <c r="BO36" s="504"/>
      <c r="BP36" s="504"/>
      <c r="BQ36" s="504"/>
    </row>
  </sheetData>
  <mergeCells count="23">
    <mergeCell ref="BS3:BS4"/>
    <mergeCell ref="B1:AJ1"/>
    <mergeCell ref="AK1:BQ1"/>
    <mergeCell ref="C33:G33"/>
    <mergeCell ref="AA33:AF33"/>
    <mergeCell ref="Y29:AF29"/>
    <mergeCell ref="C30:G30"/>
    <mergeCell ref="AA30:AF30"/>
    <mergeCell ref="AO29:AQ29"/>
    <mergeCell ref="BK29:BR29"/>
    <mergeCell ref="AN30:AR30"/>
    <mergeCell ref="BL30:BR30"/>
    <mergeCell ref="C3:AG3"/>
    <mergeCell ref="BQ3:BR3"/>
    <mergeCell ref="AL3:BP3"/>
    <mergeCell ref="X34:AD34"/>
    <mergeCell ref="BI34:BO34"/>
    <mergeCell ref="Z36:AF36"/>
    <mergeCell ref="BK36:BQ36"/>
    <mergeCell ref="AA31:AF31"/>
    <mergeCell ref="BL31:BR31"/>
    <mergeCell ref="AN33:AR33"/>
    <mergeCell ref="BL33:BR33"/>
  </mergeCells>
  <pageMargins left="0.196850393700787" right="0" top="0.59055118110236204" bottom="0" header="0" footer="0"/>
  <pageSetup paperSize="9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Đóng gói trong giờ</vt:lpstr>
      <vt:lpstr>Đóng gói ngoài giờ</vt:lpstr>
      <vt:lpstr>Bốc hàng trong giờ new</vt:lpstr>
      <vt:lpstr>Bốc hàng ngoài giờ new</vt:lpstr>
      <vt:lpstr>Tổng hợp trong giờ</vt:lpstr>
      <vt:lpstr>Tổng hợp ngoài giờ</vt:lpstr>
      <vt:lpstr> Bang luong</vt:lpstr>
      <vt:lpstr>Thẻ lương</vt:lpstr>
      <vt:lpstr>CHẤM CÔNG TRONG THÁNG</vt:lpstr>
      <vt:lpstr>Mã NV</vt:lpstr>
      <vt:lpstr>ung luong</vt:lpstr>
      <vt:lpstr>Định mức</vt:lpstr>
      <vt:lpstr>thang luong</vt:lpstr>
      <vt:lpstr>Sheet2</vt:lpstr>
      <vt:lpstr>Sheet3</vt:lpstr>
      <vt:lpstr>'Đóng gói ngoài giờ'!Criteria</vt:lpstr>
      <vt:lpstr>'Đóng gói trong giờ'!Criteria</vt:lpstr>
      <vt:lpstr>MANV</vt:lpstr>
      <vt:lpstr>nhanvien</vt:lpstr>
      <vt:lpstr>'Thẻ lương'!Print_Area</vt:lpstr>
      <vt:lpstr>'CHẤM CÔNG TRONG THÁNG'!Print_Titles</vt:lpstr>
      <vt:lpstr>'ung luong'!Print_Titles</vt:lpstr>
      <vt:lpstr>XE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Luxury</cp:lastModifiedBy>
  <cp:lastPrinted>2019-11-06T09:46:57Z</cp:lastPrinted>
  <dcterms:created xsi:type="dcterms:W3CDTF">2017-05-22T03:35:50Z</dcterms:created>
  <dcterms:modified xsi:type="dcterms:W3CDTF">2019-11-07T09:35:19Z</dcterms:modified>
</cp:coreProperties>
</file>